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8"/>
  <workbookPr defaultThemeVersion="166925"/>
  <mc:AlternateContent xmlns:mc="http://schemas.openxmlformats.org/markup-compatibility/2006">
    <mc:Choice Requires="x15">
      <x15ac:absPath xmlns:x15ac="http://schemas.microsoft.com/office/spreadsheetml/2010/11/ac" url="https://evolticompany.sharepoint.com/sites/EvoltiAdministrativo828/Documentos compartidos/General/Cuadro administrativo/"/>
    </mc:Choice>
  </mc:AlternateContent>
  <xr:revisionPtr revIDLastSave="0" documentId="8_{76C56462-D7D7-4DCC-B401-A9F10EDC7229}" xr6:coauthVersionLast="47" xr6:coauthVersionMax="47" xr10:uidLastSave="{00000000-0000-0000-0000-000000000000}"/>
  <bookViews>
    <workbookView xWindow="-20610" yWindow="1965" windowWidth="20730" windowHeight="11160" tabRatio="555" firstSheet="6" activeTab="6" xr2:uid="{E8C15E9C-CCE5-4871-BFE9-1E422F2393E4}"/>
  </bookViews>
  <sheets>
    <sheet name="CAJA EXPERIMENTO" sheetId="40" r:id="rId1"/>
    <sheet name="ADMIN MINIGRAJAS" sheetId="45" state="hidden" r:id="rId2"/>
    <sheet name="3 Workig- Capex " sheetId="25" r:id="rId3"/>
    <sheet name="Estructuracion" sheetId="38" r:id="rId4"/>
    <sheet name="Verificación Caja" sheetId="24" r:id="rId5"/>
    <sheet name="2.Adm-Ven-imp" sheetId="30" r:id="rId6"/>
    <sheet name="Movimientos Reales" sheetId="23" r:id="rId7"/>
    <sheet name="Gastos Bancarios" sheetId="27" r:id="rId8"/>
    <sheet name="Caja Real mensual " sheetId="34" r:id="rId9"/>
    <sheet name="Retenciones" sheetId="26" r:id="rId10"/>
    <sheet name="TABLA DINAMICA " sheetId="44" state="hidden" r:id="rId11"/>
    <sheet name="Semanal" sheetId="39" state="hidden" r:id="rId12"/>
    <sheet name="Nomina" sheetId="29" r:id="rId13"/>
    <sheet name="Deuda" sheetId="2" r:id="rId14"/>
    <sheet name="Ventas energía PPA" sheetId="3" state="hidden" r:id="rId15"/>
    <sheet name="PPAs activos" sheetId="6" state="hidden" r:id="rId16"/>
    <sheet name="Ventas Mini granjas (proyeccion" sheetId="16" state="hidden" r:id="rId17"/>
    <sheet name="Proyección PPAs" sheetId="31" state="hidden" r:id="rId18"/>
    <sheet name="4  Ventas EPC (Proyeccion)" sheetId="4" state="hidden" r:id="rId19"/>
    <sheet name="Proyección 2024" sheetId="36" state="hidden" r:id="rId20"/>
    <sheet name="1.Ventas EPC" sheetId="32" r:id="rId21"/>
    <sheet name="Cierre real" sheetId="33" r:id="rId22"/>
    <sheet name="CIERRE 2024" sheetId="19" r:id="rId23"/>
    <sheet name="Metas" sheetId="37" r:id="rId24"/>
    <sheet name="Hoja1" sheetId="42" r:id="rId25"/>
  </sheets>
  <definedNames>
    <definedName name="_xlnm._FilterDatabase" localSheetId="7" hidden="1">'Gastos Bancarios'!$B$4:$G$315</definedName>
    <definedName name="_xlnm._FilterDatabase" localSheetId="6" hidden="1">'Movimientos Reales'!$A$4:$T$12354</definedName>
    <definedName name="_xlnm._FilterDatabase" localSheetId="12" hidden="1">Nomina!$B$5:$AA$5</definedName>
    <definedName name="_xlnm._FilterDatabase" localSheetId="9" hidden="1">Retenciones!$B$8:$M$940</definedName>
    <definedName name="_xlnm.Print_Area" localSheetId="11">Semanal!$A$1:$K$42</definedName>
    <definedName name="solver_adj" localSheetId="8">'Caja Real mensual '!#REF!</definedName>
    <definedName name="solver_adj" localSheetId="21">#REF!</definedName>
    <definedName name="solver_adj" localSheetId="19">#REF!</definedName>
    <definedName name="solver_opt" localSheetId="8">'Caja Real mensual '!#REF!</definedName>
    <definedName name="solver_opt" localSheetId="21">#REF!</definedName>
    <definedName name="solver_opt" localSheetId="19">#REF!</definedName>
  </definedNames>
  <calcPr calcId="191028"/>
  <pivotCaches>
    <pivotCache cacheId="9409" r:id="rId2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8" i="27" l="1"/>
  <c r="F272" i="24"/>
  <c r="E299" i="27"/>
  <c r="F280" i="24"/>
  <c r="O11" i="34" l="1"/>
  <c r="O10" i="34"/>
  <c r="O9" i="34"/>
  <c r="O8" i="34"/>
  <c r="F273" i="24"/>
  <c r="F274" i="24" l="1"/>
  <c r="F234" i="24" l="1"/>
  <c r="F194" i="24"/>
  <c r="F147" i="24"/>
  <c r="C86" i="30"/>
  <c r="D86" i="30"/>
  <c r="F86" i="30"/>
  <c r="I86" i="30"/>
  <c r="I69" i="30"/>
  <c r="I72" i="30"/>
  <c r="X14" i="38" l="1"/>
  <c r="X16" i="30"/>
  <c r="I67" i="30" s="1"/>
  <c r="E293" i="27" l="1"/>
  <c r="E292" i="27"/>
  <c r="P10" i="34"/>
  <c r="P9" i="34"/>
  <c r="P8" i="34"/>
  <c r="H2" i="26" l="1"/>
  <c r="F300" i="24" l="1"/>
  <c r="C275" i="24" s="1"/>
  <c r="C282" i="24" s="1"/>
  <c r="X7" i="30"/>
  <c r="I58" i="30" s="1"/>
  <c r="C45" i="38" l="1"/>
  <c r="E18" i="38" l="1"/>
  <c r="W14" i="38"/>
  <c r="G2" i="26" l="1"/>
  <c r="F227" i="24" l="1"/>
  <c r="D10589" i="23" l="1"/>
  <c r="N29" i="34" l="1"/>
  <c r="N30" i="34"/>
  <c r="N31" i="34"/>
  <c r="N34" i="34"/>
  <c r="N33" i="34"/>
  <c r="N32" i="34"/>
  <c r="N28" i="34"/>
  <c r="N27" i="34"/>
  <c r="N10" i="34" l="1"/>
  <c r="N9" i="34"/>
  <c r="F228" i="24" l="1"/>
  <c r="M9" i="34" l="1"/>
  <c r="M31" i="34" l="1"/>
  <c r="L43" i="34" l="1"/>
  <c r="L40" i="34"/>
  <c r="L41" i="34"/>
  <c r="L38" i="34"/>
  <c r="L39" i="34" s="1"/>
  <c r="L37" i="34"/>
  <c r="L36" i="34"/>
  <c r="L35" i="34" s="1"/>
  <c r="H69" i="30"/>
  <c r="H72" i="30"/>
  <c r="W9" i="30"/>
  <c r="H60" i="30" s="1"/>
  <c r="W16" i="30" l="1"/>
  <c r="H67" i="30" s="1"/>
  <c r="D9468" i="23" l="1"/>
  <c r="E239" i="27" l="1"/>
  <c r="W7" i="30"/>
  <c r="F255" i="24"/>
  <c r="C229" i="24" l="1"/>
  <c r="C236" i="24" s="1"/>
  <c r="F270" i="24"/>
  <c r="F278" i="24" s="1"/>
  <c r="F302" i="24" s="1"/>
  <c r="D8733" i="23"/>
  <c r="F192" i="24" l="1"/>
  <c r="F184" i="24"/>
  <c r="F185" i="24" l="1"/>
  <c r="F2" i="26"/>
  <c r="M45" i="34" s="1"/>
  <c r="M54" i="34" s="1"/>
  <c r="F186" i="24" l="1"/>
  <c r="F188" i="24" l="1"/>
  <c r="F183" i="24" l="1"/>
  <c r="D8126" i="23" l="1"/>
  <c r="I5" i="34" l="1"/>
  <c r="I27" i="34"/>
  <c r="T11" i="34"/>
  <c r="S11" i="34"/>
  <c r="R11" i="34"/>
  <c r="Q11" i="34"/>
  <c r="P11" i="34"/>
  <c r="N11" i="34"/>
  <c r="I10" i="34"/>
  <c r="T8" i="34"/>
  <c r="T9" i="34"/>
  <c r="T10" i="34"/>
  <c r="S8" i="34"/>
  <c r="S9" i="34"/>
  <c r="S10" i="34"/>
  <c r="R8" i="34"/>
  <c r="R9" i="34"/>
  <c r="R10" i="34"/>
  <c r="Q8" i="34"/>
  <c r="Q9" i="34"/>
  <c r="Q10" i="34"/>
  <c r="M11" i="34"/>
  <c r="L11" i="34"/>
  <c r="K11" i="34"/>
  <c r="J11" i="34"/>
  <c r="I11" i="34"/>
  <c r="R12" i="34" l="1"/>
  <c r="P12" i="34"/>
  <c r="S12" i="34"/>
  <c r="O12" i="34"/>
  <c r="Q12" i="34"/>
  <c r="T12" i="34"/>
  <c r="N12" i="34"/>
  <c r="M10" i="34" l="1"/>
  <c r="M12" i="34" s="1"/>
  <c r="M27" i="34" l="1"/>
  <c r="K34" i="34"/>
  <c r="L34" i="34"/>
  <c r="M34" i="34"/>
  <c r="J34" i="34"/>
  <c r="I34" i="34"/>
  <c r="J33" i="34"/>
  <c r="M33" i="34"/>
  <c r="M32" i="34"/>
  <c r="M30" i="34"/>
  <c r="M29" i="34"/>
  <c r="M28" i="34"/>
  <c r="M26" i="34"/>
  <c r="M25" i="34"/>
  <c r="L27" i="34"/>
  <c r="J27" i="34"/>
  <c r="K27" i="34"/>
  <c r="F212" i="24" l="1"/>
  <c r="F224" i="24" s="1"/>
  <c r="F232" i="24" s="1"/>
  <c r="F257" i="24" s="1"/>
  <c r="V16" i="30" l="1"/>
  <c r="G67" i="30" s="1"/>
  <c r="V7" i="30"/>
  <c r="G58" i="30" s="1"/>
  <c r="C187" i="24" l="1"/>
  <c r="C194" i="24" s="1"/>
  <c r="F139" i="24" l="1"/>
  <c r="F137" i="24" l="1"/>
  <c r="L42" i="34" l="1"/>
  <c r="J32" i="34"/>
  <c r="I143" i="24" l="1"/>
  <c r="F138" i="24" l="1"/>
  <c r="E2" i="26" l="1"/>
  <c r="L45" i="34" s="1"/>
  <c r="E157" i="27" l="1"/>
  <c r="F164" i="24" l="1"/>
  <c r="J42" i="34"/>
  <c r="K42" i="34"/>
  <c r="I42" i="34"/>
  <c r="I41" i="34"/>
  <c r="F182" i="24" l="1"/>
  <c r="F190" i="24" s="1"/>
  <c r="F214" i="24" s="1"/>
  <c r="L30" i="34"/>
  <c r="J30" i="34"/>
  <c r="K30" i="34"/>
  <c r="I30" i="34"/>
  <c r="D3711" i="23" l="1"/>
  <c r="D1592" i="23"/>
  <c r="D75" i="23"/>
  <c r="L33" i="34" l="1"/>
  <c r="K33" i="34"/>
  <c r="I33" i="34"/>
  <c r="D3713" i="23"/>
  <c r="D14" i="23"/>
  <c r="D1429" i="23"/>
  <c r="C4" i="45" l="1"/>
  <c r="C10" i="45" s="1"/>
  <c r="R4" i="30"/>
  <c r="F11" i="45"/>
  <c r="F10" i="45"/>
  <c r="E10" i="45"/>
  <c r="D10" i="45"/>
  <c r="U16" i="30"/>
  <c r="F67" i="30" s="1"/>
  <c r="U7" i="30"/>
  <c r="F58" i="30" s="1"/>
  <c r="F88" i="24" l="1"/>
  <c r="L32" i="34" l="1"/>
  <c r="L31" i="34"/>
  <c r="L29" i="34"/>
  <c r="L28" i="34"/>
  <c r="L25" i="34"/>
  <c r="L17" i="34"/>
  <c r="L14" i="34" s="1"/>
  <c r="L16" i="34"/>
  <c r="L10" i="34"/>
  <c r="E11" i="45" s="1"/>
  <c r="L9" i="34"/>
  <c r="L8" i="34"/>
  <c r="L7" i="34"/>
  <c r="L12" i="34" l="1"/>
  <c r="D2" i="26"/>
  <c r="L26" i="34" l="1"/>
  <c r="L15" i="34"/>
  <c r="AC35" i="30" l="1"/>
  <c r="N86" i="30" s="1"/>
  <c r="AB35" i="30"/>
  <c r="M86" i="30" s="1"/>
  <c r="AA35" i="30"/>
  <c r="L86" i="30" s="1"/>
  <c r="Z35" i="30"/>
  <c r="K86" i="30" s="1"/>
  <c r="Y35" i="30"/>
  <c r="J86" i="30" s="1"/>
  <c r="X35" i="30"/>
  <c r="I87" i="30" s="1"/>
  <c r="W35" i="30"/>
  <c r="V35" i="30"/>
  <c r="U35" i="30"/>
  <c r="F87" i="30" s="1"/>
  <c r="T35" i="30"/>
  <c r="S35" i="30"/>
  <c r="D87" i="30" s="1"/>
  <c r="R35" i="30"/>
  <c r="C87" i="30" s="1"/>
  <c r="AC34" i="30"/>
  <c r="AB34" i="30"/>
  <c r="AA34" i="30"/>
  <c r="Z34" i="30"/>
  <c r="Y34" i="30"/>
  <c r="AC33" i="30"/>
  <c r="AB33" i="30"/>
  <c r="AA33" i="30"/>
  <c r="Z33" i="30"/>
  <c r="Y33" i="30"/>
  <c r="X33" i="30"/>
  <c r="I85" i="30" s="1"/>
  <c r="W33" i="30"/>
  <c r="V33" i="30"/>
  <c r="G85" i="30" s="1"/>
  <c r="U33" i="30"/>
  <c r="F85" i="30" s="1"/>
  <c r="T33" i="30"/>
  <c r="S33" i="30"/>
  <c r="D85" i="30" s="1"/>
  <c r="R33" i="30"/>
  <c r="C85" i="30" s="1"/>
  <c r="AC32" i="30"/>
  <c r="AB32" i="30"/>
  <c r="AA32" i="30"/>
  <c r="Z32" i="30"/>
  <c r="Y32" i="30"/>
  <c r="X32" i="30"/>
  <c r="I84" i="30" s="1"/>
  <c r="W32" i="30"/>
  <c r="V32" i="30"/>
  <c r="G84" i="30" s="1"/>
  <c r="U32" i="30"/>
  <c r="F84" i="30" s="1"/>
  <c r="T32" i="30"/>
  <c r="S32" i="30"/>
  <c r="D84" i="30" s="1"/>
  <c r="R32" i="30"/>
  <c r="C84" i="30" s="1"/>
  <c r="AC31" i="30"/>
  <c r="AB31" i="30"/>
  <c r="AA31" i="30"/>
  <c r="Z31" i="30"/>
  <c r="Y31" i="30"/>
  <c r="X31" i="30"/>
  <c r="I83" i="30" s="1"/>
  <c r="W31" i="30"/>
  <c r="V31" i="30"/>
  <c r="U31" i="30"/>
  <c r="F83" i="30" s="1"/>
  <c r="T31" i="30"/>
  <c r="S31" i="30"/>
  <c r="D83" i="30" s="1"/>
  <c r="R31" i="30"/>
  <c r="C83" i="30" s="1"/>
  <c r="AC30" i="30"/>
  <c r="AB30" i="30"/>
  <c r="AA30" i="30"/>
  <c r="Z30" i="30"/>
  <c r="Y30" i="30"/>
  <c r="X30" i="30"/>
  <c r="I82" i="30" s="1"/>
  <c r="W30" i="30"/>
  <c r="H82" i="30" s="1"/>
  <c r="V30" i="30"/>
  <c r="U30" i="30"/>
  <c r="F82" i="30" s="1"/>
  <c r="T30" i="30"/>
  <c r="S30" i="30"/>
  <c r="D82" i="30" s="1"/>
  <c r="R30" i="30"/>
  <c r="C82" i="30" s="1"/>
  <c r="AC29" i="30"/>
  <c r="AB29" i="30"/>
  <c r="AA29" i="30"/>
  <c r="Z29" i="30"/>
  <c r="Y29" i="30"/>
  <c r="X29" i="30"/>
  <c r="I81" i="30" s="1"/>
  <c r="W29" i="30"/>
  <c r="H81" i="30" s="1"/>
  <c r="V29" i="30"/>
  <c r="G81" i="30" s="1"/>
  <c r="U29" i="30"/>
  <c r="F81" i="30" s="1"/>
  <c r="T29" i="30"/>
  <c r="S29" i="30"/>
  <c r="D81" i="30" s="1"/>
  <c r="R29" i="30"/>
  <c r="C81" i="30" s="1"/>
  <c r="AC28" i="30"/>
  <c r="AB28" i="30"/>
  <c r="AA28" i="30"/>
  <c r="Z28" i="30"/>
  <c r="Y28" i="30"/>
  <c r="X28" i="30"/>
  <c r="I80" i="30" s="1"/>
  <c r="W28" i="30"/>
  <c r="H80" i="30" s="1"/>
  <c r="V28" i="30"/>
  <c r="U28" i="30"/>
  <c r="F80" i="30" s="1"/>
  <c r="T28" i="30"/>
  <c r="S28" i="30"/>
  <c r="D80" i="30" s="1"/>
  <c r="R28" i="30"/>
  <c r="C80" i="30" s="1"/>
  <c r="AC27" i="30"/>
  <c r="N79" i="30" s="1"/>
  <c r="AB27" i="30"/>
  <c r="M79" i="30" s="1"/>
  <c r="AA27" i="30"/>
  <c r="L79" i="30" s="1"/>
  <c r="Z27" i="30"/>
  <c r="K79" i="30" s="1"/>
  <c r="Y27" i="30"/>
  <c r="J79" i="30" s="1"/>
  <c r="X27" i="30"/>
  <c r="I79" i="30" s="1"/>
  <c r="W27" i="30"/>
  <c r="H79" i="30" s="1"/>
  <c r="V27" i="30"/>
  <c r="G79" i="30" s="1"/>
  <c r="U27" i="30"/>
  <c r="T27" i="30"/>
  <c r="S27" i="30"/>
  <c r="D79" i="30" s="1"/>
  <c r="R27" i="30"/>
  <c r="C79" i="30" s="1"/>
  <c r="AC20" i="30"/>
  <c r="AB20" i="30"/>
  <c r="AA20" i="30"/>
  <c r="Z20" i="30"/>
  <c r="Y20" i="30"/>
  <c r="X20" i="30"/>
  <c r="I71" i="30" s="1"/>
  <c r="W20" i="30"/>
  <c r="H73" i="30" s="1"/>
  <c r="V20" i="30"/>
  <c r="G73" i="30" s="1"/>
  <c r="U20" i="30"/>
  <c r="F73" i="30" s="1"/>
  <c r="T20" i="30"/>
  <c r="S20" i="30"/>
  <c r="R20" i="30"/>
  <c r="AC19" i="30"/>
  <c r="AB19" i="30"/>
  <c r="AA19" i="30"/>
  <c r="Z19" i="30"/>
  <c r="Y19" i="30"/>
  <c r="X19" i="30"/>
  <c r="I70" i="30" s="1"/>
  <c r="W19" i="30"/>
  <c r="H70" i="30" s="1"/>
  <c r="V19" i="30"/>
  <c r="G72" i="30" s="1"/>
  <c r="U19" i="30"/>
  <c r="F72" i="30" s="1"/>
  <c r="T19" i="30"/>
  <c r="S19" i="30"/>
  <c r="R19" i="30"/>
  <c r="AC17" i="30"/>
  <c r="AB17" i="30"/>
  <c r="AA17" i="30"/>
  <c r="Z17" i="30"/>
  <c r="Y17" i="30"/>
  <c r="X17" i="30"/>
  <c r="I68" i="30" s="1"/>
  <c r="W17" i="30"/>
  <c r="H68" i="30" s="1"/>
  <c r="V17" i="30"/>
  <c r="G68" i="30" s="1"/>
  <c r="U17" i="30"/>
  <c r="F68" i="30" s="1"/>
  <c r="T17" i="30"/>
  <c r="S17" i="30"/>
  <c r="R17" i="30"/>
  <c r="T16" i="30"/>
  <c r="S16" i="30"/>
  <c r="R16" i="30"/>
  <c r="AC15" i="30"/>
  <c r="AB15" i="30"/>
  <c r="AA15" i="30"/>
  <c r="Z15" i="30"/>
  <c r="Y15" i="30"/>
  <c r="X15" i="30"/>
  <c r="I66" i="30" s="1"/>
  <c r="W15" i="30"/>
  <c r="H66" i="30" s="1"/>
  <c r="V15" i="30"/>
  <c r="G66" i="30" s="1"/>
  <c r="U15" i="30"/>
  <c r="F66" i="30" s="1"/>
  <c r="T15" i="30"/>
  <c r="S15" i="30"/>
  <c r="R15" i="30"/>
  <c r="AC14" i="30"/>
  <c r="AB14" i="30"/>
  <c r="AA14" i="30"/>
  <c r="Z14" i="30"/>
  <c r="Y14" i="30"/>
  <c r="X14" i="30"/>
  <c r="I65" i="30" s="1"/>
  <c r="W14" i="30"/>
  <c r="H65" i="30" s="1"/>
  <c r="V14" i="30"/>
  <c r="G65" i="30" s="1"/>
  <c r="U14" i="30"/>
  <c r="F65" i="30" s="1"/>
  <c r="T14" i="30"/>
  <c r="S14" i="30"/>
  <c r="R14" i="30"/>
  <c r="AC13" i="30"/>
  <c r="AB13" i="30"/>
  <c r="AA13" i="30"/>
  <c r="Z13" i="30"/>
  <c r="Y13" i="30"/>
  <c r="X13" i="30"/>
  <c r="I64" i="30" s="1"/>
  <c r="W13" i="30"/>
  <c r="H64" i="30" s="1"/>
  <c r="V13" i="30"/>
  <c r="G64" i="30" s="1"/>
  <c r="U13" i="30"/>
  <c r="F64" i="30" s="1"/>
  <c r="T13" i="30"/>
  <c r="S13" i="30"/>
  <c r="R13" i="30"/>
  <c r="AC12" i="30"/>
  <c r="AB12" i="30"/>
  <c r="AA12" i="30"/>
  <c r="Z12" i="30"/>
  <c r="Y12" i="30"/>
  <c r="X12" i="30"/>
  <c r="I63" i="30" s="1"/>
  <c r="W12" i="30"/>
  <c r="H63" i="30" s="1"/>
  <c r="V12" i="30"/>
  <c r="G63" i="30" s="1"/>
  <c r="U12" i="30"/>
  <c r="F63" i="30" s="1"/>
  <c r="T12" i="30"/>
  <c r="S12" i="30"/>
  <c r="R12" i="30"/>
  <c r="AC11" i="30"/>
  <c r="AB11" i="30"/>
  <c r="AA11" i="30"/>
  <c r="Z11" i="30"/>
  <c r="Y11" i="30"/>
  <c r="X11" i="30"/>
  <c r="I62" i="30" s="1"/>
  <c r="W11" i="30"/>
  <c r="H62" i="30" s="1"/>
  <c r="V11" i="30"/>
  <c r="G62" i="30" s="1"/>
  <c r="U11" i="30"/>
  <c r="F62" i="30" s="1"/>
  <c r="T11" i="30"/>
  <c r="S11" i="30"/>
  <c r="R11" i="30"/>
  <c r="AC10" i="30"/>
  <c r="AB10" i="30"/>
  <c r="AA10" i="30"/>
  <c r="Z10" i="30"/>
  <c r="Y10" i="30"/>
  <c r="X10" i="30"/>
  <c r="I61" i="30" s="1"/>
  <c r="W10" i="30"/>
  <c r="H61" i="30" s="1"/>
  <c r="V10" i="30"/>
  <c r="G61" i="30" s="1"/>
  <c r="U10" i="30"/>
  <c r="F61" i="30" s="1"/>
  <c r="T10" i="30"/>
  <c r="S10" i="30"/>
  <c r="R10" i="30"/>
  <c r="AC9" i="30"/>
  <c r="AB9" i="30"/>
  <c r="AA9" i="30"/>
  <c r="Z9" i="30"/>
  <c r="Y9" i="30"/>
  <c r="X9" i="30"/>
  <c r="I60" i="30" s="1"/>
  <c r="V9" i="30"/>
  <c r="G60" i="30" s="1"/>
  <c r="U9" i="30"/>
  <c r="F60" i="30" s="1"/>
  <c r="T9" i="30"/>
  <c r="S9" i="30"/>
  <c r="R9" i="30"/>
  <c r="AC8" i="30"/>
  <c r="AB8" i="30"/>
  <c r="AA8" i="30"/>
  <c r="Z8" i="30"/>
  <c r="Y8" i="30"/>
  <c r="X8" i="30"/>
  <c r="I59" i="30" s="1"/>
  <c r="W8" i="30"/>
  <c r="H59" i="30" s="1"/>
  <c r="V8" i="30"/>
  <c r="G59" i="30" s="1"/>
  <c r="U8" i="30"/>
  <c r="F59" i="30" s="1"/>
  <c r="T8" i="30"/>
  <c r="S8" i="30"/>
  <c r="R8" i="30"/>
  <c r="S7" i="30"/>
  <c r="R7" i="30"/>
  <c r="AC6" i="30"/>
  <c r="AB6" i="30"/>
  <c r="AA6" i="30"/>
  <c r="Z6" i="30"/>
  <c r="Y6" i="30"/>
  <c r="X6" i="30"/>
  <c r="I57" i="30" s="1"/>
  <c r="W6" i="30"/>
  <c r="V6" i="30"/>
  <c r="U6" i="30"/>
  <c r="F57" i="30" s="1"/>
  <c r="T6" i="30"/>
  <c r="S6" i="30"/>
  <c r="R6" i="30"/>
  <c r="AC5" i="30"/>
  <c r="AB5" i="30"/>
  <c r="AA5" i="30"/>
  <c r="Z5" i="30"/>
  <c r="Y5" i="30"/>
  <c r="X5" i="30"/>
  <c r="I56" i="30" s="1"/>
  <c r="W5" i="30"/>
  <c r="V5" i="30"/>
  <c r="G56" i="30" s="1"/>
  <c r="U5" i="30"/>
  <c r="F56" i="30" s="1"/>
  <c r="T5" i="30"/>
  <c r="S5" i="30"/>
  <c r="R5" i="30"/>
  <c r="AC4" i="30"/>
  <c r="AB4" i="30"/>
  <c r="AA4" i="30"/>
  <c r="Z4" i="30"/>
  <c r="Y4" i="30"/>
  <c r="X4" i="30"/>
  <c r="W4" i="30"/>
  <c r="V4" i="30"/>
  <c r="G55" i="30" s="1"/>
  <c r="U4" i="30"/>
  <c r="F55" i="30" s="1"/>
  <c r="T4" i="30"/>
  <c r="S4" i="30"/>
  <c r="T43" i="34"/>
  <c r="S43" i="34"/>
  <c r="R43" i="34"/>
  <c r="Q43" i="34"/>
  <c r="P43" i="34"/>
  <c r="O43" i="34"/>
  <c r="N43" i="34"/>
  <c r="M43" i="34"/>
  <c r="K43" i="34"/>
  <c r="J43" i="34"/>
  <c r="I43" i="34"/>
  <c r="T41" i="34"/>
  <c r="S41" i="34"/>
  <c r="R41" i="34"/>
  <c r="Q41" i="34"/>
  <c r="P41" i="34"/>
  <c r="O41" i="34"/>
  <c r="N41" i="34"/>
  <c r="M41" i="34"/>
  <c r="K41" i="34"/>
  <c r="J41" i="34"/>
  <c r="T40" i="34"/>
  <c r="S40" i="34"/>
  <c r="R40" i="34"/>
  <c r="Q40" i="34"/>
  <c r="P40" i="34"/>
  <c r="O40" i="34"/>
  <c r="N40" i="34"/>
  <c r="M40" i="34"/>
  <c r="K40" i="34"/>
  <c r="J40" i="34"/>
  <c r="I40" i="34"/>
  <c r="T38" i="34"/>
  <c r="S38" i="34"/>
  <c r="R38" i="34"/>
  <c r="Q38" i="34"/>
  <c r="P38" i="34"/>
  <c r="O38" i="34"/>
  <c r="N38" i="34"/>
  <c r="N39" i="34" s="1"/>
  <c r="M38" i="34"/>
  <c r="M39" i="34" s="1"/>
  <c r="K38" i="34"/>
  <c r="I38" i="34"/>
  <c r="T37" i="34"/>
  <c r="S37" i="34"/>
  <c r="R37" i="34"/>
  <c r="Q37" i="34"/>
  <c r="P37" i="34"/>
  <c r="O37" i="34"/>
  <c r="M37" i="34"/>
  <c r="K37" i="34"/>
  <c r="J37" i="34"/>
  <c r="I37" i="34"/>
  <c r="N37" i="34" s="1"/>
  <c r="T36" i="34"/>
  <c r="T35" i="34" s="1"/>
  <c r="S36" i="34"/>
  <c r="S35" i="34" s="1"/>
  <c r="R36" i="34"/>
  <c r="R35" i="34" s="1"/>
  <c r="Q36" i="34"/>
  <c r="Q35" i="34" s="1"/>
  <c r="P36" i="34"/>
  <c r="P35" i="34" s="1"/>
  <c r="O36" i="34"/>
  <c r="O35" i="34" s="1"/>
  <c r="N36" i="34"/>
  <c r="N35" i="34" s="1"/>
  <c r="M36" i="34"/>
  <c r="M35" i="34" s="1"/>
  <c r="K36" i="34"/>
  <c r="K35" i="34" s="1"/>
  <c r="J36" i="34"/>
  <c r="J35" i="34" s="1"/>
  <c r="I36" i="34"/>
  <c r="I35" i="34"/>
  <c r="K32" i="34"/>
  <c r="I32" i="34"/>
  <c r="K31" i="34"/>
  <c r="J31" i="34"/>
  <c r="I31" i="34"/>
  <c r="K29" i="34"/>
  <c r="J29" i="34"/>
  <c r="I29" i="34"/>
  <c r="T28" i="34"/>
  <c r="S28" i="34"/>
  <c r="R28" i="34"/>
  <c r="Q28" i="34"/>
  <c r="P28" i="34"/>
  <c r="K28" i="34"/>
  <c r="J28" i="34"/>
  <c r="I28" i="34"/>
  <c r="T26" i="34"/>
  <c r="S26" i="34"/>
  <c r="R26" i="34"/>
  <c r="Q26" i="34"/>
  <c r="P26" i="34"/>
  <c r="K26" i="34"/>
  <c r="J26" i="34"/>
  <c r="I26" i="34"/>
  <c r="T25" i="34"/>
  <c r="S25" i="34"/>
  <c r="R25" i="34"/>
  <c r="Q25" i="34"/>
  <c r="P25" i="34"/>
  <c r="O25" i="34"/>
  <c r="N25" i="34"/>
  <c r="K25" i="34"/>
  <c r="J25" i="34"/>
  <c r="I25" i="34"/>
  <c r="T17" i="34"/>
  <c r="T14" i="34" s="1"/>
  <c r="S17" i="34"/>
  <c r="S14" i="34" s="1"/>
  <c r="R17" i="34"/>
  <c r="R14" i="34" s="1"/>
  <c r="Q17" i="34"/>
  <c r="Q14" i="34" s="1"/>
  <c r="P17" i="34"/>
  <c r="P14" i="34" s="1"/>
  <c r="O17" i="34"/>
  <c r="O14" i="34" s="1"/>
  <c r="N17" i="34"/>
  <c r="N14" i="34" s="1"/>
  <c r="M17" i="34"/>
  <c r="M14" i="34" s="1"/>
  <c r="K17" i="34"/>
  <c r="K14" i="34" s="1"/>
  <c r="J17" i="34"/>
  <c r="J14" i="34" s="1"/>
  <c r="I17" i="34"/>
  <c r="I14" i="34" s="1"/>
  <c r="T16" i="34"/>
  <c r="S16" i="34"/>
  <c r="R16" i="34"/>
  <c r="Q16" i="34"/>
  <c r="P16" i="34"/>
  <c r="O16" i="34"/>
  <c r="N16" i="34"/>
  <c r="M16" i="34"/>
  <c r="K16" i="34"/>
  <c r="J16" i="34"/>
  <c r="I16" i="34"/>
  <c r="K10" i="34"/>
  <c r="D11" i="45" s="1"/>
  <c r="J10" i="34"/>
  <c r="C11" i="45" s="1"/>
  <c r="K9" i="34"/>
  <c r="J9" i="34"/>
  <c r="I9" i="34"/>
  <c r="I12" i="34" s="1"/>
  <c r="N8" i="34"/>
  <c r="M8" i="34"/>
  <c r="K8" i="34"/>
  <c r="J8" i="34"/>
  <c r="I8" i="34"/>
  <c r="T7" i="34"/>
  <c r="S7" i="34"/>
  <c r="R7" i="34"/>
  <c r="Q7" i="34"/>
  <c r="P7" i="34"/>
  <c r="O7" i="34"/>
  <c r="N7" i="34"/>
  <c r="M7" i="34"/>
  <c r="K7" i="34"/>
  <c r="J7" i="34"/>
  <c r="I7" i="34"/>
  <c r="T5" i="34"/>
  <c r="S5" i="34"/>
  <c r="R5" i="34"/>
  <c r="Q5" i="34"/>
  <c r="P5" i="34"/>
  <c r="O5" i="34"/>
  <c r="N5" i="34"/>
  <c r="M5" i="34"/>
  <c r="L5" i="34"/>
  <c r="L13" i="34" s="1"/>
  <c r="K5" i="34"/>
  <c r="J5" i="34"/>
  <c r="I12" i="39"/>
  <c r="I9" i="39" s="1"/>
  <c r="I11" i="39"/>
  <c r="I6" i="39"/>
  <c r="I5" i="39"/>
  <c r="P251" i="25"/>
  <c r="O251" i="25"/>
  <c r="N251" i="25"/>
  <c r="M251" i="25"/>
  <c r="L251" i="25"/>
  <c r="K251" i="25"/>
  <c r="J251" i="25"/>
  <c r="I251" i="25"/>
  <c r="H251" i="25"/>
  <c r="G251" i="25"/>
  <c r="F251" i="25"/>
  <c r="E251" i="25"/>
  <c r="P248" i="25"/>
  <c r="O248" i="25"/>
  <c r="N248" i="25"/>
  <c r="M248" i="25"/>
  <c r="L248" i="25"/>
  <c r="K248" i="25"/>
  <c r="J248" i="25"/>
  <c r="I248" i="25"/>
  <c r="H248" i="25"/>
  <c r="G248" i="25"/>
  <c r="F248" i="25"/>
  <c r="E248" i="25"/>
  <c r="P245" i="25"/>
  <c r="O245" i="25"/>
  <c r="N245" i="25"/>
  <c r="M245" i="25"/>
  <c r="L245" i="25"/>
  <c r="K245" i="25"/>
  <c r="J245" i="25"/>
  <c r="I245" i="25"/>
  <c r="H245" i="25"/>
  <c r="G245" i="25"/>
  <c r="F245" i="25"/>
  <c r="E245" i="25"/>
  <c r="P242" i="25"/>
  <c r="O242" i="25"/>
  <c r="N242" i="25"/>
  <c r="M242" i="25"/>
  <c r="L242" i="25"/>
  <c r="K242" i="25"/>
  <c r="J242" i="25"/>
  <c r="I242" i="25"/>
  <c r="H242" i="25"/>
  <c r="G242" i="25"/>
  <c r="F242" i="25"/>
  <c r="E242" i="25"/>
  <c r="P239" i="25"/>
  <c r="O239" i="25"/>
  <c r="N239" i="25"/>
  <c r="M239" i="25"/>
  <c r="L239" i="25"/>
  <c r="K239" i="25"/>
  <c r="J239" i="25"/>
  <c r="I239" i="25"/>
  <c r="H239" i="25"/>
  <c r="G239" i="25"/>
  <c r="F239" i="25"/>
  <c r="E239" i="25"/>
  <c r="P236" i="25"/>
  <c r="O236" i="25"/>
  <c r="N236" i="25"/>
  <c r="M236" i="25"/>
  <c r="L236" i="25"/>
  <c r="K236" i="25"/>
  <c r="J236" i="25"/>
  <c r="I236" i="25"/>
  <c r="H236" i="25"/>
  <c r="G236" i="25"/>
  <c r="F236" i="25"/>
  <c r="E236" i="25"/>
  <c r="P233" i="25"/>
  <c r="O233" i="25"/>
  <c r="N233" i="25"/>
  <c r="M233" i="25"/>
  <c r="L233" i="25"/>
  <c r="K233" i="25"/>
  <c r="J233" i="25"/>
  <c r="I233" i="25"/>
  <c r="H233" i="25"/>
  <c r="G233" i="25"/>
  <c r="F233" i="25"/>
  <c r="E233" i="25"/>
  <c r="P230" i="25"/>
  <c r="O230" i="25"/>
  <c r="N230" i="25"/>
  <c r="M230" i="25"/>
  <c r="L230" i="25"/>
  <c r="K230" i="25"/>
  <c r="J230" i="25"/>
  <c r="I230" i="25"/>
  <c r="H230" i="25"/>
  <c r="G230" i="25"/>
  <c r="F230" i="25"/>
  <c r="E230" i="25"/>
  <c r="P227" i="25"/>
  <c r="O227" i="25"/>
  <c r="N227" i="25"/>
  <c r="M227" i="25"/>
  <c r="L227" i="25"/>
  <c r="K227" i="25"/>
  <c r="J227" i="25"/>
  <c r="I227" i="25"/>
  <c r="H227" i="25"/>
  <c r="G227" i="25"/>
  <c r="F227" i="25"/>
  <c r="E227" i="25"/>
  <c r="P224" i="25"/>
  <c r="O224" i="25"/>
  <c r="N224" i="25"/>
  <c r="M224" i="25"/>
  <c r="L224" i="25"/>
  <c r="K224" i="25"/>
  <c r="J224" i="25"/>
  <c r="I224" i="25"/>
  <c r="H224" i="25"/>
  <c r="G224" i="25"/>
  <c r="F224" i="25"/>
  <c r="E224" i="25"/>
  <c r="P221" i="25"/>
  <c r="O221" i="25"/>
  <c r="N221" i="25"/>
  <c r="M221" i="25"/>
  <c r="L221" i="25"/>
  <c r="K221" i="25"/>
  <c r="J221" i="25"/>
  <c r="I221" i="25"/>
  <c r="H221" i="25"/>
  <c r="G221" i="25"/>
  <c r="F221" i="25"/>
  <c r="E221" i="25"/>
  <c r="P218" i="25"/>
  <c r="O218" i="25"/>
  <c r="N218" i="25"/>
  <c r="M218" i="25"/>
  <c r="L218" i="25"/>
  <c r="K218" i="25"/>
  <c r="J218" i="25"/>
  <c r="I218" i="25"/>
  <c r="H218" i="25"/>
  <c r="G218" i="25"/>
  <c r="F218" i="25"/>
  <c r="E218" i="25"/>
  <c r="P215" i="25"/>
  <c r="O215" i="25"/>
  <c r="N215" i="25"/>
  <c r="M215" i="25"/>
  <c r="L215" i="25"/>
  <c r="K215" i="25"/>
  <c r="J215" i="25"/>
  <c r="I215" i="25"/>
  <c r="H215" i="25"/>
  <c r="G215" i="25"/>
  <c r="F215" i="25"/>
  <c r="E215" i="25"/>
  <c r="P206" i="25"/>
  <c r="O206" i="25"/>
  <c r="N206" i="25"/>
  <c r="M206" i="25"/>
  <c r="L206" i="25"/>
  <c r="K206" i="25"/>
  <c r="J206" i="25"/>
  <c r="I206" i="25"/>
  <c r="H206" i="25"/>
  <c r="G206" i="25"/>
  <c r="F206" i="25"/>
  <c r="E206" i="25"/>
  <c r="P203" i="25"/>
  <c r="O203" i="25"/>
  <c r="N203" i="25"/>
  <c r="M203" i="25"/>
  <c r="L203" i="25"/>
  <c r="K203" i="25"/>
  <c r="J203" i="25"/>
  <c r="I203" i="25"/>
  <c r="H203" i="25"/>
  <c r="G203" i="25"/>
  <c r="F203" i="25"/>
  <c r="E203" i="25"/>
  <c r="P200" i="25"/>
  <c r="O200" i="25"/>
  <c r="N200" i="25"/>
  <c r="M200" i="25"/>
  <c r="L200" i="25"/>
  <c r="K200" i="25"/>
  <c r="J200" i="25"/>
  <c r="I200" i="25"/>
  <c r="H200" i="25"/>
  <c r="G200" i="25"/>
  <c r="F200" i="25"/>
  <c r="E200" i="25"/>
  <c r="P197" i="25"/>
  <c r="O197" i="25"/>
  <c r="N197" i="25"/>
  <c r="M197" i="25"/>
  <c r="L197" i="25"/>
  <c r="K197" i="25"/>
  <c r="J197" i="25"/>
  <c r="I197" i="25"/>
  <c r="H197" i="25"/>
  <c r="G197" i="25"/>
  <c r="F197" i="25"/>
  <c r="E197" i="25"/>
  <c r="P194" i="25"/>
  <c r="O194" i="25"/>
  <c r="N194" i="25"/>
  <c r="M194" i="25"/>
  <c r="L194" i="25"/>
  <c r="K194" i="25"/>
  <c r="J194" i="25"/>
  <c r="I194" i="25"/>
  <c r="H194" i="25"/>
  <c r="G194" i="25"/>
  <c r="F194" i="25"/>
  <c r="E194" i="25"/>
  <c r="P191" i="25"/>
  <c r="O191" i="25"/>
  <c r="N191" i="25"/>
  <c r="M191" i="25"/>
  <c r="L191" i="25"/>
  <c r="K191" i="25"/>
  <c r="J191" i="25"/>
  <c r="I191" i="25"/>
  <c r="H191" i="25"/>
  <c r="G191" i="25"/>
  <c r="F191" i="25"/>
  <c r="E191" i="25"/>
  <c r="P188" i="25"/>
  <c r="O188" i="25"/>
  <c r="N188" i="25"/>
  <c r="M188" i="25"/>
  <c r="L188" i="25"/>
  <c r="K188" i="25"/>
  <c r="J188" i="25"/>
  <c r="I188" i="25"/>
  <c r="H188" i="25"/>
  <c r="G188" i="25"/>
  <c r="F188" i="25"/>
  <c r="E188" i="25"/>
  <c r="P185" i="25"/>
  <c r="O185" i="25"/>
  <c r="N185" i="25"/>
  <c r="M185" i="25"/>
  <c r="L185" i="25"/>
  <c r="K185" i="25"/>
  <c r="J185" i="25"/>
  <c r="I185" i="25"/>
  <c r="H185" i="25"/>
  <c r="G185" i="25"/>
  <c r="F185" i="25"/>
  <c r="E185" i="25"/>
  <c r="P182" i="25"/>
  <c r="O182" i="25"/>
  <c r="N182" i="25"/>
  <c r="M182" i="25"/>
  <c r="L182" i="25"/>
  <c r="K182" i="25"/>
  <c r="J182" i="25"/>
  <c r="I182" i="25"/>
  <c r="H182" i="25"/>
  <c r="G182" i="25"/>
  <c r="F182" i="25"/>
  <c r="E182" i="25"/>
  <c r="P179" i="25"/>
  <c r="O179" i="25"/>
  <c r="N179" i="25"/>
  <c r="M179" i="25"/>
  <c r="L179" i="25"/>
  <c r="K179" i="25"/>
  <c r="J179" i="25"/>
  <c r="I179" i="25"/>
  <c r="H179" i="25"/>
  <c r="G179" i="25"/>
  <c r="F179" i="25"/>
  <c r="E179" i="25"/>
  <c r="P176" i="25"/>
  <c r="O176" i="25"/>
  <c r="N176" i="25"/>
  <c r="M176" i="25"/>
  <c r="L176" i="25"/>
  <c r="K176" i="25"/>
  <c r="J176" i="25"/>
  <c r="I176" i="25"/>
  <c r="H176" i="25"/>
  <c r="G176" i="25"/>
  <c r="F176" i="25"/>
  <c r="E176" i="25"/>
  <c r="P173" i="25"/>
  <c r="O173" i="25"/>
  <c r="N173" i="25"/>
  <c r="M173" i="25"/>
  <c r="L173" i="25"/>
  <c r="K173" i="25"/>
  <c r="J173" i="25"/>
  <c r="I173" i="25"/>
  <c r="H173" i="25"/>
  <c r="G173" i="25"/>
  <c r="F173" i="25"/>
  <c r="E173" i="25"/>
  <c r="P170" i="25"/>
  <c r="O170" i="25"/>
  <c r="N170" i="25"/>
  <c r="M170" i="25"/>
  <c r="L170" i="25"/>
  <c r="K170" i="25"/>
  <c r="J170" i="25"/>
  <c r="I170" i="25"/>
  <c r="H170" i="25"/>
  <c r="G170" i="25"/>
  <c r="F170" i="25"/>
  <c r="E170" i="25"/>
  <c r="P167" i="25"/>
  <c r="O167" i="25"/>
  <c r="N167" i="25"/>
  <c r="M167" i="25"/>
  <c r="L167" i="25"/>
  <c r="K167" i="25"/>
  <c r="J167" i="25"/>
  <c r="I167" i="25"/>
  <c r="H167" i="25"/>
  <c r="G167" i="25"/>
  <c r="F167" i="25"/>
  <c r="E167" i="25"/>
  <c r="P164" i="25"/>
  <c r="O164" i="25"/>
  <c r="N164" i="25"/>
  <c r="M164" i="25"/>
  <c r="L164" i="25"/>
  <c r="K164" i="25"/>
  <c r="J164" i="25"/>
  <c r="I164" i="25"/>
  <c r="H164" i="25"/>
  <c r="G164" i="25"/>
  <c r="F164" i="25"/>
  <c r="E164" i="25"/>
  <c r="P161" i="25"/>
  <c r="O161" i="25"/>
  <c r="N161" i="25"/>
  <c r="M161" i="25"/>
  <c r="L161" i="25"/>
  <c r="K161" i="25"/>
  <c r="J161" i="25"/>
  <c r="I161" i="25"/>
  <c r="H161" i="25"/>
  <c r="G161" i="25"/>
  <c r="F161" i="25"/>
  <c r="E161" i="25"/>
  <c r="P158" i="25"/>
  <c r="O158" i="25"/>
  <c r="N158" i="25"/>
  <c r="M158" i="25"/>
  <c r="L158" i="25"/>
  <c r="K158" i="25"/>
  <c r="J158" i="25"/>
  <c r="I158" i="25"/>
  <c r="H158" i="25"/>
  <c r="G158" i="25"/>
  <c r="F158" i="25"/>
  <c r="E158" i="25"/>
  <c r="P155" i="25"/>
  <c r="O155" i="25"/>
  <c r="N155" i="25"/>
  <c r="M155" i="25"/>
  <c r="L155" i="25"/>
  <c r="K155" i="25"/>
  <c r="J155" i="25"/>
  <c r="I155" i="25"/>
  <c r="H155" i="25"/>
  <c r="G155" i="25"/>
  <c r="F155" i="25"/>
  <c r="E155" i="25"/>
  <c r="P152" i="25"/>
  <c r="O152" i="25"/>
  <c r="N152" i="25"/>
  <c r="M152" i="25"/>
  <c r="L152" i="25"/>
  <c r="K152" i="25"/>
  <c r="J152" i="25"/>
  <c r="I152" i="25"/>
  <c r="H152" i="25"/>
  <c r="G152" i="25"/>
  <c r="F152" i="25"/>
  <c r="E152" i="25"/>
  <c r="P149" i="25"/>
  <c r="O149" i="25"/>
  <c r="N149" i="25"/>
  <c r="M149" i="25"/>
  <c r="L149" i="25"/>
  <c r="K149" i="25"/>
  <c r="J149" i="25"/>
  <c r="I149" i="25"/>
  <c r="H149" i="25"/>
  <c r="G149" i="25"/>
  <c r="F149" i="25"/>
  <c r="E149" i="25"/>
  <c r="P146" i="25"/>
  <c r="O146" i="25"/>
  <c r="N146" i="25"/>
  <c r="M146" i="25"/>
  <c r="L146" i="25"/>
  <c r="K146" i="25"/>
  <c r="J146" i="25"/>
  <c r="I146" i="25"/>
  <c r="H146" i="25"/>
  <c r="G146" i="25"/>
  <c r="F146" i="25"/>
  <c r="E146" i="25"/>
  <c r="F94" i="24"/>
  <c r="H87" i="30" l="1"/>
  <c r="H86" i="30"/>
  <c r="H55" i="30"/>
  <c r="W22" i="30"/>
  <c r="X22" i="30"/>
  <c r="M13" i="34"/>
  <c r="H71" i="30"/>
  <c r="N13" i="34"/>
  <c r="Q13" i="34"/>
  <c r="R13" i="34"/>
  <c r="P13" i="34"/>
  <c r="K12" i="34"/>
  <c r="K13" i="34" s="1"/>
  <c r="O13" i="34"/>
  <c r="S13" i="34"/>
  <c r="T13" i="34"/>
  <c r="J12" i="34"/>
  <c r="J13" i="34" s="1"/>
  <c r="I13" i="34"/>
  <c r="G87" i="30"/>
  <c r="C140" i="24"/>
  <c r="C147" i="24" s="1"/>
  <c r="O39" i="34"/>
  <c r="R39" i="34"/>
  <c r="S39" i="34"/>
  <c r="P39" i="34"/>
  <c r="Q39" i="34"/>
  <c r="T39" i="34"/>
  <c r="T23" i="30"/>
  <c r="F121" i="24" l="1"/>
  <c r="F135" i="24" s="1"/>
  <c r="F143" i="24" s="1"/>
  <c r="F166" i="24" s="1"/>
  <c r="F89" i="24"/>
  <c r="F90" i="24" l="1"/>
  <c r="E58" i="30" l="1"/>
  <c r="E69" i="30"/>
  <c r="E67" i="30" l="1"/>
  <c r="K45" i="34" l="1"/>
  <c r="D4107" i="23"/>
  <c r="D3830" i="23" l="1"/>
  <c r="K39" i="34" l="1"/>
  <c r="Q14" i="38"/>
  <c r="D67" i="30"/>
  <c r="D57" i="30"/>
  <c r="V14" i="38" l="1"/>
  <c r="U14" i="38"/>
  <c r="T14" i="38"/>
  <c r="S14" i="38"/>
  <c r="R14" i="38"/>
  <c r="C91" i="24"/>
  <c r="C97" i="24" s="1"/>
  <c r="D3274" i="23"/>
  <c r="E89" i="27"/>
  <c r="C47" i="24"/>
  <c r="F53" i="24" l="1"/>
  <c r="F47" i="24" l="1"/>
  <c r="C2" i="26"/>
  <c r="J45" i="34" s="1"/>
  <c r="C66" i="30" l="1"/>
  <c r="D58" i="30" l="1"/>
  <c r="C59" i="30"/>
  <c r="D55" i="30" l="1"/>
  <c r="D1853" i="23" l="1"/>
  <c r="B2" i="26" l="1"/>
  <c r="I45" i="34" s="1"/>
  <c r="D1665" i="23" l="1"/>
  <c r="J38" i="34" s="1"/>
  <c r="J39" i="34" s="1"/>
  <c r="F71" i="24" l="1"/>
  <c r="F86" i="24" s="1"/>
  <c r="F92" i="24" s="1"/>
  <c r="F123" i="24" s="1"/>
  <c r="D69" i="30"/>
  <c r="C69" i="30"/>
  <c r="C67" i="30"/>
  <c r="C58" i="30"/>
  <c r="F12" i="24"/>
  <c r="F14" i="24"/>
  <c r="C49" i="24" l="1"/>
  <c r="C54" i="24" s="1"/>
  <c r="E24" i="27" l="1"/>
  <c r="D349" i="23"/>
  <c r="I39" i="34" s="1"/>
  <c r="C30" i="24" l="1"/>
  <c r="C34" i="24" s="1"/>
  <c r="E23" i="30"/>
  <c r="C23" i="30"/>
  <c r="C92" i="30" s="1"/>
  <c r="D23" i="30"/>
  <c r="F23" i="30"/>
  <c r="G23" i="30"/>
  <c r="H23" i="30"/>
  <c r="I23" i="30"/>
  <c r="J23" i="30"/>
  <c r="K23" i="30"/>
  <c r="L23" i="30"/>
  <c r="M23" i="30"/>
  <c r="N23" i="30"/>
  <c r="N45" i="34"/>
  <c r="O45" i="34"/>
  <c r="I2" i="26"/>
  <c r="P45" i="34" s="1"/>
  <c r="J2" i="26"/>
  <c r="Q45" i="34" s="1"/>
  <c r="K2" i="26"/>
  <c r="R45" i="34" s="1"/>
  <c r="L2" i="26"/>
  <c r="S45" i="34" s="1"/>
  <c r="M2" i="26"/>
  <c r="T45" i="34" s="1"/>
  <c r="F10" i="24"/>
  <c r="F27" i="24"/>
  <c r="E74" i="30" l="1"/>
  <c r="E75" i="30"/>
  <c r="C9" i="24"/>
  <c r="C14" i="24" s="1"/>
  <c r="F45" i="24"/>
  <c r="F29" i="24"/>
  <c r="F51" i="24" l="1"/>
  <c r="F73" i="24" s="1"/>
  <c r="C7" i="40" l="1"/>
  <c r="J28" i="39" l="1"/>
  <c r="I10" i="39"/>
  <c r="G6" i="39"/>
  <c r="G8" i="39" s="1"/>
  <c r="H5" i="39"/>
  <c r="I8" i="39" l="1"/>
  <c r="I13" i="39" s="1"/>
  <c r="I17" i="39" s="1"/>
  <c r="I19" i="39" s="1"/>
  <c r="T15" i="34" l="1"/>
  <c r="T18" i="34" l="1"/>
  <c r="T22" i="34" s="1"/>
  <c r="T24" i="34" s="1"/>
  <c r="T44" i="34" s="1"/>
  <c r="T46" i="34" l="1"/>
  <c r="T50" i="34" s="1"/>
  <c r="J8" i="39" l="1"/>
  <c r="J9" i="39"/>
  <c r="J10" i="39"/>
  <c r="J11" i="39"/>
  <c r="J12" i="39"/>
  <c r="J13" i="39"/>
  <c r="J17" i="39"/>
  <c r="J19" i="39"/>
  <c r="J23" i="39"/>
  <c r="J24" i="39"/>
  <c r="J25" i="39"/>
  <c r="J26" i="39"/>
  <c r="J27" i="39"/>
  <c r="J30" i="39"/>
  <c r="J31" i="39"/>
  <c r="J32" i="39"/>
  <c r="J36" i="39"/>
  <c r="J37" i="39"/>
  <c r="J38" i="39"/>
  <c r="J5" i="39"/>
  <c r="E85" i="30"/>
  <c r="E73" i="30"/>
  <c r="D73" i="30"/>
  <c r="R85" i="30" l="1"/>
  <c r="D36" i="39" l="1"/>
  <c r="D37" i="39"/>
  <c r="S15" i="34"/>
  <c r="D38" i="39" l="1"/>
  <c r="S18" i="34"/>
  <c r="S22" i="34" s="1"/>
  <c r="S24" i="34" s="1"/>
  <c r="S44" i="34" s="1"/>
  <c r="S46" i="34" l="1"/>
  <c r="S50" i="34" s="1"/>
  <c r="K67" i="30" l="1"/>
  <c r="R15" i="34" l="1"/>
  <c r="G6296" i="27" l="1"/>
  <c r="J5" i="27" l="1"/>
  <c r="J6" i="27" s="1"/>
  <c r="J7" i="27" s="1"/>
  <c r="J8" i="27" s="1"/>
  <c r="J9" i="27" s="1"/>
  <c r="J10" i="27" s="1"/>
  <c r="R18" i="34" l="1"/>
  <c r="R22" i="34" s="1"/>
  <c r="R24" i="34" s="1"/>
  <c r="Q15" i="34"/>
  <c r="Q15" i="38" l="1"/>
  <c r="Q13" i="38"/>
  <c r="Q12" i="38"/>
  <c r="Q11" i="38"/>
  <c r="V11" i="38" s="1"/>
  <c r="Q10" i="38"/>
  <c r="Q9" i="38"/>
  <c r="Q8" i="38"/>
  <c r="Q7" i="38"/>
  <c r="Q6" i="38"/>
  <c r="Q5" i="38"/>
  <c r="Q4" i="38"/>
  <c r="AC8" i="38" l="1"/>
  <c r="U8" i="38"/>
  <c r="F32" i="38" s="1"/>
  <c r="Y8" i="38"/>
  <c r="AB8" i="38"/>
  <c r="T8" i="38"/>
  <c r="E32" i="38" s="1"/>
  <c r="R8" i="38"/>
  <c r="C32" i="38" s="1"/>
  <c r="AA8" i="38"/>
  <c r="S8" i="38"/>
  <c r="D32" i="38" s="1"/>
  <c r="Z8" i="38"/>
  <c r="X8" i="38"/>
  <c r="I32" i="38" s="1"/>
  <c r="W8" i="38"/>
  <c r="H32" i="38" s="1"/>
  <c r="V8" i="38"/>
  <c r="G32" i="38" s="1"/>
  <c r="AB4" i="38"/>
  <c r="T4" i="38"/>
  <c r="E28" i="38" s="1"/>
  <c r="AA4" i="38"/>
  <c r="S4" i="38"/>
  <c r="D28" i="38" s="1"/>
  <c r="Y4" i="38"/>
  <c r="V4" i="38"/>
  <c r="G28" i="38" s="1"/>
  <c r="Z4" i="38"/>
  <c r="R4" i="38"/>
  <c r="C28" i="38" s="1"/>
  <c r="X4" i="38"/>
  <c r="W4" i="38"/>
  <c r="H28" i="38" s="1"/>
  <c r="AC4" i="38"/>
  <c r="U4" i="38"/>
  <c r="F28" i="38" s="1"/>
  <c r="Y9" i="38"/>
  <c r="S9" i="38"/>
  <c r="D33" i="38" s="1"/>
  <c r="X9" i="38"/>
  <c r="I33" i="38" s="1"/>
  <c r="AC9" i="38"/>
  <c r="U9" i="38"/>
  <c r="F33" i="38" s="1"/>
  <c r="W9" i="38"/>
  <c r="H33" i="38" s="1"/>
  <c r="V9" i="38"/>
  <c r="G33" i="38" s="1"/>
  <c r="AB9" i="38"/>
  <c r="AA9" i="38"/>
  <c r="T9" i="38"/>
  <c r="E33" i="38" s="1"/>
  <c r="Z9" i="38"/>
  <c r="R9" i="38"/>
  <c r="C33" i="38" s="1"/>
  <c r="AC13" i="38"/>
  <c r="U13" i="38"/>
  <c r="F37" i="38" s="1"/>
  <c r="Z13" i="38"/>
  <c r="Y13" i="38"/>
  <c r="AB13" i="38"/>
  <c r="T13" i="38"/>
  <c r="E37" i="38" s="1"/>
  <c r="R13" i="38"/>
  <c r="C37" i="38" s="1"/>
  <c r="X13" i="38"/>
  <c r="I37" i="38" s="1"/>
  <c r="AA13" i="38"/>
  <c r="S13" i="38"/>
  <c r="D37" i="38" s="1"/>
  <c r="W13" i="38"/>
  <c r="H37" i="38" s="1"/>
  <c r="V13" i="38"/>
  <c r="G37" i="38" s="1"/>
  <c r="Y6" i="38"/>
  <c r="AB6" i="38"/>
  <c r="X6" i="38"/>
  <c r="I30" i="38" s="1"/>
  <c r="U6" i="38"/>
  <c r="F30" i="38" s="1"/>
  <c r="S6" i="38"/>
  <c r="D30" i="38" s="1"/>
  <c r="W6" i="38"/>
  <c r="H30" i="38" s="1"/>
  <c r="V6" i="38"/>
  <c r="G30" i="38" s="1"/>
  <c r="AC6" i="38"/>
  <c r="AA6" i="38"/>
  <c r="R6" i="38"/>
  <c r="C30" i="38" s="1"/>
  <c r="Z6" i="38"/>
  <c r="T6" i="38"/>
  <c r="E30" i="38" s="1"/>
  <c r="V15" i="38"/>
  <c r="G38" i="38" s="1"/>
  <c r="AC15" i="38"/>
  <c r="U15" i="38"/>
  <c r="F38" i="38" s="1"/>
  <c r="AB15" i="38"/>
  <c r="T15" i="38"/>
  <c r="E38" i="38" s="1"/>
  <c r="S15" i="38"/>
  <c r="D38" i="38" s="1"/>
  <c r="R15" i="38"/>
  <c r="C38" i="38" s="1"/>
  <c r="AA15" i="38"/>
  <c r="Z15" i="38"/>
  <c r="Y15" i="38"/>
  <c r="X15" i="38"/>
  <c r="I38" i="38" s="1"/>
  <c r="W15" i="38"/>
  <c r="H38" i="38" s="1"/>
  <c r="AB5" i="38"/>
  <c r="T5" i="38"/>
  <c r="E29" i="38" s="1"/>
  <c r="S5" i="38"/>
  <c r="D29" i="38" s="1"/>
  <c r="AA5" i="38"/>
  <c r="Z5" i="38"/>
  <c r="R5" i="38"/>
  <c r="C29" i="38" s="1"/>
  <c r="Y5" i="38"/>
  <c r="X5" i="38"/>
  <c r="I29" i="38" s="1"/>
  <c r="W5" i="38"/>
  <c r="H29" i="38" s="1"/>
  <c r="V5" i="38"/>
  <c r="G29" i="38" s="1"/>
  <c r="AC5" i="38"/>
  <c r="U5" i="38"/>
  <c r="F29" i="38" s="1"/>
  <c r="Y7" i="38"/>
  <c r="X7" i="38"/>
  <c r="I31" i="38" s="1"/>
  <c r="W7" i="38"/>
  <c r="H31" i="38" s="1"/>
  <c r="V7" i="38"/>
  <c r="G31" i="38" s="1"/>
  <c r="AC7" i="38"/>
  <c r="U7" i="38"/>
  <c r="F31" i="38" s="1"/>
  <c r="Z7" i="38"/>
  <c r="AB7" i="38"/>
  <c r="T7" i="38"/>
  <c r="E31" i="38" s="1"/>
  <c r="R7" i="38"/>
  <c r="C31" i="38" s="1"/>
  <c r="AA7" i="38"/>
  <c r="S7" i="38"/>
  <c r="D31" i="38" s="1"/>
  <c r="Y12" i="38"/>
  <c r="X12" i="38"/>
  <c r="I36" i="38" s="1"/>
  <c r="W12" i="38"/>
  <c r="H36" i="38" s="1"/>
  <c r="V12" i="38"/>
  <c r="G36" i="38" s="1"/>
  <c r="U12" i="38"/>
  <c r="F36" i="38" s="1"/>
  <c r="AC12" i="38"/>
  <c r="AB12" i="38"/>
  <c r="T12" i="38"/>
  <c r="E36" i="38" s="1"/>
  <c r="R12" i="38"/>
  <c r="C36" i="38" s="1"/>
  <c r="AA12" i="38"/>
  <c r="S12" i="38"/>
  <c r="D36" i="38" s="1"/>
  <c r="Z12" i="38"/>
  <c r="Z11" i="38"/>
  <c r="R11" i="38"/>
  <c r="C35" i="38" s="1"/>
  <c r="Y11" i="38"/>
  <c r="X11" i="38"/>
  <c r="I35" i="38" s="1"/>
  <c r="W11" i="38"/>
  <c r="H35" i="38" s="1"/>
  <c r="G35" i="38"/>
  <c r="AC11" i="38"/>
  <c r="U11" i="38"/>
  <c r="F35" i="38" s="1"/>
  <c r="AB11" i="38"/>
  <c r="T11" i="38"/>
  <c r="E35" i="38" s="1"/>
  <c r="AA11" i="38"/>
  <c r="S11" i="38"/>
  <c r="D35" i="38" s="1"/>
  <c r="V10" i="38"/>
  <c r="G34" i="38" s="1"/>
  <c r="AC10" i="38"/>
  <c r="U10" i="38"/>
  <c r="F34" i="38" s="1"/>
  <c r="Z10" i="38"/>
  <c r="AB10" i="38"/>
  <c r="T10" i="38"/>
  <c r="E34" i="38" s="1"/>
  <c r="R10" i="38"/>
  <c r="C34" i="38" s="1"/>
  <c r="AA10" i="38"/>
  <c r="S10" i="38"/>
  <c r="D34" i="38" s="1"/>
  <c r="Y10" i="38"/>
  <c r="W10" i="38"/>
  <c r="H34" i="38" s="1"/>
  <c r="X10" i="38"/>
  <c r="I34" i="38" s="1"/>
  <c r="I28" i="38"/>
  <c r="R44" i="34"/>
  <c r="R46" i="34" s="1"/>
  <c r="R50" i="34" s="1"/>
  <c r="AC18" i="38" l="1"/>
  <c r="AC20" i="38" s="1"/>
  <c r="AB18" i="38"/>
  <c r="AB20" i="38" s="1"/>
  <c r="Z18" i="38"/>
  <c r="Z20" i="38" s="1"/>
  <c r="G49" i="19" l="1"/>
  <c r="G29" i="19"/>
  <c r="G28" i="19"/>
  <c r="R86" i="2"/>
  <c r="R84" i="2"/>
  <c r="R83" i="2" s="1"/>
  <c r="U6" i="25"/>
  <c r="Q90" i="25"/>
  <c r="P5" i="32"/>
  <c r="P52" i="32"/>
  <c r="P51" i="32"/>
  <c r="O5" i="32"/>
  <c r="O45" i="32"/>
  <c r="P44" i="32"/>
  <c r="P43" i="32"/>
  <c r="N12" i="25"/>
  <c r="O70" i="25"/>
  <c r="P72" i="25"/>
  <c r="O72" i="25"/>
  <c r="N72" i="25"/>
  <c r="M72" i="25"/>
  <c r="L72" i="25"/>
  <c r="K72" i="25"/>
  <c r="J72" i="25"/>
  <c r="I72" i="25"/>
  <c r="H72" i="25"/>
  <c r="G72" i="25"/>
  <c r="F72" i="25"/>
  <c r="E72" i="25"/>
  <c r="P69" i="25"/>
  <c r="O69" i="25"/>
  <c r="N69" i="25"/>
  <c r="M69" i="25"/>
  <c r="L69" i="25"/>
  <c r="K69" i="25"/>
  <c r="J69" i="25"/>
  <c r="I69" i="25"/>
  <c r="H69" i="25"/>
  <c r="G69" i="25"/>
  <c r="F69" i="25"/>
  <c r="E69" i="25"/>
  <c r="O29" i="33" l="1"/>
  <c r="O30" i="33"/>
  <c r="K27" i="25" l="1"/>
  <c r="Q76" i="25"/>
  <c r="Q78" i="25" s="1"/>
  <c r="P77" i="25"/>
  <c r="T82" i="25"/>
  <c r="U73" i="25"/>
  <c r="M117" i="25"/>
  <c r="N117" i="25"/>
  <c r="O117" i="25"/>
  <c r="P117" i="25"/>
  <c r="N81" i="25" l="1"/>
  <c r="M81" i="25"/>
  <c r="L81" i="25"/>
  <c r="K81" i="25"/>
  <c r="J81" i="25"/>
  <c r="I81" i="25"/>
  <c r="H81" i="25"/>
  <c r="G81" i="25"/>
  <c r="F81" i="25"/>
  <c r="E81" i="25"/>
  <c r="P81" i="25"/>
  <c r="O81" i="25"/>
  <c r="Q56" i="25"/>
  <c r="Q57" i="25" s="1"/>
  <c r="M5" i="32" l="1"/>
  <c r="P49" i="32"/>
  <c r="K13" i="38"/>
  <c r="K37" i="38" s="1"/>
  <c r="L13" i="38"/>
  <c r="L37" i="38" s="1"/>
  <c r="M13" i="38"/>
  <c r="M37" i="38" s="1"/>
  <c r="N13" i="38"/>
  <c r="N37" i="38" s="1"/>
  <c r="K12" i="38"/>
  <c r="K36" i="38" s="1"/>
  <c r="L12" i="38"/>
  <c r="L36" i="38" s="1"/>
  <c r="M12" i="38"/>
  <c r="M36" i="38" s="1"/>
  <c r="N12" i="38"/>
  <c r="N36" i="38" s="1"/>
  <c r="K11" i="38"/>
  <c r="K35" i="38" s="1"/>
  <c r="L11" i="38"/>
  <c r="L35" i="38" s="1"/>
  <c r="M11" i="38"/>
  <c r="M35" i="38" s="1"/>
  <c r="N11" i="38"/>
  <c r="N35" i="38" s="1"/>
  <c r="N10" i="38"/>
  <c r="N34" i="38" s="1"/>
  <c r="M10" i="38"/>
  <c r="M34" i="38" s="1"/>
  <c r="L10" i="38"/>
  <c r="L34" i="38" s="1"/>
  <c r="K10" i="38"/>
  <c r="N9" i="38"/>
  <c r="N33" i="38" s="1"/>
  <c r="M9" i="38"/>
  <c r="M33" i="38" s="1"/>
  <c r="L9" i="38"/>
  <c r="L33" i="38" s="1"/>
  <c r="K9" i="38"/>
  <c r="K33" i="38" s="1"/>
  <c r="N8" i="38"/>
  <c r="N32" i="38" s="1"/>
  <c r="M8" i="38"/>
  <c r="M32" i="38" s="1"/>
  <c r="L8" i="38"/>
  <c r="L32" i="38" s="1"/>
  <c r="K8" i="38"/>
  <c r="K32" i="38" s="1"/>
  <c r="N7" i="38"/>
  <c r="N31" i="38" s="1"/>
  <c r="M7" i="38"/>
  <c r="M31" i="38" s="1"/>
  <c r="L7" i="38"/>
  <c r="L31" i="38" s="1"/>
  <c r="K7" i="38"/>
  <c r="K31" i="38" s="1"/>
  <c r="N6" i="38"/>
  <c r="N30" i="38" s="1"/>
  <c r="M6" i="38"/>
  <c r="M30" i="38" s="1"/>
  <c r="L6" i="38"/>
  <c r="L30" i="38" s="1"/>
  <c r="K6" i="38"/>
  <c r="K30" i="38" s="1"/>
  <c r="N5" i="38"/>
  <c r="N29" i="38" s="1"/>
  <c r="M5" i="38"/>
  <c r="M29" i="38" s="1"/>
  <c r="L5" i="38"/>
  <c r="L29" i="38" s="1"/>
  <c r="K5" i="38"/>
  <c r="K29" i="38" s="1"/>
  <c r="K4" i="38"/>
  <c r="L4" i="38" s="1"/>
  <c r="M4" i="38" s="1"/>
  <c r="N4" i="38" l="1"/>
  <c r="N28" i="38" s="1"/>
  <c r="M28" i="38"/>
  <c r="J32" i="38"/>
  <c r="J33" i="38"/>
  <c r="J35" i="38"/>
  <c r="J36" i="38"/>
  <c r="J37" i="38"/>
  <c r="J31" i="38"/>
  <c r="J30" i="38"/>
  <c r="J29" i="38"/>
  <c r="J38" i="38" l="1"/>
  <c r="L5" i="32" l="1"/>
  <c r="P47" i="32"/>
  <c r="O76" i="25"/>
  <c r="U76" i="25" s="1"/>
  <c r="U65" i="25" s="1"/>
  <c r="U82" i="25" s="1"/>
  <c r="P129" i="25" l="1"/>
  <c r="P252" i="25" s="1"/>
  <c r="O129" i="25"/>
  <c r="O252" i="25" s="1"/>
  <c r="N129" i="25"/>
  <c r="N252" i="25" s="1"/>
  <c r="M129" i="25"/>
  <c r="M252" i="25" s="1"/>
  <c r="L129" i="25"/>
  <c r="L252" i="25" s="1"/>
  <c r="K129" i="25"/>
  <c r="K252" i="25" s="1"/>
  <c r="J129" i="25"/>
  <c r="J252" i="25" s="1"/>
  <c r="I129" i="25"/>
  <c r="I252" i="25" s="1"/>
  <c r="H129" i="25"/>
  <c r="H252" i="25" s="1"/>
  <c r="G129" i="25"/>
  <c r="G252" i="25" s="1"/>
  <c r="F129" i="25"/>
  <c r="F252" i="25" s="1"/>
  <c r="E129" i="25"/>
  <c r="E252" i="25" s="1"/>
  <c r="P56" i="25"/>
  <c r="O56" i="25"/>
  <c r="R26" i="33"/>
  <c r="H253" i="25" l="1"/>
  <c r="I253" i="25"/>
  <c r="G253" i="25"/>
  <c r="J253" i="25"/>
  <c r="K253" i="25"/>
  <c r="E253" i="25"/>
  <c r="F253" i="25"/>
  <c r="P253" i="25"/>
  <c r="O253" i="25"/>
  <c r="L253" i="25"/>
  <c r="M253" i="25"/>
  <c r="N253" i="25"/>
  <c r="K15" i="38" l="1"/>
  <c r="L15" i="38" l="1"/>
  <c r="K38" i="38"/>
  <c r="N67" i="30"/>
  <c r="J67" i="30"/>
  <c r="Y64" i="38"/>
  <c r="Z64" i="38"/>
  <c r="AA64" i="38"/>
  <c r="AB64" i="38"/>
  <c r="AC64" i="38"/>
  <c r="Q53" i="38"/>
  <c r="Q54" i="38"/>
  <c r="Q55" i="38"/>
  <c r="Q56" i="38"/>
  <c r="Q57" i="38"/>
  <c r="Q58" i="38"/>
  <c r="Q59" i="38"/>
  <c r="Q60" i="38"/>
  <c r="C61" i="38"/>
  <c r="D61" i="38"/>
  <c r="E61" i="38"/>
  <c r="F61" i="38"/>
  <c r="G61" i="38"/>
  <c r="H61" i="38"/>
  <c r="I61" i="38"/>
  <c r="J61" i="38"/>
  <c r="K61" i="38"/>
  <c r="L61" i="38"/>
  <c r="M61" i="38"/>
  <c r="N61" i="38"/>
  <c r="Q62" i="38"/>
  <c r="Y41" i="38"/>
  <c r="Z41" i="38"/>
  <c r="AA41" i="38"/>
  <c r="AB41" i="38"/>
  <c r="AC41" i="38"/>
  <c r="C17" i="38"/>
  <c r="J54" i="38"/>
  <c r="K54" i="38"/>
  <c r="L54" i="38"/>
  <c r="M54" i="38"/>
  <c r="N54" i="38"/>
  <c r="H54" i="38"/>
  <c r="G54" i="38"/>
  <c r="D55" i="38"/>
  <c r="D57" i="38"/>
  <c r="D58" i="38"/>
  <c r="E58" i="38"/>
  <c r="E59" i="38"/>
  <c r="S60" i="38"/>
  <c r="S61" i="38"/>
  <c r="R61" i="38"/>
  <c r="T62" i="38"/>
  <c r="V62" i="38"/>
  <c r="J62" i="38"/>
  <c r="K62" i="38"/>
  <c r="L62" i="38"/>
  <c r="M62" i="38"/>
  <c r="N62" i="38"/>
  <c r="D62" i="38"/>
  <c r="E62" i="38"/>
  <c r="G62" i="38"/>
  <c r="H62" i="38"/>
  <c r="I62" i="38"/>
  <c r="K34" i="38"/>
  <c r="M15" i="38" l="1"/>
  <c r="L38" i="38"/>
  <c r="K28" i="38"/>
  <c r="J34" i="38"/>
  <c r="J28" i="38"/>
  <c r="U61" i="38"/>
  <c r="H58" i="38"/>
  <c r="C62" i="38"/>
  <c r="W62" i="38"/>
  <c r="D59" i="38"/>
  <c r="G58" i="38"/>
  <c r="S58" i="38"/>
  <c r="T59" i="38"/>
  <c r="C18" i="38"/>
  <c r="D17" i="38"/>
  <c r="D18" i="38"/>
  <c r="F58" i="38"/>
  <c r="E17" i="38"/>
  <c r="S57" i="38"/>
  <c r="R58" i="38"/>
  <c r="P58" i="38" s="1"/>
  <c r="C58" i="38"/>
  <c r="S62" i="38"/>
  <c r="P61" i="38"/>
  <c r="E60" i="38"/>
  <c r="F62" i="38"/>
  <c r="R62" i="38"/>
  <c r="D60" i="38"/>
  <c r="G59" i="38"/>
  <c r="S59" i="38"/>
  <c r="C56" i="38"/>
  <c r="R56" i="38"/>
  <c r="S55" i="38"/>
  <c r="S53" i="38"/>
  <c r="U58" i="38"/>
  <c r="W54" i="38"/>
  <c r="T61" i="38"/>
  <c r="R60" i="38"/>
  <c r="P60" i="38" s="1"/>
  <c r="C60" i="38"/>
  <c r="F59" i="38"/>
  <c r="X62" i="38"/>
  <c r="T58" i="38"/>
  <c r="I56" i="38"/>
  <c r="V54" i="38"/>
  <c r="H56" i="38"/>
  <c r="G56" i="38"/>
  <c r="E54" i="38"/>
  <c r="F56" i="38"/>
  <c r="D54" i="38"/>
  <c r="E56" i="38"/>
  <c r="V56" i="38"/>
  <c r="I54" i="38"/>
  <c r="N15" i="38" l="1"/>
  <c r="N38" i="38" s="1"/>
  <c r="M38" i="38"/>
  <c r="M41" i="38" s="1"/>
  <c r="AA18" i="38"/>
  <c r="AA20" i="38" s="1"/>
  <c r="AA22" i="38" s="1"/>
  <c r="L28" i="38"/>
  <c r="Y18" i="38"/>
  <c r="W18" i="38"/>
  <c r="H41" i="38" s="1"/>
  <c r="AC17" i="38"/>
  <c r="AB17" i="38"/>
  <c r="AA17" i="38"/>
  <c r="Z17" i="38"/>
  <c r="Y17" i="38"/>
  <c r="S18" i="38"/>
  <c r="S17" i="38"/>
  <c r="T17" i="38"/>
  <c r="X17" i="38"/>
  <c r="E53" i="38"/>
  <c r="V58" i="38"/>
  <c r="T55" i="38"/>
  <c r="W56" i="38"/>
  <c r="R17" i="38"/>
  <c r="R18" i="38"/>
  <c r="D64" i="38"/>
  <c r="D53" i="38"/>
  <c r="T18" i="38"/>
  <c r="E41" i="38" s="1"/>
  <c r="T60" i="38"/>
  <c r="R59" i="38"/>
  <c r="P59" i="38" s="1"/>
  <c r="C59" i="38"/>
  <c r="C64" i="38"/>
  <c r="C53" i="38"/>
  <c r="R53" i="38"/>
  <c r="U62" i="38"/>
  <c r="P62" i="38" s="1"/>
  <c r="D56" i="38"/>
  <c r="S56" i="38"/>
  <c r="P56" i="38" s="1"/>
  <c r="E55" i="38"/>
  <c r="R54" i="38"/>
  <c r="C54" i="38"/>
  <c r="U18" i="38"/>
  <c r="T54" i="38"/>
  <c r="W17" i="38"/>
  <c r="T53" i="38"/>
  <c r="T64" i="38" s="1"/>
  <c r="X56" i="38"/>
  <c r="F54" i="38"/>
  <c r="U54" i="38"/>
  <c r="T57" i="38"/>
  <c r="U17" i="38"/>
  <c r="T56" i="38"/>
  <c r="X18" i="38"/>
  <c r="V59" i="38"/>
  <c r="E57" i="38"/>
  <c r="V61" i="38"/>
  <c r="R55" i="38"/>
  <c r="P55" i="38" s="1"/>
  <c r="C55" i="38"/>
  <c r="X54" i="38"/>
  <c r="V17" i="38"/>
  <c r="V18" i="38"/>
  <c r="U56" i="38"/>
  <c r="U59" i="38"/>
  <c r="R57" i="38"/>
  <c r="P57" i="38" s="1"/>
  <c r="C57" i="38"/>
  <c r="S54" i="38"/>
  <c r="S64" i="38" s="1"/>
  <c r="W58" i="38"/>
  <c r="I42" i="38" l="1"/>
  <c r="I41" i="38"/>
  <c r="C46" i="38"/>
  <c r="R21" i="38"/>
  <c r="C42" i="38"/>
  <c r="C41" i="38"/>
  <c r="D42" i="38"/>
  <c r="D41" i="38"/>
  <c r="E42" i="38"/>
  <c r="S41" i="38"/>
  <c r="T41" i="38"/>
  <c r="F17" i="38"/>
  <c r="U53" i="38"/>
  <c r="P54" i="38"/>
  <c r="U57" i="38"/>
  <c r="F57" i="38"/>
  <c r="U55" i="38"/>
  <c r="R41" i="38"/>
  <c r="W59" i="38"/>
  <c r="H59" i="38"/>
  <c r="F18" i="38"/>
  <c r="X58" i="38"/>
  <c r="I58" i="38"/>
  <c r="U60" i="38"/>
  <c r="F60" i="38"/>
  <c r="J56" i="38"/>
  <c r="E64" i="38"/>
  <c r="F53" i="38"/>
  <c r="W61" i="38"/>
  <c r="F55" i="38"/>
  <c r="F64" i="38"/>
  <c r="R64" i="38"/>
  <c r="P53" i="38"/>
  <c r="C49" i="38" l="1"/>
  <c r="C50" i="38"/>
  <c r="F42" i="38"/>
  <c r="F41" i="38"/>
  <c r="G18" i="38"/>
  <c r="G17" i="38"/>
  <c r="V60" i="38"/>
  <c r="G60" i="38"/>
  <c r="V55" i="38"/>
  <c r="G55" i="38"/>
  <c r="U64" i="38"/>
  <c r="P64" i="38"/>
  <c r="K56" i="38"/>
  <c r="J58" i="38"/>
  <c r="U41" i="38"/>
  <c r="V57" i="38"/>
  <c r="G57" i="38"/>
  <c r="G64" i="38"/>
  <c r="V53" i="38"/>
  <c r="G53" i="38"/>
  <c r="X61" i="38"/>
  <c r="X59" i="38"/>
  <c r="I59" i="38"/>
  <c r="G42" i="38" l="1"/>
  <c r="G41" i="38"/>
  <c r="V64" i="38"/>
  <c r="H64" i="38"/>
  <c r="W53" i="38"/>
  <c r="W64" i="38" s="1"/>
  <c r="H53" i="38"/>
  <c r="W57" i="38"/>
  <c r="H57" i="38"/>
  <c r="V41" i="38"/>
  <c r="J59" i="38"/>
  <c r="K58" i="38"/>
  <c r="H18" i="38"/>
  <c r="H42" i="38" s="1"/>
  <c r="W60" i="38"/>
  <c r="H60" i="38"/>
  <c r="I17" i="38"/>
  <c r="W55" i="38"/>
  <c r="H55" i="38"/>
  <c r="H17" i="38"/>
  <c r="L56" i="38"/>
  <c r="W41" i="38" l="1"/>
  <c r="I64" i="38"/>
  <c r="X53" i="38"/>
  <c r="X64" i="38" s="1"/>
  <c r="I53" i="38"/>
  <c r="X60" i="38"/>
  <c r="I60" i="38"/>
  <c r="K59" i="38"/>
  <c r="I18" i="38"/>
  <c r="M56" i="38"/>
  <c r="N56" i="38"/>
  <c r="X55" i="38"/>
  <c r="I55" i="38"/>
  <c r="L58" i="38"/>
  <c r="X57" i="38"/>
  <c r="I57" i="38"/>
  <c r="J18" i="38" l="1"/>
  <c r="J57" i="38"/>
  <c r="M58" i="38"/>
  <c r="N58" i="38"/>
  <c r="J55" i="38"/>
  <c r="L59" i="38"/>
  <c r="X41" i="38"/>
  <c r="J17" i="38"/>
  <c r="J53" i="38"/>
  <c r="P41" i="38"/>
  <c r="J60" i="38"/>
  <c r="K18" i="38" l="1"/>
  <c r="P29" i="33" s="1"/>
  <c r="J41" i="38"/>
  <c r="K17" i="38"/>
  <c r="K57" i="38"/>
  <c r="K53" i="38"/>
  <c r="K55" i="38"/>
  <c r="K60" i="38"/>
  <c r="M59" i="38"/>
  <c r="N59" i="38"/>
  <c r="J64" i="38"/>
  <c r="L17" i="38" l="1"/>
  <c r="K41" i="38"/>
  <c r="L55" i="38"/>
  <c r="L53" i="38"/>
  <c r="K64" i="38"/>
  <c r="L60" i="38"/>
  <c r="M18" i="38"/>
  <c r="R29" i="33" s="1"/>
  <c r="L57" i="38"/>
  <c r="L18" i="38"/>
  <c r="Q29" i="33" s="1"/>
  <c r="L41" i="38" l="1"/>
  <c r="M53" i="38"/>
  <c r="M60" i="38"/>
  <c r="N60" i="38"/>
  <c r="L64" i="38"/>
  <c r="N57" i="38"/>
  <c r="M57" i="38"/>
  <c r="M17" i="38"/>
  <c r="N55" i="38"/>
  <c r="M55" i="38"/>
  <c r="N18" i="38" l="1"/>
  <c r="S29" i="33" s="1"/>
  <c r="N17" i="38"/>
  <c r="N41" i="38"/>
  <c r="M64" i="38"/>
  <c r="N53" i="38"/>
  <c r="N64" i="38" s="1"/>
  <c r="Q79" i="30" l="1"/>
  <c r="Q80" i="30"/>
  <c r="Q81" i="30"/>
  <c r="Q82" i="30"/>
  <c r="Q83" i="30"/>
  <c r="Q84" i="30"/>
  <c r="Q86" i="30"/>
  <c r="X85" i="30" l="1"/>
  <c r="V85" i="30"/>
  <c r="U85" i="30"/>
  <c r="T85" i="30"/>
  <c r="W85" i="30"/>
  <c r="S85" i="30"/>
  <c r="E79" i="30"/>
  <c r="Y85" i="30"/>
  <c r="G13" i="19"/>
  <c r="S34" i="33"/>
  <c r="K35" i="33"/>
  <c r="K34" i="33" s="1"/>
  <c r="N34" i="33"/>
  <c r="N35" i="33"/>
  <c r="D13" i="37"/>
  <c r="F9" i="37"/>
  <c r="E13" i="37"/>
  <c r="F7" i="37"/>
  <c r="H7" i="37"/>
  <c r="E7" i="37" s="1"/>
  <c r="J5" i="32"/>
  <c r="R79" i="30" l="1"/>
  <c r="P85" i="30"/>
  <c r="L85" i="30"/>
  <c r="D7" i="37"/>
  <c r="M85" i="30" l="1"/>
  <c r="G26" i="19"/>
  <c r="K73" i="25"/>
  <c r="L83" i="25" l="1"/>
  <c r="L84" i="25"/>
  <c r="L207" i="25" s="1"/>
  <c r="K84" i="25"/>
  <c r="K207" i="25" s="1"/>
  <c r="J84" i="25"/>
  <c r="J207" i="25" s="1"/>
  <c r="I84" i="25"/>
  <c r="I207" i="25" s="1"/>
  <c r="H84" i="25"/>
  <c r="H207" i="25" s="1"/>
  <c r="G84" i="25"/>
  <c r="G207" i="25" s="1"/>
  <c r="F84" i="25"/>
  <c r="F207" i="25" s="1"/>
  <c r="E84" i="25"/>
  <c r="E207" i="25" s="1"/>
  <c r="L59" i="25"/>
  <c r="I47" i="25"/>
  <c r="P126" i="25"/>
  <c r="P249" i="25" s="1"/>
  <c r="O126" i="25"/>
  <c r="O249" i="25" s="1"/>
  <c r="N126" i="25"/>
  <c r="N249" i="25" s="1"/>
  <c r="M126" i="25"/>
  <c r="M249" i="25" s="1"/>
  <c r="L126" i="25"/>
  <c r="L249" i="25" s="1"/>
  <c r="K126" i="25"/>
  <c r="K249" i="25" s="1"/>
  <c r="J126" i="25"/>
  <c r="J249" i="25" s="1"/>
  <c r="I126" i="25"/>
  <c r="I249" i="25" s="1"/>
  <c r="H126" i="25"/>
  <c r="H249" i="25" s="1"/>
  <c r="G126" i="25"/>
  <c r="G249" i="25" s="1"/>
  <c r="F126" i="25"/>
  <c r="F249" i="25" s="1"/>
  <c r="E126" i="25"/>
  <c r="E249" i="25" s="1"/>
  <c r="P66" i="25"/>
  <c r="P198" i="25" s="1"/>
  <c r="O66" i="25"/>
  <c r="O198" i="25" s="1"/>
  <c r="N66" i="25"/>
  <c r="N198" i="25" s="1"/>
  <c r="M66" i="25"/>
  <c r="M198" i="25" s="1"/>
  <c r="L66" i="25"/>
  <c r="L198" i="25" s="1"/>
  <c r="K66" i="25"/>
  <c r="K198" i="25" s="1"/>
  <c r="J66" i="25"/>
  <c r="J198" i="25" s="1"/>
  <c r="I66" i="25"/>
  <c r="I198" i="25" s="1"/>
  <c r="H66" i="25"/>
  <c r="H198" i="25" s="1"/>
  <c r="G66" i="25"/>
  <c r="G198" i="25" s="1"/>
  <c r="F66" i="25"/>
  <c r="F198" i="25" s="1"/>
  <c r="E66" i="25"/>
  <c r="E198" i="25" s="1"/>
  <c r="Q5" i="32"/>
  <c r="R5" i="32"/>
  <c r="S5" i="32"/>
  <c r="T5" i="32"/>
  <c r="Q6" i="32"/>
  <c r="R6" i="32"/>
  <c r="S6" i="32"/>
  <c r="T6" i="32"/>
  <c r="M84" i="25" l="1"/>
  <c r="M207" i="25" s="1"/>
  <c r="M208" i="25" s="1"/>
  <c r="N83" i="25"/>
  <c r="E208" i="25"/>
  <c r="F208" i="25"/>
  <c r="G208" i="25"/>
  <c r="H208" i="25"/>
  <c r="I208" i="25"/>
  <c r="J208" i="25"/>
  <c r="K208" i="25"/>
  <c r="L208" i="25"/>
  <c r="P250" i="25"/>
  <c r="I250" i="25"/>
  <c r="J250" i="25"/>
  <c r="H250" i="25"/>
  <c r="K250" i="25"/>
  <c r="L250" i="25"/>
  <c r="E250" i="25"/>
  <c r="M250" i="25"/>
  <c r="F250" i="25"/>
  <c r="N250" i="25"/>
  <c r="G250" i="25"/>
  <c r="O250" i="25"/>
  <c r="N199" i="25"/>
  <c r="M199" i="25"/>
  <c r="O199" i="25"/>
  <c r="G199" i="25"/>
  <c r="P199" i="25"/>
  <c r="H199" i="25"/>
  <c r="I199" i="25"/>
  <c r="F199" i="25"/>
  <c r="J199" i="25"/>
  <c r="K199" i="25"/>
  <c r="E199" i="25"/>
  <c r="L199" i="25"/>
  <c r="N84" i="25" l="1"/>
  <c r="N207" i="25" s="1"/>
  <c r="N208" i="25" s="1"/>
  <c r="O83" i="25"/>
  <c r="P15" i="34"/>
  <c r="P18" i="34" l="1"/>
  <c r="P22" i="34" s="1"/>
  <c r="O84" i="25"/>
  <c r="O207" i="25" s="1"/>
  <c r="O208" i="25" s="1"/>
  <c r="P83" i="25"/>
  <c r="P84" i="25" s="1"/>
  <c r="P207" i="25" s="1"/>
  <c r="P208" i="25" s="1"/>
  <c r="M4" i="27" l="1"/>
  <c r="E65" i="30" l="1"/>
  <c r="D64" i="30"/>
  <c r="C65" i="30"/>
  <c r="N62" i="30"/>
  <c r="L62" i="30"/>
  <c r="D62" i="30"/>
  <c r="E63" i="30"/>
  <c r="K62" i="30"/>
  <c r="M62" i="30"/>
  <c r="C61" i="30"/>
  <c r="E61" i="30"/>
  <c r="D60" i="30"/>
  <c r="E64" i="30"/>
  <c r="D63" i="30"/>
  <c r="C64" i="30"/>
  <c r="X67" i="30"/>
  <c r="M67" i="30"/>
  <c r="E72" i="30"/>
  <c r="L67" i="30"/>
  <c r="D72" i="30"/>
  <c r="Y67" i="30"/>
  <c r="E84" i="30"/>
  <c r="E56" i="30"/>
  <c r="D56" i="30"/>
  <c r="C56" i="30"/>
  <c r="E62" i="30"/>
  <c r="D61" i="30"/>
  <c r="C62" i="30"/>
  <c r="D59" i="30"/>
  <c r="C60" i="30"/>
  <c r="E60" i="30"/>
  <c r="C68" i="30"/>
  <c r="D68" i="30"/>
  <c r="E68" i="30"/>
  <c r="E59" i="30"/>
  <c r="R58" i="30"/>
  <c r="E82" i="30"/>
  <c r="E66" i="30"/>
  <c r="E57" i="30"/>
  <c r="C57" i="30"/>
  <c r="E81" i="30"/>
  <c r="P24" i="34"/>
  <c r="P44" i="34" s="1"/>
  <c r="T55" i="30" l="1"/>
  <c r="E55" i="30"/>
  <c r="D66" i="30"/>
  <c r="D65" i="30"/>
  <c r="S23" i="30"/>
  <c r="D74" i="30" s="1"/>
  <c r="C55" i="30"/>
  <c r="C72" i="30"/>
  <c r="C70" i="30"/>
  <c r="R62" i="30"/>
  <c r="C63" i="30"/>
  <c r="AC23" i="30"/>
  <c r="Z23" i="30"/>
  <c r="AC38" i="30"/>
  <c r="AB38" i="30"/>
  <c r="AB23" i="30"/>
  <c r="Z38" i="30"/>
  <c r="AA23" i="30"/>
  <c r="AA38" i="30"/>
  <c r="T67" i="30"/>
  <c r="R59" i="30"/>
  <c r="R66" i="30"/>
  <c r="U65" i="30"/>
  <c r="Y38" i="30"/>
  <c r="Y62" i="30"/>
  <c r="J62" i="30"/>
  <c r="Y23" i="30"/>
  <c r="S66" i="30"/>
  <c r="T66" i="30"/>
  <c r="W62" i="30"/>
  <c r="S67" i="30"/>
  <c r="U67" i="30"/>
  <c r="V67" i="30"/>
  <c r="R61" i="30"/>
  <c r="R56" i="30"/>
  <c r="R67" i="30"/>
  <c r="S62" i="30"/>
  <c r="R64" i="30"/>
  <c r="W67" i="30"/>
  <c r="T62" i="30"/>
  <c r="U62" i="30"/>
  <c r="X62" i="30"/>
  <c r="R60" i="30"/>
  <c r="R63" i="30"/>
  <c r="R57" i="30"/>
  <c r="V62" i="30"/>
  <c r="X23" i="30"/>
  <c r="I74" i="30" s="1"/>
  <c r="U66" i="30"/>
  <c r="R84" i="30"/>
  <c r="R83" i="30"/>
  <c r="R82" i="30"/>
  <c r="R81" i="30"/>
  <c r="R80" i="30"/>
  <c r="R55" i="30"/>
  <c r="D75" i="30" l="1"/>
  <c r="P62" i="30"/>
  <c r="P67" i="30"/>
  <c r="D71" i="30"/>
  <c r="E71" i="30" l="1"/>
  <c r="V66" i="30"/>
  <c r="W66" i="30" l="1"/>
  <c r="X66" i="30"/>
  <c r="O15" i="34"/>
  <c r="O18" i="34" l="1"/>
  <c r="O22" i="34" s="1"/>
  <c r="O24" i="34" s="1"/>
  <c r="Y66" i="30" l="1"/>
  <c r="P66" i="30" s="1"/>
  <c r="L66" i="30" l="1"/>
  <c r="N15" i="34"/>
  <c r="P123" i="25"/>
  <c r="P246" i="25" s="1"/>
  <c r="P247" i="25" s="1"/>
  <c r="O123" i="25"/>
  <c r="O246" i="25" s="1"/>
  <c r="O247" i="25" s="1"/>
  <c r="N123" i="25"/>
  <c r="N246" i="25" s="1"/>
  <c r="N247" i="25" s="1"/>
  <c r="M123" i="25"/>
  <c r="M246" i="25" s="1"/>
  <c r="M247" i="25" s="1"/>
  <c r="L123" i="25"/>
  <c r="L246" i="25" s="1"/>
  <c r="L247" i="25" s="1"/>
  <c r="K123" i="25"/>
  <c r="K246" i="25" s="1"/>
  <c r="K247" i="25" s="1"/>
  <c r="J123" i="25"/>
  <c r="J246" i="25" s="1"/>
  <c r="J247" i="25" s="1"/>
  <c r="I123" i="25"/>
  <c r="I246" i="25" s="1"/>
  <c r="I247" i="25" s="1"/>
  <c r="H123" i="25"/>
  <c r="H246" i="25" s="1"/>
  <c r="H247" i="25" s="1"/>
  <c r="G123" i="25"/>
  <c r="G246" i="25" s="1"/>
  <c r="G247" i="25" s="1"/>
  <c r="F123" i="25"/>
  <c r="F246" i="25" s="1"/>
  <c r="F247" i="25" s="1"/>
  <c r="E123" i="25"/>
  <c r="E246" i="25" s="1"/>
  <c r="E247" i="25" s="1"/>
  <c r="P120" i="25"/>
  <c r="P243" i="25" s="1"/>
  <c r="P244" i="25" s="1"/>
  <c r="O120" i="25"/>
  <c r="O243" i="25" s="1"/>
  <c r="O244" i="25" s="1"/>
  <c r="N120" i="25"/>
  <c r="N243" i="25" s="1"/>
  <c r="N244" i="25" s="1"/>
  <c r="M120" i="25"/>
  <c r="L120" i="25"/>
  <c r="L243" i="25" s="1"/>
  <c r="L244" i="25" s="1"/>
  <c r="K120" i="25"/>
  <c r="K243" i="25" s="1"/>
  <c r="K244" i="25" s="1"/>
  <c r="J120" i="25"/>
  <c r="J243" i="25" s="1"/>
  <c r="J244" i="25" s="1"/>
  <c r="I120" i="25"/>
  <c r="I243" i="25" s="1"/>
  <c r="I244" i="25" s="1"/>
  <c r="H120" i="25"/>
  <c r="H243" i="25" s="1"/>
  <c r="H244" i="25" s="1"/>
  <c r="G120" i="25"/>
  <c r="G243" i="25" s="1"/>
  <c r="F120" i="25"/>
  <c r="F243" i="25" s="1"/>
  <c r="F244" i="25" s="1"/>
  <c r="E120" i="25"/>
  <c r="E243" i="25" s="1"/>
  <c r="E244" i="25" s="1"/>
  <c r="M243" i="25" l="1"/>
  <c r="M244" i="25" s="1"/>
  <c r="G244" i="25"/>
  <c r="M30" i="33" l="1"/>
  <c r="L34" i="33"/>
  <c r="V23" i="30" l="1"/>
  <c r="G74" i="30" s="1"/>
  <c r="G75" i="30" l="1"/>
  <c r="O44" i="34"/>
  <c r="O46" i="34" s="1"/>
  <c r="O50" i="34" s="1"/>
  <c r="W23" i="30"/>
  <c r="H74" i="30" s="1"/>
  <c r="W68" i="30"/>
  <c r="P46" i="34"/>
  <c r="P50" i="34" s="1"/>
  <c r="N18" i="34"/>
  <c r="N22" i="34" s="1"/>
  <c r="N24" i="34" s="1"/>
  <c r="N44" i="34" s="1"/>
  <c r="N46" i="34" l="1"/>
  <c r="N50" i="34" s="1"/>
  <c r="M15" i="34" l="1"/>
  <c r="M18" i="34" l="1"/>
  <c r="M22" i="34" s="1"/>
  <c r="M24" i="34" s="1"/>
  <c r="M44" i="34" s="1"/>
  <c r="M46" i="34" s="1"/>
  <c r="M50" i="34" s="1"/>
  <c r="K59" i="29" l="1"/>
  <c r="J59" i="29"/>
  <c r="P15" i="29"/>
  <c r="Q15" i="29"/>
  <c r="R15" i="29"/>
  <c r="S15" i="29"/>
  <c r="T15" i="29"/>
  <c r="U15" i="29"/>
  <c r="V15" i="29"/>
  <c r="W15" i="29"/>
  <c r="X15" i="29"/>
  <c r="Y15" i="29"/>
  <c r="O15" i="29"/>
  <c r="N15" i="29"/>
  <c r="L15" i="29"/>
  <c r="Q86" i="2" l="1"/>
  <c r="Q84" i="2"/>
  <c r="J35" i="33"/>
  <c r="O86" i="2"/>
  <c r="P86" i="2"/>
  <c r="S86" i="2"/>
  <c r="T86" i="2"/>
  <c r="U86" i="2"/>
  <c r="V86" i="2"/>
  <c r="N86" i="2"/>
  <c r="M86" i="2"/>
  <c r="M73" i="2"/>
  <c r="M71" i="2"/>
  <c r="O84" i="2"/>
  <c r="P84" i="2"/>
  <c r="S84" i="2"/>
  <c r="T84" i="2"/>
  <c r="U84" i="2"/>
  <c r="V84" i="2"/>
  <c r="N84" i="2"/>
  <c r="M84" i="2"/>
  <c r="O80" i="2"/>
  <c r="P80" i="2"/>
  <c r="Q80" i="2"/>
  <c r="R80" i="2"/>
  <c r="S80" i="2"/>
  <c r="T80" i="2"/>
  <c r="U80" i="2"/>
  <c r="N80" i="2"/>
  <c r="N77" i="2"/>
  <c r="O67" i="2"/>
  <c r="M67" i="2"/>
  <c r="N68" i="2"/>
  <c r="N69" i="2"/>
  <c r="N67" i="2" s="1"/>
  <c r="O69" i="2" s="1"/>
  <c r="M68" i="2"/>
  <c r="M69" i="2"/>
  <c r="O63" i="2"/>
  <c r="P64" i="2"/>
  <c r="P65" i="2"/>
  <c r="P63" i="2" s="1"/>
  <c r="O65" i="2"/>
  <c r="N65" i="2"/>
  <c r="N63" i="2"/>
  <c r="O64" i="2" s="1"/>
  <c r="N64" i="2"/>
  <c r="G64" i="2"/>
  <c r="H42" i="19"/>
  <c r="P68" i="2" l="1"/>
  <c r="P69" i="2"/>
  <c r="P67" i="2" s="1"/>
  <c r="O68" i="2"/>
  <c r="Q64" i="2"/>
  <c r="Q65" i="2"/>
  <c r="Q63" i="2" s="1"/>
  <c r="P38" i="32"/>
  <c r="P37" i="32"/>
  <c r="H6" i="37" s="1"/>
  <c r="E6" i="37" s="1"/>
  <c r="D6" i="37" s="1"/>
  <c r="N240" i="25"/>
  <c r="N241" i="25" s="1"/>
  <c r="E117" i="25"/>
  <c r="E240" i="25" s="1"/>
  <c r="E241" i="25" s="1"/>
  <c r="F117" i="25"/>
  <c r="F240" i="25" s="1"/>
  <c r="F241" i="25" s="1"/>
  <c r="G117" i="25"/>
  <c r="G240" i="25" s="1"/>
  <c r="G241" i="25" s="1"/>
  <c r="H117" i="25"/>
  <c r="H240" i="25" s="1"/>
  <c r="H241" i="25" s="1"/>
  <c r="I117" i="25"/>
  <c r="I240" i="25" s="1"/>
  <c r="I241" i="25" s="1"/>
  <c r="J117" i="25"/>
  <c r="J240" i="25" s="1"/>
  <c r="J241" i="25" s="1"/>
  <c r="K117" i="25"/>
  <c r="K240" i="25" s="1"/>
  <c r="K241" i="25" s="1"/>
  <c r="L117" i="25"/>
  <c r="L240" i="25" s="1"/>
  <c r="L241" i="25" s="1"/>
  <c r="M240" i="25"/>
  <c r="M241" i="25" s="1"/>
  <c r="O240" i="25"/>
  <c r="O241" i="25" s="1"/>
  <c r="P240" i="25"/>
  <c r="P241" i="25" s="1"/>
  <c r="O114" i="25"/>
  <c r="E78" i="25"/>
  <c r="E204" i="25" s="1"/>
  <c r="F78" i="25"/>
  <c r="F204" i="25" s="1"/>
  <c r="G78" i="25"/>
  <c r="G204" i="25" s="1"/>
  <c r="H78" i="25"/>
  <c r="H204" i="25" s="1"/>
  <c r="I78" i="25"/>
  <c r="I204" i="25" s="1"/>
  <c r="J78" i="25"/>
  <c r="J204" i="25" s="1"/>
  <c r="K78" i="25"/>
  <c r="K204" i="25" s="1"/>
  <c r="L78" i="25"/>
  <c r="L204" i="25" s="1"/>
  <c r="M78" i="25"/>
  <c r="M204" i="25" s="1"/>
  <c r="N78" i="25"/>
  <c r="N204" i="25" s="1"/>
  <c r="O78" i="25"/>
  <c r="O204" i="25" s="1"/>
  <c r="P78" i="25"/>
  <c r="E75" i="25"/>
  <c r="E201" i="25" s="1"/>
  <c r="F75" i="25"/>
  <c r="F201" i="25" s="1"/>
  <c r="G75" i="25"/>
  <c r="G201" i="25" s="1"/>
  <c r="H75" i="25"/>
  <c r="H201" i="25" s="1"/>
  <c r="I75" i="25"/>
  <c r="I201" i="25" s="1"/>
  <c r="J75" i="25"/>
  <c r="K75" i="25"/>
  <c r="L75" i="25"/>
  <c r="M75" i="25"/>
  <c r="N75" i="25"/>
  <c r="O75" i="25"/>
  <c r="P75" i="25"/>
  <c r="P204" i="25" l="1"/>
  <c r="P205" i="25" s="1"/>
  <c r="J201" i="25"/>
  <c r="J202" i="25" s="1"/>
  <c r="L201" i="25"/>
  <c r="L202" i="25" s="1"/>
  <c r="K201" i="25"/>
  <c r="K202" i="25" s="1"/>
  <c r="P201" i="25"/>
  <c r="P202" i="25" s="1"/>
  <c r="O201" i="25"/>
  <c r="O202" i="25" s="1"/>
  <c r="N201" i="25"/>
  <c r="N202" i="25" s="1"/>
  <c r="M201" i="25"/>
  <c r="M202" i="25" s="1"/>
  <c r="P57" i="32"/>
  <c r="S8" i="36" s="1"/>
  <c r="E202" i="25"/>
  <c r="G202" i="25"/>
  <c r="Q69" i="2"/>
  <c r="Q68" i="2"/>
  <c r="Q67" i="2" s="1"/>
  <c r="R65" i="2"/>
  <c r="R64" i="2"/>
  <c r="R63" i="2" s="1"/>
  <c r="I202" i="25"/>
  <c r="F205" i="25"/>
  <c r="K205" i="25"/>
  <c r="H202" i="25"/>
  <c r="L205" i="25"/>
  <c r="J205" i="25"/>
  <c r="N205" i="25"/>
  <c r="M205" i="25"/>
  <c r="I205" i="25"/>
  <c r="H205" i="25"/>
  <c r="O205" i="25"/>
  <c r="E205" i="25"/>
  <c r="R68" i="2" l="1"/>
  <c r="R69" i="2"/>
  <c r="R67" i="2" s="1"/>
  <c r="S65" i="2"/>
  <c r="S64" i="2"/>
  <c r="S63" i="2" s="1"/>
  <c r="S68" i="2" l="1"/>
  <c r="S69" i="2"/>
  <c r="S67" i="2" s="1"/>
  <c r="T65" i="2"/>
  <c r="T63" i="2" s="1"/>
  <c r="T64" i="2"/>
  <c r="T68" i="2" l="1"/>
  <c r="T69" i="2"/>
  <c r="T67" i="2" s="1"/>
  <c r="U67" i="2" s="1"/>
  <c r="U65" i="2"/>
  <c r="U64" i="2"/>
  <c r="U63" i="2" s="1"/>
  <c r="J13" i="33" l="1"/>
  <c r="K13" i="33"/>
  <c r="I5" i="32"/>
  <c r="H5" i="32"/>
  <c r="K5" i="32"/>
  <c r="N5" i="32"/>
  <c r="H6" i="32"/>
  <c r="G6" i="32"/>
  <c r="M20" i="32"/>
  <c r="H104" i="25" l="1"/>
  <c r="I104" i="25"/>
  <c r="H101" i="25"/>
  <c r="I101" i="25"/>
  <c r="P63" i="25"/>
  <c r="P195" i="25" s="1"/>
  <c r="O63" i="25"/>
  <c r="N63" i="25"/>
  <c r="M63" i="25"/>
  <c r="M195" i="25" s="1"/>
  <c r="L63" i="25"/>
  <c r="K63" i="25"/>
  <c r="K195" i="25" s="1"/>
  <c r="J63" i="25"/>
  <c r="I63" i="25"/>
  <c r="I195" i="25" s="1"/>
  <c r="H63" i="25"/>
  <c r="G63" i="25"/>
  <c r="F63" i="25"/>
  <c r="E63" i="25"/>
  <c r="P60" i="25"/>
  <c r="O60" i="25"/>
  <c r="O192" i="25" s="1"/>
  <c r="N60" i="25"/>
  <c r="N192" i="25" s="1"/>
  <c r="M60" i="25"/>
  <c r="L60" i="25"/>
  <c r="L192" i="25" s="1"/>
  <c r="K60" i="25"/>
  <c r="J60" i="25"/>
  <c r="J192" i="25" s="1"/>
  <c r="I60" i="25"/>
  <c r="H60" i="25"/>
  <c r="H192" i="25" s="1"/>
  <c r="G60" i="25"/>
  <c r="G192" i="25" s="1"/>
  <c r="F60" i="25"/>
  <c r="F192" i="25" s="1"/>
  <c r="E60" i="25"/>
  <c r="E192" i="25" s="1"/>
  <c r="H47" i="25"/>
  <c r="H195" i="25" l="1"/>
  <c r="H196" i="25" s="1"/>
  <c r="E195" i="25"/>
  <c r="E196" i="25" s="1"/>
  <c r="N195" i="25"/>
  <c r="N196" i="25" s="1"/>
  <c r="F195" i="25"/>
  <c r="F196" i="25" s="1"/>
  <c r="G195" i="25"/>
  <c r="G196" i="25" s="1"/>
  <c r="P192" i="25"/>
  <c r="P193" i="25" s="1"/>
  <c r="P196" i="25"/>
  <c r="E193" i="25"/>
  <c r="I196" i="25"/>
  <c r="F193" i="25"/>
  <c r="N193" i="25"/>
  <c r="G193" i="25"/>
  <c r="O193" i="25"/>
  <c r="H193" i="25"/>
  <c r="K196" i="25"/>
  <c r="O195" i="25"/>
  <c r="O196" i="25" s="1"/>
  <c r="M196" i="25"/>
  <c r="J195" i="25"/>
  <c r="J196" i="25" s="1"/>
  <c r="L195" i="25"/>
  <c r="L196" i="25" s="1"/>
  <c r="M192" i="25"/>
  <c r="M193" i="25" s="1"/>
  <c r="K192" i="25"/>
  <c r="K193" i="25" s="1"/>
  <c r="I192" i="25"/>
  <c r="I193" i="25" s="1"/>
  <c r="J193" i="25"/>
  <c r="L193" i="25"/>
  <c r="I38" i="25"/>
  <c r="H38" i="25"/>
  <c r="I32" i="25"/>
  <c r="H32" i="25"/>
  <c r="G32" i="25"/>
  <c r="E4" i="26" l="1"/>
  <c r="I28" i="25" l="1"/>
  <c r="H76" i="32" l="1"/>
  <c r="I76" i="32" s="1"/>
  <c r="G77" i="32"/>
  <c r="K49" i="19"/>
  <c r="J49" i="19"/>
  <c r="Q27" i="2" l="1"/>
  <c r="L27" i="2"/>
  <c r="I27" i="2"/>
  <c r="M57" i="32"/>
  <c r="E57" i="25"/>
  <c r="E189" i="25" s="1"/>
  <c r="E190" i="25" s="1"/>
  <c r="F57" i="25"/>
  <c r="F189" i="25" s="1"/>
  <c r="F190" i="25" s="1"/>
  <c r="G57" i="25"/>
  <c r="G189" i="25" s="1"/>
  <c r="G190" i="25" s="1"/>
  <c r="H57" i="25"/>
  <c r="H189" i="25" s="1"/>
  <c r="H190" i="25" s="1"/>
  <c r="I57" i="25"/>
  <c r="I189" i="25" s="1"/>
  <c r="I190" i="25" s="1"/>
  <c r="J57" i="25"/>
  <c r="J189" i="25" s="1"/>
  <c r="J190" i="25" s="1"/>
  <c r="K57" i="25"/>
  <c r="K189" i="25" s="1"/>
  <c r="K190" i="25" s="1"/>
  <c r="L57" i="25"/>
  <c r="L189" i="25" s="1"/>
  <c r="L190" i="25" s="1"/>
  <c r="M57" i="25"/>
  <c r="N57" i="25"/>
  <c r="N189" i="25" s="1"/>
  <c r="N190" i="25" s="1"/>
  <c r="O57" i="25"/>
  <c r="P57" i="25"/>
  <c r="M189" i="25" l="1"/>
  <c r="M190" i="25" s="1"/>
  <c r="P189" i="25"/>
  <c r="P190" i="25" s="1"/>
  <c r="O189" i="25"/>
  <c r="O190" i="25" s="1"/>
  <c r="Q26" i="2"/>
  <c r="U43" i="29" l="1"/>
  <c r="V43" i="29"/>
  <c r="W43" i="29"/>
  <c r="X43" i="29"/>
  <c r="Y43" i="29"/>
  <c r="U52" i="29"/>
  <c r="V52" i="29"/>
  <c r="W52" i="29"/>
  <c r="X52" i="29"/>
  <c r="Y52" i="29"/>
  <c r="U53" i="29"/>
  <c r="V53" i="29"/>
  <c r="W53" i="29"/>
  <c r="X53" i="29"/>
  <c r="Y53" i="29"/>
  <c r="I43" i="29"/>
  <c r="J43" i="29" s="1"/>
  <c r="K43" i="29" s="1"/>
  <c r="L43" i="29" s="1"/>
  <c r="H43" i="29"/>
  <c r="N43" i="29" l="1"/>
  <c r="O43" i="29" s="1"/>
  <c r="P43" i="29" s="1"/>
  <c r="Q43" i="29" s="1"/>
  <c r="R43" i="29" s="1"/>
  <c r="S43" i="29" s="1"/>
  <c r="T43" i="29" s="1"/>
  <c r="M43" i="29"/>
  <c r="F52" i="29"/>
  <c r="E65" i="29" s="1"/>
  <c r="G18" i="29"/>
  <c r="I18" i="29" s="1"/>
  <c r="J18" i="29" s="1"/>
  <c r="K18" i="29" s="1"/>
  <c r="L18" i="29" s="1"/>
  <c r="N18" i="29" s="1"/>
  <c r="O18" i="29" s="1"/>
  <c r="P18" i="29" s="1"/>
  <c r="Q18" i="29" s="1"/>
  <c r="R18" i="29" s="1"/>
  <c r="S18" i="29" s="1"/>
  <c r="H18" i="29"/>
  <c r="F18" i="29"/>
  <c r="G52" i="29"/>
  <c r="H52" i="29" s="1"/>
  <c r="K53" i="29"/>
  <c r="L53" i="29" s="1"/>
  <c r="J53" i="29"/>
  <c r="I53" i="29"/>
  <c r="F32" i="29"/>
  <c r="F33" i="29" s="1"/>
  <c r="F34" i="29" s="1"/>
  <c r="F35" i="29" s="1"/>
  <c r="F36" i="29" s="1"/>
  <c r="F37" i="29" s="1"/>
  <c r="F38" i="29" s="1"/>
  <c r="F39" i="29" s="1"/>
  <c r="F40" i="29" s="1"/>
  <c r="F41" i="29" s="1"/>
  <c r="F42" i="29" s="1"/>
  <c r="H32" i="29"/>
  <c r="H33" i="29" s="1"/>
  <c r="H34" i="29" s="1"/>
  <c r="H35" i="29" s="1"/>
  <c r="H36" i="29" s="1"/>
  <c r="H37" i="29" s="1"/>
  <c r="H38" i="29" s="1"/>
  <c r="H39" i="29" s="1"/>
  <c r="H40" i="29" s="1"/>
  <c r="H41" i="29" s="1"/>
  <c r="H42" i="29" s="1"/>
  <c r="J18" i="33"/>
  <c r="M53" i="29" l="1"/>
  <c r="N53" i="29"/>
  <c r="O53" i="29" s="1"/>
  <c r="P53" i="29" s="1"/>
  <c r="Q53" i="29" s="1"/>
  <c r="R53" i="29" s="1"/>
  <c r="S53" i="29" s="1"/>
  <c r="T53" i="29" s="1"/>
  <c r="I52" i="29"/>
  <c r="J52" i="29" s="1"/>
  <c r="K52" i="29" s="1"/>
  <c r="L52" i="29" s="1"/>
  <c r="F44" i="29"/>
  <c r="F45" i="29" s="1"/>
  <c r="F46" i="29" s="1"/>
  <c r="F47" i="29" s="1"/>
  <c r="F48" i="29" s="1"/>
  <c r="F49" i="29" s="1"/>
  <c r="F50" i="29" s="1"/>
  <c r="F51" i="29" s="1"/>
  <c r="H44" i="29"/>
  <c r="H45" i="29" s="1"/>
  <c r="H46" i="29" s="1"/>
  <c r="H47" i="29" s="1"/>
  <c r="H48" i="29" s="1"/>
  <c r="H49" i="29" s="1"/>
  <c r="H50" i="29" s="1"/>
  <c r="H51" i="29" s="1"/>
  <c r="H31" i="25"/>
  <c r="X38" i="30"/>
  <c r="I88" i="30" s="1"/>
  <c r="W38" i="30"/>
  <c r="V38" i="30"/>
  <c r="M52" i="29" l="1"/>
  <c r="N52" i="29"/>
  <c r="O52" i="29" s="1"/>
  <c r="P52" i="29" s="1"/>
  <c r="Q52" i="29" s="1"/>
  <c r="R52" i="29" s="1"/>
  <c r="S52" i="29" s="1"/>
  <c r="T52" i="29" s="1"/>
  <c r="U38" i="30"/>
  <c r="U23" i="30" l="1"/>
  <c r="F75" i="30" s="1"/>
  <c r="F74" i="30" l="1"/>
  <c r="T38" i="30"/>
  <c r="E87" i="30"/>
  <c r="M16" i="32"/>
  <c r="M14" i="32"/>
  <c r="M12" i="32"/>
  <c r="M10" i="32"/>
  <c r="M8" i="32"/>
  <c r="G214" i="25" l="1"/>
  <c r="H145" i="25"/>
  <c r="P145" i="25"/>
  <c r="I145" i="25"/>
  <c r="O145" i="25"/>
  <c r="J145" i="25"/>
  <c r="K145" i="25"/>
  <c r="N145" i="25"/>
  <c r="L145" i="25"/>
  <c r="G145" i="25"/>
  <c r="M145" i="25"/>
  <c r="I214" i="25"/>
  <c r="J214" i="25"/>
  <c r="E214" i="25"/>
  <c r="H214" i="25"/>
  <c r="R38" i="30"/>
  <c r="S38" i="30"/>
  <c r="G28" i="25"/>
  <c r="C99" i="30" l="1"/>
  <c r="L71" i="2"/>
  <c r="G114" i="25"/>
  <c r="G237" i="25" s="1"/>
  <c r="G238" i="25" s="1"/>
  <c r="N78" i="2"/>
  <c r="N79" i="2" s="1"/>
  <c r="O78" i="2"/>
  <c r="O79" i="2" s="1"/>
  <c r="P78" i="2"/>
  <c r="P79" i="2" s="1"/>
  <c r="Q78" i="2"/>
  <c r="Q79" i="2" s="1"/>
  <c r="R78" i="2"/>
  <c r="R79" i="2" s="1"/>
  <c r="S78" i="2"/>
  <c r="T78" i="2"/>
  <c r="T79" i="2" s="1"/>
  <c r="U78" i="2"/>
  <c r="U79" i="2" s="1"/>
  <c r="V78" i="2"/>
  <c r="M79" i="2"/>
  <c r="S79" i="2"/>
  <c r="V79" i="2"/>
  <c r="N71" i="2"/>
  <c r="O71" i="2" s="1"/>
  <c r="P71" i="2" s="1"/>
  <c r="Q71" i="2" s="1"/>
  <c r="R71" i="2" s="1"/>
  <c r="S71" i="2" s="1"/>
  <c r="T71" i="2" s="1"/>
  <c r="U71" i="2" s="1"/>
  <c r="J114" i="25"/>
  <c r="H114" i="25"/>
  <c r="H237" i="25" s="1"/>
  <c r="H238" i="25" s="1"/>
  <c r="P114" i="25"/>
  <c r="O237" i="25"/>
  <c r="O238" i="25" s="1"/>
  <c r="N114" i="25"/>
  <c r="N237" i="25" s="1"/>
  <c r="N238" i="25" s="1"/>
  <c r="M114" i="25"/>
  <c r="M237" i="25" s="1"/>
  <c r="M238" i="25" s="1"/>
  <c r="L114" i="25"/>
  <c r="L237" i="25" s="1"/>
  <c r="L238" i="25" s="1"/>
  <c r="K114" i="25"/>
  <c r="K237" i="25" s="1"/>
  <c r="K238" i="25" s="1"/>
  <c r="I114" i="25"/>
  <c r="I237" i="25" s="1"/>
  <c r="I238" i="25" s="1"/>
  <c r="F114" i="25"/>
  <c r="F237" i="25" s="1"/>
  <c r="F238" i="25" s="1"/>
  <c r="E114" i="25"/>
  <c r="E237" i="25" s="1"/>
  <c r="E238" i="25" s="1"/>
  <c r="L86" i="2"/>
  <c r="L84" i="2"/>
  <c r="G72" i="2"/>
  <c r="K111" i="25"/>
  <c r="K234" i="25" s="1"/>
  <c r="K235" i="25" s="1"/>
  <c r="I111" i="25"/>
  <c r="I234" i="25" s="1"/>
  <c r="I235" i="25" s="1"/>
  <c r="P111" i="25"/>
  <c r="O111" i="25"/>
  <c r="N111" i="25"/>
  <c r="M111" i="25"/>
  <c r="M234" i="25" s="1"/>
  <c r="M235" i="25" s="1"/>
  <c r="L111" i="25"/>
  <c r="L234" i="25" s="1"/>
  <c r="L235" i="25" s="1"/>
  <c r="J111" i="25"/>
  <c r="J234" i="25" s="1"/>
  <c r="J235" i="25" s="1"/>
  <c r="H111" i="25"/>
  <c r="H234" i="25" s="1"/>
  <c r="H235" i="25" s="1"/>
  <c r="G111" i="25"/>
  <c r="G234" i="25" s="1"/>
  <c r="G235" i="25" s="1"/>
  <c r="F111" i="25"/>
  <c r="F234" i="25" s="1"/>
  <c r="F235" i="25" s="1"/>
  <c r="E111" i="25"/>
  <c r="E234" i="25" s="1"/>
  <c r="E235" i="25" s="1"/>
  <c r="P237" i="25" l="1"/>
  <c r="P238" i="25" s="1"/>
  <c r="P234" i="25"/>
  <c r="P235" i="25" s="1"/>
  <c r="N234" i="25"/>
  <c r="N235" i="25" s="1"/>
  <c r="O234" i="25"/>
  <c r="O235" i="25" s="1"/>
  <c r="J237" i="25"/>
  <c r="J238" i="25" s="1"/>
  <c r="P54" i="25"/>
  <c r="P186" i="25" s="1"/>
  <c r="O54" i="25"/>
  <c r="O186" i="25" s="1"/>
  <c r="N54" i="25"/>
  <c r="N186" i="25" s="1"/>
  <c r="M54" i="25"/>
  <c r="M186" i="25" s="1"/>
  <c r="L54" i="25"/>
  <c r="L186" i="25" s="1"/>
  <c r="K54" i="25"/>
  <c r="K186" i="25" s="1"/>
  <c r="J54" i="25"/>
  <c r="J186" i="25" s="1"/>
  <c r="I54" i="25"/>
  <c r="I186" i="25" s="1"/>
  <c r="H54" i="25"/>
  <c r="H186" i="25" s="1"/>
  <c r="G54" i="25"/>
  <c r="G186" i="25" s="1"/>
  <c r="F54" i="25"/>
  <c r="F186" i="25" s="1"/>
  <c r="E54" i="25"/>
  <c r="E186" i="25" s="1"/>
  <c r="N73" i="2" l="1"/>
  <c r="P187" i="25"/>
  <c r="L187" i="25"/>
  <c r="E187" i="25"/>
  <c r="M187" i="25"/>
  <c r="F187" i="25"/>
  <c r="N187" i="25"/>
  <c r="O187" i="25"/>
  <c r="H187" i="25"/>
  <c r="J187" i="25"/>
  <c r="K187" i="25"/>
  <c r="I187" i="25"/>
  <c r="G187" i="25"/>
  <c r="L57" i="32" l="1"/>
  <c r="G5" i="32" l="1"/>
  <c r="G57" i="32" s="1"/>
  <c r="E51" i="25"/>
  <c r="E183" i="25" s="1"/>
  <c r="F51" i="25"/>
  <c r="F183" i="25" s="1"/>
  <c r="G51" i="25"/>
  <c r="G183" i="25" s="1"/>
  <c r="H51" i="25"/>
  <c r="H183" i="25" s="1"/>
  <c r="I51" i="25"/>
  <c r="I183" i="25" s="1"/>
  <c r="J51" i="25"/>
  <c r="J183" i="25" s="1"/>
  <c r="K51" i="25"/>
  <c r="L51" i="25"/>
  <c r="M51" i="25"/>
  <c r="N51" i="25"/>
  <c r="O51" i="25"/>
  <c r="P51" i="25"/>
  <c r="E48" i="25"/>
  <c r="E180" i="25" s="1"/>
  <c r="F48" i="25"/>
  <c r="F180" i="25" s="1"/>
  <c r="G48" i="25"/>
  <c r="H48" i="25"/>
  <c r="I48" i="25"/>
  <c r="J48" i="25"/>
  <c r="K48" i="25"/>
  <c r="K180" i="25" s="1"/>
  <c r="L48" i="25"/>
  <c r="L180" i="25" s="1"/>
  <c r="M48" i="25"/>
  <c r="M180" i="25" s="1"/>
  <c r="N48" i="25"/>
  <c r="N180" i="25" s="1"/>
  <c r="O48" i="25"/>
  <c r="O180" i="25" s="1"/>
  <c r="P48" i="25"/>
  <c r="P180" i="25" s="1"/>
  <c r="O183" i="25" l="1"/>
  <c r="O184" i="25" s="1"/>
  <c r="P183" i="25"/>
  <c r="P184" i="25" s="1"/>
  <c r="M183" i="25"/>
  <c r="M184" i="25" s="1"/>
  <c r="N183" i="25"/>
  <c r="N184" i="25" s="1"/>
  <c r="L183" i="25"/>
  <c r="L184" i="25" s="1"/>
  <c r="K183" i="25"/>
  <c r="K184" i="25" s="1"/>
  <c r="I180" i="25"/>
  <c r="I181" i="25" s="1"/>
  <c r="J180" i="25"/>
  <c r="J181" i="25" s="1"/>
  <c r="H180" i="25"/>
  <c r="H181" i="25" s="1"/>
  <c r="G180" i="25"/>
  <c r="G181" i="25" s="1"/>
  <c r="F184" i="25"/>
  <c r="G184" i="25"/>
  <c r="E184" i="25"/>
  <c r="H184" i="25"/>
  <c r="I184" i="25"/>
  <c r="J184" i="25"/>
  <c r="L181" i="25"/>
  <c r="K181" i="25"/>
  <c r="O181" i="25"/>
  <c r="P181" i="25"/>
  <c r="N181" i="25"/>
  <c r="M181" i="25"/>
  <c r="F181" i="25"/>
  <c r="E181" i="25"/>
  <c r="K15" i="34" l="1"/>
  <c r="J15" i="34"/>
  <c r="G205" i="25" l="1"/>
  <c r="F202" i="25" l="1"/>
  <c r="G19" i="31"/>
  <c r="F19" i="31"/>
  <c r="P19" i="31"/>
  <c r="H19" i="31"/>
  <c r="H13" i="31"/>
  <c r="F13" i="31"/>
  <c r="N39" i="16"/>
  <c r="N38" i="16"/>
  <c r="J57" i="32" l="1"/>
  <c r="I9" i="33" l="1"/>
  <c r="K57" i="32" l="1"/>
  <c r="Y80" i="30"/>
  <c r="L80" i="30"/>
  <c r="M80" i="30"/>
  <c r="X80" i="30"/>
  <c r="W80" i="30"/>
  <c r="V80" i="30"/>
  <c r="U80" i="30"/>
  <c r="T80" i="30"/>
  <c r="S80" i="30"/>
  <c r="P80" i="30" l="1"/>
  <c r="C22" i="30"/>
  <c r="F214" i="25" l="1"/>
  <c r="I28" i="33"/>
  <c r="I27" i="33"/>
  <c r="I32" i="33"/>
  <c r="I16" i="33"/>
  <c r="I11" i="33"/>
  <c r="I10" i="33"/>
  <c r="G12" i="19" s="1"/>
  <c r="G43" i="19" s="1"/>
  <c r="I8" i="33"/>
  <c r="G11" i="19" s="1"/>
  <c r="G42" i="19" s="1"/>
  <c r="G25" i="19" l="1"/>
  <c r="G20" i="19"/>
  <c r="I14" i="33"/>
  <c r="I17" i="33"/>
  <c r="I13" i="33"/>
  <c r="E45" i="25" l="1"/>
  <c r="E177" i="25" s="1"/>
  <c r="E178" i="25" s="1"/>
  <c r="F45" i="25"/>
  <c r="F177" i="25" s="1"/>
  <c r="F178" i="25" s="1"/>
  <c r="G45" i="25"/>
  <c r="G177" i="25" s="1"/>
  <c r="G178" i="25" s="1"/>
  <c r="H45" i="25"/>
  <c r="H177" i="25" s="1"/>
  <c r="H178" i="25" s="1"/>
  <c r="I45" i="25"/>
  <c r="I177" i="25" s="1"/>
  <c r="I178" i="25" s="1"/>
  <c r="J45" i="25"/>
  <c r="J177" i="25" s="1"/>
  <c r="J178" i="25" s="1"/>
  <c r="K45" i="25"/>
  <c r="K177" i="25" s="1"/>
  <c r="K178" i="25" s="1"/>
  <c r="L45" i="25"/>
  <c r="L177" i="25" s="1"/>
  <c r="L178" i="25" s="1"/>
  <c r="M45" i="25"/>
  <c r="M177" i="25" s="1"/>
  <c r="M178" i="25" s="1"/>
  <c r="N45" i="25"/>
  <c r="N177" i="25" s="1"/>
  <c r="N178" i="25" s="1"/>
  <c r="O45" i="25"/>
  <c r="O177" i="25" s="1"/>
  <c r="O178" i="25" s="1"/>
  <c r="P45" i="25"/>
  <c r="P177" i="25" s="1"/>
  <c r="P178" i="25" s="1"/>
  <c r="I30" i="33" l="1"/>
  <c r="I15" i="33"/>
  <c r="J24" i="27"/>
  <c r="J4" i="27"/>
  <c r="I18" i="33" l="1"/>
  <c r="I22" i="33" s="1"/>
  <c r="I24" i="33" s="1"/>
  <c r="I34" i="33" l="1"/>
  <c r="G31" i="19" s="1"/>
  <c r="B6" i="31"/>
  <c r="B4" i="31"/>
  <c r="B13" i="31" s="1"/>
  <c r="A13" i="31" s="1"/>
  <c r="A14" i="31" s="1"/>
  <c r="B8" i="31"/>
  <c r="K4" i="4"/>
  <c r="L4" i="4" s="1"/>
  <c r="M4" i="4" s="1"/>
  <c r="N4" i="4" s="1"/>
  <c r="H17" i="19"/>
  <c r="H47" i="19" s="1"/>
  <c r="K47" i="19" s="1"/>
  <c r="G17" i="19"/>
  <c r="G47" i="19" s="1"/>
  <c r="F44" i="19"/>
  <c r="F11" i="19"/>
  <c r="F42" i="19" s="1"/>
  <c r="F45" i="19" s="1"/>
  <c r="N45" i="16"/>
  <c r="N47" i="16" s="1"/>
  <c r="M38" i="16"/>
  <c r="P89" i="31"/>
  <c r="N77" i="31"/>
  <c r="H41" i="31"/>
  <c r="I19" i="31"/>
  <c r="I47" i="31" s="1"/>
  <c r="J19" i="31"/>
  <c r="J53" i="31" s="1"/>
  <c r="K19" i="31"/>
  <c r="K59" i="31" s="1"/>
  <c r="L19" i="31"/>
  <c r="M19" i="31"/>
  <c r="M71" i="31" s="1"/>
  <c r="N19" i="31"/>
  <c r="O19" i="31"/>
  <c r="G26" i="31"/>
  <c r="G25" i="31" s="1"/>
  <c r="G23" i="31" s="1"/>
  <c r="F26" i="31"/>
  <c r="F25" i="31"/>
  <c r="H33" i="31"/>
  <c r="I33" i="31"/>
  <c r="J33" i="31"/>
  <c r="K33" i="31"/>
  <c r="L33" i="31"/>
  <c r="M33" i="31"/>
  <c r="N33" i="31" s="1"/>
  <c r="I39" i="31"/>
  <c r="J39" i="31"/>
  <c r="J45" i="31"/>
  <c r="K45" i="31"/>
  <c r="L45" i="31"/>
  <c r="M45" i="31" s="1"/>
  <c r="K51" i="31"/>
  <c r="L51" i="31"/>
  <c r="M51" i="31" s="1"/>
  <c r="L57" i="31"/>
  <c r="M57" i="31"/>
  <c r="N57" i="31" s="1"/>
  <c r="R93" i="31"/>
  <c r="Q87" i="31"/>
  <c r="R87" i="31" s="1"/>
  <c r="P81" i="31"/>
  <c r="O75" i="31"/>
  <c r="P75" i="31" s="1"/>
  <c r="N69" i="31"/>
  <c r="O69" i="31" s="1"/>
  <c r="N63" i="31"/>
  <c r="O63" i="31"/>
  <c r="P63" i="31" s="1"/>
  <c r="M63" i="31"/>
  <c r="E23" i="31"/>
  <c r="E19" i="31"/>
  <c r="R96" i="31"/>
  <c r="S96" i="31"/>
  <c r="T96" i="31"/>
  <c r="U96" i="31"/>
  <c r="V96" i="31"/>
  <c r="Q96" i="31"/>
  <c r="E99" i="31"/>
  <c r="E97" i="31"/>
  <c r="T82" i="30" l="1"/>
  <c r="S82" i="30"/>
  <c r="V82" i="30"/>
  <c r="J47" i="19"/>
  <c r="H25" i="31"/>
  <c r="H23" i="31" s="1"/>
  <c r="H26" i="31"/>
  <c r="O33" i="31"/>
  <c r="K39" i="31"/>
  <c r="N45" i="31"/>
  <c r="N51" i="31"/>
  <c r="O57" i="31"/>
  <c r="S93" i="31"/>
  <c r="S87" i="31"/>
  <c r="Q81" i="31"/>
  <c r="Q75" i="31"/>
  <c r="P69" i="31"/>
  <c r="Q63" i="31"/>
  <c r="U82" i="30" l="1"/>
  <c r="W82" i="30"/>
  <c r="I26" i="31"/>
  <c r="I25" i="31" s="1"/>
  <c r="I23" i="31" s="1"/>
  <c r="P33" i="31"/>
  <c r="L39" i="31"/>
  <c r="O45" i="31"/>
  <c r="O51" i="31"/>
  <c r="P57" i="31"/>
  <c r="T93" i="31"/>
  <c r="T87" i="31"/>
  <c r="R81" i="31"/>
  <c r="R75" i="31"/>
  <c r="Q69" i="31"/>
  <c r="R63" i="31"/>
  <c r="X82" i="30" l="1"/>
  <c r="J26" i="31"/>
  <c r="J25" i="31" s="1"/>
  <c r="J23" i="31" s="1"/>
  <c r="Q33" i="31"/>
  <c r="M39" i="31"/>
  <c r="P45" i="31"/>
  <c r="P51" i="31"/>
  <c r="Q57" i="31"/>
  <c r="U93" i="31"/>
  <c r="U87" i="31"/>
  <c r="S81" i="31"/>
  <c r="S75" i="31"/>
  <c r="R69" i="31"/>
  <c r="S63" i="31"/>
  <c r="Y82" i="30" l="1"/>
  <c r="P82" i="30" s="1"/>
  <c r="K26" i="31"/>
  <c r="K25" i="31" s="1"/>
  <c r="K23" i="31" s="1"/>
  <c r="N39" i="31"/>
  <c r="Q45" i="31"/>
  <c r="Q51" i="31"/>
  <c r="R57" i="31"/>
  <c r="V93" i="31"/>
  <c r="V87" i="31"/>
  <c r="T81" i="31"/>
  <c r="T75" i="31"/>
  <c r="S69" i="31"/>
  <c r="T63" i="31"/>
  <c r="L82" i="30" l="1"/>
  <c r="L23" i="31"/>
  <c r="L26" i="31"/>
  <c r="L25" i="31"/>
  <c r="O39" i="31"/>
  <c r="R45" i="31"/>
  <c r="R51" i="31"/>
  <c r="S57" i="31"/>
  <c r="W93" i="31"/>
  <c r="W87" i="31"/>
  <c r="U81" i="31"/>
  <c r="U75" i="31"/>
  <c r="T69" i="31"/>
  <c r="U63" i="31"/>
  <c r="L69" i="31"/>
  <c r="M69" i="31" s="1"/>
  <c r="C91" i="31"/>
  <c r="B93" i="31"/>
  <c r="P93" i="31" s="1"/>
  <c r="Q93" i="31" s="1"/>
  <c r="C85" i="31"/>
  <c r="B87" i="31"/>
  <c r="O87" i="31" s="1"/>
  <c r="P87" i="31" s="1"/>
  <c r="C79" i="31"/>
  <c r="B81" i="31"/>
  <c r="N81" i="31" s="1"/>
  <c r="O81" i="31" s="1"/>
  <c r="C73" i="31"/>
  <c r="B75" i="31"/>
  <c r="M75" i="31" s="1"/>
  <c r="N75" i="31" s="1"/>
  <c r="C67" i="31"/>
  <c r="B69" i="31"/>
  <c r="C61" i="31"/>
  <c r="B63" i="31"/>
  <c r="K63" i="31" s="1"/>
  <c r="L63" i="31" s="1"/>
  <c r="C55" i="31"/>
  <c r="B57" i="31"/>
  <c r="J57" i="31" s="1"/>
  <c r="K57" i="31" s="1"/>
  <c r="C49" i="31"/>
  <c r="B51" i="31"/>
  <c r="I51" i="31" s="1"/>
  <c r="J51" i="31" s="1"/>
  <c r="C43" i="31"/>
  <c r="B45" i="31"/>
  <c r="H45" i="31" s="1"/>
  <c r="I45" i="31" s="1"/>
  <c r="C37" i="31"/>
  <c r="B39" i="31"/>
  <c r="G39" i="31" s="1"/>
  <c r="H39" i="31" s="1"/>
  <c r="F29" i="31"/>
  <c r="C31" i="31"/>
  <c r="B33" i="31"/>
  <c r="F33" i="31" s="1"/>
  <c r="G33" i="31" s="1"/>
  <c r="B27" i="31"/>
  <c r="E27" i="31" s="1"/>
  <c r="C25" i="31"/>
  <c r="B56" i="3"/>
  <c r="B54" i="3"/>
  <c r="B52" i="3"/>
  <c r="O11" i="36"/>
  <c r="O8" i="31"/>
  <c r="N8" i="31"/>
  <c r="O6" i="31"/>
  <c r="N6" i="31"/>
  <c r="M6" i="31"/>
  <c r="L6" i="31"/>
  <c r="K6" i="31"/>
  <c r="N4" i="31"/>
  <c r="M4" i="31"/>
  <c r="L4" i="31"/>
  <c r="K4" i="31"/>
  <c r="J4" i="31"/>
  <c r="J13" i="31" s="1"/>
  <c r="I4" i="31"/>
  <c r="I13" i="31" s="1"/>
  <c r="H4" i="31"/>
  <c r="P6" i="31"/>
  <c r="G13" i="31"/>
  <c r="E13" i="31"/>
  <c r="J8" i="36"/>
  <c r="N8" i="36"/>
  <c r="N44" i="36" s="1"/>
  <c r="O8" i="36"/>
  <c r="I9" i="36"/>
  <c r="I45" i="36" s="1"/>
  <c r="I8" i="36"/>
  <c r="I44" i="36" s="1"/>
  <c r="J27" i="36"/>
  <c r="K27" i="36"/>
  <c r="L27" i="36"/>
  <c r="M27" i="36"/>
  <c r="N27" i="36"/>
  <c r="O27" i="36"/>
  <c r="P27" i="36"/>
  <c r="Q27" i="36"/>
  <c r="R27" i="36"/>
  <c r="S27" i="36"/>
  <c r="I27" i="36"/>
  <c r="I98" i="36"/>
  <c r="J98" i="36" s="1"/>
  <c r="K98" i="36" s="1"/>
  <c r="L98" i="36" s="1"/>
  <c r="M98" i="36" s="1"/>
  <c r="R98" i="36" s="1"/>
  <c r="S98" i="36" s="1"/>
  <c r="I97" i="36"/>
  <c r="S96" i="36"/>
  <c r="R96" i="36"/>
  <c r="M96" i="36"/>
  <c r="L96" i="36"/>
  <c r="K96" i="36"/>
  <c r="J96" i="36"/>
  <c r="I96" i="36"/>
  <c r="I99" i="36" s="1"/>
  <c r="I95" i="36"/>
  <c r="J95" i="36" s="1"/>
  <c r="I90" i="36"/>
  <c r="J90" i="36" s="1"/>
  <c r="L89" i="36"/>
  <c r="M86" i="36"/>
  <c r="L86" i="36"/>
  <c r="I86" i="36"/>
  <c r="J86" i="36" s="1"/>
  <c r="M85" i="36"/>
  <c r="R85" i="36" s="1"/>
  <c r="S85" i="36" s="1"/>
  <c r="L85" i="36"/>
  <c r="I85" i="36"/>
  <c r="J85" i="36" s="1"/>
  <c r="L84" i="36"/>
  <c r="M84" i="36" s="1"/>
  <c r="R84" i="36" s="1"/>
  <c r="S84" i="36" s="1"/>
  <c r="I84" i="36"/>
  <c r="J84" i="36" s="1"/>
  <c r="K83" i="36"/>
  <c r="K87" i="36" s="1"/>
  <c r="I77" i="36"/>
  <c r="J77" i="36" s="1"/>
  <c r="H74" i="36"/>
  <c r="M73" i="36"/>
  <c r="R73" i="36" s="1"/>
  <c r="S73" i="36" s="1"/>
  <c r="K73" i="36"/>
  <c r="M72" i="36"/>
  <c r="R72" i="36" s="1"/>
  <c r="S72" i="36" s="1"/>
  <c r="I72" i="36"/>
  <c r="L71" i="36"/>
  <c r="K71" i="36"/>
  <c r="J71" i="36"/>
  <c r="I71" i="36"/>
  <c r="M70" i="36"/>
  <c r="R70" i="36" s="1"/>
  <c r="S70" i="36" s="1"/>
  <c r="M69" i="36"/>
  <c r="R69" i="36" s="1"/>
  <c r="S69" i="36" s="1"/>
  <c r="M68" i="36"/>
  <c r="R68" i="36" s="1"/>
  <c r="S68" i="36" s="1"/>
  <c r="S57" i="36"/>
  <c r="R57" i="36"/>
  <c r="Q57" i="36"/>
  <c r="P57" i="36"/>
  <c r="O57" i="36"/>
  <c r="N57" i="36"/>
  <c r="M57" i="36"/>
  <c r="L57" i="36"/>
  <c r="K57" i="36"/>
  <c r="J57" i="36"/>
  <c r="I57" i="36"/>
  <c r="H57" i="36"/>
  <c r="S56" i="36"/>
  <c r="R56" i="36"/>
  <c r="Q56" i="36"/>
  <c r="P56" i="36"/>
  <c r="O56" i="36"/>
  <c r="N56" i="36"/>
  <c r="M56" i="36"/>
  <c r="L56" i="36"/>
  <c r="K56" i="36"/>
  <c r="H56" i="36"/>
  <c r="S55" i="36"/>
  <c r="R55" i="36"/>
  <c r="Q55" i="36"/>
  <c r="P55" i="36"/>
  <c r="O55" i="36"/>
  <c r="N55" i="36"/>
  <c r="M55" i="36"/>
  <c r="L55" i="36"/>
  <c r="K55" i="36"/>
  <c r="J55" i="36"/>
  <c r="I55" i="36"/>
  <c r="H55" i="36"/>
  <c r="H53" i="36"/>
  <c r="H52" i="36"/>
  <c r="I51" i="36"/>
  <c r="H51" i="36"/>
  <c r="H50" i="36"/>
  <c r="N48" i="36"/>
  <c r="M48" i="36"/>
  <c r="L48" i="36"/>
  <c r="K48" i="36"/>
  <c r="J48" i="36"/>
  <c r="I48" i="36"/>
  <c r="H48" i="36"/>
  <c r="H46" i="36"/>
  <c r="K32" i="36"/>
  <c r="J20" i="36"/>
  <c r="J56" i="36" s="1"/>
  <c r="I20" i="36"/>
  <c r="I56" i="36" s="1"/>
  <c r="J15" i="36"/>
  <c r="J51" i="36" s="1"/>
  <c r="O12" i="36"/>
  <c r="O48" i="36" s="1"/>
  <c r="H9" i="36"/>
  <c r="H8" i="36"/>
  <c r="H44" i="36" s="1"/>
  <c r="N8" i="33"/>
  <c r="N13" i="33" s="1"/>
  <c r="P8" i="33"/>
  <c r="S8" i="33"/>
  <c r="D19" i="16"/>
  <c r="J76" i="4"/>
  <c r="I76" i="4"/>
  <c r="I75" i="4"/>
  <c r="J75" i="4"/>
  <c r="K74" i="4"/>
  <c r="J74" i="4"/>
  <c r="I74" i="4"/>
  <c r="F5" i="4"/>
  <c r="I4" i="4"/>
  <c r="J4" i="4" s="1"/>
  <c r="G5" i="16"/>
  <c r="G19" i="16"/>
  <c r="F19" i="16"/>
  <c r="E19" i="16"/>
  <c r="L19" i="16"/>
  <c r="M19" i="16"/>
  <c r="N19" i="16"/>
  <c r="C19" i="16"/>
  <c r="M82" i="30" l="1"/>
  <c r="O44" i="36"/>
  <c r="F30" i="31"/>
  <c r="F96" i="31" s="1"/>
  <c r="G32" i="31"/>
  <c r="G31" i="31"/>
  <c r="M39" i="16"/>
  <c r="H26" i="19"/>
  <c r="I26" i="19" s="1"/>
  <c r="S44" i="36"/>
  <c r="Q92" i="31"/>
  <c r="Q91" i="31" s="1"/>
  <c r="M23" i="31"/>
  <c r="M26" i="31"/>
  <c r="M25" i="31"/>
  <c r="P39" i="31"/>
  <c r="S45" i="31"/>
  <c r="S51" i="31"/>
  <c r="T57" i="31"/>
  <c r="X93" i="31"/>
  <c r="X87" i="31"/>
  <c r="V81" i="31"/>
  <c r="V75" i="31"/>
  <c r="U69" i="31"/>
  <c r="V63" i="31"/>
  <c r="P90" i="31"/>
  <c r="P96" i="31" s="1"/>
  <c r="K13" i="31"/>
  <c r="O13" i="31"/>
  <c r="L13" i="31"/>
  <c r="M13" i="31"/>
  <c r="N13" i="31"/>
  <c r="K15" i="36"/>
  <c r="K51" i="36" s="1"/>
  <c r="J72" i="36"/>
  <c r="K72" i="36" s="1"/>
  <c r="J91" i="36"/>
  <c r="K90" i="36"/>
  <c r="J99" i="36"/>
  <c r="K95" i="36"/>
  <c r="J78" i="36"/>
  <c r="K77" i="36"/>
  <c r="I100" i="36"/>
  <c r="P12" i="36"/>
  <c r="J44" i="36"/>
  <c r="H45" i="36"/>
  <c r="J97" i="36"/>
  <c r="K97" i="36" s="1"/>
  <c r="L97" i="36" s="1"/>
  <c r="M97" i="36" s="1"/>
  <c r="R97" i="36" s="1"/>
  <c r="S97" i="36" s="1"/>
  <c r="L15" i="36"/>
  <c r="I78" i="36"/>
  <c r="L83" i="36"/>
  <c r="L87" i="36" s="1"/>
  <c r="I91" i="36"/>
  <c r="H19" i="16"/>
  <c r="L65" i="31" l="1"/>
  <c r="O83" i="31"/>
  <c r="N23" i="31"/>
  <c r="N26" i="31"/>
  <c r="N25" i="31"/>
  <c r="Q39" i="31"/>
  <c r="T51" i="31"/>
  <c r="U57" i="31"/>
  <c r="Y93" i="31"/>
  <c r="Y87" i="31"/>
  <c r="W81" i="31"/>
  <c r="W75" i="31"/>
  <c r="V69" i="31"/>
  <c r="K91" i="36"/>
  <c r="K92" i="36" s="1"/>
  <c r="L90" i="36"/>
  <c r="L51" i="36"/>
  <c r="M15" i="36"/>
  <c r="J100" i="36"/>
  <c r="P48" i="36"/>
  <c r="Q12" i="36"/>
  <c r="L95" i="36"/>
  <c r="K99" i="36"/>
  <c r="K78" i="36"/>
  <c r="L77" i="36"/>
  <c r="I19" i="16"/>
  <c r="M68" i="31" l="1"/>
  <c r="M67" i="31"/>
  <c r="M65" i="31" s="1"/>
  <c r="N68" i="31" s="1"/>
  <c r="N67" i="31" s="1"/>
  <c r="N65" i="31" s="1"/>
  <c r="O68" i="31" s="1"/>
  <c r="O67" i="31" s="1"/>
  <c r="O65" i="31" s="1"/>
  <c r="P68" i="31" s="1"/>
  <c r="P67" i="31" s="1"/>
  <c r="P65" i="31" s="1"/>
  <c r="Q68" i="31" s="1"/>
  <c r="Q67" i="31" s="1"/>
  <c r="Q65" i="31" s="1"/>
  <c r="R68" i="31" s="1"/>
  <c r="R67" i="31" s="1"/>
  <c r="R65" i="31" s="1"/>
  <c r="S68" i="31" s="1"/>
  <c r="S67" i="31" s="1"/>
  <c r="S65" i="31" s="1"/>
  <c r="T68" i="31" s="1"/>
  <c r="T67" i="31" s="1"/>
  <c r="T65" i="31" s="1"/>
  <c r="U68" i="31" s="1"/>
  <c r="U67" i="31" s="1"/>
  <c r="U65" i="31" s="1"/>
  <c r="V68" i="31" s="1"/>
  <c r="V67" i="31" s="1"/>
  <c r="V65" i="31" s="1"/>
  <c r="O26" i="31"/>
  <c r="O25" i="31"/>
  <c r="O23" i="31" s="1"/>
  <c r="R39" i="31"/>
  <c r="Z93" i="31"/>
  <c r="Z87" i="31"/>
  <c r="X81" i="31"/>
  <c r="X75" i="31"/>
  <c r="W69" i="31"/>
  <c r="M90" i="36"/>
  <c r="L91" i="36"/>
  <c r="L92" i="36" s="1"/>
  <c r="L93" i="36" s="1"/>
  <c r="K100" i="36"/>
  <c r="K102" i="36"/>
  <c r="M51" i="36"/>
  <c r="N15" i="36"/>
  <c r="M77" i="36"/>
  <c r="L78" i="36"/>
  <c r="M95" i="36"/>
  <c r="L99" i="36"/>
  <c r="Q48" i="36"/>
  <c r="R12" i="36"/>
  <c r="K19" i="16"/>
  <c r="J19" i="16"/>
  <c r="P26" i="31" l="1"/>
  <c r="P25" i="31"/>
  <c r="P23" i="31" s="1"/>
  <c r="AA93" i="31"/>
  <c r="Y81" i="31"/>
  <c r="W68" i="31"/>
  <c r="W67" i="31"/>
  <c r="W65" i="31" s="1"/>
  <c r="N51" i="36"/>
  <c r="O15" i="36"/>
  <c r="S12" i="36"/>
  <c r="S48" i="36" s="1"/>
  <c r="R48" i="36"/>
  <c r="L102" i="36"/>
  <c r="L100" i="36"/>
  <c r="R95" i="36"/>
  <c r="M99" i="36"/>
  <c r="R77" i="36"/>
  <c r="R90" i="36"/>
  <c r="R99" i="36" l="1"/>
  <c r="S95" i="36"/>
  <c r="S99" i="36" s="1"/>
  <c r="S90" i="36"/>
  <c r="L103" i="36"/>
  <c r="S77" i="36"/>
  <c r="P15" i="36"/>
  <c r="O51" i="36"/>
  <c r="M100" i="36"/>
  <c r="H36" i="16"/>
  <c r="G36" i="16"/>
  <c r="K34" i="16"/>
  <c r="L34" i="16"/>
  <c r="M34" i="16"/>
  <c r="N34" i="16"/>
  <c r="K36" i="16"/>
  <c r="L36" i="16"/>
  <c r="M36" i="16"/>
  <c r="N36" i="16"/>
  <c r="L37" i="16"/>
  <c r="J36" i="16"/>
  <c r="I36" i="16"/>
  <c r="G34" i="16"/>
  <c r="H34" i="16"/>
  <c r="I34" i="16"/>
  <c r="J34" i="16"/>
  <c r="F34" i="16"/>
  <c r="F5" i="16"/>
  <c r="K35" i="16" s="1"/>
  <c r="K45" i="16" l="1"/>
  <c r="P8" i="36" s="1"/>
  <c r="P44" i="36" s="1"/>
  <c r="S100" i="36"/>
  <c r="R100" i="36"/>
  <c r="P51" i="36"/>
  <c r="Q15" i="36"/>
  <c r="H41" i="16"/>
  <c r="N35" i="16"/>
  <c r="M35" i="16"/>
  <c r="F41" i="16"/>
  <c r="N37" i="16"/>
  <c r="L35" i="16"/>
  <c r="L42" i="16" s="1"/>
  <c r="M37" i="16"/>
  <c r="K41" i="16"/>
  <c r="L45" i="16"/>
  <c r="K37" i="16"/>
  <c r="K42" i="16" s="1"/>
  <c r="G41" i="16"/>
  <c r="L41" i="16"/>
  <c r="J41" i="16"/>
  <c r="I41" i="16"/>
  <c r="I37" i="16"/>
  <c r="F35" i="16"/>
  <c r="H37" i="16"/>
  <c r="G37" i="16"/>
  <c r="J37" i="16"/>
  <c r="H35" i="16"/>
  <c r="G35" i="16"/>
  <c r="J35" i="16"/>
  <c r="I35" i="16"/>
  <c r="Q51" i="36" l="1"/>
  <c r="R15" i="36"/>
  <c r="K43" i="16"/>
  <c r="K46" i="16"/>
  <c r="F42" i="16"/>
  <c r="F43" i="16" s="1"/>
  <c r="L43" i="16"/>
  <c r="L46" i="16"/>
  <c r="H42" i="16"/>
  <c r="H43" i="16" s="1"/>
  <c r="G42" i="16"/>
  <c r="I42" i="16"/>
  <c r="I43" i="16" s="1"/>
  <c r="J42" i="16"/>
  <c r="J43" i="16" s="1"/>
  <c r="R51" i="36" l="1"/>
  <c r="S15" i="36"/>
  <c r="S51" i="36" s="1"/>
  <c r="G43" i="16"/>
  <c r="L47" i="16"/>
  <c r="K47" i="16"/>
  <c r="G23" i="19" l="1"/>
  <c r="H23" i="19"/>
  <c r="I23" i="19" l="1"/>
  <c r="E42" i="19"/>
  <c r="E45" i="19" s="1"/>
  <c r="D42" i="19"/>
  <c r="F46" i="19" l="1"/>
  <c r="F19" i="19" l="1"/>
  <c r="F52" i="19" s="1"/>
  <c r="F15" i="19"/>
  <c r="F18" i="19" s="1"/>
  <c r="F22" i="19" s="1"/>
  <c r="D15" i="19"/>
  <c r="C15" i="19"/>
  <c r="J86" i="2"/>
  <c r="I16" i="36" s="1"/>
  <c r="I52" i="36" s="1"/>
  <c r="K86" i="2"/>
  <c r="E63" i="3" l="1"/>
  <c r="E66" i="3" s="1"/>
  <c r="E70" i="3" s="1"/>
  <c r="E108" i="25" l="1"/>
  <c r="E231" i="25" s="1"/>
  <c r="E232" i="25" s="1"/>
  <c r="F108" i="25"/>
  <c r="F231" i="25" s="1"/>
  <c r="F232" i="25" s="1"/>
  <c r="G108" i="25"/>
  <c r="G231" i="25" s="1"/>
  <c r="G232" i="25" s="1"/>
  <c r="H108" i="25"/>
  <c r="H231" i="25" s="1"/>
  <c r="H232" i="25" s="1"/>
  <c r="I108" i="25"/>
  <c r="I231" i="25" s="1"/>
  <c r="I232" i="25" s="1"/>
  <c r="J108" i="25"/>
  <c r="J231" i="25" s="1"/>
  <c r="J232" i="25" s="1"/>
  <c r="K108" i="25"/>
  <c r="L108" i="25"/>
  <c r="M108" i="25"/>
  <c r="N108" i="25"/>
  <c r="N231" i="25" s="1"/>
  <c r="N232" i="25" s="1"/>
  <c r="O108" i="25"/>
  <c r="O231" i="25" s="1"/>
  <c r="O232" i="25" s="1"/>
  <c r="P108" i="25"/>
  <c r="P231" i="25" s="1"/>
  <c r="P232" i="25" s="1"/>
  <c r="L231" i="25" l="1"/>
  <c r="L232" i="25" s="1"/>
  <c r="K231" i="25"/>
  <c r="K232" i="25" s="1"/>
  <c r="M231" i="25"/>
  <c r="M232" i="25" s="1"/>
  <c r="G68" i="2"/>
  <c r="E105" i="25" l="1"/>
  <c r="E228" i="25" s="1"/>
  <c r="F105" i="25"/>
  <c r="F228" i="25" s="1"/>
  <c r="G105" i="25"/>
  <c r="G228" i="25" s="1"/>
  <c r="G229" i="25" s="1"/>
  <c r="H105" i="25"/>
  <c r="H228" i="25" s="1"/>
  <c r="I105" i="25"/>
  <c r="I228" i="25" s="1"/>
  <c r="J105" i="25"/>
  <c r="J228" i="25" s="1"/>
  <c r="K105" i="25"/>
  <c r="K228" i="25" s="1"/>
  <c r="L105" i="25"/>
  <c r="L228" i="25" s="1"/>
  <c r="M105" i="25"/>
  <c r="N105" i="25"/>
  <c r="N228" i="25" s="1"/>
  <c r="O105" i="25"/>
  <c r="O228" i="25" s="1"/>
  <c r="P105" i="25"/>
  <c r="P228" i="25" s="1"/>
  <c r="N80" i="30"/>
  <c r="K80" i="30"/>
  <c r="J80" i="30"/>
  <c r="G80" i="30"/>
  <c r="E80" i="30"/>
  <c r="AC88" i="30"/>
  <c r="AB88" i="30"/>
  <c r="AA88" i="30"/>
  <c r="Z88" i="30"/>
  <c r="AC72" i="30"/>
  <c r="AB72" i="30"/>
  <c r="AA72" i="30"/>
  <c r="Z72" i="30"/>
  <c r="I57" i="32"/>
  <c r="P42" i="25"/>
  <c r="P174" i="25" s="1"/>
  <c r="P175" i="25" s="1"/>
  <c r="O42" i="25"/>
  <c r="O174" i="25" s="1"/>
  <c r="O175" i="25" s="1"/>
  <c r="N42" i="25"/>
  <c r="N174" i="25" s="1"/>
  <c r="N175" i="25" s="1"/>
  <c r="M42" i="25"/>
  <c r="M174" i="25" s="1"/>
  <c r="M175" i="25" s="1"/>
  <c r="L42" i="25"/>
  <c r="L174" i="25" s="1"/>
  <c r="L175" i="25" s="1"/>
  <c r="K42" i="25"/>
  <c r="K174" i="25" s="1"/>
  <c r="K175" i="25" s="1"/>
  <c r="J42" i="25"/>
  <c r="J174" i="25" s="1"/>
  <c r="J175" i="25" s="1"/>
  <c r="I42" i="25"/>
  <c r="I174" i="25" s="1"/>
  <c r="I175" i="25" s="1"/>
  <c r="H42" i="25"/>
  <c r="H174" i="25" s="1"/>
  <c r="H175" i="25" s="1"/>
  <c r="G42" i="25"/>
  <c r="G174" i="25" s="1"/>
  <c r="G175" i="25" s="1"/>
  <c r="E42" i="25"/>
  <c r="E174" i="25" s="1"/>
  <c r="F42" i="25"/>
  <c r="F174" i="25" s="1"/>
  <c r="F175" i="25" s="1"/>
  <c r="M228" i="25" l="1"/>
  <c r="M229" i="25" s="1"/>
  <c r="S65" i="30"/>
  <c r="O73" i="2"/>
  <c r="O229" i="25"/>
  <c r="I229" i="25"/>
  <c r="J229" i="25"/>
  <c r="F229" i="25"/>
  <c r="E229" i="25"/>
  <c r="L229" i="25"/>
  <c r="K229" i="25"/>
  <c r="H229" i="25"/>
  <c r="P229" i="25"/>
  <c r="N229" i="25"/>
  <c r="S22" i="30"/>
  <c r="T65" i="30" l="1"/>
  <c r="V65" i="30"/>
  <c r="L32" i="36"/>
  <c r="M83" i="2"/>
  <c r="M32" i="36"/>
  <c r="I30" i="36"/>
  <c r="X65" i="30" l="1"/>
  <c r="W65" i="30"/>
  <c r="P73" i="2"/>
  <c r="Q73" i="2" s="1"/>
  <c r="R73" i="2" s="1"/>
  <c r="S73" i="2" s="1"/>
  <c r="N83" i="2"/>
  <c r="J65" i="30" l="1"/>
  <c r="Y65" i="30"/>
  <c r="K65" i="30"/>
  <c r="T73" i="2"/>
  <c r="I49" i="29"/>
  <c r="J49" i="29"/>
  <c r="K49" i="29"/>
  <c r="L49" i="29"/>
  <c r="N49" i="29"/>
  <c r="O49" i="29"/>
  <c r="P49" i="29"/>
  <c r="Q49" i="29"/>
  <c r="R49" i="29"/>
  <c r="S49" i="29"/>
  <c r="G49" i="29"/>
  <c r="E49" i="29"/>
  <c r="I57" i="33"/>
  <c r="J57" i="33"/>
  <c r="K57" i="33"/>
  <c r="L57" i="33"/>
  <c r="M57" i="33"/>
  <c r="N57" i="33"/>
  <c r="O57" i="33"/>
  <c r="P57" i="33"/>
  <c r="Q57" i="33"/>
  <c r="R57" i="33"/>
  <c r="S57" i="33"/>
  <c r="K58" i="33"/>
  <c r="L58" i="33"/>
  <c r="M58" i="33"/>
  <c r="N58" i="33"/>
  <c r="O58" i="33"/>
  <c r="P58" i="33"/>
  <c r="Q58" i="33"/>
  <c r="R58" i="33"/>
  <c r="S58" i="33"/>
  <c r="I59" i="33"/>
  <c r="J59" i="33"/>
  <c r="K59" i="33"/>
  <c r="L59" i="33"/>
  <c r="M59" i="33"/>
  <c r="N59" i="33"/>
  <c r="O59" i="33"/>
  <c r="P59" i="33"/>
  <c r="Q59" i="33"/>
  <c r="R59" i="33"/>
  <c r="S59" i="33"/>
  <c r="H58" i="33"/>
  <c r="H59" i="33"/>
  <c r="H57" i="33"/>
  <c r="I53" i="33"/>
  <c r="H53" i="33"/>
  <c r="H54" i="33"/>
  <c r="H55" i="33"/>
  <c r="H52" i="33"/>
  <c r="I50" i="33"/>
  <c r="J50" i="33"/>
  <c r="K50" i="33"/>
  <c r="L50" i="33"/>
  <c r="M50" i="33"/>
  <c r="N50" i="33"/>
  <c r="H48" i="33"/>
  <c r="H50" i="33"/>
  <c r="S50" i="33"/>
  <c r="M49" i="29" l="1"/>
  <c r="U49" i="29"/>
  <c r="W49" i="29"/>
  <c r="X49" i="29"/>
  <c r="V49" i="29"/>
  <c r="Y49" i="29"/>
  <c r="L65" i="30"/>
  <c r="O50" i="33"/>
  <c r="U73" i="2"/>
  <c r="N32" i="36"/>
  <c r="Q50" i="33"/>
  <c r="P50" i="33"/>
  <c r="R50" i="33"/>
  <c r="T49" i="29"/>
  <c r="M65" i="30" l="1"/>
  <c r="O83" i="2"/>
  <c r="I39" i="25"/>
  <c r="I171" i="25" l="1"/>
  <c r="I172" i="25" s="1"/>
  <c r="H57" i="32"/>
  <c r="N65" i="30"/>
  <c r="E39" i="25"/>
  <c r="E171" i="25" s="1"/>
  <c r="E172" i="25" s="1"/>
  <c r="F39" i="25"/>
  <c r="F171" i="25" s="1"/>
  <c r="F172" i="25" s="1"/>
  <c r="G39" i="25"/>
  <c r="G171" i="25" s="1"/>
  <c r="G172" i="25" s="1"/>
  <c r="H39" i="25"/>
  <c r="H171" i="25" s="1"/>
  <c r="H172" i="25" s="1"/>
  <c r="J39" i="25"/>
  <c r="K39" i="25"/>
  <c r="L39" i="25"/>
  <c r="M39" i="25"/>
  <c r="M171" i="25" s="1"/>
  <c r="M172" i="25" s="1"/>
  <c r="N39" i="25"/>
  <c r="N171" i="25" s="1"/>
  <c r="N172" i="25" s="1"/>
  <c r="O39" i="25"/>
  <c r="O171" i="25" s="1"/>
  <c r="O172" i="25" s="1"/>
  <c r="P39" i="25"/>
  <c r="P171" i="25" s="1"/>
  <c r="P172" i="25" s="1"/>
  <c r="F61" i="29"/>
  <c r="F69" i="29"/>
  <c r="E67" i="29"/>
  <c r="E62" i="29"/>
  <c r="K171" i="25" l="1"/>
  <c r="K172" i="25" s="1"/>
  <c r="L171" i="25"/>
  <c r="L172" i="25" s="1"/>
  <c r="J171" i="25"/>
  <c r="J172" i="25" s="1"/>
  <c r="K8" i="36"/>
  <c r="J18" i="34"/>
  <c r="O32" i="36"/>
  <c r="I47" i="33"/>
  <c r="H9" i="33"/>
  <c r="H47" i="33" s="1"/>
  <c r="H8" i="33"/>
  <c r="I46" i="33"/>
  <c r="J46" i="33"/>
  <c r="N46" i="33"/>
  <c r="O46" i="33"/>
  <c r="P46" i="33"/>
  <c r="S46" i="33"/>
  <c r="F61" i="32"/>
  <c r="E61" i="32"/>
  <c r="H29" i="36" s="1"/>
  <c r="K20" i="32"/>
  <c r="L20" i="32"/>
  <c r="N20" i="32"/>
  <c r="F62" i="3"/>
  <c r="F67" i="3" s="1"/>
  <c r="G62" i="3"/>
  <c r="G67" i="3" s="1"/>
  <c r="H62" i="3"/>
  <c r="H67" i="3" s="1"/>
  <c r="I62" i="3"/>
  <c r="I67" i="3" s="1"/>
  <c r="J62" i="3"/>
  <c r="J67" i="3" s="1"/>
  <c r="K62" i="3"/>
  <c r="K67" i="3" s="1"/>
  <c r="L67" i="3" s="1"/>
  <c r="L62" i="3"/>
  <c r="M62" i="3"/>
  <c r="M67" i="3" s="1"/>
  <c r="N62" i="3"/>
  <c r="N67" i="3" s="1"/>
  <c r="O62" i="3"/>
  <c r="O67" i="3" s="1"/>
  <c r="P62" i="3"/>
  <c r="P67" i="3" s="1"/>
  <c r="R62" i="3"/>
  <c r="W62" i="3"/>
  <c r="Z62" i="3"/>
  <c r="AD62" i="3"/>
  <c r="AI62" i="3"/>
  <c r="AL62" i="3"/>
  <c r="E62" i="3"/>
  <c r="E67" i="3" s="1"/>
  <c r="J58" i="33"/>
  <c r="I58" i="33"/>
  <c r="F98" i="25"/>
  <c r="K46" i="33" l="1"/>
  <c r="H46" i="33"/>
  <c r="L8" i="36"/>
  <c r="L44" i="36" s="1"/>
  <c r="L8" i="33"/>
  <c r="L46" i="33" s="1"/>
  <c r="M8" i="36"/>
  <c r="M44" i="36" s="1"/>
  <c r="M8" i="33"/>
  <c r="M46" i="33" s="1"/>
  <c r="K44" i="36"/>
  <c r="P83" i="2"/>
  <c r="H31" i="33"/>
  <c r="N214" i="25"/>
  <c r="N142" i="25" s="1"/>
  <c r="N9" i="25" s="1"/>
  <c r="G142" i="25"/>
  <c r="G9" i="25" s="1"/>
  <c r="H142" i="25"/>
  <c r="H9" i="25" s="1"/>
  <c r="P214" i="25"/>
  <c r="P142" i="25" s="1"/>
  <c r="P9" i="25" s="1"/>
  <c r="F142" i="25"/>
  <c r="F9" i="25" s="1"/>
  <c r="L214" i="25"/>
  <c r="L142" i="25" s="1"/>
  <c r="L9" i="25" s="1"/>
  <c r="M214" i="25"/>
  <c r="M142" i="25" s="1"/>
  <c r="M9" i="25" s="1"/>
  <c r="O214" i="25"/>
  <c r="O142" i="25" s="1"/>
  <c r="O9" i="25" s="1"/>
  <c r="E142" i="25"/>
  <c r="E9" i="25" s="1"/>
  <c r="I142" i="25"/>
  <c r="I9" i="25" s="1"/>
  <c r="J142" i="25"/>
  <c r="J9" i="25" s="1"/>
  <c r="K214" i="25"/>
  <c r="K142" i="25" s="1"/>
  <c r="K9" i="25" s="1"/>
  <c r="P16" i="33" l="1"/>
  <c r="P16" i="32"/>
  <c r="O16" i="32"/>
  <c r="N16" i="32"/>
  <c r="L16" i="32"/>
  <c r="K16" i="32"/>
  <c r="J16" i="32"/>
  <c r="P14" i="32"/>
  <c r="O14" i="32"/>
  <c r="N14" i="32"/>
  <c r="L14" i="32"/>
  <c r="K14" i="32"/>
  <c r="P12" i="32"/>
  <c r="O12" i="32"/>
  <c r="N12" i="32"/>
  <c r="L12" i="32"/>
  <c r="K12" i="32"/>
  <c r="J12" i="32"/>
  <c r="I12" i="32"/>
  <c r="H12" i="32"/>
  <c r="G12" i="32"/>
  <c r="F12" i="32"/>
  <c r="F10" i="32"/>
  <c r="G10" i="32"/>
  <c r="H10" i="32"/>
  <c r="I10" i="32"/>
  <c r="J10" i="32"/>
  <c r="K10" i="32"/>
  <c r="L10" i="32"/>
  <c r="N10" i="32"/>
  <c r="O10" i="32"/>
  <c r="P10" i="32"/>
  <c r="H8" i="32"/>
  <c r="I8" i="32"/>
  <c r="J8" i="32"/>
  <c r="K8" i="32"/>
  <c r="L8" i="32"/>
  <c r="N8" i="32"/>
  <c r="O8" i="32"/>
  <c r="P8" i="32"/>
  <c r="F8" i="32"/>
  <c r="E8" i="32"/>
  <c r="E102" i="25"/>
  <c r="E225" i="25" s="1"/>
  <c r="E226" i="25" s="1"/>
  <c r="F102" i="25"/>
  <c r="F225" i="25" s="1"/>
  <c r="F226" i="25" s="1"/>
  <c r="H102" i="25"/>
  <c r="H225" i="25" s="1"/>
  <c r="H226" i="25" s="1"/>
  <c r="I102" i="25"/>
  <c r="I225" i="25" s="1"/>
  <c r="I226" i="25" s="1"/>
  <c r="J102" i="25"/>
  <c r="J225" i="25" s="1"/>
  <c r="J226" i="25" s="1"/>
  <c r="K102" i="25"/>
  <c r="K225" i="25" s="1"/>
  <c r="K226" i="25" s="1"/>
  <c r="L102" i="25"/>
  <c r="L225" i="25" s="1"/>
  <c r="L226" i="25" s="1"/>
  <c r="M102" i="25"/>
  <c r="M225" i="25" s="1"/>
  <c r="M226" i="25" s="1"/>
  <c r="N102" i="25"/>
  <c r="N225" i="25" s="1"/>
  <c r="N226" i="25" s="1"/>
  <c r="O102" i="25"/>
  <c r="O225" i="25" s="1"/>
  <c r="O226" i="25" s="1"/>
  <c r="P102" i="25"/>
  <c r="P225" i="25" s="1"/>
  <c r="P226" i="25" s="1"/>
  <c r="E99" i="25"/>
  <c r="E222" i="25" s="1"/>
  <c r="E223" i="25" s="1"/>
  <c r="F99" i="25"/>
  <c r="F222" i="25" s="1"/>
  <c r="F223" i="25" s="1"/>
  <c r="G99" i="25"/>
  <c r="H99" i="25"/>
  <c r="H222" i="25" s="1"/>
  <c r="H223" i="25" s="1"/>
  <c r="I99" i="25"/>
  <c r="I222" i="25" s="1"/>
  <c r="I223" i="25" s="1"/>
  <c r="J99" i="25"/>
  <c r="J222" i="25" s="1"/>
  <c r="J223" i="25" s="1"/>
  <c r="K99" i="25"/>
  <c r="K222" i="25" s="1"/>
  <c r="K223" i="25" s="1"/>
  <c r="L99" i="25"/>
  <c r="L222" i="25" s="1"/>
  <c r="L223" i="25" s="1"/>
  <c r="M99" i="25"/>
  <c r="M222" i="25" s="1"/>
  <c r="M223" i="25" s="1"/>
  <c r="N99" i="25"/>
  <c r="N222" i="25" s="1"/>
  <c r="N223" i="25" s="1"/>
  <c r="O99" i="25"/>
  <c r="O222" i="25" s="1"/>
  <c r="O223" i="25" s="1"/>
  <c r="P99" i="25"/>
  <c r="P222" i="25" s="1"/>
  <c r="P223" i="25" s="1"/>
  <c r="E96" i="25"/>
  <c r="E219" i="25" s="1"/>
  <c r="E220" i="25" s="1"/>
  <c r="F96" i="25"/>
  <c r="F219" i="25" s="1"/>
  <c r="F220" i="25" s="1"/>
  <c r="G96" i="25"/>
  <c r="H96" i="25"/>
  <c r="I96" i="25"/>
  <c r="I219" i="25" s="1"/>
  <c r="I220" i="25" s="1"/>
  <c r="J96" i="25"/>
  <c r="J219" i="25" s="1"/>
  <c r="J220" i="25" s="1"/>
  <c r="K96" i="25"/>
  <c r="K219" i="25" s="1"/>
  <c r="K220" i="25" s="1"/>
  <c r="L96" i="25"/>
  <c r="L219" i="25" s="1"/>
  <c r="L220" i="25" s="1"/>
  <c r="M96" i="25"/>
  <c r="M219" i="25" s="1"/>
  <c r="M220" i="25" s="1"/>
  <c r="N96" i="25"/>
  <c r="N219" i="25" s="1"/>
  <c r="N220" i="25" s="1"/>
  <c r="O96" i="25"/>
  <c r="O219" i="25" s="1"/>
  <c r="O220" i="25" s="1"/>
  <c r="P96" i="25"/>
  <c r="P219" i="25" s="1"/>
  <c r="P220" i="25" s="1"/>
  <c r="F93" i="25"/>
  <c r="G93" i="25"/>
  <c r="H93" i="25"/>
  <c r="I93" i="25"/>
  <c r="J93" i="25"/>
  <c r="K93" i="25"/>
  <c r="L93" i="25"/>
  <c r="L90" i="25" s="1"/>
  <c r="M93" i="25"/>
  <c r="N93" i="25"/>
  <c r="O93" i="25"/>
  <c r="P93" i="25"/>
  <c r="P90" i="25" s="1"/>
  <c r="E93" i="25"/>
  <c r="E36" i="25"/>
  <c r="E168" i="25" s="1"/>
  <c r="F36" i="25"/>
  <c r="F168" i="25" s="1"/>
  <c r="G36" i="25"/>
  <c r="G168" i="25" s="1"/>
  <c r="H36" i="25"/>
  <c r="H168" i="25" s="1"/>
  <c r="I36" i="25"/>
  <c r="I168" i="25" s="1"/>
  <c r="J36" i="25"/>
  <c r="K36" i="25"/>
  <c r="K168" i="25" s="1"/>
  <c r="L36" i="25"/>
  <c r="L168" i="25" s="1"/>
  <c r="M36" i="25"/>
  <c r="M168" i="25" s="1"/>
  <c r="N36" i="25"/>
  <c r="N168" i="25" s="1"/>
  <c r="O36" i="25"/>
  <c r="O168" i="25" s="1"/>
  <c r="P36" i="25"/>
  <c r="P168" i="25" s="1"/>
  <c r="E33" i="25"/>
  <c r="E165" i="25" s="1"/>
  <c r="F33" i="25"/>
  <c r="F165" i="25" s="1"/>
  <c r="G33" i="25"/>
  <c r="G165" i="25" s="1"/>
  <c r="H33" i="25"/>
  <c r="H165" i="25" s="1"/>
  <c r="I33" i="25"/>
  <c r="I165" i="25" s="1"/>
  <c r="J33" i="25"/>
  <c r="J165" i="25" s="1"/>
  <c r="K33" i="25"/>
  <c r="K165" i="25" s="1"/>
  <c r="L33" i="25"/>
  <c r="M33" i="25"/>
  <c r="N33" i="25"/>
  <c r="O33" i="25"/>
  <c r="O165" i="25" s="1"/>
  <c r="P33" i="25"/>
  <c r="P165" i="25" s="1"/>
  <c r="E30" i="25"/>
  <c r="E162" i="25" s="1"/>
  <c r="F30" i="25"/>
  <c r="F162" i="25" s="1"/>
  <c r="G30" i="25"/>
  <c r="G162" i="25" s="1"/>
  <c r="H30" i="25"/>
  <c r="H162" i="25" s="1"/>
  <c r="I30" i="25"/>
  <c r="I162" i="25" s="1"/>
  <c r="J30" i="25"/>
  <c r="J162" i="25" s="1"/>
  <c r="K30" i="25"/>
  <c r="K162" i="25" s="1"/>
  <c r="L30" i="25"/>
  <c r="L162" i="25" s="1"/>
  <c r="M30" i="25"/>
  <c r="N30" i="25"/>
  <c r="O30" i="25"/>
  <c r="O162" i="25" s="1"/>
  <c r="O18" i="32" s="1"/>
  <c r="P30" i="25"/>
  <c r="P162" i="25" s="1"/>
  <c r="P18" i="32" s="1"/>
  <c r="E27" i="25"/>
  <c r="E159" i="25" s="1"/>
  <c r="F27" i="25"/>
  <c r="F159" i="25" s="1"/>
  <c r="G27" i="25"/>
  <c r="G159" i="25" s="1"/>
  <c r="H27" i="25"/>
  <c r="H159" i="25" s="1"/>
  <c r="I27" i="25"/>
  <c r="I159" i="25" s="1"/>
  <c r="J27" i="25"/>
  <c r="J159" i="25" s="1"/>
  <c r="K159" i="25"/>
  <c r="L27" i="25"/>
  <c r="L159" i="25" s="1"/>
  <c r="M27" i="25"/>
  <c r="M159" i="25" s="1"/>
  <c r="N27" i="25"/>
  <c r="N159" i="25" s="1"/>
  <c r="O27" i="25"/>
  <c r="O159" i="25" s="1"/>
  <c r="P27" i="25"/>
  <c r="P159" i="25" s="1"/>
  <c r="E24" i="25"/>
  <c r="E156" i="25" s="1"/>
  <c r="F24" i="25"/>
  <c r="F156" i="25" s="1"/>
  <c r="F157" i="25" s="1"/>
  <c r="G24" i="25"/>
  <c r="G156" i="25" s="1"/>
  <c r="H24" i="25"/>
  <c r="H156" i="25" s="1"/>
  <c r="I24" i="25"/>
  <c r="I156" i="25" s="1"/>
  <c r="J24" i="25"/>
  <c r="J156" i="25" s="1"/>
  <c r="K24" i="25"/>
  <c r="L24" i="25"/>
  <c r="M24" i="25"/>
  <c r="M156" i="25" s="1"/>
  <c r="N24" i="25"/>
  <c r="N156" i="25" s="1"/>
  <c r="O24" i="25"/>
  <c r="O156" i="25" s="1"/>
  <c r="P24" i="25"/>
  <c r="P156" i="25" s="1"/>
  <c r="E21" i="25"/>
  <c r="E153" i="25" s="1"/>
  <c r="F21" i="25"/>
  <c r="F153" i="25" s="1"/>
  <c r="G21" i="25"/>
  <c r="G153" i="25" s="1"/>
  <c r="H21" i="25"/>
  <c r="H153" i="25" s="1"/>
  <c r="I21" i="25"/>
  <c r="I153" i="25" s="1"/>
  <c r="J21" i="25"/>
  <c r="J153" i="25" s="1"/>
  <c r="K21" i="25"/>
  <c r="K153" i="25" s="1"/>
  <c r="L21" i="25"/>
  <c r="L153" i="25" s="1"/>
  <c r="M21" i="25"/>
  <c r="M153" i="25" s="1"/>
  <c r="N21" i="25"/>
  <c r="N153" i="25" s="1"/>
  <c r="O21" i="25"/>
  <c r="O153" i="25" s="1"/>
  <c r="P21" i="25"/>
  <c r="P153" i="25" s="1"/>
  <c r="E18" i="25"/>
  <c r="E150" i="25" s="1"/>
  <c r="F18" i="25"/>
  <c r="F150" i="25" s="1"/>
  <c r="G18" i="25"/>
  <c r="G150" i="25" s="1"/>
  <c r="H18" i="25"/>
  <c r="H150" i="25" s="1"/>
  <c r="I18" i="25"/>
  <c r="I150" i="25" s="1"/>
  <c r="J18" i="25"/>
  <c r="J150" i="25" s="1"/>
  <c r="K18" i="25"/>
  <c r="K150" i="25" s="1"/>
  <c r="L18" i="25"/>
  <c r="L150" i="25" s="1"/>
  <c r="M18" i="25"/>
  <c r="M150" i="25" s="1"/>
  <c r="N18" i="25"/>
  <c r="N150" i="25" s="1"/>
  <c r="O18" i="25"/>
  <c r="O150" i="25" s="1"/>
  <c r="P18" i="25"/>
  <c r="P150" i="25" s="1"/>
  <c r="F15" i="25"/>
  <c r="G15" i="25"/>
  <c r="H15" i="25"/>
  <c r="I15" i="25"/>
  <c r="J15" i="25"/>
  <c r="K15" i="25"/>
  <c r="L15" i="25"/>
  <c r="M15" i="25"/>
  <c r="N15" i="25"/>
  <c r="O15" i="25"/>
  <c r="P15" i="25"/>
  <c r="P12" i="25" s="1"/>
  <c r="E15" i="25"/>
  <c r="P6" i="32" l="1"/>
  <c r="P58" i="32" s="1"/>
  <c r="S9" i="36" s="1"/>
  <c r="F12" i="25"/>
  <c r="M12" i="25"/>
  <c r="M6" i="25" s="1"/>
  <c r="N90" i="25"/>
  <c r="N7" i="25" s="1"/>
  <c r="M90" i="25"/>
  <c r="O12" i="25"/>
  <c r="O6" i="25" s="1"/>
  <c r="N165" i="25"/>
  <c r="N166" i="25" s="1"/>
  <c r="N6" i="25"/>
  <c r="O90" i="25"/>
  <c r="O7" i="25" s="1"/>
  <c r="J12" i="25"/>
  <c r="I12" i="25"/>
  <c r="I6" i="25" s="1"/>
  <c r="H12" i="25"/>
  <c r="H6" i="25" s="1"/>
  <c r="G12" i="25"/>
  <c r="G6" i="25" s="1"/>
  <c r="K12" i="25"/>
  <c r="K6" i="25" s="1"/>
  <c r="L12" i="25"/>
  <c r="L6" i="25" s="1"/>
  <c r="N162" i="25"/>
  <c r="N6" i="32" s="1"/>
  <c r="N58" i="32" s="1"/>
  <c r="Q9" i="36" s="1"/>
  <c r="M165" i="25"/>
  <c r="M166" i="25" s="1"/>
  <c r="L165" i="25"/>
  <c r="L166" i="25" s="1"/>
  <c r="E12" i="25"/>
  <c r="E6" i="25" s="1"/>
  <c r="M162" i="25"/>
  <c r="M6" i="32" s="1"/>
  <c r="M58" i="32" s="1"/>
  <c r="L156" i="25"/>
  <c r="L157" i="25" s="1"/>
  <c r="K156" i="25"/>
  <c r="K157" i="25" s="1"/>
  <c r="P7" i="25"/>
  <c r="S27" i="33" s="1"/>
  <c r="H90" i="25"/>
  <c r="H7" i="25" s="1"/>
  <c r="M7" i="25"/>
  <c r="I90" i="25"/>
  <c r="I7" i="25" s="1"/>
  <c r="F90" i="25"/>
  <c r="F7" i="25" s="1"/>
  <c r="K90" i="25"/>
  <c r="K7" i="25" s="1"/>
  <c r="J90" i="25"/>
  <c r="J7" i="25" s="1"/>
  <c r="J6" i="32"/>
  <c r="J58" i="32" s="1"/>
  <c r="P6" i="25"/>
  <c r="L6" i="32"/>
  <c r="L58" i="32" s="1"/>
  <c r="L61" i="32" s="1"/>
  <c r="K6" i="32"/>
  <c r="K58" i="32" s="1"/>
  <c r="I6" i="32"/>
  <c r="I58" i="32" s="1"/>
  <c r="O6" i="32"/>
  <c r="O58" i="32" s="1"/>
  <c r="R9" i="36" s="1"/>
  <c r="E90" i="25"/>
  <c r="E7" i="25" s="1"/>
  <c r="J168" i="25"/>
  <c r="J169" i="25" s="1"/>
  <c r="F6" i="25"/>
  <c r="H58" i="32"/>
  <c r="E216" i="25"/>
  <c r="E217" i="25" s="1"/>
  <c r="H219" i="25"/>
  <c r="H220" i="25" s="1"/>
  <c r="G219" i="25"/>
  <c r="G220" i="25" s="1"/>
  <c r="G222" i="25"/>
  <c r="G223" i="25" s="1"/>
  <c r="P216" i="25"/>
  <c r="P217" i="25" s="1"/>
  <c r="O216" i="25"/>
  <c r="O217" i="25" s="1"/>
  <c r="N216" i="25"/>
  <c r="N217" i="25" s="1"/>
  <c r="M216" i="25"/>
  <c r="M217" i="25" s="1"/>
  <c r="L216" i="25"/>
  <c r="L217" i="25" s="1"/>
  <c r="K216" i="25"/>
  <c r="K217" i="25" s="1"/>
  <c r="J216" i="25"/>
  <c r="J217" i="25" s="1"/>
  <c r="P32" i="36"/>
  <c r="I216" i="25"/>
  <c r="I217" i="25" s="1"/>
  <c r="H216" i="25"/>
  <c r="H217" i="25" s="1"/>
  <c r="G216" i="25"/>
  <c r="G217" i="25" s="1"/>
  <c r="F216" i="25"/>
  <c r="F217" i="25" s="1"/>
  <c r="J147" i="25"/>
  <c r="J148" i="25" s="1"/>
  <c r="K147" i="25"/>
  <c r="K148" i="25" s="1"/>
  <c r="E147" i="25"/>
  <c r="E148" i="25" s="1"/>
  <c r="I147" i="25"/>
  <c r="I148" i="25" s="1"/>
  <c r="L147" i="25"/>
  <c r="L148" i="25" s="1"/>
  <c r="H147" i="25"/>
  <c r="H148" i="25" s="1"/>
  <c r="O147" i="25"/>
  <c r="O148" i="25" s="1"/>
  <c r="G147" i="25"/>
  <c r="G148" i="25" s="1"/>
  <c r="P147" i="25"/>
  <c r="P148" i="25" s="1"/>
  <c r="N147" i="25"/>
  <c r="N148" i="25" s="1"/>
  <c r="F147" i="25"/>
  <c r="F148" i="25" s="1"/>
  <c r="M147" i="25"/>
  <c r="M148" i="25" s="1"/>
  <c r="G141" i="25"/>
  <c r="G140" i="25" s="1"/>
  <c r="G8" i="32"/>
  <c r="J141" i="25"/>
  <c r="J140" i="25" s="1"/>
  <c r="I141" i="25"/>
  <c r="I140" i="25" s="1"/>
  <c r="L141" i="25"/>
  <c r="K141" i="25"/>
  <c r="P141" i="25"/>
  <c r="H141" i="25"/>
  <c r="O141" i="25"/>
  <c r="N141" i="25"/>
  <c r="M141" i="25"/>
  <c r="L151" i="25"/>
  <c r="N154" i="25"/>
  <c r="P154" i="25"/>
  <c r="N157" i="25"/>
  <c r="K151" i="25"/>
  <c r="G154" i="25"/>
  <c r="O154" i="25"/>
  <c r="O157" i="25"/>
  <c r="J160" i="25"/>
  <c r="F166" i="25"/>
  <c r="F169" i="25"/>
  <c r="N169" i="25"/>
  <c r="J151" i="25"/>
  <c r="H154" i="25"/>
  <c r="H157" i="25"/>
  <c r="P157" i="25"/>
  <c r="K160" i="25"/>
  <c r="F163" i="25"/>
  <c r="G166" i="25"/>
  <c r="O166" i="25"/>
  <c r="G169" i="25"/>
  <c r="O169" i="25"/>
  <c r="L163" i="25"/>
  <c r="I151" i="25"/>
  <c r="I154" i="25"/>
  <c r="I157" i="25"/>
  <c r="L160" i="25"/>
  <c r="G163" i="25"/>
  <c r="O163" i="25"/>
  <c r="H166" i="25"/>
  <c r="P166" i="25"/>
  <c r="H169" i="25"/>
  <c r="P169" i="25"/>
  <c r="F154" i="25"/>
  <c r="M169" i="25"/>
  <c r="P151" i="25"/>
  <c r="H151" i="25"/>
  <c r="J154" i="25"/>
  <c r="J157" i="25"/>
  <c r="M160" i="25"/>
  <c r="H163" i="25"/>
  <c r="P163" i="25"/>
  <c r="I166" i="25"/>
  <c r="I169" i="25"/>
  <c r="E166" i="25"/>
  <c r="O151" i="25"/>
  <c r="G151" i="25"/>
  <c r="K154" i="25"/>
  <c r="N160" i="25"/>
  <c r="I163" i="25"/>
  <c r="J166" i="25"/>
  <c r="N151" i="25"/>
  <c r="F151" i="25"/>
  <c r="L154" i="25"/>
  <c r="O160" i="25"/>
  <c r="J163" i="25"/>
  <c r="K166" i="25"/>
  <c r="K169" i="25"/>
  <c r="I160" i="25"/>
  <c r="M151" i="25"/>
  <c r="M154" i="25"/>
  <c r="M157" i="25"/>
  <c r="H160" i="25"/>
  <c r="P160" i="25"/>
  <c r="K163" i="25"/>
  <c r="L169" i="25"/>
  <c r="G160" i="25"/>
  <c r="E163" i="25"/>
  <c r="G157" i="25"/>
  <c r="E154" i="25"/>
  <c r="F5" i="32"/>
  <c r="N57" i="32"/>
  <c r="Q8" i="36" s="1"/>
  <c r="O57" i="32"/>
  <c r="R8" i="36" s="1"/>
  <c r="E5" i="32"/>
  <c r="N163" i="25" l="1"/>
  <c r="L7" i="25"/>
  <c r="O25" i="36" s="1"/>
  <c r="L5" i="25"/>
  <c r="M163" i="25"/>
  <c r="O9" i="36"/>
  <c r="O45" i="36" s="1"/>
  <c r="O47" i="33"/>
  <c r="P61" i="32"/>
  <c r="S31" i="33" s="1"/>
  <c r="S9" i="33"/>
  <c r="S47" i="33" s="1"/>
  <c r="R8" i="33"/>
  <c r="R46" i="33" s="1"/>
  <c r="R44" i="36"/>
  <c r="Q8" i="33"/>
  <c r="R9" i="33"/>
  <c r="R47" i="33" s="1"/>
  <c r="O61" i="32"/>
  <c r="R31" i="33" s="1"/>
  <c r="Q9" i="33"/>
  <c r="Q47" i="33" s="1"/>
  <c r="N61" i="32"/>
  <c r="Q31" i="33" s="1"/>
  <c r="P9" i="33"/>
  <c r="P47" i="33" s="1"/>
  <c r="M61" i="32"/>
  <c r="P31" i="33" s="1"/>
  <c r="M9" i="36"/>
  <c r="M45" i="36" s="1"/>
  <c r="M9" i="33"/>
  <c r="M31" i="33" s="1"/>
  <c r="J61" i="32"/>
  <c r="N47" i="33"/>
  <c r="N9" i="36"/>
  <c r="N45" i="36" s="1"/>
  <c r="K61" i="32"/>
  <c r="L25" i="36"/>
  <c r="N25" i="36"/>
  <c r="M25" i="36"/>
  <c r="M76" i="36" s="1"/>
  <c r="M78" i="36" s="1"/>
  <c r="S28" i="33"/>
  <c r="K25" i="36"/>
  <c r="P27" i="33"/>
  <c r="P25" i="36"/>
  <c r="I25" i="36"/>
  <c r="Q27" i="33"/>
  <c r="Q25" i="36"/>
  <c r="R27" i="33"/>
  <c r="R25" i="36"/>
  <c r="P34" i="33"/>
  <c r="Q83" i="2"/>
  <c r="J8" i="25"/>
  <c r="G8" i="25"/>
  <c r="I8" i="25"/>
  <c r="K8" i="25"/>
  <c r="K140" i="25"/>
  <c r="M8" i="25"/>
  <c r="M140" i="25"/>
  <c r="N140" i="25"/>
  <c r="N8" i="25"/>
  <c r="O8" i="25"/>
  <c r="O140" i="25"/>
  <c r="L140" i="25"/>
  <c r="L8" i="25"/>
  <c r="H140" i="25"/>
  <c r="H8" i="25"/>
  <c r="P140" i="25"/>
  <c r="P8" i="25"/>
  <c r="J5" i="25"/>
  <c r="J6" i="25"/>
  <c r="H5" i="25"/>
  <c r="P5" i="25"/>
  <c r="M5" i="25"/>
  <c r="O5" i="25"/>
  <c r="E5" i="25"/>
  <c r="K5" i="25"/>
  <c r="F5" i="25"/>
  <c r="N5" i="25"/>
  <c r="I5" i="25"/>
  <c r="H13" i="37" l="1"/>
  <c r="M47" i="33"/>
  <c r="Q46" i="33"/>
  <c r="Q44" i="36"/>
  <c r="K42" i="19"/>
  <c r="R76" i="36"/>
  <c r="R78" i="36" s="1"/>
  <c r="P28" i="33"/>
  <c r="Q16" i="33"/>
  <c r="J22" i="34"/>
  <c r="J24" i="34" s="1"/>
  <c r="J44" i="34" s="1"/>
  <c r="I11" i="19" l="1"/>
  <c r="Q32" i="36"/>
  <c r="Q34" i="33" l="1"/>
  <c r="R16" i="33" l="1"/>
  <c r="R32" i="36" l="1"/>
  <c r="S83" i="2" l="1"/>
  <c r="R34" i="33"/>
  <c r="S16" i="33" l="1"/>
  <c r="S32" i="36" l="1"/>
  <c r="T83" i="2" l="1"/>
  <c r="I100" i="33"/>
  <c r="J100" i="33" s="1"/>
  <c r="K100" i="33" s="1"/>
  <c r="L100" i="33" s="1"/>
  <c r="M100" i="33" s="1"/>
  <c r="R100" i="33" s="1"/>
  <c r="S100" i="33" s="1"/>
  <c r="I99" i="33"/>
  <c r="I97" i="33"/>
  <c r="J97" i="33" s="1"/>
  <c r="K97" i="33" s="1"/>
  <c r="L97" i="33" s="1"/>
  <c r="M97" i="33" s="1"/>
  <c r="R97" i="33" s="1"/>
  <c r="I92" i="33"/>
  <c r="I93" i="33" s="1"/>
  <c r="L91" i="33"/>
  <c r="M88" i="33"/>
  <c r="L88" i="33"/>
  <c r="I88" i="33"/>
  <c r="J88" i="33" s="1"/>
  <c r="M87" i="33"/>
  <c r="R87" i="33" s="1"/>
  <c r="S87" i="33" s="1"/>
  <c r="L87" i="33"/>
  <c r="I87" i="33"/>
  <c r="L86" i="33"/>
  <c r="M86" i="33" s="1"/>
  <c r="R86" i="33" s="1"/>
  <c r="S86" i="33" s="1"/>
  <c r="I86" i="33"/>
  <c r="J86" i="33" s="1"/>
  <c r="K85" i="33"/>
  <c r="K89" i="33" s="1"/>
  <c r="M78" i="33"/>
  <c r="R78" i="33" s="1"/>
  <c r="H76" i="33"/>
  <c r="M75" i="33"/>
  <c r="R75" i="33" s="1"/>
  <c r="S75" i="33" s="1"/>
  <c r="K75" i="33"/>
  <c r="M74" i="33"/>
  <c r="R74" i="33" s="1"/>
  <c r="S74" i="33" s="1"/>
  <c r="I74" i="33"/>
  <c r="J74" i="33" s="1"/>
  <c r="K74" i="33" s="1"/>
  <c r="L73" i="33"/>
  <c r="K73" i="33"/>
  <c r="J73" i="33"/>
  <c r="I73" i="33"/>
  <c r="M72" i="33"/>
  <c r="R72" i="33" s="1"/>
  <c r="S72" i="33" s="1"/>
  <c r="M71" i="33"/>
  <c r="R71" i="33" s="1"/>
  <c r="S71" i="33" s="1"/>
  <c r="M70" i="33"/>
  <c r="R70" i="33" s="1"/>
  <c r="S70" i="33" s="1"/>
  <c r="I79" i="33"/>
  <c r="I80" i="33" s="1"/>
  <c r="J53" i="33" l="1"/>
  <c r="J92" i="33"/>
  <c r="J93" i="33" s="1"/>
  <c r="J79" i="33"/>
  <c r="J80" i="33" s="1"/>
  <c r="S78" i="33"/>
  <c r="J87" i="33"/>
  <c r="S97" i="33"/>
  <c r="L85" i="33"/>
  <c r="L89" i="33" s="1"/>
  <c r="K79" i="33" l="1"/>
  <c r="L79" i="33" s="1"/>
  <c r="K53" i="33"/>
  <c r="K92" i="33"/>
  <c r="K93" i="33" s="1"/>
  <c r="K94" i="33" s="1"/>
  <c r="K80" i="33" l="1"/>
  <c r="L53" i="33"/>
  <c r="L92" i="33"/>
  <c r="M92" i="33" s="1"/>
  <c r="M79" i="33"/>
  <c r="L80" i="33"/>
  <c r="M53" i="33" l="1"/>
  <c r="L93" i="33"/>
  <c r="L94" i="33" s="1"/>
  <c r="L95" i="33" s="1"/>
  <c r="R92" i="33"/>
  <c r="R79" i="33"/>
  <c r="M80" i="33"/>
  <c r="N53" i="33" l="1"/>
  <c r="S92" i="33"/>
  <c r="S79" i="33"/>
  <c r="S80" i="33" s="1"/>
  <c r="R80" i="33"/>
  <c r="T115" i="2"/>
  <c r="U115" i="2"/>
  <c r="V115" i="2"/>
  <c r="W115" i="2"/>
  <c r="X115" i="2"/>
  <c r="Y115" i="2"/>
  <c r="Z115" i="2"/>
  <c r="AA115" i="2"/>
  <c r="AB115" i="2"/>
  <c r="AC115" i="2"/>
  <c r="AD115" i="2"/>
  <c r="AE115" i="2"/>
  <c r="AF115" i="2"/>
  <c r="AG115" i="2"/>
  <c r="AH115" i="2"/>
  <c r="AI115" i="2"/>
  <c r="AJ115" i="2"/>
  <c r="AK115" i="2"/>
  <c r="AL115" i="2"/>
  <c r="AM115" i="2"/>
  <c r="AN115" i="2"/>
  <c r="AO115" i="2"/>
  <c r="AP115" i="2"/>
  <c r="AQ115" i="2"/>
  <c r="AR115" i="2"/>
  <c r="R112" i="2"/>
  <c r="R109" i="2"/>
  <c r="S109" i="2"/>
  <c r="T109" i="2"/>
  <c r="U109" i="2"/>
  <c r="V109" i="2"/>
  <c r="W109" i="2"/>
  <c r="X109" i="2"/>
  <c r="Y109" i="2"/>
  <c r="Z109" i="2"/>
  <c r="AA109" i="2"/>
  <c r="AB109" i="2"/>
  <c r="AC109" i="2"/>
  <c r="AD109" i="2"/>
  <c r="AE109" i="2"/>
  <c r="AF109" i="2"/>
  <c r="AG109" i="2"/>
  <c r="AH109" i="2"/>
  <c r="AI109" i="2"/>
  <c r="AJ109" i="2"/>
  <c r="AK109" i="2"/>
  <c r="AL109" i="2"/>
  <c r="AM109" i="2"/>
  <c r="AN109" i="2"/>
  <c r="AO109" i="2"/>
  <c r="AP109" i="2"/>
  <c r="AQ109" i="2"/>
  <c r="AR109" i="2"/>
  <c r="P106" i="2"/>
  <c r="S115" i="2"/>
  <c r="R115" i="2"/>
  <c r="Q109" i="2"/>
  <c r="M100" i="2"/>
  <c r="M103" i="2"/>
  <c r="O103" i="2"/>
  <c r="P103" i="2"/>
  <c r="Q103" i="2"/>
  <c r="R103" i="2"/>
  <c r="S103" i="2"/>
  <c r="T103" i="2"/>
  <c r="U103" i="2"/>
  <c r="V103" i="2"/>
  <c r="W103" i="2"/>
  <c r="X103" i="2"/>
  <c r="Y103" i="2"/>
  <c r="Z103" i="2"/>
  <c r="AA103" i="2"/>
  <c r="AB103" i="2"/>
  <c r="AC103" i="2"/>
  <c r="AD103" i="2"/>
  <c r="AE103" i="2"/>
  <c r="AF103" i="2"/>
  <c r="AG103" i="2"/>
  <c r="AH103" i="2"/>
  <c r="AI103" i="2"/>
  <c r="AJ103" i="2"/>
  <c r="AK103" i="2"/>
  <c r="AL103" i="2"/>
  <c r="AM103" i="2"/>
  <c r="AN103" i="2"/>
  <c r="AO103" i="2"/>
  <c r="AP103" i="2"/>
  <c r="AQ103" i="2"/>
  <c r="AR103" i="2"/>
  <c r="N103" i="2"/>
  <c r="AF97" i="2"/>
  <c r="AG97" i="2" s="1"/>
  <c r="AH97" i="2" s="1"/>
  <c r="AI97" i="2" s="1"/>
  <c r="AJ97" i="2" s="1"/>
  <c r="AK97" i="2" s="1"/>
  <c r="AL97" i="2" s="1"/>
  <c r="U97" i="2"/>
  <c r="V97" i="2"/>
  <c r="W97" i="2"/>
  <c r="X97" i="2"/>
  <c r="Y97" i="2"/>
  <c r="Z97" i="2"/>
  <c r="AA97" i="2"/>
  <c r="AB97" i="2"/>
  <c r="AC97" i="2"/>
  <c r="AD97" i="2"/>
  <c r="AE97" i="2"/>
  <c r="T97" i="2"/>
  <c r="M97" i="2"/>
  <c r="N97" i="2"/>
  <c r="O97" i="2"/>
  <c r="P97" i="2"/>
  <c r="Q97" i="2"/>
  <c r="R97" i="2"/>
  <c r="S97" i="2"/>
  <c r="L91" i="2"/>
  <c r="L97" i="2"/>
  <c r="B45" i="3"/>
  <c r="K94" i="2" s="1"/>
  <c r="L95" i="2" s="1"/>
  <c r="B43" i="3"/>
  <c r="B41" i="3"/>
  <c r="B49" i="3"/>
  <c r="B47" i="3"/>
  <c r="A41" i="3" l="1"/>
  <c r="P15" i="33"/>
  <c r="O53" i="33"/>
  <c r="M99" i="2"/>
  <c r="S111" i="2"/>
  <c r="L93" i="2"/>
  <c r="L94" i="2" s="1"/>
  <c r="M95" i="2" s="1"/>
  <c r="Q105" i="2"/>
  <c r="AM97" i="2"/>
  <c r="AN97" i="2" s="1"/>
  <c r="M101" i="2"/>
  <c r="N99" i="2"/>
  <c r="N100" i="2" s="1"/>
  <c r="O99" i="2" s="1"/>
  <c r="O100" i="2" s="1"/>
  <c r="P99" i="2" s="1"/>
  <c r="Q15" i="33" l="1"/>
  <c r="P53" i="33"/>
  <c r="M102" i="2"/>
  <c r="M93" i="2"/>
  <c r="M94" i="2" s="1"/>
  <c r="N93" i="2" s="1"/>
  <c r="L96" i="2"/>
  <c r="O101" i="2"/>
  <c r="O102" i="2" s="1"/>
  <c r="P100" i="2"/>
  <c r="P101" i="2"/>
  <c r="P102" i="2" s="1"/>
  <c r="AO97" i="2"/>
  <c r="R15" i="33" l="1"/>
  <c r="Q53" i="33"/>
  <c r="M96" i="2"/>
  <c r="N95" i="2"/>
  <c r="N96" i="2" s="1"/>
  <c r="Q101" i="2"/>
  <c r="Q99" i="2"/>
  <c r="AP97" i="2"/>
  <c r="N94" i="2"/>
  <c r="R53" i="33" l="1"/>
  <c r="S15" i="33"/>
  <c r="S53" i="33" s="1"/>
  <c r="Q102" i="2"/>
  <c r="Q100" i="2"/>
  <c r="AQ97" i="2"/>
  <c r="O95" i="2"/>
  <c r="O93" i="2"/>
  <c r="O96" i="2" l="1"/>
  <c r="R101" i="2"/>
  <c r="R99" i="2"/>
  <c r="N101" i="2"/>
  <c r="N102" i="2" s="1"/>
  <c r="AR97" i="2"/>
  <c r="O94" i="2"/>
  <c r="R102" i="2" l="1"/>
  <c r="Q107" i="2"/>
  <c r="R100" i="2"/>
  <c r="P95" i="2"/>
  <c r="P93" i="2"/>
  <c r="P96" i="2" l="1"/>
  <c r="Q108" i="2"/>
  <c r="Q106" i="2"/>
  <c r="S101" i="2"/>
  <c r="S99" i="2"/>
  <c r="P94" i="2"/>
  <c r="R107" i="2" l="1"/>
  <c r="R105" i="2"/>
  <c r="R113" i="2"/>
  <c r="R111" i="2"/>
  <c r="S102" i="2"/>
  <c r="S100" i="2"/>
  <c r="Q93" i="2"/>
  <c r="Q95" i="2"/>
  <c r="R108" i="2" l="1"/>
  <c r="Q96" i="2"/>
  <c r="R114" i="2"/>
  <c r="R106" i="2"/>
  <c r="T101" i="2"/>
  <c r="T99" i="2"/>
  <c r="Q94" i="2"/>
  <c r="S107" i="2" l="1"/>
  <c r="S105" i="2"/>
  <c r="S106" i="2" s="1"/>
  <c r="S113" i="2"/>
  <c r="S114" i="2" s="1"/>
  <c r="T102" i="2"/>
  <c r="T100" i="2"/>
  <c r="R95" i="2"/>
  <c r="R93" i="2"/>
  <c r="R96" i="2" s="1"/>
  <c r="T107" i="2" l="1"/>
  <c r="T105" i="2"/>
  <c r="T106" i="2" s="1"/>
  <c r="S108" i="2"/>
  <c r="S112" i="2"/>
  <c r="U101" i="2"/>
  <c r="U99" i="2"/>
  <c r="R94" i="2"/>
  <c r="T113" i="2" l="1"/>
  <c r="T111" i="2"/>
  <c r="U107" i="2"/>
  <c r="U105" i="2"/>
  <c r="T108" i="2"/>
  <c r="U102" i="2"/>
  <c r="U100" i="2"/>
  <c r="S95" i="2"/>
  <c r="S93" i="2"/>
  <c r="S94" i="2" s="1"/>
  <c r="U108" i="2" l="1"/>
  <c r="U106" i="2"/>
  <c r="V105" i="2" s="1"/>
  <c r="T112" i="2"/>
  <c r="T114" i="2"/>
  <c r="V101" i="2"/>
  <c r="V99" i="2"/>
  <c r="T95" i="2"/>
  <c r="T93" i="2"/>
  <c r="T94" i="2" s="1"/>
  <c r="S96" i="2"/>
  <c r="V107" i="2" l="1"/>
  <c r="V108" i="2" s="1"/>
  <c r="V106" i="2"/>
  <c r="W107" i="2" s="1"/>
  <c r="U111" i="2"/>
  <c r="U113" i="2"/>
  <c r="V102" i="2"/>
  <c r="V100" i="2"/>
  <c r="T96" i="2"/>
  <c r="U95" i="2"/>
  <c r="U93" i="2"/>
  <c r="U94" i="2" s="1"/>
  <c r="U114" i="2" l="1"/>
  <c r="W105" i="2"/>
  <c r="W108" i="2" s="1"/>
  <c r="U112" i="2"/>
  <c r="W101" i="2"/>
  <c r="W99" i="2"/>
  <c r="V93" i="2"/>
  <c r="V95" i="2"/>
  <c r="U96" i="2"/>
  <c r="V96" i="2" l="1"/>
  <c r="W106" i="2"/>
  <c r="X107" i="2" s="1"/>
  <c r="V111" i="2"/>
  <c r="V113" i="2"/>
  <c r="W102" i="2"/>
  <c r="W100" i="2"/>
  <c r="V94" i="2"/>
  <c r="X105" i="2" l="1"/>
  <c r="X108" i="2" s="1"/>
  <c r="V114" i="2"/>
  <c r="V112" i="2"/>
  <c r="X101" i="2"/>
  <c r="X99" i="2"/>
  <c r="W95" i="2"/>
  <c r="W93" i="2"/>
  <c r="X106" i="2" l="1"/>
  <c r="Y107" i="2" s="1"/>
  <c r="W96" i="2"/>
  <c r="W113" i="2"/>
  <c r="W111" i="2"/>
  <c r="W114" i="2" s="1"/>
  <c r="X102" i="2"/>
  <c r="X100" i="2"/>
  <c r="W94" i="2"/>
  <c r="Y105" i="2" l="1"/>
  <c r="Y106" i="2" s="1"/>
  <c r="Z107" i="2" s="1"/>
  <c r="W112" i="2"/>
  <c r="Y108" i="2"/>
  <c r="Y101" i="2"/>
  <c r="Y99" i="2"/>
  <c r="X95" i="2"/>
  <c r="X93" i="2"/>
  <c r="Z105" i="2" l="1"/>
  <c r="Z108" i="2" s="1"/>
  <c r="X111" i="2"/>
  <c r="X112" i="2" s="1"/>
  <c r="X113" i="2"/>
  <c r="Y102" i="2"/>
  <c r="Y100" i="2"/>
  <c r="X96" i="2"/>
  <c r="X94" i="2"/>
  <c r="Z106" i="2" l="1"/>
  <c r="Y111" i="2"/>
  <c r="Y112" i="2" s="1"/>
  <c r="Y113" i="2"/>
  <c r="X114" i="2"/>
  <c r="AA107" i="2"/>
  <c r="AA105" i="2"/>
  <c r="AA108" i="2" s="1"/>
  <c r="Z101" i="2"/>
  <c r="Z99" i="2"/>
  <c r="Y93" i="2"/>
  <c r="Y94" i="2" s="1"/>
  <c r="Y95" i="2"/>
  <c r="Z113" i="2" l="1"/>
  <c r="Z111" i="2"/>
  <c r="AA106" i="2"/>
  <c r="Y114" i="2"/>
  <c r="Z102" i="2"/>
  <c r="Z100" i="2"/>
  <c r="Z95" i="2"/>
  <c r="Z93" i="2"/>
  <c r="Z96" i="2" s="1"/>
  <c r="Y96" i="2"/>
  <c r="Z114" i="2" l="1"/>
  <c r="Z112" i="2"/>
  <c r="AB105" i="2"/>
  <c r="AB107" i="2"/>
  <c r="AA101" i="2"/>
  <c r="AA99" i="2"/>
  <c r="Z94" i="2"/>
  <c r="AB108" i="2" l="1"/>
  <c r="AB106" i="2"/>
  <c r="AA113" i="2"/>
  <c r="AA111" i="2"/>
  <c r="AA114" i="2" s="1"/>
  <c r="AA102" i="2"/>
  <c r="AA100" i="2"/>
  <c r="AA95" i="2"/>
  <c r="AA93" i="2"/>
  <c r="AA96" i="2" s="1"/>
  <c r="AA112" i="2" l="1"/>
  <c r="AC105" i="2"/>
  <c r="AC107" i="2"/>
  <c r="AB101" i="2"/>
  <c r="AB99" i="2"/>
  <c r="AA94" i="2"/>
  <c r="AC108" i="2" l="1"/>
  <c r="AC106" i="2"/>
  <c r="AD107" i="2" s="1"/>
  <c r="AB113" i="2"/>
  <c r="AB111" i="2"/>
  <c r="AB102" i="2"/>
  <c r="AB100" i="2"/>
  <c r="AB95" i="2"/>
  <c r="AB93" i="2"/>
  <c r="AD105" i="2" l="1"/>
  <c r="AD108" i="2" s="1"/>
  <c r="AB114" i="2"/>
  <c r="AB96" i="2"/>
  <c r="AB112" i="2"/>
  <c r="AC101" i="2"/>
  <c r="AC99" i="2"/>
  <c r="AB94" i="2"/>
  <c r="AD106" i="2" l="1"/>
  <c r="AE105" i="2" s="1"/>
  <c r="AC111" i="2"/>
  <c r="AC113" i="2"/>
  <c r="AC102" i="2"/>
  <c r="AC100" i="2"/>
  <c r="AC95" i="2"/>
  <c r="AC93" i="2"/>
  <c r="AE107" i="2" l="1"/>
  <c r="AE108" i="2" s="1"/>
  <c r="AC114" i="2"/>
  <c r="AC112" i="2"/>
  <c r="AE106" i="2"/>
  <c r="AD101" i="2"/>
  <c r="AD99" i="2"/>
  <c r="AC96" i="2"/>
  <c r="AC94" i="2"/>
  <c r="AF107" i="2" l="1"/>
  <c r="AF105" i="2"/>
  <c r="AD111" i="2"/>
  <c r="AD113" i="2"/>
  <c r="AD102" i="2"/>
  <c r="AD100" i="2"/>
  <c r="AD93" i="2"/>
  <c r="AD94" i="2" s="1"/>
  <c r="AD95" i="2"/>
  <c r="AF108" i="2" l="1"/>
  <c r="AD114" i="2"/>
  <c r="AF106" i="2"/>
  <c r="AG107" i="2" s="1"/>
  <c r="AD112" i="2"/>
  <c r="AE101" i="2"/>
  <c r="AE99" i="2"/>
  <c r="AE95" i="2"/>
  <c r="AE93" i="2"/>
  <c r="AD96" i="2"/>
  <c r="AG105" i="2" l="1"/>
  <c r="AG108" i="2" s="1"/>
  <c r="AE111" i="2"/>
  <c r="AE112" i="2" s="1"/>
  <c r="AE113" i="2"/>
  <c r="AE102" i="2"/>
  <c r="AE100" i="2"/>
  <c r="AE96" i="2"/>
  <c r="AE94" i="2"/>
  <c r="AG106" i="2" l="1"/>
  <c r="AH105" i="2" s="1"/>
  <c r="AF111" i="2"/>
  <c r="AF112" i="2" s="1"/>
  <c r="AF113" i="2"/>
  <c r="AE114" i="2"/>
  <c r="AF101" i="2"/>
  <c r="AF99" i="2"/>
  <c r="AF95" i="2"/>
  <c r="AF93" i="2"/>
  <c r="AF96" i="2" s="1"/>
  <c r="AH106" i="2" l="1"/>
  <c r="AI107" i="2" s="1"/>
  <c r="AH107" i="2"/>
  <c r="AH108" i="2" s="1"/>
  <c r="AG113" i="2"/>
  <c r="AG111" i="2"/>
  <c r="AG114" i="2" s="1"/>
  <c r="AF114" i="2"/>
  <c r="AF102" i="2"/>
  <c r="AF100" i="2"/>
  <c r="AF94" i="2"/>
  <c r="AI105" i="2" l="1"/>
  <c r="AI108" i="2" s="1"/>
  <c r="AG112" i="2"/>
  <c r="AH113" i="2" s="1"/>
  <c r="AG101" i="2"/>
  <c r="AG99" i="2"/>
  <c r="AG93" i="2"/>
  <c r="AG94" i="2" s="1"/>
  <c r="AG95" i="2"/>
  <c r="AI106" i="2" l="1"/>
  <c r="AH111" i="2"/>
  <c r="AH114" i="2" s="1"/>
  <c r="AG102" i="2"/>
  <c r="AG100" i="2"/>
  <c r="AH95" i="2"/>
  <c r="AH93" i="2"/>
  <c r="AG96" i="2"/>
  <c r="AJ107" i="2" l="1"/>
  <c r="AJ105" i="2"/>
  <c r="AH112" i="2"/>
  <c r="AI113" i="2" s="1"/>
  <c r="AH101" i="2"/>
  <c r="AH99" i="2"/>
  <c r="AH96" i="2"/>
  <c r="AH94" i="2"/>
  <c r="AI111" i="2" l="1"/>
  <c r="AI114" i="2" s="1"/>
  <c r="AJ106" i="2"/>
  <c r="AJ108" i="2"/>
  <c r="AH102" i="2"/>
  <c r="AH100" i="2"/>
  <c r="AI95" i="2"/>
  <c r="AI93" i="2"/>
  <c r="AI112" i="2" l="1"/>
  <c r="AJ111" i="2" s="1"/>
  <c r="AK105" i="2"/>
  <c r="AK107" i="2"/>
  <c r="AI101" i="2"/>
  <c r="AI99" i="2"/>
  <c r="AI96" i="2"/>
  <c r="AI94" i="2"/>
  <c r="AJ113" i="2" l="1"/>
  <c r="AJ114" i="2" s="1"/>
  <c r="AK108" i="2"/>
  <c r="AK106" i="2"/>
  <c r="AJ112" i="2"/>
  <c r="AI102" i="2"/>
  <c r="AI100" i="2"/>
  <c r="AJ95" i="2"/>
  <c r="AJ93" i="2"/>
  <c r="AJ96" i="2" s="1"/>
  <c r="AL107" i="2" l="1"/>
  <c r="AL105" i="2"/>
  <c r="AK111" i="2"/>
  <c r="AK112" i="2" s="1"/>
  <c r="AK113" i="2"/>
  <c r="AJ101" i="2"/>
  <c r="AJ99" i="2"/>
  <c r="AJ94" i="2"/>
  <c r="AL108" i="2" l="1"/>
  <c r="AL106" i="2"/>
  <c r="AL113" i="2"/>
  <c r="AL111" i="2"/>
  <c r="AL114" i="2" s="1"/>
  <c r="AK114" i="2"/>
  <c r="AJ102" i="2"/>
  <c r="AJ100" i="2"/>
  <c r="AK95" i="2"/>
  <c r="AK93" i="2"/>
  <c r="AM107" i="2" l="1"/>
  <c r="AM105" i="2"/>
  <c r="AL112" i="2"/>
  <c r="AK101" i="2"/>
  <c r="AK99" i="2"/>
  <c r="AK96" i="2"/>
  <c r="AK94" i="2"/>
  <c r="AM108" i="2" l="1"/>
  <c r="AM106" i="2"/>
  <c r="AL93" i="2"/>
  <c r="AL94" i="2" s="1"/>
  <c r="AL95" i="2"/>
  <c r="AM111" i="2"/>
  <c r="AM113" i="2"/>
  <c r="AK102" i="2"/>
  <c r="AK100" i="2"/>
  <c r="AL96" i="2" l="1"/>
  <c r="AN107" i="2"/>
  <c r="AN105" i="2"/>
  <c r="AN108" i="2" s="1"/>
  <c r="AM114" i="2"/>
  <c r="AM112" i="2"/>
  <c r="AM95" i="2"/>
  <c r="AM93" i="2"/>
  <c r="AM96" i="2" s="1"/>
  <c r="AL101" i="2"/>
  <c r="AL99" i="2"/>
  <c r="AN106" i="2" l="1"/>
  <c r="AO105" i="2" s="1"/>
  <c r="AO106" i="2" s="1"/>
  <c r="AO107" i="2"/>
  <c r="AM94" i="2"/>
  <c r="AN93" i="2" s="1"/>
  <c r="AN113" i="2"/>
  <c r="AN111" i="2"/>
  <c r="AN114" i="2" s="1"/>
  <c r="AL102" i="2"/>
  <c r="AL100" i="2"/>
  <c r="AP105" i="2" l="1"/>
  <c r="AP106" i="2" s="1"/>
  <c r="AP107" i="2"/>
  <c r="AO108" i="2"/>
  <c r="AN94" i="2"/>
  <c r="AO95" i="2" s="1"/>
  <c r="AN95" i="2"/>
  <c r="AN96" i="2" s="1"/>
  <c r="AO93" i="2"/>
  <c r="AN112" i="2"/>
  <c r="AM101" i="2"/>
  <c r="AM99" i="2"/>
  <c r="AP108" i="2" l="1"/>
  <c r="AO111" i="2"/>
  <c r="AO112" i="2" s="1"/>
  <c r="AO113" i="2"/>
  <c r="AO94" i="2"/>
  <c r="AO96" i="2"/>
  <c r="AQ107" i="2"/>
  <c r="AQ105" i="2"/>
  <c r="AQ108" i="2" s="1"/>
  <c r="AM102" i="2"/>
  <c r="AM100" i="2"/>
  <c r="AP111" i="2" l="1"/>
  <c r="AP112" i="2" s="1"/>
  <c r="AP113" i="2"/>
  <c r="AP93" i="2"/>
  <c r="AP94" i="2" s="1"/>
  <c r="AP95" i="2"/>
  <c r="AO114" i="2"/>
  <c r="AQ106" i="2"/>
  <c r="AN101" i="2"/>
  <c r="AN99" i="2"/>
  <c r="AP96" i="2" l="1"/>
  <c r="AQ93" i="2"/>
  <c r="AQ94" i="2" s="1"/>
  <c r="AQ95" i="2"/>
  <c r="AQ111" i="2"/>
  <c r="AQ113" i="2"/>
  <c r="AP114" i="2"/>
  <c r="AR107" i="2"/>
  <c r="AR105" i="2"/>
  <c r="AN102" i="2"/>
  <c r="AN100" i="2"/>
  <c r="AQ114" i="2" l="1"/>
  <c r="AQ96" i="2"/>
  <c r="AQ112" i="2"/>
  <c r="AR95" i="2"/>
  <c r="AR93" i="2"/>
  <c r="AR108" i="2"/>
  <c r="AR106" i="2"/>
  <c r="AO101" i="2"/>
  <c r="AO99" i="2"/>
  <c r="AR94" i="2" l="1"/>
  <c r="AR96" i="2"/>
  <c r="AR113" i="2"/>
  <c r="AR111" i="2"/>
  <c r="AR114" i="2" s="1"/>
  <c r="AO102" i="2"/>
  <c r="AO100" i="2"/>
  <c r="AR112" i="2" l="1"/>
  <c r="AP101" i="2"/>
  <c r="AP99" i="2"/>
  <c r="AP102" i="2" l="1"/>
  <c r="AP100" i="2"/>
  <c r="AQ101" i="2" l="1"/>
  <c r="AQ99" i="2"/>
  <c r="AQ102" i="2" l="1"/>
  <c r="AQ100" i="2"/>
  <c r="AR99" i="2" s="1"/>
  <c r="AR101" i="2" l="1"/>
  <c r="AR102" i="2" s="1"/>
  <c r="AR100" i="2" l="1"/>
  <c r="P8" i="31" l="1"/>
  <c r="P13" i="31" s="1"/>
  <c r="S25" i="36" s="1"/>
  <c r="S76" i="36" l="1"/>
  <c r="S78" i="36" s="1"/>
  <c r="S56" i="3"/>
  <c r="O52" i="3"/>
  <c r="K36" i="2"/>
  <c r="Q54" i="3" l="1"/>
  <c r="X57" i="3"/>
  <c r="D52" i="3"/>
  <c r="D54" i="3"/>
  <c r="D56" i="3"/>
  <c r="I15" i="34"/>
  <c r="F145" i="25" l="1"/>
  <c r="J46" i="34"/>
  <c r="J50" i="34" s="1"/>
  <c r="E151" i="25"/>
  <c r="I31" i="33" l="1"/>
  <c r="I33" i="33" s="1"/>
  <c r="I36" i="33" s="1"/>
  <c r="I39" i="33" s="1"/>
  <c r="F160" i="25"/>
  <c r="G58" i="32"/>
  <c r="F141" i="25"/>
  <c r="AJ34" i="3"/>
  <c r="AH32" i="3"/>
  <c r="AH30" i="3"/>
  <c r="AH28" i="3"/>
  <c r="AG26" i="3"/>
  <c r="AG62" i="3" s="1"/>
  <c r="AF22" i="3"/>
  <c r="AE20" i="3"/>
  <c r="U50" i="3"/>
  <c r="S46" i="3"/>
  <c r="Q44" i="3"/>
  <c r="Q42" i="3"/>
  <c r="AB40" i="3"/>
  <c r="AN40" i="3" s="1"/>
  <c r="Q39" i="3"/>
  <c r="R39" i="3" s="1"/>
  <c r="S39" i="3" s="1"/>
  <c r="T39" i="3" s="1"/>
  <c r="U39" i="3" s="1"/>
  <c r="V39" i="3" s="1"/>
  <c r="W39" i="3" s="1"/>
  <c r="X39" i="3" s="1"/>
  <c r="Y39" i="3" s="1"/>
  <c r="Z39" i="3" s="1"/>
  <c r="AA39" i="3" s="1"/>
  <c r="AB39" i="3" s="1"/>
  <c r="AC39" i="3" s="1"/>
  <c r="AD39" i="3" s="1"/>
  <c r="AE39" i="3" s="1"/>
  <c r="AF39" i="3" s="1"/>
  <c r="AG39" i="3" s="1"/>
  <c r="AH39" i="3" s="1"/>
  <c r="AI39" i="3" s="1"/>
  <c r="AJ39" i="3" s="1"/>
  <c r="AK39" i="3" s="1"/>
  <c r="AL39" i="3" s="1"/>
  <c r="AM39" i="3" s="1"/>
  <c r="AN39" i="3" s="1"/>
  <c r="AA38" i="3"/>
  <c r="AM38" i="3" s="1"/>
  <c r="AA36" i="3"/>
  <c r="AM36" i="3" s="1"/>
  <c r="X34" i="3"/>
  <c r="Q33" i="3"/>
  <c r="R33" i="3" s="1"/>
  <c r="S33" i="3" s="1"/>
  <c r="T33" i="3" s="1"/>
  <c r="U33" i="3" s="1"/>
  <c r="V33" i="3" s="1"/>
  <c r="W33" i="3" s="1"/>
  <c r="X33" i="3" s="1"/>
  <c r="Y33" i="3" s="1"/>
  <c r="Z33" i="3" s="1"/>
  <c r="AA33" i="3" s="1"/>
  <c r="AB33" i="3" s="1"/>
  <c r="AC33" i="3" s="1"/>
  <c r="AD33" i="3" s="1"/>
  <c r="AE33" i="3" s="1"/>
  <c r="AF33" i="3" s="1"/>
  <c r="AG33" i="3" s="1"/>
  <c r="AH33" i="3" s="1"/>
  <c r="AI33" i="3" s="1"/>
  <c r="AJ33" i="3" s="1"/>
  <c r="AK33" i="3" s="1"/>
  <c r="AL33" i="3" s="1"/>
  <c r="AM33" i="3" s="1"/>
  <c r="AN33" i="3" s="1"/>
  <c r="V32" i="3"/>
  <c r="Q31" i="3"/>
  <c r="R31" i="3" s="1"/>
  <c r="S31" i="3" s="1"/>
  <c r="T31" i="3" s="1"/>
  <c r="U31" i="3" s="1"/>
  <c r="V31" i="3" s="1"/>
  <c r="W31" i="3" s="1"/>
  <c r="X31" i="3" s="1"/>
  <c r="Y31" i="3" s="1"/>
  <c r="Z31" i="3" s="1"/>
  <c r="AA31" i="3" s="1"/>
  <c r="AB31" i="3" s="1"/>
  <c r="AC31" i="3" s="1"/>
  <c r="AD31" i="3" s="1"/>
  <c r="AE31" i="3" s="1"/>
  <c r="AF31" i="3" s="1"/>
  <c r="AG31" i="3" s="1"/>
  <c r="AH31" i="3" s="1"/>
  <c r="AI31" i="3" s="1"/>
  <c r="AJ31" i="3" s="1"/>
  <c r="AK31" i="3" s="1"/>
  <c r="AL31" i="3" s="1"/>
  <c r="AM31" i="3" s="1"/>
  <c r="AN31" i="3" s="1"/>
  <c r="V30" i="3"/>
  <c r="Q29" i="3"/>
  <c r="R29" i="3" s="1"/>
  <c r="S29" i="3" s="1"/>
  <c r="T29" i="3" s="1"/>
  <c r="U29" i="3" s="1"/>
  <c r="V29" i="3" s="1"/>
  <c r="W29" i="3" s="1"/>
  <c r="X29" i="3" s="1"/>
  <c r="Y29" i="3" s="1"/>
  <c r="Z29" i="3" s="1"/>
  <c r="AA29" i="3" s="1"/>
  <c r="AB29" i="3" s="1"/>
  <c r="AC29" i="3" s="1"/>
  <c r="AD29" i="3" s="1"/>
  <c r="AE29" i="3" s="1"/>
  <c r="AF29" i="3" s="1"/>
  <c r="AG29" i="3" s="1"/>
  <c r="AH29" i="3" s="1"/>
  <c r="AI29" i="3" s="1"/>
  <c r="AJ29" i="3" s="1"/>
  <c r="AK29" i="3" s="1"/>
  <c r="AL29" i="3" s="1"/>
  <c r="AM29" i="3" s="1"/>
  <c r="AN29" i="3" s="1"/>
  <c r="V28" i="3"/>
  <c r="Q27" i="3"/>
  <c r="R27" i="3" s="1"/>
  <c r="S27" i="3" s="1"/>
  <c r="T27" i="3" s="1"/>
  <c r="U27" i="3" s="1"/>
  <c r="V27" i="3" s="1"/>
  <c r="W27" i="3" s="1"/>
  <c r="X27" i="3" s="1"/>
  <c r="Y27" i="3" s="1"/>
  <c r="Z27" i="3" s="1"/>
  <c r="AA27" i="3" s="1"/>
  <c r="AB27" i="3" s="1"/>
  <c r="AC27" i="3" s="1"/>
  <c r="AD27" i="3" s="1"/>
  <c r="AE27" i="3" s="1"/>
  <c r="AF27" i="3" s="1"/>
  <c r="AG27" i="3" s="1"/>
  <c r="AH27" i="3" s="1"/>
  <c r="AI27" i="3" s="1"/>
  <c r="AJ27" i="3" s="1"/>
  <c r="AK27" i="3" s="1"/>
  <c r="AL27" i="3" s="1"/>
  <c r="AM27" i="3" s="1"/>
  <c r="AN27" i="3" s="1"/>
  <c r="U26" i="3"/>
  <c r="U62" i="3" s="1"/>
  <c r="Q25" i="3"/>
  <c r="R25" i="3" s="1"/>
  <c r="S25" i="3" s="1"/>
  <c r="T25" i="3" s="1"/>
  <c r="U25" i="3" s="1"/>
  <c r="V25" i="3" s="1"/>
  <c r="W25" i="3" s="1"/>
  <c r="X25" i="3" s="1"/>
  <c r="Y25" i="3" s="1"/>
  <c r="Z25" i="3" s="1"/>
  <c r="AA25" i="3" s="1"/>
  <c r="AB25" i="3" s="1"/>
  <c r="AC25" i="3" s="1"/>
  <c r="AD25" i="3" s="1"/>
  <c r="AE25" i="3" s="1"/>
  <c r="AF25" i="3" s="1"/>
  <c r="AG25" i="3" s="1"/>
  <c r="AH25" i="3" s="1"/>
  <c r="AI25" i="3" s="1"/>
  <c r="AJ25" i="3" s="1"/>
  <c r="AK25" i="3" s="1"/>
  <c r="AL25" i="3" s="1"/>
  <c r="AM25" i="3" s="1"/>
  <c r="AN25" i="3" s="1"/>
  <c r="Q13" i="3"/>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Q17" i="3"/>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Q23" i="3"/>
  <c r="R23" i="3" s="1"/>
  <c r="S23" i="3" s="1"/>
  <c r="T23" i="3" s="1"/>
  <c r="U23" i="3" s="1"/>
  <c r="V23" i="3" s="1"/>
  <c r="W23" i="3" s="1"/>
  <c r="X23" i="3" s="1"/>
  <c r="Y23" i="3" s="1"/>
  <c r="Z23" i="3" s="1"/>
  <c r="AA23" i="3" s="1"/>
  <c r="AB23" i="3" s="1"/>
  <c r="AC23" i="3" s="1"/>
  <c r="AD23" i="3" s="1"/>
  <c r="AE23" i="3" s="1"/>
  <c r="AF23" i="3" s="1"/>
  <c r="AG23" i="3" s="1"/>
  <c r="AH23" i="3" s="1"/>
  <c r="AI23" i="3" s="1"/>
  <c r="AJ23" i="3" s="1"/>
  <c r="AK23" i="3" s="1"/>
  <c r="AL23" i="3" s="1"/>
  <c r="AM23" i="3" s="1"/>
  <c r="AN23" i="3" s="1"/>
  <c r="T24" i="3"/>
  <c r="AF24" i="3" s="1"/>
  <c r="T22" i="3"/>
  <c r="Q21" i="3"/>
  <c r="R21" i="3" s="1"/>
  <c r="S21" i="3" s="1"/>
  <c r="T21" i="3" s="1"/>
  <c r="U21" i="3" s="1"/>
  <c r="V21" i="3" s="1"/>
  <c r="W21" i="3" s="1"/>
  <c r="X21" i="3" s="1"/>
  <c r="Y21" i="3" s="1"/>
  <c r="Z21" i="3" s="1"/>
  <c r="AA21" i="3" s="1"/>
  <c r="AB21" i="3" s="1"/>
  <c r="AC21" i="3" s="1"/>
  <c r="AD21" i="3" s="1"/>
  <c r="AE21" i="3" s="1"/>
  <c r="AF21" i="3" s="1"/>
  <c r="AG21" i="3" s="1"/>
  <c r="AH21" i="3" s="1"/>
  <c r="AI21" i="3" s="1"/>
  <c r="AJ21" i="3" s="1"/>
  <c r="AK21" i="3" s="1"/>
  <c r="AL21" i="3" s="1"/>
  <c r="AM21" i="3" s="1"/>
  <c r="AN21" i="3" s="1"/>
  <c r="S20" i="3"/>
  <c r="Q19" i="3"/>
  <c r="R19" i="3" s="1"/>
  <c r="S19" i="3" s="1"/>
  <c r="T19" i="3" s="1"/>
  <c r="U19" i="3" s="1"/>
  <c r="V19" i="3" s="1"/>
  <c r="W19" i="3" s="1"/>
  <c r="X19" i="3" s="1"/>
  <c r="Y19" i="3" s="1"/>
  <c r="Z19" i="3" s="1"/>
  <c r="AA19" i="3" s="1"/>
  <c r="AB19" i="3" s="1"/>
  <c r="AC19" i="3" s="1"/>
  <c r="AD19" i="3" s="1"/>
  <c r="AE19" i="3" s="1"/>
  <c r="AF19" i="3" s="1"/>
  <c r="AG19" i="3" s="1"/>
  <c r="AH19" i="3" s="1"/>
  <c r="AI19" i="3" s="1"/>
  <c r="AJ19" i="3" s="1"/>
  <c r="AK19" i="3" s="1"/>
  <c r="AL19" i="3" s="1"/>
  <c r="AM19" i="3" s="1"/>
  <c r="AN19" i="3" s="1"/>
  <c r="S18"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Q14" i="3"/>
  <c r="AB12" i="3"/>
  <c r="Q11" i="3"/>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A10" i="3"/>
  <c r="Q9" i="3"/>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Y8" i="3"/>
  <c r="Q7" i="3"/>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J9" i="36" l="1"/>
  <c r="J45" i="36" s="1"/>
  <c r="G61" i="32"/>
  <c r="AC14" i="3"/>
  <c r="Q62" i="3"/>
  <c r="AH62" i="3"/>
  <c r="AN12" i="3"/>
  <c r="AN62" i="3" s="1"/>
  <c r="AB62" i="3"/>
  <c r="AK8" i="3"/>
  <c r="AK62" i="3" s="1"/>
  <c r="Y62" i="3"/>
  <c r="AE18" i="3"/>
  <c r="S62" i="3"/>
  <c r="AM10" i="3"/>
  <c r="AM62" i="3" s="1"/>
  <c r="AA62" i="3"/>
  <c r="T62" i="3"/>
  <c r="V62" i="3"/>
  <c r="AF62" i="3"/>
  <c r="F140" i="25"/>
  <c r="F8" i="25"/>
  <c r="X6" i="3"/>
  <c r="J47" i="33" l="1"/>
  <c r="H61" i="32"/>
  <c r="K9" i="36"/>
  <c r="K45" i="36" s="1"/>
  <c r="I61" i="32"/>
  <c r="L9" i="36"/>
  <c r="L45" i="36" s="1"/>
  <c r="L9" i="33"/>
  <c r="G14" i="19" s="1"/>
  <c r="AJ6" i="3"/>
  <c r="AJ62" i="3" s="1"/>
  <c r="X62" i="3"/>
  <c r="T56" i="3"/>
  <c r="U56" i="3" s="1"/>
  <c r="V56" i="3" s="1"/>
  <c r="W56" i="3" s="1"/>
  <c r="X56" i="3" s="1"/>
  <c r="Y56" i="3" s="1"/>
  <c r="Z56" i="3" s="1"/>
  <c r="AA56" i="3" s="1"/>
  <c r="AB56" i="3" s="1"/>
  <c r="AC56" i="3" s="1"/>
  <c r="AD56" i="3" s="1"/>
  <c r="AE56" i="3" s="1"/>
  <c r="AF56" i="3" s="1"/>
  <c r="AG56" i="3" s="1"/>
  <c r="AH56" i="3" s="1"/>
  <c r="AI56" i="3" s="1"/>
  <c r="AJ56" i="3" s="1"/>
  <c r="AK56" i="3" s="1"/>
  <c r="AL56" i="3" s="1"/>
  <c r="AM56" i="3" s="1"/>
  <c r="AN56" i="3" s="1"/>
  <c r="L47" i="33" l="1"/>
  <c r="L30" i="33"/>
  <c r="K47" i="33"/>
  <c r="AK57" i="3"/>
  <c r="W55" i="3"/>
  <c r="AJ55" i="3" s="1"/>
  <c r="R54" i="3"/>
  <c r="S54" i="3" s="1"/>
  <c r="T54" i="3" s="1"/>
  <c r="U54" i="3" s="1"/>
  <c r="V54" i="3" s="1"/>
  <c r="W54" i="3" s="1"/>
  <c r="X54" i="3" s="1"/>
  <c r="Y54" i="3" s="1"/>
  <c r="Z54" i="3" s="1"/>
  <c r="AA54" i="3" s="1"/>
  <c r="AB54" i="3" s="1"/>
  <c r="AC54" i="3" s="1"/>
  <c r="AD54" i="3" s="1"/>
  <c r="AE54" i="3" s="1"/>
  <c r="AF54" i="3" s="1"/>
  <c r="AG54" i="3" s="1"/>
  <c r="AH54" i="3" s="1"/>
  <c r="AI54" i="3" s="1"/>
  <c r="AJ54" i="3" s="1"/>
  <c r="AK54" i="3" s="1"/>
  <c r="AL54" i="3" s="1"/>
  <c r="AM54" i="3" s="1"/>
  <c r="AN54" i="3" s="1"/>
  <c r="N49" i="3"/>
  <c r="O49" i="3" l="1"/>
  <c r="P49" i="3" s="1"/>
  <c r="Q49" i="3" s="1"/>
  <c r="R49" i="3" s="1"/>
  <c r="S49" i="3" s="1"/>
  <c r="T49" i="3" s="1"/>
  <c r="U49" i="3" s="1"/>
  <c r="V49" i="3" s="1"/>
  <c r="W49" i="3" s="1"/>
  <c r="X49" i="3" s="1"/>
  <c r="Y49" i="3" s="1"/>
  <c r="Z49" i="3" s="1"/>
  <c r="AA49" i="3" s="1"/>
  <c r="AB49" i="3" s="1"/>
  <c r="AC49" i="3" s="1"/>
  <c r="AD49" i="3" s="1"/>
  <c r="AE49" i="3" s="1"/>
  <c r="AF49" i="3" s="1"/>
  <c r="AG49" i="3" s="1"/>
  <c r="AH49" i="3" s="1"/>
  <c r="AI49" i="3" s="1"/>
  <c r="AJ49" i="3" s="1"/>
  <c r="AK49" i="3" s="1"/>
  <c r="AL49" i="3" s="1"/>
  <c r="AM49" i="3" s="1"/>
  <c r="AN49" i="3" s="1"/>
  <c r="AG50" i="3"/>
  <c r="M45" i="3"/>
  <c r="N45" i="3" s="1"/>
  <c r="O45" i="3" l="1"/>
  <c r="P45" i="3" s="1"/>
  <c r="Q45" i="3" s="1"/>
  <c r="R45" i="3" s="1"/>
  <c r="S45" i="3" s="1"/>
  <c r="T45" i="3" s="1"/>
  <c r="U45" i="3" s="1"/>
  <c r="V45" i="3" s="1"/>
  <c r="W45" i="3" s="1"/>
  <c r="X45" i="3" s="1"/>
  <c r="Y45" i="3" s="1"/>
  <c r="Z45" i="3" s="1"/>
  <c r="AA45" i="3" s="1"/>
  <c r="AB45" i="3" s="1"/>
  <c r="AC45" i="3" s="1"/>
  <c r="AD45" i="3" s="1"/>
  <c r="AE45" i="3" s="1"/>
  <c r="AF45" i="3" s="1"/>
  <c r="AG45" i="3" s="1"/>
  <c r="AH45" i="3" s="1"/>
  <c r="AI45" i="3" s="1"/>
  <c r="AJ45" i="3" s="1"/>
  <c r="AK45" i="3" s="1"/>
  <c r="AL45" i="3" s="1"/>
  <c r="AM45" i="3" s="1"/>
  <c r="AN45" i="3" s="1"/>
  <c r="AE46" i="3"/>
  <c r="AE62" i="3" s="1"/>
  <c r="L47" i="3"/>
  <c r="T48" i="3" l="1"/>
  <c r="M47" i="3"/>
  <c r="N47" i="3" s="1"/>
  <c r="O47" i="3" l="1"/>
  <c r="P47" i="3" s="1"/>
  <c r="Q47" i="3" s="1"/>
  <c r="R47" i="3" s="1"/>
  <c r="S47" i="3" s="1"/>
  <c r="T47" i="3" s="1"/>
  <c r="U47" i="3" s="1"/>
  <c r="V47" i="3" s="1"/>
  <c r="W47" i="3" s="1"/>
  <c r="X47" i="3" s="1"/>
  <c r="Y47" i="3" s="1"/>
  <c r="Z47" i="3" s="1"/>
  <c r="AA47" i="3" s="1"/>
  <c r="AB47" i="3" s="1"/>
  <c r="AC47" i="3" s="1"/>
  <c r="AD47" i="3" s="1"/>
  <c r="AE47" i="3" s="1"/>
  <c r="AF47" i="3" s="1"/>
  <c r="AG47" i="3" s="1"/>
  <c r="AH47" i="3" s="1"/>
  <c r="AI47" i="3" s="1"/>
  <c r="AJ47" i="3" s="1"/>
  <c r="AK47" i="3" s="1"/>
  <c r="AL47" i="3" s="1"/>
  <c r="AM47" i="3" s="1"/>
  <c r="AN47" i="3" s="1"/>
  <c r="AF48" i="3"/>
  <c r="L43" i="3"/>
  <c r="M43" i="3" s="1"/>
  <c r="N43" i="3" s="1"/>
  <c r="O43" i="3" l="1"/>
  <c r="P43" i="3" s="1"/>
  <c r="Q43" i="3" s="1"/>
  <c r="R43" i="3" s="1"/>
  <c r="S43" i="3" s="1"/>
  <c r="T43" i="3" s="1"/>
  <c r="U43" i="3" s="1"/>
  <c r="V43" i="3" s="1"/>
  <c r="W43" i="3" s="1"/>
  <c r="X43" i="3" s="1"/>
  <c r="Y43" i="3" s="1"/>
  <c r="Z43" i="3" s="1"/>
  <c r="AA43" i="3" s="1"/>
  <c r="AB43" i="3" s="1"/>
  <c r="AC43" i="3" s="1"/>
  <c r="AD43" i="3" s="1"/>
  <c r="AE43" i="3" s="1"/>
  <c r="AF43" i="3" s="1"/>
  <c r="AG43" i="3" s="1"/>
  <c r="AH43" i="3" s="1"/>
  <c r="AI43" i="3" s="1"/>
  <c r="AJ43" i="3" s="1"/>
  <c r="AK43" i="3" s="1"/>
  <c r="AL43" i="3" s="1"/>
  <c r="AM43" i="3" s="1"/>
  <c r="AN43" i="3" s="1"/>
  <c r="AC44" i="3"/>
  <c r="F5" i="3"/>
  <c r="K41" i="3"/>
  <c r="L41" i="3" s="1"/>
  <c r="M41" i="3" s="1"/>
  <c r="N41" i="3" s="1"/>
  <c r="O41" i="3" l="1"/>
  <c r="P41" i="3" s="1"/>
  <c r="Q41" i="3" s="1"/>
  <c r="R41" i="3" s="1"/>
  <c r="S41" i="3" s="1"/>
  <c r="T41" i="3" s="1"/>
  <c r="U41" i="3" s="1"/>
  <c r="V41" i="3" s="1"/>
  <c r="W41" i="3" s="1"/>
  <c r="X41" i="3" s="1"/>
  <c r="Y41" i="3" s="1"/>
  <c r="Z41" i="3" s="1"/>
  <c r="AA41" i="3" s="1"/>
  <c r="AB41" i="3" s="1"/>
  <c r="AC41" i="3" s="1"/>
  <c r="AD41" i="3" s="1"/>
  <c r="AE41" i="3" s="1"/>
  <c r="AF41" i="3" s="1"/>
  <c r="AG41" i="3" s="1"/>
  <c r="AH41" i="3" s="1"/>
  <c r="AI41" i="3" s="1"/>
  <c r="AJ41" i="3" s="1"/>
  <c r="AK41" i="3" s="1"/>
  <c r="AL41" i="3" s="1"/>
  <c r="AM41" i="3" s="1"/>
  <c r="AN41" i="3" s="1"/>
  <c r="AC42" i="3"/>
  <c r="AC62" i="3" s="1"/>
  <c r="C62" i="3" s="1"/>
  <c r="G5" i="3"/>
  <c r="G60" i="3" l="1"/>
  <c r="G63" i="3"/>
  <c r="H11" i="36"/>
  <c r="H11" i="33"/>
  <c r="H5" i="3"/>
  <c r="G66" i="3" l="1"/>
  <c r="G70" i="3" s="1"/>
  <c r="J10" i="36" s="1"/>
  <c r="H49" i="33"/>
  <c r="H51" i="33" s="1"/>
  <c r="H56" i="33" s="1"/>
  <c r="H60" i="33" s="1"/>
  <c r="H13" i="33"/>
  <c r="H18" i="33" s="1"/>
  <c r="H22" i="33" s="1"/>
  <c r="H47" i="36"/>
  <c r="H49" i="36" s="1"/>
  <c r="H54" i="36" s="1"/>
  <c r="H58" i="36" s="1"/>
  <c r="I11" i="36"/>
  <c r="H13" i="36"/>
  <c r="H18" i="36" s="1"/>
  <c r="H22" i="36" s="1"/>
  <c r="H24" i="36" s="1"/>
  <c r="J48" i="33"/>
  <c r="I5" i="3"/>
  <c r="J5" i="3" s="1"/>
  <c r="H24" i="33" l="1"/>
  <c r="H33" i="33" s="1"/>
  <c r="H36" i="33" s="1"/>
  <c r="H39" i="33" s="1"/>
  <c r="H41" i="33" s="1"/>
  <c r="I40" i="33" s="1"/>
  <c r="H31" i="36"/>
  <c r="H34" i="36" s="1"/>
  <c r="H37" i="36" s="1"/>
  <c r="H39" i="36" s="1"/>
  <c r="J46" i="36"/>
  <c r="J11" i="36"/>
  <c r="J13" i="36" s="1"/>
  <c r="I47" i="36"/>
  <c r="I49" i="33"/>
  <c r="K5" i="3"/>
  <c r="I38" i="36" l="1"/>
  <c r="F17" i="31"/>
  <c r="K11" i="36"/>
  <c r="J47" i="36"/>
  <c r="J49" i="36" s="1"/>
  <c r="J49" i="33"/>
  <c r="J51" i="33" s="1"/>
  <c r="L5" i="3"/>
  <c r="K49" i="33" l="1"/>
  <c r="K47" i="36"/>
  <c r="L11" i="36"/>
  <c r="M5" i="3"/>
  <c r="L49" i="33" l="1"/>
  <c r="L47" i="36"/>
  <c r="M11" i="36"/>
  <c r="N5" i="3"/>
  <c r="M49" i="33" l="1"/>
  <c r="M47" i="36"/>
  <c r="N11" i="36"/>
  <c r="O5" i="3"/>
  <c r="N47" i="36" l="1"/>
  <c r="N49" i="33"/>
  <c r="P5" i="3"/>
  <c r="O49" i="33" l="1"/>
  <c r="P11" i="33"/>
  <c r="P11" i="36"/>
  <c r="O47" i="36"/>
  <c r="Q5" i="3"/>
  <c r="J37" i="3"/>
  <c r="L37" i="3"/>
  <c r="N37" i="3"/>
  <c r="P37" i="3"/>
  <c r="Q37" i="3" s="1"/>
  <c r="R37" i="3" s="1"/>
  <c r="S37" i="3" s="1"/>
  <c r="T37" i="3" s="1"/>
  <c r="U37" i="3" s="1"/>
  <c r="V37" i="3" s="1"/>
  <c r="W37" i="3" s="1"/>
  <c r="X37" i="3" s="1"/>
  <c r="Y37" i="3" s="1"/>
  <c r="Z37" i="3" s="1"/>
  <c r="AA37" i="3" s="1"/>
  <c r="AB37" i="3" s="1"/>
  <c r="AC37" i="3" s="1"/>
  <c r="AD37" i="3" s="1"/>
  <c r="AE37" i="3" s="1"/>
  <c r="AF37" i="3" s="1"/>
  <c r="AG37" i="3" s="1"/>
  <c r="AH37" i="3" s="1"/>
  <c r="AI37" i="3" s="1"/>
  <c r="AJ37" i="3" s="1"/>
  <c r="AK37" i="3" s="1"/>
  <c r="AL37" i="3" s="1"/>
  <c r="AM37" i="3" s="1"/>
  <c r="AN37" i="3" s="1"/>
  <c r="H37" i="3"/>
  <c r="Q11" i="36" l="1"/>
  <c r="P47" i="36"/>
  <c r="P49" i="33"/>
  <c r="Q11" i="33"/>
  <c r="R5" i="3"/>
  <c r="E33" i="3"/>
  <c r="E60" i="3" s="1"/>
  <c r="F27" i="3"/>
  <c r="H35" i="3"/>
  <c r="Q49" i="33" l="1"/>
  <c r="R11" i="33"/>
  <c r="H60" i="3"/>
  <c r="H63" i="3"/>
  <c r="F60" i="3"/>
  <c r="F63" i="3"/>
  <c r="R11" i="36"/>
  <c r="Q47" i="36"/>
  <c r="S5" i="3"/>
  <c r="I35" i="3"/>
  <c r="H66" i="3" l="1"/>
  <c r="H70" i="3" s="1"/>
  <c r="K10" i="36" s="1"/>
  <c r="F66" i="3"/>
  <c r="F70" i="3" s="1"/>
  <c r="I10" i="36" s="1"/>
  <c r="K48" i="33"/>
  <c r="K51" i="33" s="1"/>
  <c r="R49" i="33"/>
  <c r="S11" i="33"/>
  <c r="S11" i="36"/>
  <c r="R47" i="36"/>
  <c r="I60" i="3"/>
  <c r="I63" i="3"/>
  <c r="T5" i="3"/>
  <c r="J35" i="3"/>
  <c r="I66" i="3" l="1"/>
  <c r="I70" i="3" s="1"/>
  <c r="L10" i="36"/>
  <c r="S47" i="36"/>
  <c r="J63" i="3"/>
  <c r="J60" i="3"/>
  <c r="S49" i="33"/>
  <c r="G44" i="19"/>
  <c r="G45" i="19" s="1"/>
  <c r="I46" i="36"/>
  <c r="I49" i="36" s="1"/>
  <c r="I13" i="36"/>
  <c r="L48" i="33"/>
  <c r="L51" i="33" s="1"/>
  <c r="I48" i="33"/>
  <c r="I51" i="33" s="1"/>
  <c r="K46" i="36"/>
  <c r="K49" i="36" s="1"/>
  <c r="K13" i="36"/>
  <c r="U5" i="3"/>
  <c r="K35" i="3"/>
  <c r="J44" i="19" l="1"/>
  <c r="J66" i="3"/>
  <c r="J70" i="3" s="1"/>
  <c r="M10" i="36" s="1"/>
  <c r="K60" i="3"/>
  <c r="K63" i="3"/>
  <c r="L46" i="36"/>
  <c r="L49" i="36" s="1"/>
  <c r="L13" i="36"/>
  <c r="V5" i="3"/>
  <c r="L35" i="3"/>
  <c r="K66" i="3" l="1"/>
  <c r="K70" i="3" s="1"/>
  <c r="N10" i="36"/>
  <c r="M46" i="36"/>
  <c r="M49" i="36" s="1"/>
  <c r="M13" i="36"/>
  <c r="L60" i="3"/>
  <c r="L63" i="3"/>
  <c r="M48" i="33"/>
  <c r="M51" i="33" s="1"/>
  <c r="W5" i="3"/>
  <c r="M35" i="3"/>
  <c r="E175" i="25" l="1"/>
  <c r="L66" i="3"/>
  <c r="L70" i="3" s="1"/>
  <c r="O10" i="36"/>
  <c r="M60" i="3"/>
  <c r="M63" i="3"/>
  <c r="N48" i="33"/>
  <c r="N51" i="33" s="1"/>
  <c r="N46" i="36"/>
  <c r="N49" i="36" s="1"/>
  <c r="N13" i="36"/>
  <c r="E160" i="25"/>
  <c r="X5" i="3"/>
  <c r="N35" i="3"/>
  <c r="M66" i="3" l="1"/>
  <c r="M70" i="3" s="1"/>
  <c r="P10" i="36"/>
  <c r="O46" i="36"/>
  <c r="O49" i="36" s="1"/>
  <c r="O13" i="36"/>
  <c r="P48" i="33"/>
  <c r="P51" i="33" s="1"/>
  <c r="O48" i="33"/>
  <c r="O51" i="33" s="1"/>
  <c r="N63" i="3"/>
  <c r="N60" i="3"/>
  <c r="Y5" i="3"/>
  <c r="O35" i="3"/>
  <c r="R37" i="30"/>
  <c r="S37" i="30"/>
  <c r="S79" i="30"/>
  <c r="S84" i="30"/>
  <c r="S83" i="30" l="1"/>
  <c r="S81" i="30"/>
  <c r="N66" i="3"/>
  <c r="N70" i="3" s="1"/>
  <c r="Q10" i="36"/>
  <c r="O63" i="3"/>
  <c r="O66" i="3" s="1"/>
  <c r="O70" i="3" s="1"/>
  <c r="R10" i="36" s="1"/>
  <c r="O60" i="3"/>
  <c r="Q10" i="33"/>
  <c r="P46" i="36"/>
  <c r="T84" i="30"/>
  <c r="T83" i="30"/>
  <c r="T79" i="30"/>
  <c r="T81" i="30"/>
  <c r="Z5" i="3"/>
  <c r="P35" i="3"/>
  <c r="P63" i="3" s="1"/>
  <c r="T37" i="30"/>
  <c r="T22" i="30"/>
  <c r="U54" i="29"/>
  <c r="V10" i="29"/>
  <c r="V14" i="29"/>
  <c r="V16" i="29"/>
  <c r="V19" i="29"/>
  <c r="V13" i="29"/>
  <c r="V6" i="29"/>
  <c r="V7" i="29"/>
  <c r="V8" i="29"/>
  <c r="V9" i="29"/>
  <c r="V12" i="29"/>
  <c r="U13" i="29"/>
  <c r="U14" i="29"/>
  <c r="U16" i="29"/>
  <c r="U19" i="29"/>
  <c r="U9" i="29"/>
  <c r="U7" i="29"/>
  <c r="U8" i="29"/>
  <c r="U6" i="29"/>
  <c r="Y13" i="29"/>
  <c r="Y14" i="29"/>
  <c r="Y16" i="29"/>
  <c r="Y19" i="29"/>
  <c r="Y9" i="29"/>
  <c r="Y8" i="29"/>
  <c r="Y7" i="29"/>
  <c r="Y6" i="29"/>
  <c r="X14" i="29"/>
  <c r="X16" i="29"/>
  <c r="X19" i="29"/>
  <c r="X13" i="29"/>
  <c r="X54" i="29"/>
  <c r="X9" i="29"/>
  <c r="X8" i="29"/>
  <c r="X7" i="29"/>
  <c r="X6" i="29"/>
  <c r="W6" i="29"/>
  <c r="W13" i="29"/>
  <c r="W14" i="29"/>
  <c r="W16" i="29"/>
  <c r="W19" i="29"/>
  <c r="W9" i="29"/>
  <c r="W8" i="29"/>
  <c r="W7" i="29"/>
  <c r="I12" i="29"/>
  <c r="J12" i="29"/>
  <c r="K12" i="29"/>
  <c r="L12" i="29"/>
  <c r="G12" i="29"/>
  <c r="E12" i="29"/>
  <c r="M18" i="29"/>
  <c r="E48" i="29"/>
  <c r="G48" i="29"/>
  <c r="I48" i="29"/>
  <c r="J48" i="29"/>
  <c r="K48" i="29"/>
  <c r="L48" i="29"/>
  <c r="N48" i="29"/>
  <c r="O48" i="29"/>
  <c r="P48" i="29"/>
  <c r="Q48" i="29"/>
  <c r="R48" i="29"/>
  <c r="S48" i="29"/>
  <c r="E50" i="29"/>
  <c r="G50" i="29"/>
  <c r="I50" i="29"/>
  <c r="J50" i="29"/>
  <c r="K50" i="29"/>
  <c r="L50" i="29"/>
  <c r="N50" i="29"/>
  <c r="O50" i="29"/>
  <c r="P50" i="29"/>
  <c r="Q50" i="29"/>
  <c r="R50" i="29"/>
  <c r="S50" i="29"/>
  <c r="E51" i="29"/>
  <c r="G51" i="29"/>
  <c r="I51" i="29"/>
  <c r="J51" i="29"/>
  <c r="K51" i="29"/>
  <c r="L51" i="29"/>
  <c r="N51" i="29"/>
  <c r="O51" i="29"/>
  <c r="P51" i="29"/>
  <c r="Q51" i="29"/>
  <c r="R51" i="29"/>
  <c r="S51" i="29"/>
  <c r="S55" i="30" l="1"/>
  <c r="S63" i="30"/>
  <c r="S64" i="30"/>
  <c r="S60" i="30"/>
  <c r="S61" i="30"/>
  <c r="S57" i="30"/>
  <c r="S58" i="30"/>
  <c r="S56" i="30"/>
  <c r="S59" i="30"/>
  <c r="M50" i="29"/>
  <c r="V50" i="29"/>
  <c r="W50" i="29"/>
  <c r="X50" i="29"/>
  <c r="Y50" i="29"/>
  <c r="U50" i="29"/>
  <c r="T51" i="29"/>
  <c r="Y51" i="29"/>
  <c r="U51" i="29"/>
  <c r="V51" i="29"/>
  <c r="W51" i="29"/>
  <c r="X51" i="29"/>
  <c r="M48" i="29"/>
  <c r="X48" i="29"/>
  <c r="U48" i="29"/>
  <c r="Y48" i="29"/>
  <c r="V48" i="29"/>
  <c r="W48" i="29"/>
  <c r="S10" i="33"/>
  <c r="Q46" i="36"/>
  <c r="Q48" i="33"/>
  <c r="Q51" i="33" s="1"/>
  <c r="R10" i="33"/>
  <c r="R48" i="33" s="1"/>
  <c r="R51" i="33" s="1"/>
  <c r="U83" i="30"/>
  <c r="E83" i="30"/>
  <c r="U79" i="30"/>
  <c r="D22" i="30"/>
  <c r="D70" i="30" s="1"/>
  <c r="U81" i="30"/>
  <c r="U84" i="30"/>
  <c r="T50" i="29"/>
  <c r="E66" i="29"/>
  <c r="R86" i="30" s="1"/>
  <c r="R88" i="30" s="1"/>
  <c r="F65" i="29"/>
  <c r="Q35" i="3"/>
  <c r="Q63" i="3" s="1"/>
  <c r="AA5" i="3"/>
  <c r="U37" i="30"/>
  <c r="U22" i="30"/>
  <c r="U18" i="29"/>
  <c r="V18" i="29"/>
  <c r="X18" i="29"/>
  <c r="Y18" i="29"/>
  <c r="W18" i="29"/>
  <c r="T48" i="29"/>
  <c r="T18" i="29"/>
  <c r="M51" i="29"/>
  <c r="H56" i="29"/>
  <c r="M6" i="29"/>
  <c r="T6" i="29"/>
  <c r="M7" i="29"/>
  <c r="T7" i="29"/>
  <c r="M8" i="29"/>
  <c r="T8" i="29"/>
  <c r="M13" i="29"/>
  <c r="T13" i="29"/>
  <c r="J68" i="29"/>
  <c r="M9" i="29"/>
  <c r="T9" i="29"/>
  <c r="M14" i="29"/>
  <c r="T14" i="29"/>
  <c r="M16" i="29"/>
  <c r="T16" i="29"/>
  <c r="E17" i="29"/>
  <c r="G17" i="29"/>
  <c r="I17" i="29"/>
  <c r="J17" i="29"/>
  <c r="K17" i="29"/>
  <c r="L17" i="29"/>
  <c r="N17" i="29"/>
  <c r="O17" i="29"/>
  <c r="P17" i="29"/>
  <c r="Q17" i="29"/>
  <c r="R17" i="29"/>
  <c r="S17" i="29"/>
  <c r="M19" i="29"/>
  <c r="T19" i="29"/>
  <c r="E10" i="29"/>
  <c r="G10" i="29"/>
  <c r="I10" i="29"/>
  <c r="J10" i="29"/>
  <c r="K10" i="29"/>
  <c r="L10" i="29"/>
  <c r="N10" i="29"/>
  <c r="O10" i="29"/>
  <c r="P10" i="29"/>
  <c r="Q10" i="29"/>
  <c r="R10" i="29"/>
  <c r="S10" i="29"/>
  <c r="E11" i="29"/>
  <c r="G11" i="29"/>
  <c r="I11" i="29"/>
  <c r="J11" i="29"/>
  <c r="K11" i="29"/>
  <c r="L11" i="29"/>
  <c r="E21" i="29"/>
  <c r="G21" i="29"/>
  <c r="I21" i="29"/>
  <c r="J21" i="29"/>
  <c r="K21" i="29"/>
  <c r="L21" i="29"/>
  <c r="N21" i="29"/>
  <c r="O21" i="29"/>
  <c r="P21" i="29"/>
  <c r="Q21" i="29"/>
  <c r="R21" i="29"/>
  <c r="S21" i="29"/>
  <c r="E22" i="29"/>
  <c r="G22" i="29"/>
  <c r="I22" i="29"/>
  <c r="J22" i="29"/>
  <c r="K22" i="29"/>
  <c r="L22" i="29"/>
  <c r="N22" i="29"/>
  <c r="O22" i="29"/>
  <c r="P22" i="29"/>
  <c r="Q22" i="29"/>
  <c r="R22" i="29"/>
  <c r="S22" i="29"/>
  <c r="E23" i="29"/>
  <c r="G23" i="29"/>
  <c r="I23" i="29"/>
  <c r="J23" i="29"/>
  <c r="K23" i="29"/>
  <c r="L23" i="29"/>
  <c r="N23" i="29"/>
  <c r="O23" i="29"/>
  <c r="P23" i="29"/>
  <c r="Q23" i="29"/>
  <c r="R23" i="29"/>
  <c r="S23" i="29"/>
  <c r="E24" i="29"/>
  <c r="G24" i="29"/>
  <c r="I24" i="29"/>
  <c r="J24" i="29"/>
  <c r="K24" i="29"/>
  <c r="L24" i="29"/>
  <c r="N24" i="29"/>
  <c r="O24" i="29"/>
  <c r="P24" i="29"/>
  <c r="Q24" i="29"/>
  <c r="R24" i="29"/>
  <c r="S24" i="29"/>
  <c r="E25" i="29"/>
  <c r="G25" i="29"/>
  <c r="I25" i="29"/>
  <c r="J25" i="29"/>
  <c r="K25" i="29"/>
  <c r="L25" i="29"/>
  <c r="N25" i="29"/>
  <c r="O25" i="29"/>
  <c r="P25" i="29"/>
  <c r="Q25" i="29"/>
  <c r="R25" i="29"/>
  <c r="S25" i="29"/>
  <c r="E26" i="29"/>
  <c r="G26" i="29"/>
  <c r="I26" i="29"/>
  <c r="J26" i="29"/>
  <c r="K26" i="29"/>
  <c r="L26" i="29"/>
  <c r="N26" i="29"/>
  <c r="O26" i="29"/>
  <c r="P26" i="29"/>
  <c r="Q26" i="29"/>
  <c r="R26" i="29"/>
  <c r="S26" i="29"/>
  <c r="E20" i="29"/>
  <c r="G20" i="29"/>
  <c r="I20" i="29"/>
  <c r="J20" i="29"/>
  <c r="K20" i="29"/>
  <c r="L20" i="29"/>
  <c r="N20" i="29"/>
  <c r="O20" i="29"/>
  <c r="P20" i="29"/>
  <c r="Q20" i="29"/>
  <c r="R20" i="29"/>
  <c r="S20" i="29"/>
  <c r="E27" i="29"/>
  <c r="G27" i="29"/>
  <c r="I27" i="29"/>
  <c r="J27" i="29"/>
  <c r="K27" i="29"/>
  <c r="L27" i="29"/>
  <c r="N27" i="29"/>
  <c r="O27" i="29"/>
  <c r="P27" i="29"/>
  <c r="Q27" i="29"/>
  <c r="R27" i="29"/>
  <c r="S27" i="29"/>
  <c r="E28" i="29"/>
  <c r="G28" i="29"/>
  <c r="I28" i="29"/>
  <c r="J28" i="29"/>
  <c r="K28" i="29"/>
  <c r="L28" i="29"/>
  <c r="N28" i="29"/>
  <c r="O28" i="29"/>
  <c r="P28" i="29"/>
  <c r="Q28" i="29"/>
  <c r="R28" i="29"/>
  <c r="S28" i="29"/>
  <c r="E29" i="29"/>
  <c r="G29" i="29"/>
  <c r="I29" i="29"/>
  <c r="J29" i="29"/>
  <c r="K29" i="29"/>
  <c r="L29" i="29"/>
  <c r="N29" i="29"/>
  <c r="O29" i="29"/>
  <c r="P29" i="29"/>
  <c r="Q29" i="29"/>
  <c r="R29" i="29"/>
  <c r="S29" i="29"/>
  <c r="E30" i="29"/>
  <c r="G30" i="29"/>
  <c r="I30" i="29"/>
  <c r="J30" i="29"/>
  <c r="K30" i="29"/>
  <c r="L30" i="29"/>
  <c r="N30" i="29"/>
  <c r="O30" i="29"/>
  <c r="P30" i="29"/>
  <c r="Q30" i="29"/>
  <c r="R30" i="29"/>
  <c r="S30" i="29"/>
  <c r="E31" i="29"/>
  <c r="G31" i="29"/>
  <c r="G32" i="29" s="1"/>
  <c r="G33" i="29" s="1"/>
  <c r="G34" i="29" s="1"/>
  <c r="G35" i="29" s="1"/>
  <c r="G36" i="29" s="1"/>
  <c r="G37" i="29" s="1"/>
  <c r="G38" i="29" s="1"/>
  <c r="G39" i="29" s="1"/>
  <c r="G40" i="29" s="1"/>
  <c r="G41" i="29" s="1"/>
  <c r="G42" i="29" s="1"/>
  <c r="I31" i="29"/>
  <c r="I32" i="29" s="1"/>
  <c r="I33" i="29" s="1"/>
  <c r="I34" i="29" s="1"/>
  <c r="I35" i="29" s="1"/>
  <c r="I36" i="29" s="1"/>
  <c r="I37" i="29" s="1"/>
  <c r="I38" i="29" s="1"/>
  <c r="I39" i="29" s="1"/>
  <c r="I40" i="29" s="1"/>
  <c r="I41" i="29" s="1"/>
  <c r="I42" i="29" s="1"/>
  <c r="J31" i="29"/>
  <c r="J32" i="29" s="1"/>
  <c r="J33" i="29" s="1"/>
  <c r="J34" i="29" s="1"/>
  <c r="J35" i="29" s="1"/>
  <c r="J36" i="29" s="1"/>
  <c r="J37" i="29" s="1"/>
  <c r="J38" i="29" s="1"/>
  <c r="J39" i="29" s="1"/>
  <c r="J40" i="29" s="1"/>
  <c r="J41" i="29" s="1"/>
  <c r="J42" i="29" s="1"/>
  <c r="K31" i="29"/>
  <c r="K32" i="29" s="1"/>
  <c r="K33" i="29" s="1"/>
  <c r="K34" i="29" s="1"/>
  <c r="K35" i="29" s="1"/>
  <c r="K36" i="29" s="1"/>
  <c r="K37" i="29" s="1"/>
  <c r="K38" i="29" s="1"/>
  <c r="K39" i="29" s="1"/>
  <c r="K40" i="29" s="1"/>
  <c r="K41" i="29" s="1"/>
  <c r="K42" i="29" s="1"/>
  <c r="L31" i="29"/>
  <c r="L32" i="29" s="1"/>
  <c r="L33" i="29" s="1"/>
  <c r="L34" i="29" s="1"/>
  <c r="L35" i="29" s="1"/>
  <c r="L36" i="29" s="1"/>
  <c r="L37" i="29" s="1"/>
  <c r="L38" i="29" s="1"/>
  <c r="L39" i="29" s="1"/>
  <c r="L40" i="29" s="1"/>
  <c r="L41" i="29" s="1"/>
  <c r="L42" i="29" s="1"/>
  <c r="N31" i="29"/>
  <c r="N32" i="29" s="1"/>
  <c r="N33" i="29" s="1"/>
  <c r="N34" i="29" s="1"/>
  <c r="N35" i="29" s="1"/>
  <c r="N36" i="29" s="1"/>
  <c r="N37" i="29" s="1"/>
  <c r="N38" i="29" s="1"/>
  <c r="N39" i="29" s="1"/>
  <c r="N40" i="29" s="1"/>
  <c r="N41" i="29" s="1"/>
  <c r="N42" i="29" s="1"/>
  <c r="O31" i="29"/>
  <c r="O32" i="29" s="1"/>
  <c r="O33" i="29" s="1"/>
  <c r="O34" i="29" s="1"/>
  <c r="O35" i="29" s="1"/>
  <c r="O36" i="29" s="1"/>
  <c r="O37" i="29" s="1"/>
  <c r="O38" i="29" s="1"/>
  <c r="O39" i="29" s="1"/>
  <c r="O40" i="29" s="1"/>
  <c r="O41" i="29" s="1"/>
  <c r="O42" i="29" s="1"/>
  <c r="P31" i="29"/>
  <c r="P32" i="29" s="1"/>
  <c r="P33" i="29" s="1"/>
  <c r="P34" i="29" s="1"/>
  <c r="P35" i="29" s="1"/>
  <c r="P36" i="29" s="1"/>
  <c r="P37" i="29" s="1"/>
  <c r="P38" i="29" s="1"/>
  <c r="P39" i="29" s="1"/>
  <c r="P40" i="29" s="1"/>
  <c r="P41" i="29" s="1"/>
  <c r="P42" i="29" s="1"/>
  <c r="Q31" i="29"/>
  <c r="Q32" i="29" s="1"/>
  <c r="Q33" i="29" s="1"/>
  <c r="Q34" i="29" s="1"/>
  <c r="Q35" i="29" s="1"/>
  <c r="Q36" i="29" s="1"/>
  <c r="Q37" i="29" s="1"/>
  <c r="Q38" i="29" s="1"/>
  <c r="Q39" i="29" s="1"/>
  <c r="Q40" i="29" s="1"/>
  <c r="Q41" i="29" s="1"/>
  <c r="Q42" i="29" s="1"/>
  <c r="R31" i="29"/>
  <c r="R32" i="29" s="1"/>
  <c r="R33" i="29" s="1"/>
  <c r="R34" i="29" s="1"/>
  <c r="R35" i="29" s="1"/>
  <c r="R36" i="29" s="1"/>
  <c r="R37" i="29" s="1"/>
  <c r="R38" i="29" s="1"/>
  <c r="R39" i="29" s="1"/>
  <c r="R40" i="29" s="1"/>
  <c r="R41" i="29" s="1"/>
  <c r="R42" i="29" s="1"/>
  <c r="S31" i="29"/>
  <c r="S32" i="29" s="1"/>
  <c r="S33" i="29" s="1"/>
  <c r="S34" i="29" s="1"/>
  <c r="S35" i="29" s="1"/>
  <c r="S36" i="29" s="1"/>
  <c r="S37" i="29" s="1"/>
  <c r="S38" i="29" s="1"/>
  <c r="S39" i="29" s="1"/>
  <c r="S40" i="29" s="1"/>
  <c r="S41" i="29" s="1"/>
  <c r="S42" i="29" s="1"/>
  <c r="E169" i="25" l="1"/>
  <c r="R23" i="30"/>
  <c r="C93" i="30" s="1"/>
  <c r="H8" i="37"/>
  <c r="E8" i="37" s="1"/>
  <c r="G15" i="19"/>
  <c r="T57" i="30"/>
  <c r="T58" i="30"/>
  <c r="T64" i="30"/>
  <c r="T60" i="30"/>
  <c r="T56" i="30"/>
  <c r="T61" i="30"/>
  <c r="T59" i="30"/>
  <c r="T63" i="30"/>
  <c r="R65" i="30"/>
  <c r="P65" i="30" s="1"/>
  <c r="J44" i="29"/>
  <c r="J45" i="29" s="1"/>
  <c r="L44" i="29"/>
  <c r="M44" i="29" s="1"/>
  <c r="K44" i="29"/>
  <c r="K45" i="29" s="1"/>
  <c r="K46" i="29" s="1"/>
  <c r="K47" i="29" s="1"/>
  <c r="U30" i="29"/>
  <c r="V30" i="29"/>
  <c r="W30" i="29"/>
  <c r="X30" i="29"/>
  <c r="Y30" i="29"/>
  <c r="U28" i="29"/>
  <c r="V28" i="29"/>
  <c r="W28" i="29"/>
  <c r="X28" i="29"/>
  <c r="Y28" i="29"/>
  <c r="I44" i="29"/>
  <c r="I45" i="29" s="1"/>
  <c r="G44" i="29"/>
  <c r="G45" i="29" s="1"/>
  <c r="G46" i="29" s="1"/>
  <c r="G47" i="29" s="1"/>
  <c r="R45" i="29"/>
  <c r="R46" i="29" s="1"/>
  <c r="R47" i="29" s="1"/>
  <c r="R44" i="29"/>
  <c r="Q45" i="29"/>
  <c r="Q46" i="29" s="1"/>
  <c r="Q47" i="29" s="1"/>
  <c r="Q44" i="29"/>
  <c r="P44" i="29"/>
  <c r="P45" i="29" s="1"/>
  <c r="E32" i="29"/>
  <c r="U31" i="29"/>
  <c r="V31" i="29"/>
  <c r="W31" i="29"/>
  <c r="X31" i="29"/>
  <c r="Y31" i="29"/>
  <c r="W29" i="29"/>
  <c r="Y29" i="29"/>
  <c r="X29" i="29"/>
  <c r="U29" i="29"/>
  <c r="V29" i="29"/>
  <c r="Y27" i="29"/>
  <c r="U27" i="29"/>
  <c r="V27" i="29"/>
  <c r="W27" i="29"/>
  <c r="X27" i="29"/>
  <c r="U26" i="29"/>
  <c r="V26" i="29"/>
  <c r="W26" i="29"/>
  <c r="X26" i="29"/>
  <c r="Y26" i="29"/>
  <c r="O44" i="29"/>
  <c r="O45" i="29" s="1"/>
  <c r="S44" i="29"/>
  <c r="S45" i="29" s="1"/>
  <c r="N44" i="29"/>
  <c r="N45" i="29" s="1"/>
  <c r="T21" i="29"/>
  <c r="C38" i="30"/>
  <c r="C37" i="30"/>
  <c r="S48" i="33"/>
  <c r="S51" i="33" s="1"/>
  <c r="R46" i="36"/>
  <c r="V81" i="30"/>
  <c r="S72" i="30"/>
  <c r="V84" i="30"/>
  <c r="V83" i="30"/>
  <c r="E22" i="30"/>
  <c r="E70" i="30" s="1"/>
  <c r="V79" i="30"/>
  <c r="F79" i="30"/>
  <c r="G65" i="29"/>
  <c r="F66" i="29"/>
  <c r="G66" i="29" s="1"/>
  <c r="H66" i="29" s="1"/>
  <c r="I66" i="29" s="1"/>
  <c r="J66" i="29" s="1"/>
  <c r="K66" i="29" s="1"/>
  <c r="L66" i="29" s="1"/>
  <c r="M66" i="29" s="1"/>
  <c r="N66" i="29" s="1"/>
  <c r="O66" i="29" s="1"/>
  <c r="P66" i="29" s="1"/>
  <c r="E72" i="29"/>
  <c r="I55" i="33" s="1"/>
  <c r="AB5" i="3"/>
  <c r="R35" i="3"/>
  <c r="R63" i="3" s="1"/>
  <c r="V22" i="30"/>
  <c r="V37" i="30"/>
  <c r="U11" i="29"/>
  <c r="V11" i="29"/>
  <c r="U25" i="29"/>
  <c r="V25" i="29"/>
  <c r="U24" i="29"/>
  <c r="V24" i="29"/>
  <c r="U23" i="29"/>
  <c r="V23" i="29"/>
  <c r="U21" i="29"/>
  <c r="V21" i="29"/>
  <c r="U20" i="29"/>
  <c r="V20" i="29"/>
  <c r="U22" i="29"/>
  <c r="V22" i="29"/>
  <c r="U17" i="29"/>
  <c r="V17" i="29"/>
  <c r="U10" i="29"/>
  <c r="T11" i="29"/>
  <c r="X11" i="29"/>
  <c r="Y11" i="29"/>
  <c r="W11" i="29"/>
  <c r="W17" i="29"/>
  <c r="X17" i="29"/>
  <c r="Y17" i="29"/>
  <c r="Y10" i="29"/>
  <c r="X10" i="29"/>
  <c r="W10" i="29"/>
  <c r="T31" i="29"/>
  <c r="T32" i="29" s="1"/>
  <c r="T33" i="29" s="1"/>
  <c r="T34" i="29" s="1"/>
  <c r="T35" i="29" s="1"/>
  <c r="T36" i="29" s="1"/>
  <c r="T37" i="29" s="1"/>
  <c r="T38" i="29" s="1"/>
  <c r="T39" i="29" s="1"/>
  <c r="T40" i="29" s="1"/>
  <c r="T41" i="29" s="1"/>
  <c r="T42" i="29" s="1"/>
  <c r="T30" i="29"/>
  <c r="T29" i="29"/>
  <c r="T28" i="29"/>
  <c r="T27" i="29"/>
  <c r="T20" i="29"/>
  <c r="Y20" i="29"/>
  <c r="W20" i="29"/>
  <c r="X20" i="29"/>
  <c r="T26" i="29"/>
  <c r="M25" i="29"/>
  <c r="Y25" i="29"/>
  <c r="W25" i="29"/>
  <c r="X25" i="29"/>
  <c r="T24" i="29"/>
  <c r="Y24" i="29"/>
  <c r="W24" i="29"/>
  <c r="X24" i="29"/>
  <c r="T23" i="29"/>
  <c r="W23" i="29"/>
  <c r="Y23" i="29"/>
  <c r="X23" i="29"/>
  <c r="T22" i="29"/>
  <c r="W22" i="29"/>
  <c r="Y22" i="29"/>
  <c r="X22" i="29"/>
  <c r="W21" i="29"/>
  <c r="Y21" i="29"/>
  <c r="X21" i="29"/>
  <c r="M21" i="29"/>
  <c r="T10" i="29"/>
  <c r="T17" i="29"/>
  <c r="M11" i="29"/>
  <c r="T25" i="29"/>
  <c r="M28" i="29"/>
  <c r="M29" i="29"/>
  <c r="M26" i="29"/>
  <c r="M22" i="29"/>
  <c r="M30" i="29"/>
  <c r="M23" i="29"/>
  <c r="M20" i="29"/>
  <c r="M31" i="29"/>
  <c r="M32" i="29" s="1"/>
  <c r="M33" i="29" s="1"/>
  <c r="M34" i="29" s="1"/>
  <c r="M35" i="29" s="1"/>
  <c r="M36" i="29" s="1"/>
  <c r="M37" i="29" s="1"/>
  <c r="M38" i="29" s="1"/>
  <c r="M39" i="29" s="1"/>
  <c r="M40" i="29" s="1"/>
  <c r="M41" i="29" s="1"/>
  <c r="M42" i="29" s="1"/>
  <c r="M45" i="29" s="1"/>
  <c r="M46" i="29" s="1"/>
  <c r="M47" i="29" s="1"/>
  <c r="M27" i="29"/>
  <c r="M24" i="29"/>
  <c r="M10" i="29"/>
  <c r="J63" i="29" s="1"/>
  <c r="P63" i="29" s="1"/>
  <c r="M17" i="29"/>
  <c r="Q57" i="2"/>
  <c r="R57" i="2"/>
  <c r="S57" i="2"/>
  <c r="T57" i="2"/>
  <c r="K46" i="2"/>
  <c r="J46" i="2"/>
  <c r="K48" i="2"/>
  <c r="J38" i="2"/>
  <c r="J42" i="2"/>
  <c r="K42" i="2" s="1"/>
  <c r="L42" i="2" s="1"/>
  <c r="M42" i="2" s="1"/>
  <c r="N42" i="2" s="1"/>
  <c r="O42" i="2" s="1"/>
  <c r="P42" i="2" s="1"/>
  <c r="E42" i="2" s="1"/>
  <c r="E56" i="2" s="1"/>
  <c r="C89" i="30" l="1"/>
  <c r="C88" i="30"/>
  <c r="C74" i="30"/>
  <c r="C75" i="30"/>
  <c r="C73" i="30"/>
  <c r="C71" i="30"/>
  <c r="E9" i="37"/>
  <c r="D9" i="37" s="1"/>
  <c r="D8" i="37"/>
  <c r="U59" i="30"/>
  <c r="U64" i="30"/>
  <c r="T72" i="30"/>
  <c r="U56" i="30"/>
  <c r="U57" i="30"/>
  <c r="U58" i="30"/>
  <c r="U55" i="30"/>
  <c r="U60" i="30"/>
  <c r="U63" i="30"/>
  <c r="U61" i="30"/>
  <c r="R22" i="30"/>
  <c r="I46" i="29"/>
  <c r="I47" i="29" s="1"/>
  <c r="I56" i="29"/>
  <c r="N46" i="29"/>
  <c r="N47" i="29" s="1"/>
  <c r="N56" i="29"/>
  <c r="O46" i="29"/>
  <c r="O47" i="29" s="1"/>
  <c r="O56" i="29"/>
  <c r="P46" i="29"/>
  <c r="P47" i="29" s="1"/>
  <c r="P56" i="29"/>
  <c r="S46" i="29"/>
  <c r="S47" i="29" s="1"/>
  <c r="S56" i="29"/>
  <c r="J46" i="29"/>
  <c r="J47" i="29" s="1"/>
  <c r="J56" i="29"/>
  <c r="K56" i="29"/>
  <c r="E33" i="29"/>
  <c r="X32" i="29"/>
  <c r="Y32" i="29"/>
  <c r="U32" i="29"/>
  <c r="V32" i="29"/>
  <c r="W32" i="29"/>
  <c r="L45" i="29"/>
  <c r="T44" i="29"/>
  <c r="T45" i="29" s="1"/>
  <c r="T46" i="29" s="1"/>
  <c r="T47" i="29" s="1"/>
  <c r="Q56" i="29"/>
  <c r="J76" i="29"/>
  <c r="R56" i="29"/>
  <c r="E145" i="25"/>
  <c r="E157" i="25"/>
  <c r="E141" i="25"/>
  <c r="E140" i="25" s="1"/>
  <c r="F59" i="29"/>
  <c r="C46" i="30"/>
  <c r="J42" i="19"/>
  <c r="M42" i="19" s="1"/>
  <c r="J43" i="19"/>
  <c r="G82" i="30"/>
  <c r="W84" i="30"/>
  <c r="W79" i="30"/>
  <c r="F22" i="30"/>
  <c r="W83" i="30"/>
  <c r="G83" i="30"/>
  <c r="W81" i="30"/>
  <c r="H65" i="29"/>
  <c r="G72" i="29"/>
  <c r="F72" i="29"/>
  <c r="E60" i="29"/>
  <c r="F60" i="29" s="1"/>
  <c r="G60" i="29" s="1"/>
  <c r="H60" i="29" s="1"/>
  <c r="I60" i="29" s="1"/>
  <c r="J60" i="29" s="1"/>
  <c r="K60" i="29" s="1"/>
  <c r="L60" i="29" s="1"/>
  <c r="M60" i="29" s="1"/>
  <c r="N60" i="29" s="1"/>
  <c r="O60" i="29" s="1"/>
  <c r="P60" i="29" s="1"/>
  <c r="I18" i="34"/>
  <c r="I22" i="34" s="1"/>
  <c r="I24" i="34" s="1"/>
  <c r="I44" i="34" s="1"/>
  <c r="N57" i="2"/>
  <c r="P57" i="2"/>
  <c r="O57" i="2"/>
  <c r="M57" i="2"/>
  <c r="L57" i="2"/>
  <c r="AC5" i="3"/>
  <c r="S35" i="3"/>
  <c r="S63" i="3" s="1"/>
  <c r="W37" i="30"/>
  <c r="E79" i="29"/>
  <c r="F79" i="29" s="1"/>
  <c r="G79" i="29" s="1"/>
  <c r="H79" i="29" s="1"/>
  <c r="I79" i="29" s="1"/>
  <c r="J79" i="29" s="1"/>
  <c r="K79" i="29" s="1"/>
  <c r="L79" i="29" s="1"/>
  <c r="M79" i="29" s="1"/>
  <c r="N79" i="29" s="1"/>
  <c r="O79" i="29" s="1"/>
  <c r="P79" i="29" s="1"/>
  <c r="G59" i="29"/>
  <c r="E59" i="29"/>
  <c r="M56" i="29"/>
  <c r="J57" i="2"/>
  <c r="K57" i="2"/>
  <c r="C96" i="30" l="1"/>
  <c r="C95" i="30"/>
  <c r="D38" i="30"/>
  <c r="S86" i="30"/>
  <c r="S88" i="30" s="1"/>
  <c r="E37" i="30"/>
  <c r="J17" i="36" s="1"/>
  <c r="J53" i="36" s="1"/>
  <c r="T86" i="30"/>
  <c r="F37" i="30"/>
  <c r="K17" i="36" s="1"/>
  <c r="K53" i="36" s="1"/>
  <c r="U86" i="30"/>
  <c r="U88" i="30" s="1"/>
  <c r="U72" i="30"/>
  <c r="V64" i="30"/>
  <c r="V58" i="30"/>
  <c r="V55" i="30"/>
  <c r="V60" i="30"/>
  <c r="V59" i="30"/>
  <c r="V63" i="30"/>
  <c r="V61" i="30"/>
  <c r="W64" i="30"/>
  <c r="V56" i="30"/>
  <c r="V57" i="30"/>
  <c r="G57" i="30"/>
  <c r="R72" i="30"/>
  <c r="E34" i="29"/>
  <c r="U33" i="29"/>
  <c r="W33" i="29"/>
  <c r="V33" i="29"/>
  <c r="X33" i="29"/>
  <c r="Y33" i="29"/>
  <c r="L46" i="29"/>
  <c r="L47" i="29" s="1"/>
  <c r="L56" i="29"/>
  <c r="E38" i="30"/>
  <c r="E88" i="30" s="1"/>
  <c r="D37" i="30"/>
  <c r="I17" i="36" s="1"/>
  <c r="I53" i="36" s="1"/>
  <c r="K55" i="33"/>
  <c r="E71" i="29"/>
  <c r="E73" i="29" s="1"/>
  <c r="J55" i="33"/>
  <c r="H59" i="29"/>
  <c r="F38" i="30"/>
  <c r="J45" i="19"/>
  <c r="X83" i="30"/>
  <c r="H83" i="30"/>
  <c r="X84" i="30"/>
  <c r="H84" i="30"/>
  <c r="X81" i="30"/>
  <c r="G22" i="30"/>
  <c r="X79" i="30"/>
  <c r="H85" i="30"/>
  <c r="I65" i="29"/>
  <c r="H72" i="29"/>
  <c r="P76" i="29"/>
  <c r="E8" i="25"/>
  <c r="AD5" i="3"/>
  <c r="T35" i="3"/>
  <c r="T63" i="3" s="1"/>
  <c r="X37" i="30"/>
  <c r="F71" i="29"/>
  <c r="I14" i="36" s="1"/>
  <c r="G71" i="29"/>
  <c r="J14" i="36" s="1"/>
  <c r="J50" i="36" s="1"/>
  <c r="I40" i="2"/>
  <c r="I57" i="2" s="1"/>
  <c r="E28" i="2"/>
  <c r="N27" i="2"/>
  <c r="O27" i="2"/>
  <c r="P27" i="2"/>
  <c r="R27" i="2"/>
  <c r="S27" i="2"/>
  <c r="T27" i="2"/>
  <c r="Q20" i="2"/>
  <c r="Q19" i="2"/>
  <c r="J14" i="2"/>
  <c r="J27" i="2" s="1"/>
  <c r="L10" i="2"/>
  <c r="J5" i="2"/>
  <c r="J26" i="2" s="1"/>
  <c r="K5" i="2"/>
  <c r="L5" i="2"/>
  <c r="M5" i="2"/>
  <c r="M26" i="2" s="1"/>
  <c r="N5" i="2"/>
  <c r="N26" i="2" s="1"/>
  <c r="O5" i="2"/>
  <c r="O26" i="2" s="1"/>
  <c r="P5" i="2"/>
  <c r="P26" i="2" s="1"/>
  <c r="Q5" i="2"/>
  <c r="R5" i="2"/>
  <c r="R26" i="2" s="1"/>
  <c r="S5" i="2"/>
  <c r="S26" i="2" s="1"/>
  <c r="T5" i="2"/>
  <c r="T26" i="2" s="1"/>
  <c r="I5" i="2"/>
  <c r="I26" i="2" s="1"/>
  <c r="I51" i="34"/>
  <c r="D89" i="30" l="1"/>
  <c r="D88" i="30"/>
  <c r="F88" i="30"/>
  <c r="F89" i="30"/>
  <c r="E89" i="30"/>
  <c r="T88" i="30"/>
  <c r="G37" i="30"/>
  <c r="L17" i="36" s="1"/>
  <c r="L53" i="36" s="1"/>
  <c r="V86" i="30"/>
  <c r="V88" i="30" s="1"/>
  <c r="V72" i="30"/>
  <c r="H57" i="30"/>
  <c r="W57" i="30"/>
  <c r="U68" i="30"/>
  <c r="W63" i="30"/>
  <c r="E46" i="30"/>
  <c r="T68" i="30"/>
  <c r="W60" i="30"/>
  <c r="W61" i="30"/>
  <c r="W58" i="30"/>
  <c r="H58" i="30"/>
  <c r="R68" i="30"/>
  <c r="X64" i="30"/>
  <c r="S68" i="30"/>
  <c r="W59" i="30"/>
  <c r="W56" i="30"/>
  <c r="H56" i="30"/>
  <c r="W55" i="30"/>
  <c r="F46" i="30"/>
  <c r="E35" i="29"/>
  <c r="V34" i="29"/>
  <c r="W34" i="29"/>
  <c r="X34" i="29"/>
  <c r="Y34" i="29"/>
  <c r="U34" i="29"/>
  <c r="D46" i="30"/>
  <c r="L55" i="33"/>
  <c r="I59" i="29"/>
  <c r="H71" i="29"/>
  <c r="H73" i="29" s="1"/>
  <c r="I50" i="36"/>
  <c r="I54" i="36" s="1"/>
  <c r="I58" i="36" s="1"/>
  <c r="I18" i="36"/>
  <c r="I22" i="36" s="1"/>
  <c r="I24" i="36" s="1"/>
  <c r="G38" i="30"/>
  <c r="L9" i="2"/>
  <c r="I85" i="33"/>
  <c r="J85" i="33" s="1"/>
  <c r="J89" i="33" s="1"/>
  <c r="J94" i="33" s="1"/>
  <c r="J84" i="2"/>
  <c r="I32" i="36" s="1"/>
  <c r="I83" i="36" s="1"/>
  <c r="O54" i="33"/>
  <c r="N54" i="33"/>
  <c r="M54" i="33"/>
  <c r="S54" i="33"/>
  <c r="R54" i="33"/>
  <c r="L54" i="33"/>
  <c r="Q54" i="33"/>
  <c r="I56" i="2"/>
  <c r="Y81" i="30"/>
  <c r="P81" i="30" s="1"/>
  <c r="H22" i="30"/>
  <c r="Y79" i="30"/>
  <c r="Y84" i="30"/>
  <c r="P84" i="30" s="1"/>
  <c r="Y83" i="30"/>
  <c r="P83" i="30" s="1"/>
  <c r="G73" i="29"/>
  <c r="F73" i="29"/>
  <c r="I52" i="33"/>
  <c r="J65" i="29"/>
  <c r="I72" i="29"/>
  <c r="I98" i="33"/>
  <c r="I101" i="33" s="1"/>
  <c r="AE5" i="3"/>
  <c r="U35" i="3"/>
  <c r="U63" i="3" s="1"/>
  <c r="Y22" i="30"/>
  <c r="Y37" i="30"/>
  <c r="K14" i="2"/>
  <c r="I28" i="2"/>
  <c r="J28" i="2" s="1"/>
  <c r="M89" i="36" s="1"/>
  <c r="M91" i="36" s="1"/>
  <c r="K26" i="2"/>
  <c r="L26" i="2"/>
  <c r="N4" i="27"/>
  <c r="L4" i="27"/>
  <c r="K4" i="27"/>
  <c r="M11" i="27"/>
  <c r="K15" i="27"/>
  <c r="M15" i="27"/>
  <c r="M18" i="27"/>
  <c r="M20" i="27"/>
  <c r="M21" i="27"/>
  <c r="M22" i="27"/>
  <c r="K25" i="27"/>
  <c r="M31" i="27"/>
  <c r="K31" i="27"/>
  <c r="K33" i="27"/>
  <c r="K34" i="27"/>
  <c r="A328" i="27"/>
  <c r="N36" i="27"/>
  <c r="M36" i="27"/>
  <c r="K36" i="27"/>
  <c r="L36" i="27" s="1"/>
  <c r="N35" i="27"/>
  <c r="M35" i="27"/>
  <c r="K35" i="27"/>
  <c r="N34" i="27"/>
  <c r="M34" i="27"/>
  <c r="N33" i="27"/>
  <c r="M33" i="27"/>
  <c r="N32" i="27"/>
  <c r="M32" i="27"/>
  <c r="K32" i="27"/>
  <c r="N31" i="27"/>
  <c r="N30" i="27"/>
  <c r="M30" i="27"/>
  <c r="N29" i="27"/>
  <c r="K29" i="27"/>
  <c r="N28" i="27"/>
  <c r="N27" i="27"/>
  <c r="M27" i="27"/>
  <c r="K27" i="27"/>
  <c r="N26" i="27"/>
  <c r="M26" i="27"/>
  <c r="K26" i="27"/>
  <c r="N25" i="27"/>
  <c r="M25" i="27"/>
  <c r="N24" i="27"/>
  <c r="K24" i="27"/>
  <c r="N22" i="27"/>
  <c r="N21" i="27"/>
  <c r="K21" i="27"/>
  <c r="N20" i="27"/>
  <c r="K20" i="27"/>
  <c r="N19" i="27"/>
  <c r="M19" i="27"/>
  <c r="N18" i="27"/>
  <c r="N17" i="27"/>
  <c r="M17" i="27"/>
  <c r="K17" i="27"/>
  <c r="N16" i="27"/>
  <c r="M16" i="27"/>
  <c r="K16" i="27"/>
  <c r="L16" i="27" s="1"/>
  <c r="N15" i="27"/>
  <c r="N14" i="27"/>
  <c r="M14" i="27"/>
  <c r="K14" i="27"/>
  <c r="N13" i="27"/>
  <c r="M13" i="27"/>
  <c r="K13" i="27"/>
  <c r="N12" i="27"/>
  <c r="M12" i="27"/>
  <c r="N11" i="27"/>
  <c r="K11" i="27"/>
  <c r="N10" i="27"/>
  <c r="M10" i="27"/>
  <c r="K10" i="27"/>
  <c r="N9" i="27"/>
  <c r="M9" i="27"/>
  <c r="K9" i="27"/>
  <c r="N8" i="27"/>
  <c r="M8" i="27"/>
  <c r="K8" i="27"/>
  <c r="N7" i="27"/>
  <c r="M7" i="27"/>
  <c r="K7" i="27"/>
  <c r="L7" i="27" s="1"/>
  <c r="N6" i="27"/>
  <c r="M6" i="27"/>
  <c r="K6" i="27"/>
  <c r="N5" i="27"/>
  <c r="M5" i="27"/>
  <c r="K5" i="27"/>
  <c r="G89" i="30" l="1"/>
  <c r="G88" i="30"/>
  <c r="J64" i="30"/>
  <c r="Y64" i="30"/>
  <c r="P64" i="30" s="1"/>
  <c r="H37" i="30"/>
  <c r="M17" i="36" s="1"/>
  <c r="M53" i="36" s="1"/>
  <c r="W86" i="30"/>
  <c r="W88" i="30" s="1"/>
  <c r="P79" i="30"/>
  <c r="W72" i="30"/>
  <c r="X57" i="30"/>
  <c r="X55" i="30"/>
  <c r="I55" i="30"/>
  <c r="X59" i="30"/>
  <c r="X63" i="30"/>
  <c r="X56" i="30"/>
  <c r="X60" i="30"/>
  <c r="X61" i="30"/>
  <c r="X58" i="30"/>
  <c r="G46" i="30"/>
  <c r="V68" i="30"/>
  <c r="E36" i="29"/>
  <c r="Y35" i="29"/>
  <c r="U35" i="29"/>
  <c r="V35" i="29"/>
  <c r="W35" i="29"/>
  <c r="X35" i="29"/>
  <c r="I71" i="29"/>
  <c r="M55" i="33"/>
  <c r="K52" i="33"/>
  <c r="K14" i="36"/>
  <c r="K50" i="36" s="1"/>
  <c r="H38" i="30"/>
  <c r="C98" i="30" s="1"/>
  <c r="I89" i="33"/>
  <c r="I94" i="33" s="1"/>
  <c r="I95" i="33" s="1"/>
  <c r="I87" i="36"/>
  <c r="I92" i="36" s="1"/>
  <c r="J83" i="36"/>
  <c r="J87" i="36" s="1"/>
  <c r="J92" i="36" s="1"/>
  <c r="P54" i="33"/>
  <c r="J56" i="2"/>
  <c r="M91" i="33"/>
  <c r="M93" i="33" s="1"/>
  <c r="K95" i="33"/>
  <c r="J82" i="30"/>
  <c r="J84" i="30"/>
  <c r="J85" i="30"/>
  <c r="I22" i="30"/>
  <c r="I73" i="30" s="1"/>
  <c r="J83" i="30"/>
  <c r="J81" i="30"/>
  <c r="L52" i="33"/>
  <c r="L56" i="33" s="1"/>
  <c r="L60" i="33" s="1"/>
  <c r="I54" i="33"/>
  <c r="K65" i="29"/>
  <c r="X86" i="30" s="1"/>
  <c r="X88" i="30" s="1"/>
  <c r="J72" i="29"/>
  <c r="J99" i="33"/>
  <c r="J98" i="33"/>
  <c r="J101" i="33" s="1"/>
  <c r="J104" i="33" s="1"/>
  <c r="I102" i="33"/>
  <c r="K54" i="33"/>
  <c r="AF5" i="3"/>
  <c r="V35" i="3"/>
  <c r="V63" i="3" s="1"/>
  <c r="Z22" i="30"/>
  <c r="Z37" i="30"/>
  <c r="K64" i="30"/>
  <c r="L14" i="2"/>
  <c r="K27" i="2"/>
  <c r="K84" i="2" s="1"/>
  <c r="O4" i="27"/>
  <c r="P4" i="27" s="1"/>
  <c r="L32" i="27"/>
  <c r="L26" i="27"/>
  <c r="L21" i="27"/>
  <c r="L9" i="27"/>
  <c r="M29" i="27"/>
  <c r="K18" i="27"/>
  <c r="L18" i="27" s="1"/>
  <c r="K12" i="27"/>
  <c r="L12" i="27" s="1"/>
  <c r="K28" i="27"/>
  <c r="L28" i="27" s="1"/>
  <c r="K22" i="27"/>
  <c r="L22" i="27" s="1"/>
  <c r="L8" i="27"/>
  <c r="K30" i="27"/>
  <c r="L30" i="27" s="1"/>
  <c r="L29" i="27"/>
  <c r="L5" i="27"/>
  <c r="L24" i="27"/>
  <c r="M24" i="27"/>
  <c r="K19" i="27"/>
  <c r="L19" i="27" s="1"/>
  <c r="L6" i="27"/>
  <c r="L17" i="27"/>
  <c r="L33" i="27"/>
  <c r="L34" i="27"/>
  <c r="L15" i="27"/>
  <c r="L20" i="27"/>
  <c r="L27" i="27"/>
  <c r="L10" i="27"/>
  <c r="L14" i="27"/>
  <c r="L35" i="27"/>
  <c r="L13" i="27"/>
  <c r="L11" i="27"/>
  <c r="L31" i="27"/>
  <c r="L25" i="27"/>
  <c r="M28" i="27"/>
  <c r="C101" i="30" l="1"/>
  <c r="C102" i="30"/>
  <c r="H89" i="30"/>
  <c r="H88" i="30"/>
  <c r="J61" i="30"/>
  <c r="Y61" i="30"/>
  <c r="P61" i="30" s="1"/>
  <c r="J63" i="30"/>
  <c r="Y63" i="30"/>
  <c r="P63" i="30" s="1"/>
  <c r="P88" i="30"/>
  <c r="J59" i="30"/>
  <c r="Y59" i="30"/>
  <c r="P59" i="30" s="1"/>
  <c r="Y88" i="30"/>
  <c r="J57" i="30"/>
  <c r="Y57" i="30"/>
  <c r="P57" i="30" s="1"/>
  <c r="J60" i="30"/>
  <c r="Y60" i="30"/>
  <c r="P60" i="30" s="1"/>
  <c r="J55" i="30"/>
  <c r="Y55" i="30"/>
  <c r="P55" i="30" s="1"/>
  <c r="J58" i="30"/>
  <c r="Y58" i="30"/>
  <c r="P58" i="30" s="1"/>
  <c r="J56" i="30"/>
  <c r="Y56" i="30"/>
  <c r="P56" i="30" s="1"/>
  <c r="X72" i="30"/>
  <c r="H46" i="30"/>
  <c r="E37" i="29"/>
  <c r="V36" i="29"/>
  <c r="U36" i="29"/>
  <c r="W36" i="29"/>
  <c r="X36" i="29"/>
  <c r="Y36" i="29"/>
  <c r="K56" i="33"/>
  <c r="K60" i="33" s="1"/>
  <c r="I73" i="29"/>
  <c r="L14" i="36"/>
  <c r="L50" i="36" s="1"/>
  <c r="J71" i="29"/>
  <c r="M52" i="33" s="1"/>
  <c r="M56" i="33" s="1"/>
  <c r="M60" i="33" s="1"/>
  <c r="H75" i="30"/>
  <c r="I38" i="30"/>
  <c r="I37" i="30"/>
  <c r="N55" i="33" s="1"/>
  <c r="I104" i="33"/>
  <c r="I105" i="33" s="1"/>
  <c r="J95" i="33"/>
  <c r="K56" i="2"/>
  <c r="R85" i="33"/>
  <c r="R89" i="33" s="1"/>
  <c r="R83" i="36"/>
  <c r="R87" i="36" s="1"/>
  <c r="J102" i="36"/>
  <c r="K93" i="36"/>
  <c r="J93" i="36"/>
  <c r="I93" i="36"/>
  <c r="I102" i="36"/>
  <c r="I103" i="36" s="1"/>
  <c r="J32" i="36"/>
  <c r="M85" i="33"/>
  <c r="M89" i="33" s="1"/>
  <c r="M94" i="33" s="1"/>
  <c r="M95" i="33" s="1"/>
  <c r="M83" i="36"/>
  <c r="M87" i="36" s="1"/>
  <c r="M92" i="36" s="1"/>
  <c r="I56" i="33"/>
  <c r="I60" i="33" s="1"/>
  <c r="I41" i="33"/>
  <c r="I69" i="33" s="1"/>
  <c r="I76" i="33" s="1"/>
  <c r="I81" i="33" s="1"/>
  <c r="L56" i="2"/>
  <c r="K28" i="2"/>
  <c r="K55" i="30"/>
  <c r="J22" i="30"/>
  <c r="K60" i="30"/>
  <c r="K61" i="30"/>
  <c r="K59" i="30"/>
  <c r="L84" i="30"/>
  <c r="K84" i="30"/>
  <c r="K85" i="30"/>
  <c r="K63" i="30"/>
  <c r="L81" i="30"/>
  <c r="K81" i="30"/>
  <c r="L83" i="30"/>
  <c r="K83" i="30"/>
  <c r="K82" i="30"/>
  <c r="K58" i="30"/>
  <c r="K38" i="30"/>
  <c r="K89" i="30" s="1"/>
  <c r="J88" i="30"/>
  <c r="K57" i="30"/>
  <c r="K56" i="30"/>
  <c r="J54" i="33"/>
  <c r="G50" i="19" s="1"/>
  <c r="L65" i="29"/>
  <c r="Y86" i="30" s="1"/>
  <c r="P86" i="30" s="1"/>
  <c r="K72" i="29"/>
  <c r="J102" i="33"/>
  <c r="K99" i="33"/>
  <c r="K18" i="33"/>
  <c r="L13" i="33"/>
  <c r="K98" i="33"/>
  <c r="K101" i="33" s="1"/>
  <c r="K104" i="33" s="1"/>
  <c r="K105" i="33" s="1"/>
  <c r="AG5" i="3"/>
  <c r="W35" i="3"/>
  <c r="W63" i="3" s="1"/>
  <c r="AA22" i="30"/>
  <c r="AA37" i="30"/>
  <c r="L64" i="30"/>
  <c r="M14" i="2"/>
  <c r="M27" i="2" s="1"/>
  <c r="I89" i="30" l="1"/>
  <c r="P72" i="30"/>
  <c r="J68" i="30"/>
  <c r="Y72" i="30"/>
  <c r="X68" i="30"/>
  <c r="E38" i="29"/>
  <c r="W37" i="29"/>
  <c r="X37" i="29"/>
  <c r="Y37" i="29"/>
  <c r="U37" i="29"/>
  <c r="V37" i="29"/>
  <c r="K71" i="29"/>
  <c r="N52" i="33" s="1"/>
  <c r="N56" i="33" s="1"/>
  <c r="N60" i="33" s="1"/>
  <c r="L59" i="29"/>
  <c r="Y68" i="30" s="1"/>
  <c r="J73" i="29"/>
  <c r="M14" i="36"/>
  <c r="M50" i="36" s="1"/>
  <c r="I75" i="30"/>
  <c r="I46" i="30"/>
  <c r="N17" i="36"/>
  <c r="N53" i="36" s="1"/>
  <c r="J38" i="30"/>
  <c r="J89" i="30" s="1"/>
  <c r="J37" i="30"/>
  <c r="I108" i="33"/>
  <c r="J105" i="33"/>
  <c r="M56" i="2"/>
  <c r="S83" i="36"/>
  <c r="S87" i="36" s="1"/>
  <c r="L28" i="2"/>
  <c r="S89" i="36" s="1"/>
  <c r="S91" i="36" s="1"/>
  <c r="S92" i="36" s="1"/>
  <c r="R89" i="36"/>
  <c r="R91" i="36" s="1"/>
  <c r="R92" i="36" s="1"/>
  <c r="M93" i="36"/>
  <c r="M102" i="36"/>
  <c r="M103" i="36" s="1"/>
  <c r="J103" i="36"/>
  <c r="K103" i="36"/>
  <c r="K22" i="33"/>
  <c r="K24" i="33" s="1"/>
  <c r="J50" i="19"/>
  <c r="S85" i="33"/>
  <c r="S89" i="33" s="1"/>
  <c r="N56" i="2"/>
  <c r="R91" i="33"/>
  <c r="R93" i="33" s="1"/>
  <c r="R94" i="33" s="1"/>
  <c r="R95" i="33" s="1"/>
  <c r="L63" i="30"/>
  <c r="L58" i="30"/>
  <c r="L61" i="30"/>
  <c r="K88" i="30"/>
  <c r="L59" i="30"/>
  <c r="L60" i="30"/>
  <c r="L57" i="30"/>
  <c r="M83" i="30"/>
  <c r="M84" i="30"/>
  <c r="J72" i="30"/>
  <c r="L56" i="30"/>
  <c r="M81" i="30"/>
  <c r="L55" i="30"/>
  <c r="K22" i="30"/>
  <c r="J40" i="33"/>
  <c r="M65" i="29"/>
  <c r="L72" i="29"/>
  <c r="K102" i="33"/>
  <c r="M13" i="33"/>
  <c r="L99" i="33"/>
  <c r="L98" i="33"/>
  <c r="L18" i="33"/>
  <c r="L22" i="33" s="1"/>
  <c r="L24" i="33" s="1"/>
  <c r="I82" i="33"/>
  <c r="I107" i="33"/>
  <c r="AH5" i="3"/>
  <c r="X35" i="3"/>
  <c r="X63" i="3" s="1"/>
  <c r="AB37" i="30"/>
  <c r="AC37" i="30"/>
  <c r="AB22" i="30"/>
  <c r="AC22" i="30"/>
  <c r="M64" i="30"/>
  <c r="P68" i="30" l="1"/>
  <c r="P14" i="33"/>
  <c r="K68" i="30"/>
  <c r="J66" i="30"/>
  <c r="N14" i="36"/>
  <c r="N50" i="36" s="1"/>
  <c r="L71" i="29"/>
  <c r="O52" i="33" s="1"/>
  <c r="M59" i="29"/>
  <c r="K73" i="29"/>
  <c r="E39" i="29"/>
  <c r="U38" i="29"/>
  <c r="V38" i="29"/>
  <c r="W38" i="29"/>
  <c r="X38" i="29"/>
  <c r="Y38" i="29"/>
  <c r="M28" i="2"/>
  <c r="N28" i="2" s="1"/>
  <c r="O28" i="2" s="1"/>
  <c r="P28" i="2" s="1"/>
  <c r="Q28" i="2" s="1"/>
  <c r="R28" i="2" s="1"/>
  <c r="S28" i="2" s="1"/>
  <c r="T28" i="2" s="1"/>
  <c r="K33" i="33"/>
  <c r="K36" i="33" s="1"/>
  <c r="K39" i="33" s="1"/>
  <c r="O14" i="36"/>
  <c r="O50" i="36" s="1"/>
  <c r="O55" i="33"/>
  <c r="J46" i="30"/>
  <c r="K37" i="30"/>
  <c r="P17" i="33" s="1"/>
  <c r="P55" i="33" s="1"/>
  <c r="O17" i="36"/>
  <c r="O53" i="36" s="1"/>
  <c r="R93" i="36"/>
  <c r="R102" i="36"/>
  <c r="R103" i="36" s="1"/>
  <c r="S93" i="36"/>
  <c r="S102" i="36"/>
  <c r="O56" i="2"/>
  <c r="S91" i="33"/>
  <c r="S93" i="33" s="1"/>
  <c r="S94" i="33" s="1"/>
  <c r="S95" i="33" s="1"/>
  <c r="N82" i="30"/>
  <c r="M56" i="30"/>
  <c r="N85" i="30"/>
  <c r="M60" i="30"/>
  <c r="K72" i="30"/>
  <c r="M61" i="30"/>
  <c r="N84" i="30"/>
  <c r="M55" i="30"/>
  <c r="L22" i="30"/>
  <c r="M59" i="30"/>
  <c r="M58" i="30"/>
  <c r="N83" i="30"/>
  <c r="M57" i="30"/>
  <c r="M88" i="30"/>
  <c r="L88" i="30"/>
  <c r="M63" i="30"/>
  <c r="L73" i="29"/>
  <c r="N65" i="29"/>
  <c r="L37" i="30" s="1"/>
  <c r="M72" i="29"/>
  <c r="M98" i="33"/>
  <c r="M18" i="33"/>
  <c r="M22" i="33" s="1"/>
  <c r="M24" i="33" s="1"/>
  <c r="M33" i="33" s="1"/>
  <c r="L101" i="33"/>
  <c r="M99" i="33"/>
  <c r="AI5" i="3"/>
  <c r="Y35" i="3"/>
  <c r="Y63" i="3" s="1"/>
  <c r="N64" i="30"/>
  <c r="M71" i="29"/>
  <c r="Q14" i="33" l="1"/>
  <c r="K66" i="30"/>
  <c r="N59" i="29"/>
  <c r="L68" i="30" s="1"/>
  <c r="E40" i="29"/>
  <c r="U39" i="29"/>
  <c r="W39" i="29"/>
  <c r="Y39" i="29"/>
  <c r="V39" i="29"/>
  <c r="X39" i="29"/>
  <c r="S103" i="36"/>
  <c r="O56" i="33"/>
  <c r="O60" i="33" s="1"/>
  <c r="Q17" i="33"/>
  <c r="Q55" i="33" s="1"/>
  <c r="Q17" i="36"/>
  <c r="Q53" i="36" s="1"/>
  <c r="P17" i="36"/>
  <c r="P53" i="36" s="1"/>
  <c r="L38" i="30"/>
  <c r="K46" i="30"/>
  <c r="P14" i="36"/>
  <c r="P50" i="36" s="1"/>
  <c r="N81" i="30"/>
  <c r="P52" i="33"/>
  <c r="P56" i="33" s="1"/>
  <c r="P60" i="33" s="1"/>
  <c r="P56" i="2"/>
  <c r="N60" i="30"/>
  <c r="N55" i="30"/>
  <c r="M22" i="30"/>
  <c r="N63" i="30"/>
  <c r="N59" i="30"/>
  <c r="N56" i="30"/>
  <c r="N58" i="30"/>
  <c r="N57" i="30"/>
  <c r="L72" i="30"/>
  <c r="N61" i="30"/>
  <c r="M73" i="29"/>
  <c r="O65" i="29"/>
  <c r="N72" i="29"/>
  <c r="N18" i="33"/>
  <c r="N22" i="33" s="1"/>
  <c r="N24" i="33" s="1"/>
  <c r="L102" i="33"/>
  <c r="L104" i="33"/>
  <c r="L105" i="33" s="1"/>
  <c r="R99" i="33"/>
  <c r="M101" i="33"/>
  <c r="AJ5" i="3"/>
  <c r="Z35" i="3"/>
  <c r="Z63" i="3" s="1"/>
  <c r="O59" i="29"/>
  <c r="N71" i="29"/>
  <c r="L46" i="30" l="1"/>
  <c r="L89" i="30"/>
  <c r="M66" i="30"/>
  <c r="M68" i="30"/>
  <c r="R14" i="33"/>
  <c r="E41" i="29"/>
  <c r="X40" i="29"/>
  <c r="Y40" i="29"/>
  <c r="U40" i="29"/>
  <c r="V40" i="29"/>
  <c r="W40" i="29"/>
  <c r="Q14" i="36"/>
  <c r="Q50" i="36" s="1"/>
  <c r="M38" i="30"/>
  <c r="M89" i="30" s="1"/>
  <c r="M37" i="30"/>
  <c r="R17" i="36" s="1"/>
  <c r="R53" i="36" s="1"/>
  <c r="N88" i="30"/>
  <c r="Q56" i="2"/>
  <c r="N22" i="30"/>
  <c r="N72" i="30"/>
  <c r="N73" i="29"/>
  <c r="Q52" i="33"/>
  <c r="Q56" i="33" s="1"/>
  <c r="Q60" i="33" s="1"/>
  <c r="P65" i="29"/>
  <c r="O72" i="29"/>
  <c r="M104" i="33"/>
  <c r="M105" i="33" s="1"/>
  <c r="M102" i="33"/>
  <c r="AK5" i="3"/>
  <c r="AA35" i="3"/>
  <c r="AA63" i="3" s="1"/>
  <c r="P59" i="29"/>
  <c r="O71" i="29"/>
  <c r="B10" i="6"/>
  <c r="M72" i="30" l="1"/>
  <c r="S14" i="33"/>
  <c r="N68" i="30"/>
  <c r="E42" i="29"/>
  <c r="U41" i="29"/>
  <c r="W41" i="29"/>
  <c r="V41" i="29"/>
  <c r="X41" i="29"/>
  <c r="Y41" i="29"/>
  <c r="P72" i="29"/>
  <c r="R17" i="33"/>
  <c r="R55" i="33" s="1"/>
  <c r="M46" i="30"/>
  <c r="P71" i="29"/>
  <c r="N66" i="30"/>
  <c r="R14" i="36"/>
  <c r="R50" i="36" s="1"/>
  <c r="R56" i="2"/>
  <c r="O73" i="29"/>
  <c r="R52" i="33"/>
  <c r="AL5" i="3"/>
  <c r="AB35" i="3"/>
  <c r="AB63" i="3" s="1"/>
  <c r="S52" i="33" l="1"/>
  <c r="V42" i="29"/>
  <c r="X42" i="29"/>
  <c r="W42" i="29"/>
  <c r="Y42" i="29"/>
  <c r="E44" i="29"/>
  <c r="U42" i="29"/>
  <c r="F43" i="29"/>
  <c r="R56" i="33"/>
  <c r="R60" i="33" s="1"/>
  <c r="S14" i="36"/>
  <c r="S50" i="36" s="1"/>
  <c r="N38" i="30"/>
  <c r="N89" i="30" s="1"/>
  <c r="N37" i="30"/>
  <c r="P73" i="29"/>
  <c r="S56" i="2"/>
  <c r="R13" i="33"/>
  <c r="AM5" i="3"/>
  <c r="AC35" i="3"/>
  <c r="AC63" i="3" s="1"/>
  <c r="E75" i="29" l="1"/>
  <c r="F56" i="29"/>
  <c r="G43" i="29"/>
  <c r="G56" i="29" s="1"/>
  <c r="X44" i="29"/>
  <c r="U44" i="29"/>
  <c r="V44" i="29"/>
  <c r="W44" i="29"/>
  <c r="Y44" i="29"/>
  <c r="E45" i="29"/>
  <c r="S17" i="36"/>
  <c r="S53" i="36" s="1"/>
  <c r="N46" i="30"/>
  <c r="S17" i="33"/>
  <c r="T56" i="2"/>
  <c r="S13" i="33"/>
  <c r="R18" i="33"/>
  <c r="R98" i="33"/>
  <c r="AD35" i="3"/>
  <c r="AD63" i="3" s="1"/>
  <c r="AN5" i="3"/>
  <c r="S55" i="33" l="1"/>
  <c r="S56" i="33" s="1"/>
  <c r="S60" i="33" s="1"/>
  <c r="G16" i="19"/>
  <c r="E46" i="29"/>
  <c r="W45" i="29"/>
  <c r="Y45" i="29"/>
  <c r="X45" i="29"/>
  <c r="U45" i="29"/>
  <c r="V45" i="29"/>
  <c r="R22" i="33"/>
  <c r="R24" i="33" s="1"/>
  <c r="R101" i="33"/>
  <c r="S99" i="33"/>
  <c r="S18" i="33"/>
  <c r="S22" i="33" s="1"/>
  <c r="S24" i="33" s="1"/>
  <c r="S98" i="33"/>
  <c r="S101" i="33" s="1"/>
  <c r="AE35" i="3"/>
  <c r="AE63" i="3" s="1"/>
  <c r="E47" i="29" l="1"/>
  <c r="V46" i="29"/>
  <c r="U46" i="29"/>
  <c r="W46" i="29"/>
  <c r="X46" i="29"/>
  <c r="Y46" i="29"/>
  <c r="S102" i="33"/>
  <c r="S104" i="33"/>
  <c r="R104" i="33"/>
  <c r="R105" i="33" s="1"/>
  <c r="R102" i="33"/>
  <c r="AF35" i="3"/>
  <c r="AF63" i="3" s="1"/>
  <c r="T4" i="23"/>
  <c r="S4" i="23"/>
  <c r="R4" i="23"/>
  <c r="M4" i="23"/>
  <c r="O4" i="23" l="1"/>
  <c r="U47" i="29"/>
  <c r="V47" i="29"/>
  <c r="W47" i="29"/>
  <c r="X47" i="29"/>
  <c r="Y47" i="29"/>
  <c r="E77" i="29" s="1"/>
  <c r="E78" i="29"/>
  <c r="F78" i="29" s="1"/>
  <c r="G78" i="29" s="1"/>
  <c r="H78" i="29" s="1"/>
  <c r="I78" i="29" s="1"/>
  <c r="J78" i="29" s="1"/>
  <c r="K78" i="29" s="1"/>
  <c r="E56" i="29"/>
  <c r="S105" i="33"/>
  <c r="AG35" i="3"/>
  <c r="AG63" i="3" s="1"/>
  <c r="L78" i="29" l="1"/>
  <c r="F77" i="29"/>
  <c r="E80" i="29"/>
  <c r="E82" i="29" s="1"/>
  <c r="AH35" i="3"/>
  <c r="AH63" i="3" s="1"/>
  <c r="O22" i="33" l="1"/>
  <c r="O24" i="33" s="1"/>
  <c r="O33" i="33" s="1"/>
  <c r="G77" i="29"/>
  <c r="F80" i="29"/>
  <c r="P13" i="33"/>
  <c r="P18" i="33" s="1"/>
  <c r="P22" i="33" s="1"/>
  <c r="P24" i="33" s="1"/>
  <c r="M78" i="29"/>
  <c r="AI35" i="3"/>
  <c r="AI63" i="3" s="1"/>
  <c r="Q13" i="33" l="1"/>
  <c r="Q18" i="33" s="1"/>
  <c r="Q22" i="33" s="1"/>
  <c r="Q24" i="33" s="1"/>
  <c r="N78" i="29"/>
  <c r="O78" i="29" s="1"/>
  <c r="P78" i="29" s="1"/>
  <c r="F82" i="29"/>
  <c r="I28" i="36"/>
  <c r="I26" i="36"/>
  <c r="H77" i="29"/>
  <c r="G80" i="29"/>
  <c r="AJ35" i="3"/>
  <c r="AJ63" i="3" s="1"/>
  <c r="I77" i="29" l="1"/>
  <c r="H80" i="29"/>
  <c r="G82" i="29"/>
  <c r="J28" i="36"/>
  <c r="J26" i="36"/>
  <c r="AK35" i="3"/>
  <c r="AK63" i="3" s="1"/>
  <c r="K28" i="36" l="1"/>
  <c r="H82" i="29"/>
  <c r="K26" i="36"/>
  <c r="I80" i="29"/>
  <c r="J77" i="29"/>
  <c r="AL35" i="3"/>
  <c r="AL63" i="3" s="1"/>
  <c r="K77" i="29" l="1"/>
  <c r="J80" i="29"/>
  <c r="I82" i="29"/>
  <c r="L26" i="36"/>
  <c r="L28" i="36"/>
  <c r="AM35" i="3"/>
  <c r="AM63" i="3" s="1"/>
  <c r="L33" i="33" l="1"/>
  <c r="L36" i="33" s="1"/>
  <c r="L39" i="33" s="1"/>
  <c r="J82" i="29"/>
  <c r="M26" i="36"/>
  <c r="M28" i="36"/>
  <c r="M36" i="33"/>
  <c r="M39" i="33" s="1"/>
  <c r="K80" i="29"/>
  <c r="L77" i="29"/>
  <c r="AN35" i="3"/>
  <c r="AN63" i="3" s="1"/>
  <c r="F4" i="19"/>
  <c r="D61" i="19"/>
  <c r="D27" i="19"/>
  <c r="D52" i="19"/>
  <c r="D16" i="19"/>
  <c r="D46" i="19" s="1"/>
  <c r="D44" i="19"/>
  <c r="D83" i="19"/>
  <c r="D81" i="19"/>
  <c r="D74" i="19"/>
  <c r="D31" i="19"/>
  <c r="C74" i="19"/>
  <c r="C63" i="19"/>
  <c r="C77" i="19"/>
  <c r="D77" i="19"/>
  <c r="E77" i="19"/>
  <c r="C18" i="19"/>
  <c r="C22" i="19" s="1"/>
  <c r="C24" i="19" s="1"/>
  <c r="C30" i="19" s="1"/>
  <c r="C32" i="19" s="1"/>
  <c r="C36" i="19" s="1"/>
  <c r="C38" i="19" s="1"/>
  <c r="D37" i="19" s="1"/>
  <c r="C45" i="19"/>
  <c r="C48" i="19" s="1"/>
  <c r="C67" i="19"/>
  <c r="D67" i="19"/>
  <c r="E67" i="19"/>
  <c r="C85" i="19"/>
  <c r="E74" i="19"/>
  <c r="E52" i="19"/>
  <c r="E48" i="19"/>
  <c r="E33" i="19"/>
  <c r="E23" i="19"/>
  <c r="E14" i="19"/>
  <c r="E15" i="19" s="1"/>
  <c r="E18" i="19" s="1"/>
  <c r="F72" i="4"/>
  <c r="M42" i="16"/>
  <c r="N42" i="16"/>
  <c r="G48" i="4"/>
  <c r="D49" i="4"/>
  <c r="E49" i="4"/>
  <c r="F49" i="4"/>
  <c r="G49" i="4"/>
  <c r="H49" i="4"/>
  <c r="I49" i="4"/>
  <c r="J49" i="4"/>
  <c r="K49" i="4"/>
  <c r="L49" i="4"/>
  <c r="M49" i="4"/>
  <c r="N49" i="4"/>
  <c r="C49" i="4"/>
  <c r="N36" i="4"/>
  <c r="N35" i="4"/>
  <c r="N34" i="4"/>
  <c r="M34" i="4"/>
  <c r="N33" i="4"/>
  <c r="M33" i="4"/>
  <c r="N32" i="4"/>
  <c r="M32" i="4"/>
  <c r="L32" i="4"/>
  <c r="N31" i="4"/>
  <c r="M31" i="4"/>
  <c r="L31" i="4"/>
  <c r="N30" i="4"/>
  <c r="M30" i="4"/>
  <c r="L30" i="4"/>
  <c r="K30" i="4"/>
  <c r="N29" i="4"/>
  <c r="M29" i="4"/>
  <c r="L29" i="4"/>
  <c r="K29" i="4"/>
  <c r="N28" i="4"/>
  <c r="M28" i="4"/>
  <c r="L28" i="4"/>
  <c r="K28" i="4"/>
  <c r="J28" i="4"/>
  <c r="M27" i="4"/>
  <c r="L27" i="4"/>
  <c r="K27" i="4"/>
  <c r="J27" i="4"/>
  <c r="M26" i="4"/>
  <c r="L26" i="4"/>
  <c r="K26" i="4"/>
  <c r="J26" i="4"/>
  <c r="I26" i="4"/>
  <c r="L25" i="4"/>
  <c r="K25" i="4"/>
  <c r="J25" i="4"/>
  <c r="I25" i="4"/>
  <c r="L24" i="4"/>
  <c r="K24" i="4"/>
  <c r="J24" i="4"/>
  <c r="I24" i="4"/>
  <c r="H24" i="4"/>
  <c r="K23" i="4"/>
  <c r="J23" i="4"/>
  <c r="I23" i="4"/>
  <c r="H23" i="4"/>
  <c r="K22" i="4"/>
  <c r="J22" i="4"/>
  <c r="I22" i="4"/>
  <c r="H22" i="4"/>
  <c r="G22" i="4"/>
  <c r="J21" i="4"/>
  <c r="I21" i="4"/>
  <c r="H21" i="4"/>
  <c r="G21" i="4"/>
  <c r="J20" i="4"/>
  <c r="I20" i="4"/>
  <c r="H20" i="4"/>
  <c r="G20" i="4"/>
  <c r="F20" i="4"/>
  <c r="I19" i="4"/>
  <c r="H19" i="4"/>
  <c r="G19" i="4"/>
  <c r="F19" i="4"/>
  <c r="I18" i="4"/>
  <c r="H18" i="4"/>
  <c r="G18" i="4"/>
  <c r="F18" i="4"/>
  <c r="E18" i="4"/>
  <c r="H17" i="4"/>
  <c r="G17" i="4"/>
  <c r="F17" i="4"/>
  <c r="E17" i="4"/>
  <c r="H16" i="4"/>
  <c r="G16" i="4"/>
  <c r="F16" i="4"/>
  <c r="E16" i="4"/>
  <c r="D16" i="4"/>
  <c r="G15" i="4"/>
  <c r="F15" i="4"/>
  <c r="E15" i="4"/>
  <c r="D15" i="4"/>
  <c r="B29" i="6"/>
  <c r="B27" i="6"/>
  <c r="K82" i="29" l="1"/>
  <c r="N26" i="36"/>
  <c r="N28" i="36"/>
  <c r="L80" i="29"/>
  <c r="M77" i="29"/>
  <c r="E22" i="19"/>
  <c r="E24" i="19" s="1"/>
  <c r="E30" i="19" s="1"/>
  <c r="H53" i="4"/>
  <c r="F53" i="4"/>
  <c r="G72" i="4"/>
  <c r="I53" i="4"/>
  <c r="N53" i="4"/>
  <c r="K53" i="4"/>
  <c r="D53" i="4"/>
  <c r="M51" i="4"/>
  <c r="C51" i="19"/>
  <c r="C53" i="19" s="1"/>
  <c r="E78" i="19"/>
  <c r="D18" i="19"/>
  <c r="D45" i="19"/>
  <c r="D48" i="19" s="1"/>
  <c r="D78" i="19"/>
  <c r="C78" i="19"/>
  <c r="C88" i="19" s="1"/>
  <c r="E51" i="19"/>
  <c r="E53" i="19" s="1"/>
  <c r="E82" i="19" s="1"/>
  <c r="C68" i="19"/>
  <c r="M53" i="4"/>
  <c r="L53" i="4"/>
  <c r="I55" i="4"/>
  <c r="E53" i="4"/>
  <c r="H5" i="4"/>
  <c r="H71" i="4" s="1"/>
  <c r="C53" i="4"/>
  <c r="H72" i="4"/>
  <c r="I72" i="4"/>
  <c r="K51" i="4"/>
  <c r="D51" i="4"/>
  <c r="F51" i="4"/>
  <c r="H48" i="4"/>
  <c r="J53" i="4"/>
  <c r="G53" i="4"/>
  <c r="E51" i="4"/>
  <c r="L51" i="4"/>
  <c r="I51" i="4"/>
  <c r="H51" i="4"/>
  <c r="G5" i="4"/>
  <c r="N51" i="4"/>
  <c r="E55" i="4"/>
  <c r="G51" i="4"/>
  <c r="G55" i="4"/>
  <c r="J51" i="4"/>
  <c r="K55" i="4"/>
  <c r="C51" i="4"/>
  <c r="H55" i="4"/>
  <c r="J55" i="4"/>
  <c r="C55" i="4"/>
  <c r="D55" i="4"/>
  <c r="N55" i="4"/>
  <c r="M55" i="4"/>
  <c r="I5" i="4"/>
  <c r="I71" i="4" s="1"/>
  <c r="L55" i="4"/>
  <c r="F55" i="4"/>
  <c r="N48" i="4"/>
  <c r="F48" i="4"/>
  <c r="M48" i="4"/>
  <c r="E48" i="4"/>
  <c r="L48" i="4"/>
  <c r="D48" i="4"/>
  <c r="K48" i="4"/>
  <c r="J48" i="4"/>
  <c r="I48" i="4"/>
  <c r="C48" i="4"/>
  <c r="N33" i="33" l="1"/>
  <c r="N36" i="33" s="1"/>
  <c r="N39" i="33" s="1"/>
  <c r="N77" i="29"/>
  <c r="M80" i="29"/>
  <c r="O26" i="36"/>
  <c r="L82" i="29"/>
  <c r="O28" i="36"/>
  <c r="D52" i="4"/>
  <c r="N52" i="4"/>
  <c r="F52" i="4"/>
  <c r="L52" i="4"/>
  <c r="E52" i="4"/>
  <c r="J52" i="4"/>
  <c r="M52" i="4"/>
  <c r="H52" i="4"/>
  <c r="I52" i="4"/>
  <c r="K52" i="4"/>
  <c r="C52" i="4"/>
  <c r="D22" i="19"/>
  <c r="D24" i="19" s="1"/>
  <c r="D30" i="19" s="1"/>
  <c r="D32" i="19" s="1"/>
  <c r="D36" i="19" s="1"/>
  <c r="D51" i="19"/>
  <c r="D53" i="19" s="1"/>
  <c r="D82" i="19" s="1"/>
  <c r="E83" i="19" s="1"/>
  <c r="E85" i="19" s="1"/>
  <c r="E88" i="19" s="1"/>
  <c r="E32" i="19"/>
  <c r="E36" i="19" s="1"/>
  <c r="E38" i="19" s="1"/>
  <c r="C91" i="19"/>
  <c r="C92" i="19"/>
  <c r="D50" i="4"/>
  <c r="F50" i="4"/>
  <c r="G52" i="4"/>
  <c r="E57" i="4"/>
  <c r="L57" i="4"/>
  <c r="K50" i="4"/>
  <c r="E50" i="4"/>
  <c r="C50" i="4"/>
  <c r="L50" i="4"/>
  <c r="G71" i="4"/>
  <c r="M50" i="4"/>
  <c r="N50" i="4"/>
  <c r="J50" i="4"/>
  <c r="H50" i="4"/>
  <c r="I50" i="4"/>
  <c r="G50" i="4"/>
  <c r="C54" i="4"/>
  <c r="E54" i="4"/>
  <c r="G54" i="4"/>
  <c r="L54" i="4"/>
  <c r="I54" i="4"/>
  <c r="M54" i="4"/>
  <c r="N54" i="4"/>
  <c r="J54" i="4"/>
  <c r="D54" i="4"/>
  <c r="K54" i="4"/>
  <c r="F54" i="4"/>
  <c r="H54" i="4"/>
  <c r="O36" i="33" l="1"/>
  <c r="O39" i="33" s="1"/>
  <c r="P30" i="33"/>
  <c r="P33" i="33" s="1"/>
  <c r="P26" i="36"/>
  <c r="P28" i="36"/>
  <c r="M82" i="29"/>
  <c r="N80" i="29"/>
  <c r="O77" i="29"/>
  <c r="J5" i="4"/>
  <c r="C56" i="4" s="1"/>
  <c r="J72" i="4"/>
  <c r="D57" i="4"/>
  <c r="M57" i="4"/>
  <c r="H57" i="4"/>
  <c r="C57" i="4"/>
  <c r="J57" i="4"/>
  <c r="I57" i="4"/>
  <c r="F57" i="4"/>
  <c r="G57" i="4"/>
  <c r="N57" i="4"/>
  <c r="K57" i="4"/>
  <c r="E60" i="19"/>
  <c r="E63" i="19" s="1"/>
  <c r="E68" i="19" s="1"/>
  <c r="E91" i="19" s="1"/>
  <c r="F37" i="19"/>
  <c r="D38" i="19"/>
  <c r="D85" i="19"/>
  <c r="D88" i="19" s="1"/>
  <c r="N59" i="4"/>
  <c r="I59" i="4"/>
  <c r="H56" i="4"/>
  <c r="P41" i="6"/>
  <c r="V41" i="6"/>
  <c r="W41" i="6"/>
  <c r="U38" i="6"/>
  <c r="U41" i="6" s="1"/>
  <c r="T38" i="6"/>
  <c r="T41" i="6" s="1"/>
  <c r="S38" i="6"/>
  <c r="S41" i="6" s="1"/>
  <c r="Q38" i="6"/>
  <c r="Q41" i="6" s="1"/>
  <c r="R38" i="6"/>
  <c r="R41" i="6" s="1"/>
  <c r="P38" i="6"/>
  <c r="K34" i="6"/>
  <c r="L34" i="6"/>
  <c r="F34" i="6"/>
  <c r="G34" i="6"/>
  <c r="W29" i="6"/>
  <c r="W34" i="6" s="1"/>
  <c r="X34" i="6"/>
  <c r="Y34" i="6"/>
  <c r="Z34" i="6"/>
  <c r="AA34" i="6"/>
  <c r="AB34" i="6"/>
  <c r="AC34" i="6"/>
  <c r="N29" i="6"/>
  <c r="O29" i="6"/>
  <c r="P29" i="6"/>
  <c r="Q29" i="6"/>
  <c r="R29" i="6"/>
  <c r="S29" i="6"/>
  <c r="T29" i="6"/>
  <c r="T34" i="6" s="1"/>
  <c r="U29" i="6"/>
  <c r="U34" i="6" s="1"/>
  <c r="V29" i="6"/>
  <c r="V34" i="6" s="1"/>
  <c r="M29" i="6"/>
  <c r="O27" i="6"/>
  <c r="P27" i="6"/>
  <c r="Q27" i="6"/>
  <c r="R27" i="6"/>
  <c r="S27" i="6"/>
  <c r="N27" i="6"/>
  <c r="M27" i="6"/>
  <c r="A29" i="6"/>
  <c r="A27" i="6"/>
  <c r="P36" i="33" l="1"/>
  <c r="P39" i="33" s="1"/>
  <c r="O80" i="29"/>
  <c r="P77" i="29"/>
  <c r="P80" i="29" s="1"/>
  <c r="Q28" i="33"/>
  <c r="Q30" i="33"/>
  <c r="Q28" i="36"/>
  <c r="Q26" i="36"/>
  <c r="N82" i="29"/>
  <c r="N56" i="4"/>
  <c r="I56" i="4"/>
  <c r="F56" i="4"/>
  <c r="M56" i="4"/>
  <c r="D56" i="4"/>
  <c r="L56" i="4"/>
  <c r="J71" i="4"/>
  <c r="J56" i="4"/>
  <c r="E56" i="4"/>
  <c r="K56" i="4"/>
  <c r="G56" i="4"/>
  <c r="E59" i="4"/>
  <c r="L59" i="4"/>
  <c r="D59" i="4"/>
  <c r="H59" i="4"/>
  <c r="C59" i="4"/>
  <c r="K5" i="4"/>
  <c r="K72" i="4"/>
  <c r="F59" i="4"/>
  <c r="J59" i="4"/>
  <c r="G59" i="4"/>
  <c r="M59" i="4"/>
  <c r="K59" i="4"/>
  <c r="L5" i="4"/>
  <c r="E92" i="19"/>
  <c r="M41" i="16"/>
  <c r="M43" i="16" s="1"/>
  <c r="N41" i="16"/>
  <c r="N43" i="16" s="1"/>
  <c r="Q34" i="6"/>
  <c r="D60" i="19"/>
  <c r="D63" i="19" s="1"/>
  <c r="D68" i="19" s="1"/>
  <c r="D91" i="19" s="1"/>
  <c r="J61" i="4"/>
  <c r="H61" i="4"/>
  <c r="G61" i="4"/>
  <c r="C61" i="4"/>
  <c r="L61" i="4"/>
  <c r="K61" i="4"/>
  <c r="D61" i="4"/>
  <c r="I61" i="4"/>
  <c r="R34" i="6"/>
  <c r="P34" i="6"/>
  <c r="N34" i="6"/>
  <c r="M34" i="6"/>
  <c r="O34" i="6"/>
  <c r="S34" i="6"/>
  <c r="Q33" i="33" l="1"/>
  <c r="Q36" i="33" s="1"/>
  <c r="Q39" i="33" s="1"/>
  <c r="S30" i="33"/>
  <c r="S33" i="33" s="1"/>
  <c r="S28" i="36"/>
  <c r="S26" i="36"/>
  <c r="P82" i="29"/>
  <c r="R30" i="33"/>
  <c r="R28" i="33"/>
  <c r="R26" i="36"/>
  <c r="O82" i="29"/>
  <c r="R28" i="36"/>
  <c r="L58" i="4"/>
  <c r="P9" i="36"/>
  <c r="D60" i="4"/>
  <c r="L74" i="4"/>
  <c r="D58" i="4"/>
  <c r="I58" i="4"/>
  <c r="K71" i="4"/>
  <c r="K58" i="4"/>
  <c r="J58" i="4"/>
  <c r="H58" i="4"/>
  <c r="E58" i="4"/>
  <c r="F58" i="4"/>
  <c r="G58" i="4"/>
  <c r="L72" i="4"/>
  <c r="E61" i="4"/>
  <c r="C58" i="4"/>
  <c r="M58" i="4"/>
  <c r="F61" i="4"/>
  <c r="N58" i="4"/>
  <c r="N61" i="4"/>
  <c r="M61" i="4"/>
  <c r="M74" i="4" s="1"/>
  <c r="K60" i="4"/>
  <c r="D92" i="19"/>
  <c r="N60" i="4"/>
  <c r="H60" i="4"/>
  <c r="M60" i="4"/>
  <c r="L71" i="4"/>
  <c r="J60" i="4"/>
  <c r="I60" i="4"/>
  <c r="G60" i="4"/>
  <c r="E60" i="4"/>
  <c r="L60" i="4"/>
  <c r="C60" i="4"/>
  <c r="F60" i="4"/>
  <c r="R33" i="33" l="1"/>
  <c r="R36" i="33" s="1"/>
  <c r="R39" i="33" s="1"/>
  <c r="G27" i="19"/>
  <c r="S36" i="33"/>
  <c r="S39" i="33" s="1"/>
  <c r="L75" i="4"/>
  <c r="Q45" i="36"/>
  <c r="Q49" i="36" s="1"/>
  <c r="Q13" i="36"/>
  <c r="P45" i="36"/>
  <c r="P49" i="36" s="1"/>
  <c r="P13" i="36"/>
  <c r="K75" i="4"/>
  <c r="K76" i="4" s="1"/>
  <c r="L76" i="4"/>
  <c r="M72" i="4"/>
  <c r="D63" i="4"/>
  <c r="C63" i="4"/>
  <c r="N63" i="4"/>
  <c r="I63" i="4"/>
  <c r="E63" i="4"/>
  <c r="M63" i="4"/>
  <c r="K63" i="4"/>
  <c r="J63" i="4"/>
  <c r="M5" i="4"/>
  <c r="L63" i="4"/>
  <c r="H63" i="4"/>
  <c r="F63" i="4"/>
  <c r="G63" i="4"/>
  <c r="R45" i="36" l="1"/>
  <c r="R49" i="36" s="1"/>
  <c r="R13" i="36"/>
  <c r="N74" i="4"/>
  <c r="N72" i="4"/>
  <c r="N65" i="4"/>
  <c r="N70" i="4" s="1"/>
  <c r="E65" i="4"/>
  <c r="E70" i="4" s="1"/>
  <c r="L65" i="4"/>
  <c r="L70" i="4" s="1"/>
  <c r="J65" i="4"/>
  <c r="J70" i="4" s="1"/>
  <c r="K65" i="4"/>
  <c r="K70" i="4" s="1"/>
  <c r="I65" i="4"/>
  <c r="I70" i="4" s="1"/>
  <c r="D65" i="4"/>
  <c r="D70" i="4" s="1"/>
  <c r="R86" i="36" s="1"/>
  <c r="F65" i="4"/>
  <c r="F70" i="4" s="1"/>
  <c r="M65" i="4"/>
  <c r="M70" i="4" s="1"/>
  <c r="G65" i="4"/>
  <c r="G70" i="4" s="1"/>
  <c r="C65" i="4"/>
  <c r="C70" i="4" s="1"/>
  <c r="N5" i="4"/>
  <c r="S45" i="36" s="1"/>
  <c r="H65" i="4"/>
  <c r="H70" i="4" s="1"/>
  <c r="H62" i="4"/>
  <c r="I62" i="4"/>
  <c r="M62" i="4"/>
  <c r="N62" i="4"/>
  <c r="C62" i="4"/>
  <c r="L62" i="4"/>
  <c r="M71" i="4"/>
  <c r="J62" i="4"/>
  <c r="D62" i="4"/>
  <c r="E62" i="4"/>
  <c r="K62" i="4"/>
  <c r="G62" i="4"/>
  <c r="F62" i="4"/>
  <c r="M75" i="4" l="1"/>
  <c r="M76" i="4" s="1"/>
  <c r="I14" i="19"/>
  <c r="S86" i="36"/>
  <c r="F64" i="4"/>
  <c r="F69" i="4" s="1"/>
  <c r="F73" i="4" s="1"/>
  <c r="K29" i="36" s="1"/>
  <c r="M64" i="4"/>
  <c r="M69" i="4" s="1"/>
  <c r="M73" i="4" s="1"/>
  <c r="E64" i="4"/>
  <c r="E69" i="4" s="1"/>
  <c r="E73" i="4" s="1"/>
  <c r="J29" i="36" s="1"/>
  <c r="H64" i="4"/>
  <c r="H69" i="4" s="1"/>
  <c r="H73" i="4" s="1"/>
  <c r="M29" i="36" s="1"/>
  <c r="K64" i="4"/>
  <c r="K69" i="4" s="1"/>
  <c r="K73" i="4" s="1"/>
  <c r="P29" i="36" s="1"/>
  <c r="C64" i="4"/>
  <c r="C69" i="4" s="1"/>
  <c r="D64" i="4"/>
  <c r="D69" i="4" s="1"/>
  <c r="L64" i="4"/>
  <c r="L69" i="4" s="1"/>
  <c r="L73" i="4" s="1"/>
  <c r="Q29" i="36" s="1"/>
  <c r="J64" i="4"/>
  <c r="J69" i="4" s="1"/>
  <c r="J73" i="4" s="1"/>
  <c r="O29" i="36" s="1"/>
  <c r="N71" i="4"/>
  <c r="G64" i="4"/>
  <c r="G69" i="4" s="1"/>
  <c r="G73" i="4" s="1"/>
  <c r="L29" i="36" s="1"/>
  <c r="I64" i="4"/>
  <c r="N64" i="4"/>
  <c r="N69" i="4" s="1"/>
  <c r="N73" i="4" s="1"/>
  <c r="M71" i="36" l="1"/>
  <c r="R71" i="36" s="1"/>
  <c r="S71" i="36" s="1"/>
  <c r="H44" i="19"/>
  <c r="K44" i="19" s="1"/>
  <c r="R29" i="36"/>
  <c r="I69" i="4"/>
  <c r="I73" i="4" s="1"/>
  <c r="N29" i="36" s="1"/>
  <c r="N75" i="4"/>
  <c r="N76" i="4" s="1"/>
  <c r="S29" i="36" s="1"/>
  <c r="R88" i="33"/>
  <c r="S88" i="33" s="1"/>
  <c r="M73" i="33" l="1"/>
  <c r="C73" i="4"/>
  <c r="D73" i="4"/>
  <c r="I29" i="36" s="1"/>
  <c r="H27" i="19" s="1"/>
  <c r="I31" i="36" l="1"/>
  <c r="I27" i="19"/>
  <c r="R73" i="33"/>
  <c r="S73" i="33" s="1"/>
  <c r="G4" i="19" l="1"/>
  <c r="H4" i="19"/>
  <c r="B6" i="6" l="1"/>
  <c r="B7" i="6"/>
  <c r="B14" i="6"/>
  <c r="K38" i="6" s="1"/>
  <c r="K41" i="6" s="1"/>
  <c r="B15" i="6"/>
  <c r="L38" i="6" s="1"/>
  <c r="L41" i="6" s="1"/>
  <c r="B16" i="6"/>
  <c r="M38" i="6" s="1"/>
  <c r="M41" i="6" s="1"/>
  <c r="B17" i="6"/>
  <c r="B18" i="6"/>
  <c r="B19" i="6"/>
  <c r="B20" i="6"/>
  <c r="O38" i="6" s="1"/>
  <c r="O41" i="6" s="1"/>
  <c r="B5" i="6"/>
  <c r="B24" i="6"/>
  <c r="N38" i="6" l="1"/>
  <c r="N41" i="6" s="1"/>
  <c r="I12" i="6"/>
  <c r="H11" i="6"/>
  <c r="J9" i="6" l="1"/>
  <c r="J34" i="6" s="1"/>
  <c r="D9" i="6" l="1"/>
  <c r="D13" i="6"/>
  <c r="B13" i="6" s="1"/>
  <c r="D8" i="6"/>
  <c r="H12" i="6"/>
  <c r="H34" i="6" s="1"/>
  <c r="I11" i="6"/>
  <c r="B11" i="6" s="1"/>
  <c r="I10" i="6"/>
  <c r="B8" i="6" l="1"/>
  <c r="D34" i="6"/>
  <c r="B12" i="6"/>
  <c r="I9" i="6"/>
  <c r="I34" i="6" s="1"/>
  <c r="B9" i="6" l="1"/>
  <c r="F71" i="4" l="1"/>
  <c r="G5" i="19" l="1"/>
  <c r="H5" i="19" l="1"/>
  <c r="F48" i="19" l="1"/>
  <c r="F51" i="19" s="1"/>
  <c r="F53" i="19" s="1"/>
  <c r="F23" i="19"/>
  <c r="F24" i="19" l="1"/>
  <c r="F30" i="19" s="1"/>
  <c r="F32" i="19" l="1"/>
  <c r="F36" i="19" l="1"/>
  <c r="F38" i="19" s="1"/>
  <c r="H37" i="19" s="1"/>
  <c r="G37" i="19" l="1"/>
  <c r="I37" i="19" s="1"/>
  <c r="P52" i="3"/>
  <c r="P66" i="3" s="1"/>
  <c r="P70" i="3" s="1"/>
  <c r="S10" i="36" s="1"/>
  <c r="V53" i="3"/>
  <c r="AI53" i="3" s="1"/>
  <c r="H12" i="19" l="1"/>
  <c r="H20" i="19" s="1"/>
  <c r="S13" i="36"/>
  <c r="S46" i="36"/>
  <c r="S49" i="36" s="1"/>
  <c r="Q52" i="3"/>
  <c r="P60" i="3"/>
  <c r="H43" i="19" l="1"/>
  <c r="I20" i="19"/>
  <c r="H15" i="19"/>
  <c r="I15" i="19" s="1"/>
  <c r="I12" i="19"/>
  <c r="Q66" i="3"/>
  <c r="R52" i="3"/>
  <c r="Q60" i="3"/>
  <c r="H45" i="19" l="1"/>
  <c r="K45" i="19" s="1"/>
  <c r="M45" i="19" s="1"/>
  <c r="K43" i="19"/>
  <c r="M43" i="19" s="1"/>
  <c r="R66" i="3"/>
  <c r="S52" i="3"/>
  <c r="R60" i="3"/>
  <c r="S60" i="3"/>
  <c r="S66" i="3" l="1"/>
  <c r="T52" i="3"/>
  <c r="T66" i="3" s="1"/>
  <c r="T60" i="3"/>
  <c r="U52" i="3" l="1"/>
  <c r="U66" i="3" s="1"/>
  <c r="U60" i="3"/>
  <c r="V52" i="3"/>
  <c r="V66" i="3" s="1"/>
  <c r="V60" i="3" l="1"/>
  <c r="W52" i="3"/>
  <c r="W66" i="3" s="1"/>
  <c r="W60" i="3" l="1"/>
  <c r="X52" i="3"/>
  <c r="X66" i="3" l="1"/>
  <c r="X60" i="3"/>
  <c r="Y52" i="3"/>
  <c r="Y60" i="3" l="1"/>
  <c r="Z52" i="3"/>
  <c r="Z60" i="3" l="1"/>
  <c r="AA52" i="3"/>
  <c r="AA60" i="3" l="1"/>
  <c r="AB52" i="3"/>
  <c r="AB60" i="3" l="1"/>
  <c r="AC52" i="3"/>
  <c r="AD52" i="3" l="1"/>
  <c r="AC60" i="3"/>
  <c r="AE52" i="3" l="1"/>
  <c r="AD60" i="3"/>
  <c r="AF52" i="3" l="1"/>
  <c r="AE60" i="3"/>
  <c r="AG52" i="3" l="1"/>
  <c r="AF60" i="3"/>
  <c r="AH52" i="3" l="1"/>
  <c r="AG60" i="3"/>
  <c r="AI52" i="3" l="1"/>
  <c r="AH60" i="3"/>
  <c r="AJ52" i="3" l="1"/>
  <c r="AI60" i="3"/>
  <c r="AK52" i="3" l="1"/>
  <c r="AJ60" i="3"/>
  <c r="AL52" i="3" l="1"/>
  <c r="AK60" i="3"/>
  <c r="AM52" i="3" l="1"/>
  <c r="AL60" i="3"/>
  <c r="AN52" i="3" l="1"/>
  <c r="AM60" i="3"/>
  <c r="G102" i="25"/>
  <c r="G90" i="25" s="1"/>
  <c r="AN60" i="3" l="1"/>
  <c r="G225" i="25"/>
  <c r="G226" i="25" s="1"/>
  <c r="G5" i="25" l="1"/>
  <c r="G7" i="25"/>
  <c r="J25" i="36" s="1"/>
  <c r="H25" i="19" l="1"/>
  <c r="J52" i="33" l="1"/>
  <c r="J56" i="33" s="1"/>
  <c r="J60" i="33" s="1"/>
  <c r="J22" i="33"/>
  <c r="J24" i="33" s="1"/>
  <c r="J33" i="33" s="1"/>
  <c r="J36" i="33" s="1"/>
  <c r="J39" i="33" s="1"/>
  <c r="J41" i="33" s="1"/>
  <c r="G46" i="19"/>
  <c r="I25" i="19"/>
  <c r="K40" i="33" l="1"/>
  <c r="K41" i="33" s="1"/>
  <c r="G18" i="19"/>
  <c r="G19" i="19" s="1"/>
  <c r="G21" i="19" s="1"/>
  <c r="J69" i="33"/>
  <c r="J76" i="33" s="1"/>
  <c r="J81" i="33" s="1"/>
  <c r="J107" i="33" s="1"/>
  <c r="L40" i="33" l="1"/>
  <c r="L41" i="33" s="1"/>
  <c r="K69" i="33"/>
  <c r="K76" i="33" s="1"/>
  <c r="K81" i="33" s="1"/>
  <c r="K107" i="33" s="1"/>
  <c r="G48" i="19"/>
  <c r="G51" i="19" s="1"/>
  <c r="J46" i="19"/>
  <c r="G22" i="19"/>
  <c r="J108" i="33"/>
  <c r="J82" i="33"/>
  <c r="J48" i="19" l="1"/>
  <c r="K108" i="33"/>
  <c r="K82" i="33"/>
  <c r="L69" i="33"/>
  <c r="L76" i="33" s="1"/>
  <c r="L81" i="33" s="1"/>
  <c r="M40" i="33"/>
  <c r="M41" i="33" s="1"/>
  <c r="G52" i="19"/>
  <c r="J52" i="19" s="1"/>
  <c r="J51" i="19" l="1"/>
  <c r="L108" i="33"/>
  <c r="L107" i="33" s="1"/>
  <c r="L82" i="33"/>
  <c r="M69" i="33"/>
  <c r="M76" i="33" s="1"/>
  <c r="M81" i="33" s="1"/>
  <c r="N40" i="33"/>
  <c r="N41" i="33" s="1"/>
  <c r="G53" i="19"/>
  <c r="G55" i="19" s="1"/>
  <c r="G56" i="19" s="1"/>
  <c r="O40" i="33" l="1"/>
  <c r="O41" i="33" s="1"/>
  <c r="P40" i="33" s="1"/>
  <c r="P41" i="33" s="1"/>
  <c r="Q40" i="33" s="1"/>
  <c r="Q41" i="33" s="1"/>
  <c r="R40" i="33" s="1"/>
  <c r="R41" i="33" s="1"/>
  <c r="R69" i="33" s="1"/>
  <c r="R76" i="33" s="1"/>
  <c r="R81" i="33" s="1"/>
  <c r="J53" i="19"/>
  <c r="M82" i="33"/>
  <c r="M108" i="33"/>
  <c r="M107" i="33" s="1"/>
  <c r="G24" i="19"/>
  <c r="G30" i="19" s="1"/>
  <c r="S40" i="33" l="1"/>
  <c r="S41" i="33" s="1"/>
  <c r="S69" i="33" s="1"/>
  <c r="S76" i="33" s="1"/>
  <c r="S81" i="33" s="1"/>
  <c r="S108" i="33" s="1"/>
  <c r="S107" i="33" s="1"/>
  <c r="R108" i="33"/>
  <c r="R107" i="33" s="1"/>
  <c r="R82" i="33"/>
  <c r="S82" i="33" l="1"/>
  <c r="G32" i="19"/>
  <c r="G36" i="19" s="1"/>
  <c r="G38" i="19" s="1"/>
  <c r="F99" i="31"/>
  <c r="E24" i="31"/>
  <c r="E96" i="31" s="1"/>
  <c r="E98" i="31" s="1"/>
  <c r="H33" i="36" s="1"/>
  <c r="G35" i="31" l="1"/>
  <c r="H38" i="31" l="1"/>
  <c r="H37" i="31"/>
  <c r="G36" i="31"/>
  <c r="G96" i="31" s="1"/>
  <c r="I44" i="31" l="1"/>
  <c r="I43" i="31" s="1"/>
  <c r="H42" i="31"/>
  <c r="H96" i="31" s="1"/>
  <c r="J50" i="31" l="1"/>
  <c r="J49" i="31" s="1"/>
  <c r="I48" i="31"/>
  <c r="I96" i="31" s="1"/>
  <c r="K56" i="31" l="1"/>
  <c r="K55" i="31" s="1"/>
  <c r="J54" i="31"/>
  <c r="J96" i="31" s="1"/>
  <c r="L62" i="31" l="1"/>
  <c r="L61" i="31" s="1"/>
  <c r="K60" i="31"/>
  <c r="K96" i="31" s="1"/>
  <c r="L66" i="31" l="1"/>
  <c r="L96" i="31" s="1"/>
  <c r="N74" i="31" l="1"/>
  <c r="N73" i="31"/>
  <c r="N71" i="31" s="1"/>
  <c r="O74" i="31" s="1"/>
  <c r="O73" i="31" s="1"/>
  <c r="O71" i="31" s="1"/>
  <c r="M72" i="31"/>
  <c r="M96" i="31" s="1"/>
  <c r="K53" i="31"/>
  <c r="H35" i="31"/>
  <c r="Q89" i="31"/>
  <c r="R92" i="31" s="1"/>
  <c r="R91" i="31" s="1"/>
  <c r="R89" i="31" s="1"/>
  <c r="S92" i="31" s="1"/>
  <c r="S91" i="31" s="1"/>
  <c r="S89" i="31" s="1"/>
  <c r="J47" i="31"/>
  <c r="G29" i="31"/>
  <c r="I41" i="31"/>
  <c r="J44" i="31" s="1"/>
  <c r="J43" i="31" s="1"/>
  <c r="J41" i="31" s="1"/>
  <c r="K44" i="31" s="1"/>
  <c r="K43" i="31" s="1"/>
  <c r="K41" i="31" s="1"/>
  <c r="L44" i="31" s="1"/>
  <c r="L43" i="31" s="1"/>
  <c r="L41" i="31" s="1"/>
  <c r="M44" i="31" s="1"/>
  <c r="M43" i="31" s="1"/>
  <c r="M41" i="31" s="1"/>
  <c r="N44" i="31" s="1"/>
  <c r="N43" i="31" s="1"/>
  <c r="N41" i="31" s="1"/>
  <c r="O44" i="31" s="1"/>
  <c r="O43" i="31" s="1"/>
  <c r="O41" i="31" s="1"/>
  <c r="L59" i="31"/>
  <c r="H32" i="31" l="1"/>
  <c r="H31" i="31"/>
  <c r="H29" i="31" s="1"/>
  <c r="M62" i="31"/>
  <c r="M61" i="31"/>
  <c r="M59" i="31" s="1"/>
  <c r="K50" i="31"/>
  <c r="K49" i="31" s="1"/>
  <c r="K47" i="31" s="1"/>
  <c r="L50" i="31" s="1"/>
  <c r="L49" i="31" s="1"/>
  <c r="L47" i="31" s="1"/>
  <c r="L56" i="31"/>
  <c r="L55" i="31" s="1"/>
  <c r="L53" i="31" s="1"/>
  <c r="M56" i="31" s="1"/>
  <c r="M55" i="31" s="1"/>
  <c r="M53" i="31" s="1"/>
  <c r="N56" i="31" s="1"/>
  <c r="N55" i="31" s="1"/>
  <c r="N53" i="31" s="1"/>
  <c r="T92" i="31"/>
  <c r="T91" i="31" s="1"/>
  <c r="T89" i="31" s="1"/>
  <c r="U92" i="31" s="1"/>
  <c r="U91" i="31" s="1"/>
  <c r="U89" i="31" s="1"/>
  <c r="V92" i="31" s="1"/>
  <c r="V91" i="31" s="1"/>
  <c r="V89" i="31" s="1"/>
  <c r="P44" i="31"/>
  <c r="P43" i="31" s="1"/>
  <c r="P41" i="31" s="1"/>
  <c r="I38" i="31"/>
  <c r="I37" i="31" s="1"/>
  <c r="I35" i="31" s="1"/>
  <c r="J38" i="31" s="1"/>
  <c r="J37" i="31" s="1"/>
  <c r="J35" i="31" s="1"/>
  <c r="P74" i="31"/>
  <c r="P73" i="31" s="1"/>
  <c r="P71" i="31" s="1"/>
  <c r="F97" i="31"/>
  <c r="F98" i="31" s="1"/>
  <c r="I33" i="36" s="1"/>
  <c r="I34" i="36" s="1"/>
  <c r="I37" i="36" s="1"/>
  <c r="I39" i="36" s="1"/>
  <c r="G17" i="31" s="1"/>
  <c r="F23" i="31"/>
  <c r="I32" i="31" l="1"/>
  <c r="I31" i="31"/>
  <c r="I29" i="31" s="1"/>
  <c r="J32" i="31" s="1"/>
  <c r="J31" i="31" s="1"/>
  <c r="J29" i="31" s="1"/>
  <c r="K32" i="31" s="1"/>
  <c r="K31" i="31" s="1"/>
  <c r="K29" i="31" s="1"/>
  <c r="L32" i="31" s="1"/>
  <c r="L31" i="31" s="1"/>
  <c r="L29" i="31" s="1"/>
  <c r="M32" i="31" s="1"/>
  <c r="M31" i="31" s="1"/>
  <c r="M29" i="31" s="1"/>
  <c r="N32" i="31" s="1"/>
  <c r="N31" i="31" s="1"/>
  <c r="N29" i="31" s="1"/>
  <c r="Q44" i="31"/>
  <c r="Q43" i="31" s="1"/>
  <c r="Q41" i="31" s="1"/>
  <c r="K38" i="31"/>
  <c r="K37" i="31" s="1"/>
  <c r="K35" i="31" s="1"/>
  <c r="L38" i="31" s="1"/>
  <c r="L37" i="31" s="1"/>
  <c r="L35" i="31" s="1"/>
  <c r="M38" i="31" s="1"/>
  <c r="M37" i="31" s="1"/>
  <c r="M35" i="31" s="1"/>
  <c r="N38" i="31" s="1"/>
  <c r="N37" i="31" s="1"/>
  <c r="N35" i="31" s="1"/>
  <c r="O38" i="31" s="1"/>
  <c r="O37" i="31" s="1"/>
  <c r="O35" i="31" s="1"/>
  <c r="M50" i="31"/>
  <c r="M49" i="31"/>
  <c r="M47" i="31" s="1"/>
  <c r="N50" i="31" s="1"/>
  <c r="N49" i="31" s="1"/>
  <c r="N47" i="31" s="1"/>
  <c r="O56" i="31"/>
  <c r="O55" i="31" s="1"/>
  <c r="O53" i="31" s="1"/>
  <c r="P56" i="31" s="1"/>
  <c r="P55" i="31" s="1"/>
  <c r="P53" i="31" s="1"/>
  <c r="Q74" i="31"/>
  <c r="Q73" i="31"/>
  <c r="Q71" i="31" s="1"/>
  <c r="N62" i="31"/>
  <c r="N61" i="31" s="1"/>
  <c r="N59" i="31" s="1"/>
  <c r="W92" i="31"/>
  <c r="W91" i="31" s="1"/>
  <c r="W89" i="31" s="1"/>
  <c r="J38" i="36"/>
  <c r="I67" i="36"/>
  <c r="I74" i="36" s="1"/>
  <c r="I79" i="36" s="1"/>
  <c r="G99" i="31"/>
  <c r="J16" i="36" s="1"/>
  <c r="J52" i="36" l="1"/>
  <c r="J54" i="36" s="1"/>
  <c r="J58" i="36" s="1"/>
  <c r="J18" i="36"/>
  <c r="J22" i="36" s="1"/>
  <c r="J24" i="36" s="1"/>
  <c r="J31" i="36" s="1"/>
  <c r="O32" i="31"/>
  <c r="O31" i="31" s="1"/>
  <c r="O29" i="31" s="1"/>
  <c r="Q56" i="31"/>
  <c r="Q55" i="31"/>
  <c r="Q53" i="31" s="1"/>
  <c r="O62" i="31"/>
  <c r="O61" i="31"/>
  <c r="O59" i="31" s="1"/>
  <c r="R44" i="31"/>
  <c r="R43" i="31"/>
  <c r="R41" i="31" s="1"/>
  <c r="R74" i="31"/>
  <c r="R73" i="31"/>
  <c r="R71" i="31" s="1"/>
  <c r="S74" i="31" s="1"/>
  <c r="S73" i="31" s="1"/>
  <c r="S71" i="31" s="1"/>
  <c r="T74" i="31" s="1"/>
  <c r="T73" i="31" s="1"/>
  <c r="T71" i="31" s="1"/>
  <c r="U74" i="31" s="1"/>
  <c r="U73" i="31" s="1"/>
  <c r="U71" i="31" s="1"/>
  <c r="V74" i="31" s="1"/>
  <c r="V73" i="31" s="1"/>
  <c r="V71" i="31" s="1"/>
  <c r="W74" i="31" s="1"/>
  <c r="W73" i="31" s="1"/>
  <c r="W71" i="31" s="1"/>
  <c r="O50" i="31"/>
  <c r="O49" i="31" s="1"/>
  <c r="O47" i="31" s="1"/>
  <c r="P50" i="31" s="1"/>
  <c r="P49" i="31" s="1"/>
  <c r="P47" i="31" s="1"/>
  <c r="X92" i="31"/>
  <c r="X91" i="31" s="1"/>
  <c r="X89" i="31" s="1"/>
  <c r="P38" i="31"/>
  <c r="P37" i="31"/>
  <c r="P35" i="31" s="1"/>
  <c r="I106" i="36"/>
  <c r="I105" i="36"/>
  <c r="I80" i="36"/>
  <c r="G97" i="31"/>
  <c r="G98" i="31" s="1"/>
  <c r="J33" i="36" s="1"/>
  <c r="J34" i="36" l="1"/>
  <c r="J37" i="36" s="1"/>
  <c r="J39" i="36" s="1"/>
  <c r="H17" i="31" s="1"/>
  <c r="P32" i="31"/>
  <c r="P31" i="31" s="1"/>
  <c r="P29" i="31" s="1"/>
  <c r="Y92" i="31"/>
  <c r="Y91" i="31"/>
  <c r="Y89" i="31" s="1"/>
  <c r="X74" i="31"/>
  <c r="X73" i="31" s="1"/>
  <c r="X71" i="31" s="1"/>
  <c r="Q50" i="31"/>
  <c r="Q49" i="31" s="1"/>
  <c r="Q47" i="31" s="1"/>
  <c r="S44" i="31"/>
  <c r="S43" i="31" s="1"/>
  <c r="S41" i="31" s="1"/>
  <c r="Q38" i="31"/>
  <c r="Q37" i="31"/>
  <c r="Q35" i="31" s="1"/>
  <c r="P62" i="31"/>
  <c r="P61" i="31" s="1"/>
  <c r="P59" i="31" s="1"/>
  <c r="R56" i="31"/>
  <c r="R55" i="31" s="1"/>
  <c r="R53" i="31" s="1"/>
  <c r="S56" i="31" s="1"/>
  <c r="S55" i="31" s="1"/>
  <c r="S53" i="31" s="1"/>
  <c r="T56" i="31" s="1"/>
  <c r="T55" i="31" s="1"/>
  <c r="T53" i="31" s="1"/>
  <c r="H99" i="31"/>
  <c r="K16" i="36" s="1"/>
  <c r="K38" i="36" l="1"/>
  <c r="J67" i="36"/>
  <c r="J74" i="36" s="1"/>
  <c r="J79" i="36" s="1"/>
  <c r="J80" i="36" s="1"/>
  <c r="Q32" i="31"/>
  <c r="Q31" i="31"/>
  <c r="Q29" i="31" s="1"/>
  <c r="K52" i="36"/>
  <c r="K54" i="36" s="1"/>
  <c r="K58" i="36" s="1"/>
  <c r="K18" i="36"/>
  <c r="K22" i="36" s="1"/>
  <c r="K24" i="36" s="1"/>
  <c r="K31" i="36" s="1"/>
  <c r="U56" i="31"/>
  <c r="U55" i="31"/>
  <c r="U53" i="31" s="1"/>
  <c r="R50" i="31"/>
  <c r="R49" i="31" s="1"/>
  <c r="R47" i="31" s="1"/>
  <c r="Q62" i="31"/>
  <c r="Q61" i="31"/>
  <c r="Q59" i="31" s="1"/>
  <c r="R37" i="31"/>
  <c r="R35" i="31" s="1"/>
  <c r="R38" i="31"/>
  <c r="Z92" i="31"/>
  <c r="Z91" i="31" s="1"/>
  <c r="Z89" i="31" s="1"/>
  <c r="H97" i="31"/>
  <c r="H98" i="31" s="1"/>
  <c r="K33" i="36" s="1"/>
  <c r="J106" i="36" l="1"/>
  <c r="J105" i="36"/>
  <c r="K34" i="36"/>
  <c r="K37" i="36" s="1"/>
  <c r="K39" i="36" s="1"/>
  <c r="I17" i="31" s="1"/>
  <c r="AA92" i="31"/>
  <c r="AA91" i="31" s="1"/>
  <c r="AA89" i="31" s="1"/>
  <c r="S50" i="31"/>
  <c r="S49" i="31" s="1"/>
  <c r="S47" i="31" s="1"/>
  <c r="R62" i="31"/>
  <c r="R61" i="31"/>
  <c r="R59" i="31" s="1"/>
  <c r="S62" i="31" s="1"/>
  <c r="S61" i="31" s="1"/>
  <c r="S59" i="31" s="1"/>
  <c r="T62" i="31" s="1"/>
  <c r="T61" i="31" s="1"/>
  <c r="T59" i="31" s="1"/>
  <c r="U62" i="31" s="1"/>
  <c r="U61" i="31" s="1"/>
  <c r="U59" i="31" s="1"/>
  <c r="I99" i="31"/>
  <c r="L16" i="36" s="1"/>
  <c r="K67" i="36" l="1"/>
  <c r="K74" i="36" s="1"/>
  <c r="K79" i="36" s="1"/>
  <c r="K105" i="36" s="1"/>
  <c r="L38" i="36"/>
  <c r="L52" i="36"/>
  <c r="L54" i="36" s="1"/>
  <c r="L58" i="36" s="1"/>
  <c r="L18" i="36"/>
  <c r="L22" i="36" s="1"/>
  <c r="L24" i="36" s="1"/>
  <c r="L31" i="36" s="1"/>
  <c r="T50" i="31"/>
  <c r="T49" i="31"/>
  <c r="T47" i="31" s="1"/>
  <c r="V62" i="31"/>
  <c r="V61" i="31" s="1"/>
  <c r="V59" i="31" s="1"/>
  <c r="I97" i="31"/>
  <c r="I98" i="31" s="1"/>
  <c r="L33" i="36" s="1"/>
  <c r="K106" i="36" l="1"/>
  <c r="K80" i="36"/>
  <c r="L34" i="36"/>
  <c r="L37" i="36" s="1"/>
  <c r="L39" i="36" s="1"/>
  <c r="J17" i="31" s="1"/>
  <c r="J99" i="31"/>
  <c r="M16" i="36" s="1"/>
  <c r="L67" i="36" l="1"/>
  <c r="L74" i="36" s="1"/>
  <c r="L79" i="36" s="1"/>
  <c r="L80" i="36" s="1"/>
  <c r="M38" i="36"/>
  <c r="M52" i="36"/>
  <c r="M54" i="36" s="1"/>
  <c r="M58" i="36" s="1"/>
  <c r="M18" i="36"/>
  <c r="M22" i="36" s="1"/>
  <c r="M24" i="36" s="1"/>
  <c r="M31" i="36" s="1"/>
  <c r="J97" i="31"/>
  <c r="J98" i="31" s="1"/>
  <c r="M33" i="36" s="1"/>
  <c r="L106" i="36" l="1"/>
  <c r="L105" i="36" s="1"/>
  <c r="M34" i="36"/>
  <c r="M37" i="36" s="1"/>
  <c r="M39" i="36" s="1"/>
  <c r="K17" i="31" s="1"/>
  <c r="K99" i="31"/>
  <c r="N16" i="36" s="1"/>
  <c r="K97" i="31"/>
  <c r="K98" i="31" s="1"/>
  <c r="N33" i="36" s="1"/>
  <c r="M67" i="36" l="1"/>
  <c r="M74" i="36" s="1"/>
  <c r="M79" i="36" s="1"/>
  <c r="M80" i="36" s="1"/>
  <c r="N38" i="36"/>
  <c r="N52" i="36"/>
  <c r="N54" i="36" s="1"/>
  <c r="N58" i="36" s="1"/>
  <c r="N18" i="36"/>
  <c r="N22" i="36" s="1"/>
  <c r="N24" i="36" s="1"/>
  <c r="N31" i="36" s="1"/>
  <c r="N34" i="36" s="1"/>
  <c r="N37" i="36" s="1"/>
  <c r="M106" i="36" l="1"/>
  <c r="M105" i="36" s="1"/>
  <c r="N39" i="36"/>
  <c r="O38" i="36" s="1"/>
  <c r="L99" i="31"/>
  <c r="O16" i="36" s="1"/>
  <c r="L17" i="31" l="1"/>
  <c r="O52" i="36"/>
  <c r="O54" i="36" s="1"/>
  <c r="O58" i="36" s="1"/>
  <c r="O18" i="36"/>
  <c r="O22" i="36" s="1"/>
  <c r="O24" i="36" s="1"/>
  <c r="O31" i="36" s="1"/>
  <c r="L97" i="31"/>
  <c r="L98" i="31" s="1"/>
  <c r="O33" i="36" s="1"/>
  <c r="O34" i="36" l="1"/>
  <c r="O37" i="36" s="1"/>
  <c r="O39" i="36" s="1"/>
  <c r="P38" i="36" s="1"/>
  <c r="M99" i="31"/>
  <c r="P16" i="36" s="1"/>
  <c r="M17" i="31" l="1"/>
  <c r="P52" i="36"/>
  <c r="P54" i="36" s="1"/>
  <c r="P58" i="36" s="1"/>
  <c r="P18" i="36"/>
  <c r="P22" i="36" s="1"/>
  <c r="P24" i="36" s="1"/>
  <c r="P31" i="36" s="1"/>
  <c r="M97" i="31"/>
  <c r="M98" i="31" s="1"/>
  <c r="P33" i="36" s="1"/>
  <c r="P34" i="36" l="1"/>
  <c r="P37" i="36" s="1"/>
  <c r="P39" i="36" s="1"/>
  <c r="Q38" i="36" s="1"/>
  <c r="N99" i="31"/>
  <c r="Q16" i="36" s="1"/>
  <c r="N17" i="31" l="1"/>
  <c r="Q52" i="36"/>
  <c r="Q54" i="36" s="1"/>
  <c r="Q58" i="36" s="1"/>
  <c r="Q18" i="36"/>
  <c r="Q22" i="36" s="1"/>
  <c r="Q24" i="36" s="1"/>
  <c r="Q31" i="36" s="1"/>
  <c r="N97" i="31"/>
  <c r="O80" i="31" l="1"/>
  <c r="N78" i="31" l="1"/>
  <c r="N96" i="31" s="1"/>
  <c r="N98" i="31" s="1"/>
  <c r="Q33" i="36" s="1"/>
  <c r="O99" i="31"/>
  <c r="R16" i="36" s="1"/>
  <c r="O79" i="31"/>
  <c r="O97" i="31" s="1"/>
  <c r="Q34" i="36" l="1"/>
  <c r="Q37" i="36" s="1"/>
  <c r="Q39" i="36" s="1"/>
  <c r="R38" i="36" s="1"/>
  <c r="R52" i="36"/>
  <c r="R54" i="36" s="1"/>
  <c r="R58" i="36" s="1"/>
  <c r="R18" i="36"/>
  <c r="R22" i="36" s="1"/>
  <c r="R24" i="36" s="1"/>
  <c r="R31" i="36" s="1"/>
  <c r="P86" i="31"/>
  <c r="P85" i="31" s="1"/>
  <c r="P83" i="31" s="1"/>
  <c r="O77" i="31"/>
  <c r="P80" i="31" s="1"/>
  <c r="P79" i="31" s="1"/>
  <c r="P77" i="31" s="1"/>
  <c r="Q80" i="31" s="1"/>
  <c r="Q79" i="31" s="1"/>
  <c r="Q77" i="31" s="1"/>
  <c r="R80" i="31" s="1"/>
  <c r="R79" i="31" s="1"/>
  <c r="R77" i="31" s="1"/>
  <c r="S80" i="31" s="1"/>
  <c r="S79" i="31" s="1"/>
  <c r="S77" i="31" s="1"/>
  <c r="T80" i="31" s="1"/>
  <c r="T79" i="31" s="1"/>
  <c r="T77" i="31" s="1"/>
  <c r="U80" i="31" s="1"/>
  <c r="U79" i="31" s="1"/>
  <c r="U77" i="31" s="1"/>
  <c r="V80" i="31" s="1"/>
  <c r="V79" i="31" s="1"/>
  <c r="V77" i="31" s="1"/>
  <c r="O84" i="31"/>
  <c r="O96" i="31" s="1"/>
  <c r="O98" i="31" s="1"/>
  <c r="R33" i="36" s="1"/>
  <c r="O17" i="31" l="1"/>
  <c r="R34" i="36"/>
  <c r="R37" i="36" s="1"/>
  <c r="R39" i="36" s="1"/>
  <c r="P17" i="31" s="1"/>
  <c r="Q86" i="31"/>
  <c r="Q85" i="31" s="1"/>
  <c r="Q83" i="31" s="1"/>
  <c r="W80" i="31"/>
  <c r="W79" i="31" s="1"/>
  <c r="W77" i="31" s="1"/>
  <c r="P99" i="31"/>
  <c r="S16" i="36" s="1"/>
  <c r="H50" i="19" s="1"/>
  <c r="K50" i="19" s="1"/>
  <c r="M50" i="19" s="1"/>
  <c r="R67" i="36" l="1"/>
  <c r="R74" i="36" s="1"/>
  <c r="R79" i="36" s="1"/>
  <c r="R80" i="36" s="1"/>
  <c r="S38" i="36"/>
  <c r="S52" i="36"/>
  <c r="S54" i="36" s="1"/>
  <c r="S58" i="36" s="1"/>
  <c r="S18" i="36"/>
  <c r="S22" i="36" s="1"/>
  <c r="S24" i="36" s="1"/>
  <c r="S31" i="36" s="1"/>
  <c r="H16" i="19"/>
  <c r="H46" i="19" s="1"/>
  <c r="K46" i="19" s="1"/>
  <c r="X80" i="31"/>
  <c r="X79" i="31" s="1"/>
  <c r="X77" i="31" s="1"/>
  <c r="R86" i="31"/>
  <c r="R85" i="31" s="1"/>
  <c r="R83" i="31" s="1"/>
  <c r="P97" i="31"/>
  <c r="P98" i="31" s="1"/>
  <c r="S33" i="36" s="1"/>
  <c r="H31" i="19" l="1"/>
  <c r="I31" i="19" s="1"/>
  <c r="H18" i="19"/>
  <c r="R106" i="36"/>
  <c r="R105" i="36" s="1"/>
  <c r="H48" i="19"/>
  <c r="K48" i="19" s="1"/>
  <c r="M48" i="19" s="1"/>
  <c r="S34" i="36"/>
  <c r="S37" i="36" s="1"/>
  <c r="S39" i="36" s="1"/>
  <c r="Q17" i="31" s="1"/>
  <c r="S86" i="31"/>
  <c r="S85" i="31" s="1"/>
  <c r="S83" i="31" s="1"/>
  <c r="Y80" i="31"/>
  <c r="Y79" i="31" s="1"/>
  <c r="Y77" i="31" s="1"/>
  <c r="Q99" i="31"/>
  <c r="H19" i="19" l="1"/>
  <c r="H22" i="19" s="1"/>
  <c r="I18" i="19"/>
  <c r="H51" i="19"/>
  <c r="K51" i="19" s="1"/>
  <c r="M51" i="19" s="1"/>
  <c r="H52" i="19"/>
  <c r="S67" i="36"/>
  <c r="S74" i="36" s="1"/>
  <c r="S79" i="36" s="1"/>
  <c r="S106" i="36" s="1"/>
  <c r="S105" i="36" s="1"/>
  <c r="T86" i="31"/>
  <c r="T85" i="31"/>
  <c r="T83" i="31" s="1"/>
  <c r="U86" i="31" s="1"/>
  <c r="U85" i="31" s="1"/>
  <c r="U83" i="31" s="1"/>
  <c r="I19" i="19" l="1"/>
  <c r="K52" i="19"/>
  <c r="M52" i="19" s="1"/>
  <c r="H53" i="19"/>
  <c r="K53" i="19" s="1"/>
  <c r="M53" i="19" s="1"/>
  <c r="S80" i="36"/>
  <c r="V86" i="31"/>
  <c r="V85" i="31"/>
  <c r="V83" i="31" s="1"/>
  <c r="W86" i="31" s="1"/>
  <c r="W85" i="31" s="1"/>
  <c r="W83" i="31" s="1"/>
  <c r="Q97" i="31"/>
  <c r="Q98" i="31" s="1"/>
  <c r="R99" i="31"/>
  <c r="H24" i="19" l="1"/>
  <c r="I24" i="19" s="1"/>
  <c r="X86" i="31"/>
  <c r="X85" i="31" s="1"/>
  <c r="X83" i="31" s="1"/>
  <c r="R97" i="31"/>
  <c r="R98" i="31" s="1"/>
  <c r="I22" i="19" l="1"/>
  <c r="H30" i="19"/>
  <c r="I30" i="19" s="1"/>
  <c r="Y86" i="31"/>
  <c r="Y85" i="31" s="1"/>
  <c r="Y83" i="31" s="1"/>
  <c r="S99" i="31"/>
  <c r="H32" i="19" l="1"/>
  <c r="H36" i="19" s="1"/>
  <c r="Z86" i="31"/>
  <c r="Z85" i="31"/>
  <c r="Z83" i="31" s="1"/>
  <c r="S97" i="31"/>
  <c r="S98" i="31" s="1"/>
  <c r="H38" i="19" l="1"/>
  <c r="I38" i="19" s="1"/>
  <c r="I36" i="19"/>
  <c r="T99" i="31"/>
  <c r="T97" i="31" l="1"/>
  <c r="T98" i="31" s="1"/>
  <c r="U99" i="31" l="1"/>
  <c r="U97" i="31"/>
  <c r="U98" i="31" s="1"/>
  <c r="V99" i="31" l="1"/>
  <c r="V97" i="31" l="1"/>
  <c r="V98" i="31" s="1"/>
  <c r="K18" i="34" l="1"/>
  <c r="K22" i="34" l="1"/>
  <c r="K24" i="34" s="1"/>
  <c r="K44" i="34" s="1"/>
  <c r="K46" i="34" l="1"/>
  <c r="K50" i="34" s="1"/>
  <c r="L18" i="34" l="1"/>
  <c r="L22" i="34" s="1"/>
  <c r="L24" i="34" s="1"/>
  <c r="L44" i="34" s="1"/>
  <c r="L46" i="34" s="1"/>
  <c r="L50" i="34" s="1"/>
  <c r="Q18" i="34" l="1"/>
  <c r="Q22" i="34" s="1"/>
  <c r="Q24" i="34" s="1"/>
  <c r="Q44" i="34" s="1"/>
  <c r="Q46" i="34" l="1"/>
  <c r="Q50" i="34" s="1"/>
  <c r="I46" i="34" l="1"/>
  <c r="I50" i="34" s="1"/>
  <c r="I52" i="34" s="1"/>
  <c r="C15" i="24" l="1"/>
  <c r="C16" i="24" s="1"/>
  <c r="J51" i="34"/>
  <c r="J52" i="34" s="1"/>
  <c r="K51" i="34" l="1"/>
  <c r="K52" i="34" s="1"/>
  <c r="C55" i="24"/>
  <c r="C17" i="24"/>
  <c r="L51" i="34" l="1"/>
  <c r="L52" i="34" s="1"/>
  <c r="C98" i="24"/>
  <c r="C57" i="24"/>
  <c r="C56" i="24"/>
  <c r="M51" i="34" l="1"/>
  <c r="M52" i="34" s="1"/>
  <c r="M55" i="34" s="1"/>
  <c r="C148" i="24"/>
  <c r="C100" i="24"/>
  <c r="C99" i="24"/>
  <c r="N51" i="34" l="1"/>
  <c r="N52" i="34" s="1"/>
  <c r="C195" i="24"/>
  <c r="C150" i="24"/>
  <c r="C149" i="24"/>
  <c r="O51" i="34" l="1"/>
  <c r="O52" i="34" s="1"/>
  <c r="C237" i="24"/>
  <c r="C196" i="24"/>
  <c r="C197" i="24"/>
  <c r="P51" i="34" l="1"/>
  <c r="P52" i="34" s="1"/>
  <c r="Q51" i="34" s="1"/>
  <c r="Q52" i="34" s="1"/>
  <c r="C283" i="24"/>
  <c r="C238" i="24"/>
  <c r="C239" i="24"/>
  <c r="C285" i="24" l="1"/>
  <c r="C284" i="24"/>
  <c r="R51" i="34"/>
  <c r="R52" i="34" s="1"/>
  <c r="S51" i="34" l="1"/>
  <c r="S52" i="34" s="1"/>
  <c r="T51" i="34" l="1"/>
  <c r="T52" i="34" s="1"/>
</calcChain>
</file>

<file path=xl/sharedStrings.xml><?xml version="1.0" encoding="utf-8"?>
<sst xmlns="http://schemas.openxmlformats.org/spreadsheetml/2006/main" count="74060" uniqueCount="9446">
  <si>
    <t>SALDO:</t>
  </si>
  <si>
    <t>INGRESOVENTA DE CHATARRA</t>
  </si>
  <si>
    <t>INGRESO VENTA DE CHATARRA</t>
  </si>
  <si>
    <t>AJUSTE FALTANTE MAFE</t>
  </si>
  <si>
    <t>SALDO TOTAL</t>
  </si>
  <si>
    <t>gd</t>
  </si>
  <si>
    <t xml:space="preserve">Presupuestos Administracion minigranjas Naos </t>
  </si>
  <si>
    <t>Vigilancia</t>
  </si>
  <si>
    <t>Plan Datos</t>
  </si>
  <si>
    <t>Imprevistos</t>
  </si>
  <si>
    <t>Mantenimiento</t>
  </si>
  <si>
    <t>Total</t>
  </si>
  <si>
    <t>Pago administracion</t>
  </si>
  <si>
    <t xml:space="preserve">Diferencia </t>
  </si>
  <si>
    <t>Presupuesto por Proyecto EPC y CAPEX</t>
  </si>
  <si>
    <t xml:space="preserve">Total </t>
  </si>
  <si>
    <t>Presu</t>
  </si>
  <si>
    <t>Total Working</t>
  </si>
  <si>
    <t>Total Capex</t>
  </si>
  <si>
    <t>Ejecutado</t>
  </si>
  <si>
    <t>EPC</t>
  </si>
  <si>
    <t>Fondonar</t>
  </si>
  <si>
    <t>Ingresos</t>
  </si>
  <si>
    <t>Salidas</t>
  </si>
  <si>
    <t>fundonar</t>
  </si>
  <si>
    <t>Vidrios Centenario</t>
  </si>
  <si>
    <t>Vidrios Centro</t>
  </si>
  <si>
    <t>Alimentos NARIÑO</t>
  </si>
  <si>
    <t>ALIMENTOS NARIÑO</t>
  </si>
  <si>
    <t>Carnes lujosa</t>
  </si>
  <si>
    <t>CARNES LA LUJOSA</t>
  </si>
  <si>
    <t>Sonarplas</t>
  </si>
  <si>
    <t>Lacteos</t>
  </si>
  <si>
    <t>lacteos andinos</t>
  </si>
  <si>
    <t>MINI</t>
  </si>
  <si>
    <t>NAOS 1</t>
  </si>
  <si>
    <t>generacion distribuida</t>
  </si>
  <si>
    <t>Acueducto PUPIALEs</t>
  </si>
  <si>
    <t>Acueducto</t>
  </si>
  <si>
    <t>Casa Humberto</t>
  </si>
  <si>
    <t>Ferreandina</t>
  </si>
  <si>
    <t>Bellatriz</t>
  </si>
  <si>
    <t>Pollo Ruano</t>
  </si>
  <si>
    <t>Batericars</t>
  </si>
  <si>
    <t>Delta</t>
  </si>
  <si>
    <t>Caffeto</t>
  </si>
  <si>
    <t>Carvajal</t>
  </si>
  <si>
    <t>Casa Pinasaco</t>
  </si>
  <si>
    <t>Palermo</t>
  </si>
  <si>
    <t>Inverobras Novacentro</t>
  </si>
  <si>
    <t>Inverobras</t>
  </si>
  <si>
    <t>NAOS 2</t>
  </si>
  <si>
    <t>NAOS 3</t>
  </si>
  <si>
    <t>septiembre</t>
  </si>
  <si>
    <t>Unicentro</t>
  </si>
  <si>
    <t>Credito</t>
  </si>
  <si>
    <t>Occidente</t>
  </si>
  <si>
    <t>Estructuracion</t>
  </si>
  <si>
    <t>Presupuesto</t>
  </si>
  <si>
    <t>PPA</t>
  </si>
  <si>
    <t>Pabon</t>
  </si>
  <si>
    <t>Hito</t>
  </si>
  <si>
    <t>Balcones</t>
  </si>
  <si>
    <t>Balcones de Pubenza</t>
  </si>
  <si>
    <t>VIVARIUM</t>
  </si>
  <si>
    <t>Vivarium</t>
  </si>
  <si>
    <t>NOVACENTRO</t>
  </si>
  <si>
    <t>Novacentro</t>
  </si>
  <si>
    <t>SAN RAFAEL</t>
  </si>
  <si>
    <t>San Rafael</t>
  </si>
  <si>
    <t>TURIN</t>
  </si>
  <si>
    <t>Turin</t>
  </si>
  <si>
    <t>Inventario</t>
  </si>
  <si>
    <t>MEICO</t>
  </si>
  <si>
    <t xml:space="preserve">Container </t>
  </si>
  <si>
    <t>Sotavento</t>
  </si>
  <si>
    <t>Santa Helena</t>
  </si>
  <si>
    <t>Tianchi</t>
  </si>
  <si>
    <t>Incubadora del sur</t>
  </si>
  <si>
    <t>Estrunar Cali</t>
  </si>
  <si>
    <t>Estrunar</t>
  </si>
  <si>
    <t>Esplendor</t>
  </si>
  <si>
    <t>Ejecución Proyectos EPC y CAPEX</t>
  </si>
  <si>
    <t>Gran Total</t>
  </si>
  <si>
    <t>Total working</t>
  </si>
  <si>
    <t>Total CAPEX</t>
  </si>
  <si>
    <t>Real</t>
  </si>
  <si>
    <t>Diferencia</t>
  </si>
  <si>
    <t xml:space="preserve">Acueducto </t>
  </si>
  <si>
    <t xml:space="preserve">ferreandina </t>
  </si>
  <si>
    <t xml:space="preserve">Pinasaco </t>
  </si>
  <si>
    <t>Container</t>
  </si>
  <si>
    <t>Santa helena</t>
  </si>
  <si>
    <t>Presupuestos Administrativos sin Salarios</t>
  </si>
  <si>
    <t>Ejecutado Administrativos</t>
  </si>
  <si>
    <t>Topografias</t>
  </si>
  <si>
    <t>Estudios  de conexión</t>
  </si>
  <si>
    <t>Visitas a terrenos</t>
  </si>
  <si>
    <t>Estudios Legales</t>
  </si>
  <si>
    <t>Consulta Min Interior</t>
  </si>
  <si>
    <t>Estudio Inventario Forestal</t>
  </si>
  <si>
    <t>Estudio de Suelos</t>
  </si>
  <si>
    <t>Licencia de Construcción</t>
  </si>
  <si>
    <t>Básico Brokers</t>
  </si>
  <si>
    <t>Comisión Tierras</t>
  </si>
  <si>
    <t xml:space="preserve">Agro voltai </t>
  </si>
  <si>
    <t>SALARIOS</t>
  </si>
  <si>
    <t>ventas</t>
  </si>
  <si>
    <t>Dif</t>
  </si>
  <si>
    <t>PRESUPUESTO ACUMULADO ESTRUCTURACIÓN</t>
  </si>
  <si>
    <t>GASTOS ACUMULADOS ESTRUCTURACIÓN</t>
  </si>
  <si>
    <t>% ACUMULADO (Ejecutado)</t>
  </si>
  <si>
    <t>VALOR ACUMULADO  (Ejecutado)</t>
  </si>
  <si>
    <t>alimentacion</t>
  </si>
  <si>
    <t>Comisiones</t>
  </si>
  <si>
    <t>Plan celular</t>
  </si>
  <si>
    <t>publicidad</t>
  </si>
  <si>
    <t>Tiquetes aeros</t>
  </si>
  <si>
    <t>transporte personal</t>
  </si>
  <si>
    <t>reuniones</t>
  </si>
  <si>
    <t xml:space="preserve">viaticos </t>
  </si>
  <si>
    <t>Salarios</t>
  </si>
  <si>
    <t>Fecha ultima actualización</t>
  </si>
  <si>
    <t>Criterio</t>
  </si>
  <si>
    <t>Monto</t>
  </si>
  <si>
    <t>Banco</t>
  </si>
  <si>
    <t>Cuenta BBVA Corriente</t>
  </si>
  <si>
    <t>Cuenta Corriente Banco de Bogota</t>
  </si>
  <si>
    <t>Caja anterior</t>
  </si>
  <si>
    <t>Cuenta de Ahorros Banco de Bogota</t>
  </si>
  <si>
    <t>Retiro en cajeros</t>
  </si>
  <si>
    <t>Banco de bogota</t>
  </si>
  <si>
    <t>Cuenta Bancolombia</t>
  </si>
  <si>
    <t>retiro cajero</t>
  </si>
  <si>
    <t>Bancolombia</t>
  </si>
  <si>
    <t>Cuenta Davivienda</t>
  </si>
  <si>
    <t>BBVA</t>
  </si>
  <si>
    <t>Total Caja</t>
  </si>
  <si>
    <t>Fiducia BBVA</t>
  </si>
  <si>
    <t>Banco de Occidente</t>
  </si>
  <si>
    <t>Fiduoccidente</t>
  </si>
  <si>
    <t>Legalizado</t>
  </si>
  <si>
    <t xml:space="preserve">Caja actual Juan </t>
  </si>
  <si>
    <t>Flujo de Caja</t>
  </si>
  <si>
    <t>CAJA MENOR CALI</t>
  </si>
  <si>
    <t>Verificación</t>
  </si>
  <si>
    <t>CAJA JUAN SEBASTIAN</t>
  </si>
  <si>
    <t>CAJA MENOR DELTA</t>
  </si>
  <si>
    <t>CAJA MENOR NAOS</t>
  </si>
  <si>
    <t>CAJA MENOR LOGISTICA</t>
  </si>
  <si>
    <t>CAJA MENOR POLARIS</t>
  </si>
  <si>
    <t>VIATICOS DANIEL VIAJE IPIALES</t>
  </si>
  <si>
    <t>VIATICOS JUAN MANUEL</t>
  </si>
  <si>
    <t>VIATICOS ANDRES VIAJE REMOLINO</t>
  </si>
  <si>
    <t xml:space="preserve"> SALDO A 31 DE DICIEMBRE 2024</t>
  </si>
  <si>
    <t>VIATICOS JEISON VIAJE IPIALES</t>
  </si>
  <si>
    <t>DEV PDTE VIATICOS VALLEDUPAR JUANFER</t>
  </si>
  <si>
    <t>Cuenta corriente Banco de Bogota</t>
  </si>
  <si>
    <t>VIATICOS MIGUEL VIAJE IPIALES</t>
  </si>
  <si>
    <t>Caja Actual</t>
  </si>
  <si>
    <t>Retiro Cajero</t>
  </si>
  <si>
    <t>CAJA ACTUAL JUAN</t>
  </si>
  <si>
    <t>VIATICOS DANNA ARMERO MINIGRANJAS 27-2-25</t>
  </si>
  <si>
    <t>VIATICOS CRISTHIAN ROSERO 27-2-25</t>
  </si>
  <si>
    <t>VIATICOS MIGUEL VIAJE IPIALES 17-2-25</t>
  </si>
  <si>
    <t>VIATICOS TRANSPORTES ANDRES LUCENA 19-2-25</t>
  </si>
  <si>
    <t xml:space="preserve">REINTEGRO PDTE A ANDREA VIAJE A PASTO </t>
  </si>
  <si>
    <t>ENTREGA DINERO GASTOS RUBEN (IPK ADAMO)</t>
  </si>
  <si>
    <t>VIATICOS ESTEFANYA VIAJE CALI</t>
  </si>
  <si>
    <t>VIATICOS RUBIELA MINIGRANJAS 27-2-25</t>
  </si>
  <si>
    <t>DINERO ENTREGADO A MAFE COMPRA DOTACION</t>
  </si>
  <si>
    <t>Banco de Occidente Remolino</t>
  </si>
  <si>
    <t>AJUSTE PROVISIONAL POR NO REFLEJO SALDO BANCO</t>
  </si>
  <si>
    <t>SALDO PDTE JEAN CARLO LEG POLARIS</t>
  </si>
  <si>
    <t>CAJA MENOR LYRA</t>
  </si>
  <si>
    <t>CAJA MENOR ORBIS</t>
  </si>
  <si>
    <t>DEVOLUCION PDT DINERO GASTOS RUBEN (IPK)</t>
  </si>
  <si>
    <t>ViATICOS ANA HENAO VIAJE MERCADERES</t>
  </si>
  <si>
    <t>VIATICOS DANNA VIAJE MEDELLIN</t>
  </si>
  <si>
    <t xml:space="preserve">REINTEGRO PDTE VIATICOS JUAN FERNANDO CALI </t>
  </si>
  <si>
    <t>DEVOLUCION PDT VIATICOS JOSE ESTEBAN RODRIGUEZ</t>
  </si>
  <si>
    <t>VIATICOS JEANCARLO VIAJE A MEDELLIN</t>
  </si>
  <si>
    <t>VIATICOS CRISHIAN ROSERO VIAJE IPIALES 27-3-25</t>
  </si>
  <si>
    <t>VIATICOS MIGUEL VIAJE IPIALES 27-3-25</t>
  </si>
  <si>
    <t>DiNERO EDUARDO CHANA MINIGRANJAS 26-3-25</t>
  </si>
  <si>
    <t xml:space="preserve">VIATICOS VIAJE PAOLA ARENAS </t>
  </si>
  <si>
    <t>VIATICOS VIAJE JHON EDINSON</t>
  </si>
  <si>
    <t>VIATICOS HERNAN VIAJE CASA 55 POPAYAN</t>
  </si>
  <si>
    <t>VIATICOS JUAN MANUEL VIAJE PASTO</t>
  </si>
  <si>
    <t>SALDO PDTE MAFE COMPRA DOTACION</t>
  </si>
  <si>
    <t>Tarjeta Juan Gomez</t>
  </si>
  <si>
    <t>Tarjeta Jeancarlo</t>
  </si>
  <si>
    <t>Banco de Occidente Juan Gomez</t>
  </si>
  <si>
    <t>RETENCION ASCENSO</t>
  </si>
  <si>
    <t>GMF GOMEZ</t>
  </si>
  <si>
    <t>JUAN FER</t>
  </si>
  <si>
    <t>CAJA MENOR TULUA SERGIO ZAMBRANO</t>
  </si>
  <si>
    <t>REINTEGRO ViATICOS ANA HENAO VIAJE MERCADERES</t>
  </si>
  <si>
    <t>VIATICOS VIAJE DANIEL Y VERO A IPIALES</t>
  </si>
  <si>
    <t>SERGIO</t>
  </si>
  <si>
    <t>HERNAN</t>
  </si>
  <si>
    <t>VIATICOS HERNAN CONVENCION CARTAGENA</t>
  </si>
  <si>
    <t>viaticos carolina cardona bbva</t>
  </si>
  <si>
    <t>Edinson</t>
  </si>
  <si>
    <t>occidente</t>
  </si>
  <si>
    <t>Paola</t>
  </si>
  <si>
    <t>Daniel</t>
  </si>
  <si>
    <t>Bbva</t>
  </si>
  <si>
    <t>Hernan</t>
  </si>
  <si>
    <t>Juanfer</t>
  </si>
  <si>
    <t>Julio Cesar</t>
  </si>
  <si>
    <t>Ana Henao</t>
  </si>
  <si>
    <t>Giro Juan Sebastian</t>
  </si>
  <si>
    <t xml:space="preserve">VIATICOS SARA VIEJA A CAPACITACION SENA EN PASTO </t>
  </si>
  <si>
    <t>Viaticos Mariana</t>
  </si>
  <si>
    <t>B bogota</t>
  </si>
  <si>
    <t>REINTEGRO PDTE A  CAROLINA CARDONA VIAJE PASTO</t>
  </si>
  <si>
    <t>Viaticos Fabian flores</t>
  </si>
  <si>
    <t>VIATICOS VISITA MARIANA A PASTO</t>
  </si>
  <si>
    <t>Dev jeancarlo</t>
  </si>
  <si>
    <t>VIATICOS FABIAN FLOREZ PEREIRA-MEDELLIN</t>
  </si>
  <si>
    <t>ORBIS</t>
  </si>
  <si>
    <t>VIATICOAS MARCELA VIAJE MEDELLIN</t>
  </si>
  <si>
    <t>LYRA</t>
  </si>
  <si>
    <t>VIATICOS PAOLA ARENAS VISITA A PASTO</t>
  </si>
  <si>
    <t>POLARIS</t>
  </si>
  <si>
    <t>VIATICOS JULIO CESAR VISITA A PASTO</t>
  </si>
  <si>
    <t>VIATICOS CRISTHIAN ROSERO 30-8-25</t>
  </si>
  <si>
    <t xml:space="preserve">SALDO VIATICOS JUANFERNANDO VIAJE LACTEOS TULUA </t>
  </si>
  <si>
    <t>LEG CAROLINA CARDONA</t>
  </si>
  <si>
    <t>OCCIDENTE</t>
  </si>
  <si>
    <t>LEG SERGIO</t>
  </si>
  <si>
    <t>AJUSTE NO REFLEJO SALDO BANCO CAMBIO DE MES</t>
  </si>
  <si>
    <t>TRASLADO LEG JUAN G</t>
  </si>
  <si>
    <t>LEGALIZACION JUAN G</t>
  </si>
  <si>
    <t>VIATICOS ANA HENAO</t>
  </si>
  <si>
    <t>INGRESO FABIAN FLOREZ</t>
  </si>
  <si>
    <t>DINERO IMPRESIÓN DE PLANOS ORBIS PDTE DEVOLVER</t>
  </si>
  <si>
    <t xml:space="preserve">VIATICOS ANA HENAO </t>
  </si>
  <si>
    <t>VIATICOS ANDRES VISITA POLARIS-DELTA 26-6-25</t>
  </si>
  <si>
    <t>VIATICOS DANIEL-VERONICA VISITA COMERCIAL 25-6-25</t>
  </si>
  <si>
    <t>VIATICOS CRISHTIAN ROSERO VIAJE IPIALES 25-6-25 (2)</t>
  </si>
  <si>
    <t>VIATICOS ANDRES BOLAÑOS SST VIAJE PASTO 25-6-25</t>
  </si>
  <si>
    <t>RETIRO CAJERO JUAN MANUEL</t>
  </si>
  <si>
    <t>LEG JUAN GOMEZ</t>
  </si>
  <si>
    <t>CAJA NAOS TRASLADO</t>
  </si>
  <si>
    <t>CAJA  JEAN TRASLADO</t>
  </si>
  <si>
    <t>GIRO LEG MINIGRANJAS</t>
  </si>
  <si>
    <t>LEG ANA HENAO</t>
  </si>
  <si>
    <t>CAJA MENOR EL BORDO NAOS 4</t>
  </si>
  <si>
    <t>DEV MARIANA</t>
  </si>
  <si>
    <t>CAJA MENOR JEANCARLO MONCAYO</t>
  </si>
  <si>
    <t>DINERO CAJA MENOR CRISTHIAN ROSERO NAVA 7-7-25</t>
  </si>
  <si>
    <t>VIATICOS CRISTHIAN VIAJE NAVA 10-7-25</t>
  </si>
  <si>
    <t>VIATICOS DANIEL-VERONICA VISITA COMERCIAL 3-7-25</t>
  </si>
  <si>
    <t>RETIRO JUAN MANUEL  10-7-25</t>
  </si>
  <si>
    <t>admon</t>
  </si>
  <si>
    <t>Arriendo</t>
  </si>
  <si>
    <t>Asesoria</t>
  </si>
  <si>
    <t>Computadores</t>
  </si>
  <si>
    <t>ERP</t>
  </si>
  <si>
    <t>Gastos Legales</t>
  </si>
  <si>
    <t>GASTOS LEGALES</t>
  </si>
  <si>
    <t>Oficina</t>
  </si>
  <si>
    <t>OFICINA</t>
  </si>
  <si>
    <t>Servicios publicos</t>
  </si>
  <si>
    <t>Sistemas</t>
  </si>
  <si>
    <t>SST</t>
  </si>
  <si>
    <t>Transporte personal</t>
  </si>
  <si>
    <t>Viaticos</t>
  </si>
  <si>
    <t>Viaticos Talento Humano</t>
  </si>
  <si>
    <t>Cierre de Año</t>
  </si>
  <si>
    <t>CIERRE DE AÑO</t>
  </si>
  <si>
    <t>Polizas</t>
  </si>
  <si>
    <t>Gastos Ventas</t>
  </si>
  <si>
    <t>Viaticos Comercial</t>
  </si>
  <si>
    <t>VIATICOS COMERCIAL</t>
  </si>
  <si>
    <t>viaticos Juan Manuel</t>
  </si>
  <si>
    <t>viaticos JUAN MANUEL</t>
  </si>
  <si>
    <t>Provisión Impuestos</t>
  </si>
  <si>
    <t>Industria y comercio</t>
  </si>
  <si>
    <t>Camara de comercio</t>
  </si>
  <si>
    <t>Dominios</t>
  </si>
  <si>
    <t>VIATICOS  TALENTO HUMANO</t>
  </si>
  <si>
    <t>TOTAL</t>
  </si>
  <si>
    <t>PRESUPUESTO ACUMULADO ADMON</t>
  </si>
  <si>
    <t>GASTOS ACUMULADOS ADMON</t>
  </si>
  <si>
    <t>PRESUPUESTO ACUMULADO VENTAS</t>
  </si>
  <si>
    <t>GASTOS ACUMULADOS VENTAS</t>
  </si>
  <si>
    <t>PRIMAS</t>
  </si>
  <si>
    <t>Fecha</t>
  </si>
  <si>
    <t>Admon</t>
  </si>
  <si>
    <t>Admon fin</t>
  </si>
  <si>
    <t>Total Admin</t>
  </si>
  <si>
    <t>Impuestos</t>
  </si>
  <si>
    <t>gen</t>
  </si>
  <si>
    <t>working</t>
  </si>
  <si>
    <t>capex</t>
  </si>
  <si>
    <t>deuda</t>
  </si>
  <si>
    <t xml:space="preserve">Concepto </t>
  </si>
  <si>
    <t>Recursos provienen de:</t>
  </si>
  <si>
    <t>MES</t>
  </si>
  <si>
    <t>Nombre</t>
  </si>
  <si>
    <t>Apellido</t>
  </si>
  <si>
    <t>Apellido2</t>
  </si>
  <si>
    <t>Persona</t>
  </si>
  <si>
    <t xml:space="preserve">Compra papel vinilo para puera oficina </t>
  </si>
  <si>
    <t>Efectivo</t>
  </si>
  <si>
    <t>Compra espatulas para colocar papel puerta oficina</t>
  </si>
  <si>
    <t>Transporte para compra papel y materiales para colocar papel en puerta oficina</t>
  </si>
  <si>
    <t>Transporte Andres oficina-el troje</t>
  </si>
  <si>
    <t xml:space="preserve">Troje </t>
  </si>
  <si>
    <t>Transporte Andres el troje-oficina</t>
  </si>
  <si>
    <t>Cuota credito Banco de Bogota</t>
  </si>
  <si>
    <t>banco bogota</t>
  </si>
  <si>
    <t>intereses</t>
  </si>
  <si>
    <t>pago cartera leasing  cuota 5/36</t>
  </si>
  <si>
    <t>Pago arrendamiento a wework</t>
  </si>
  <si>
    <t>Pago vacaciones veronica santacruz</t>
  </si>
  <si>
    <t>Pago honorarios Alba Mariela Revelo</t>
  </si>
  <si>
    <t xml:space="preserve">Compra paquete de datos naos 2 </t>
  </si>
  <si>
    <t>Naos2</t>
  </si>
  <si>
    <t>Gastos administrativos</t>
  </si>
  <si>
    <t>Pago en camara de comercio pasto contitucion orbis generacion sas</t>
  </si>
  <si>
    <t>Pago en camara de comercio pasto contitucion granjas solares nova sas</t>
  </si>
  <si>
    <t xml:space="preserve">Transporte Ruben recoger camioneta para remolino </t>
  </si>
  <si>
    <t>Logistica Viáticos</t>
  </si>
  <si>
    <t xml:space="preserve">Transporte personal oscar mauricio </t>
  </si>
  <si>
    <t>Unicentro Pasto</t>
  </si>
  <si>
    <t>check</t>
  </si>
  <si>
    <t xml:space="preserve">Taxi aeropuerto medellin juan manuel </t>
  </si>
  <si>
    <t xml:space="preserve">Taxi aeropuerto pasto juan manuel </t>
  </si>
  <si>
    <t>Taxis pasto  juan manuel</t>
  </si>
  <si>
    <t>taxis cali juan manuel</t>
  </si>
  <si>
    <t>Transporte Javier lucena el troje ida</t>
  </si>
  <si>
    <t>Transporte Javier lucena el troje vuelta</t>
  </si>
  <si>
    <t>Pago vacaciones Jorge andres muñoz</t>
  </si>
  <si>
    <t>Naos3</t>
  </si>
  <si>
    <t>Equipo Ingeniería de Campo</t>
  </si>
  <si>
    <t>Pago camara de comercio medellin (delta)</t>
  </si>
  <si>
    <t>3 Almuerzos (Martin, Jersson, Jose)</t>
  </si>
  <si>
    <t>Agropecuaria San rafael</t>
  </si>
  <si>
    <t>Mano de obra</t>
  </si>
  <si>
    <t>2 bloqueadores solares</t>
  </si>
  <si>
    <t>Elementos de proteccion personal (Guantes, Gafas)</t>
  </si>
  <si>
    <t xml:space="preserve">Transporte de Material </t>
  </si>
  <si>
    <t>Flete Equipos</t>
  </si>
  <si>
    <t>Hidratacion del Personal</t>
  </si>
  <si>
    <t>4 Desayunos (Martin, Jersson, Jose, Juan David)</t>
  </si>
  <si>
    <t>Gasolina para Barreno Ahoyador</t>
  </si>
  <si>
    <t>Pequeño Material</t>
  </si>
  <si>
    <t>Aceite 2 tiempos para Barreno Ahoyador</t>
  </si>
  <si>
    <t>4 Almuerzos (Martin, Jersson, José, Juan David)</t>
  </si>
  <si>
    <t>Transporte en taxi de Juan Sebantian y José Rueda desde estacion de servicio ESTAMBUL - Tulua, hasta la casa asignada en Tulua.</t>
  </si>
  <si>
    <t>Tiquete de transporte desde terminal de Tulua, terminal de Cali</t>
  </si>
  <si>
    <t>Transporte desde terminal de Cali</t>
  </si>
  <si>
    <t>Tanqueo Gasolina Martin Sossa</t>
  </si>
  <si>
    <t>Tanqueo Gasolina Jerson Gomez</t>
  </si>
  <si>
    <t>Tanqueo Gasolina Juan David Lopez</t>
  </si>
  <si>
    <t>4 Cenas (Martin, Jersson, José, Juan David)</t>
  </si>
  <si>
    <t>Modificacio herramienta hoyadora (tubos galvanizados 1")</t>
  </si>
  <si>
    <t>Soldadura de tubos galvanizados a hoyadora</t>
  </si>
  <si>
    <t>Almuerzos (Martin, Jersson, Jose, Juan David)</t>
  </si>
  <si>
    <t>pago fra electricos del valle Cotizacion N° SO-683718</t>
  </si>
  <si>
    <t>Cables</t>
  </si>
  <si>
    <t>Pago PDB25010203 teltocnika</t>
  </si>
  <si>
    <t>SET (electrico)</t>
  </si>
  <si>
    <t>Pago servicio de agua pormonte Naos3</t>
  </si>
  <si>
    <t>Pago servicio de agua pormonte Naos2</t>
  </si>
  <si>
    <t xml:space="preserve">Pago fletes tiba factura BOG68969 </t>
  </si>
  <si>
    <t>Descargues</t>
  </si>
  <si>
    <t>Retencion credito ascenso intereses</t>
  </si>
  <si>
    <t>retencion</t>
  </si>
  <si>
    <t>Pago Credito Ascenso</t>
  </si>
  <si>
    <t>Pago cotizacion  5360364 casa andina</t>
  </si>
  <si>
    <t>Estructura</t>
  </si>
  <si>
    <t>Pago  COTIZACION: TA741-24 tablesa</t>
  </si>
  <si>
    <t>Tableros de Distribución</t>
  </si>
  <si>
    <t>Pago fra FEVN - 1043 grupo sst</t>
  </si>
  <si>
    <t>Herramienta</t>
  </si>
  <si>
    <t>Pago fra solubaños fra E-1363</t>
  </si>
  <si>
    <t>Baños portátiles</t>
  </si>
  <si>
    <t>Pago fra solubaños fra E-1362</t>
  </si>
  <si>
    <t>Pago plan celular comercial</t>
  </si>
  <si>
    <t xml:space="preserve">Pago poliza para incubadora del sur </t>
  </si>
  <si>
    <t>Incubadora del Sur</t>
  </si>
  <si>
    <t>pólizas</t>
  </si>
  <si>
    <t>Pago poliza para splendor</t>
  </si>
  <si>
    <t>Splendor</t>
  </si>
  <si>
    <t>Pago poliza para desarrollo campesino</t>
  </si>
  <si>
    <t>Desarrollo Campesino</t>
  </si>
  <si>
    <t>Pago poliza para clinica morasurco</t>
  </si>
  <si>
    <t>Clinica Morasurco (3KW)</t>
  </si>
  <si>
    <t>Pago poliza para sotavento</t>
  </si>
  <si>
    <t>Pago poliza para mantenimiento</t>
  </si>
  <si>
    <t>mantenimiento</t>
  </si>
  <si>
    <t>Pago cta cobro Juan camacho agro san rafael</t>
  </si>
  <si>
    <t>pago electronico licencia chatgpt</t>
  </si>
  <si>
    <t>bancolombia</t>
  </si>
  <si>
    <t>Pago electronico licencia adobe</t>
  </si>
  <si>
    <t>Retencion fte 1% transporte oscar mauricio</t>
  </si>
  <si>
    <t>Retencion ica 6*1000 transporte oscar mauricio</t>
  </si>
  <si>
    <t>Retencion ICA 6*100 casa andina</t>
  </si>
  <si>
    <t>retefte 2,5% cotizacion Ta741-24 tablesa</t>
  </si>
  <si>
    <t>retefuente 11% grupo sst</t>
  </si>
  <si>
    <t>retencion ica 6*1000 fra solubaños fra E-1363</t>
  </si>
  <si>
    <t>retencion fte 4% fra solubaños fra E-1363</t>
  </si>
  <si>
    <t>retencion ica 6*1000 fra solubaños fra E-1362</t>
  </si>
  <si>
    <t>retencion fte 4% fra solubaños fra E-1362</t>
  </si>
  <si>
    <t>retefuente 3,5% Juan camacho agro san rafael</t>
  </si>
  <si>
    <t xml:space="preserve">Tiquete (Pasto - Ipiales) </t>
  </si>
  <si>
    <t>Hotel Adamo</t>
  </si>
  <si>
    <t>Desayuno Stefania Lasso</t>
  </si>
  <si>
    <t>Almuerzo Stefania Lasso</t>
  </si>
  <si>
    <t>Transporte (Hotel Adamo - NAVA)</t>
  </si>
  <si>
    <t xml:space="preserve">Nava del sur </t>
  </si>
  <si>
    <t>Trayecto desde Evolti a Planta de procesos de la merced</t>
  </si>
  <si>
    <t>Trayecto de regreso desde Planta de procesos la Merced a Evolti</t>
  </si>
  <si>
    <t>Carrera piaggio, trayecto: Oficina - Terminal mixto</t>
  </si>
  <si>
    <t>Envío motor mezcladora, trayecto: Pasto - Remolino</t>
  </si>
  <si>
    <t>Cinta doble faz</t>
  </si>
  <si>
    <t>Montaje eléctrico</t>
  </si>
  <si>
    <t>Envío tapas de inspección, trayecto: Pasto - Remolino</t>
  </si>
  <si>
    <t>Vinilos laminados sobre PVC</t>
  </si>
  <si>
    <t>Planos 1/4 de pliego</t>
  </si>
  <si>
    <t>Envío elementos de demarcación, planos y medidores, trayecto: Pasto - Remolino</t>
  </si>
  <si>
    <t xml:space="preserve">/ UIO  </t>
  </si>
  <si>
    <t>Pasaje inspector RETIE</t>
  </si>
  <si>
    <t>Carretos de nylon</t>
  </si>
  <si>
    <t>Armado mesas FV</t>
  </si>
  <si>
    <t>10 kg estuco de relleno</t>
  </si>
  <si>
    <t>Botellón de agua</t>
  </si>
  <si>
    <t>Thinner, vinipel</t>
  </si>
  <si>
    <t>Carreras piaggio, trayectos: La Ferro - Oficina, Oficina - Sotavento</t>
  </si>
  <si>
    <t>Hora y media de carreras de taxi para compras</t>
  </si>
  <si>
    <t xml:space="preserve">Conduletas EMT tipo C, Terminal EMT, Conectores bimetálicos, Terminal de ojo clable #12, </t>
  </si>
  <si>
    <t>Impresión planos</t>
  </si>
  <si>
    <t>Marcadores Sharpie, lápices rojos</t>
  </si>
  <si>
    <t>Aisladores tipo yoyo 35mm</t>
  </si>
  <si>
    <t xml:space="preserve">Compra de material para mesas solares. </t>
  </si>
  <si>
    <t>compra elementos de cafeteria oficina pasto</t>
  </si>
  <si>
    <t>Transporte visita delta</t>
  </si>
  <si>
    <t>Transportes</t>
  </si>
  <si>
    <t>desayuno sobre via, por motivo de cerramiento via</t>
  </si>
  <si>
    <t>Tranporte visita Naos2</t>
  </si>
  <si>
    <t>hidrataion visita</t>
  </si>
  <si>
    <t xml:space="preserve">Viaticaje en obra </t>
  </si>
  <si>
    <t>Transporte morsurco rubiela</t>
  </si>
  <si>
    <t>Compra almuerzo luisa y Andrea visita pasto</t>
  </si>
  <si>
    <t>Transporte el troje javier lucena</t>
  </si>
  <si>
    <t>Transporte vuelta el troje javier lucena</t>
  </si>
  <si>
    <t>Transporte oficina aeropuerto jean y marcela</t>
  </si>
  <si>
    <t>Working</t>
  </si>
  <si>
    <t>estructuracion</t>
  </si>
  <si>
    <t>Cena juanfer jean y marcela</t>
  </si>
  <si>
    <t>Desayuno Juan jean y marcela</t>
  </si>
  <si>
    <t>Hidratacion Juanfer, jean y marcela</t>
  </si>
  <si>
    <t xml:space="preserve">Peajes visita valledupar </t>
  </si>
  <si>
    <t>Almuerzo juanfer, carlos, jean y marcela</t>
  </si>
  <si>
    <t>Cena marcela</t>
  </si>
  <si>
    <t>Hospedaje miercoles Juanfer,Jean y marcela</t>
  </si>
  <si>
    <t xml:space="preserve">Transporte personal Wilian Andres Basante </t>
  </si>
  <si>
    <t>Pago guia tranporte euipomedidor Naos 2</t>
  </si>
  <si>
    <t>Hidratación para trayecto Pasto - Popayan</t>
  </si>
  <si>
    <t>Desayuno trayecto Pasto - Popayan</t>
  </si>
  <si>
    <t>Peaje Chachagüí - trayecto Pasto - Popayan</t>
  </si>
  <si>
    <t>Almuerzo - Popayan</t>
  </si>
  <si>
    <t>Cena - Popayan</t>
  </si>
  <si>
    <t>Hidratación para trayecto Popayan - Pance</t>
  </si>
  <si>
    <t>Taxi - transporte interno Popayan</t>
  </si>
  <si>
    <t>Transporte trayecto Popayan - Pasto</t>
  </si>
  <si>
    <t>Almuerzo - trayecto Popayan - Pasto</t>
  </si>
  <si>
    <t>Hospedaje</t>
  </si>
  <si>
    <t>Tranporte pasto-ipiales</t>
  </si>
  <si>
    <t>Taxi terminal-Hotel adamo</t>
  </si>
  <si>
    <t xml:space="preserve">Deayuno Miguel </t>
  </si>
  <si>
    <t>Taxi miguel</t>
  </si>
  <si>
    <t>Almuerzo visita miguel</t>
  </si>
  <si>
    <t>Taxi mister pollo  ipiales</t>
  </si>
  <si>
    <t xml:space="preserve">Taxi terminal miguel Mister pollo </t>
  </si>
  <si>
    <t>Transporte ipiales-pasto</t>
  </si>
  <si>
    <t>Transporte personal oscar mauricio morales</t>
  </si>
  <si>
    <t>Jugos Daniel Gracia</t>
  </si>
  <si>
    <t xml:space="preserve">Pago licencia hotmart curso redes sociales </t>
  </si>
  <si>
    <t>Pago arriendo wework</t>
  </si>
  <si>
    <t>retefuene arriendo wework</t>
  </si>
  <si>
    <t>Compra tiquete aereo pasto-valledupar buenavista</t>
  </si>
  <si>
    <t>Pago a aura mirey burbano para delta set civil</t>
  </si>
  <si>
    <t>SET (Civil)</t>
  </si>
  <si>
    <t>Pago a aura mirey burbano para delta cajas de paso</t>
  </si>
  <si>
    <t>Cajas de paso</t>
  </si>
  <si>
    <t>Pago alimentacion marcos ojeda naos 2 enero</t>
  </si>
  <si>
    <t>Pago alimentacion marcos ojeda naos 3 enero</t>
  </si>
  <si>
    <t>Transporte a terminal de Cali</t>
  </si>
  <si>
    <t>Transporte bus terminal de Cali a terminal de Tulúa</t>
  </si>
  <si>
    <t xml:space="preserve">Transporte desde terminal de Tulúa a hospedaje </t>
  </si>
  <si>
    <t>3 Desayunos (Martin, Jersson, Jose)</t>
  </si>
  <si>
    <t>Casco de protección para transporte del Ing. Juan Sebastian</t>
  </si>
  <si>
    <t>Hidratación</t>
  </si>
  <si>
    <t>5 Almuerzos (Martin, Jersson, Jose, Juan David, Juan Sebastian)</t>
  </si>
  <si>
    <t>Cena (Martin, Jersson, Jose, Juan David, Juan Sebastian)</t>
  </si>
  <si>
    <t>5 Desayunos (Martin, Jersson, Jose, Juan David, Juan Sebastian)</t>
  </si>
  <si>
    <t>Nevera de mano para hidratación</t>
  </si>
  <si>
    <t>Tanqueo Gasolina Jersson</t>
  </si>
  <si>
    <t>Cena (Martin, Jersson, Jose, Juan David)</t>
  </si>
  <si>
    <t>Tiquete de bus desde terminal de Tulúa a terminal de Cali</t>
  </si>
  <si>
    <t>Persona contratada para el aseo de la casa hospedaje en Tulúa</t>
  </si>
  <si>
    <t>4 Almuerzos (Martin, Jersson, Jose, Juan David)</t>
  </si>
  <si>
    <t>Cena (Jersson, Jose)</t>
  </si>
  <si>
    <t xml:space="preserve">Surtisur </t>
  </si>
  <si>
    <t>4 Almuerzos (Jersson, Jose, Juan David, Juan Sebastian)</t>
  </si>
  <si>
    <t>Cena (Martin, Jersson, Jose, Juan Sebastian)</t>
  </si>
  <si>
    <t>Pago fra 670 compra semillas almacen agropecuario granada</t>
  </si>
  <si>
    <t>Naos1</t>
  </si>
  <si>
    <t>Pago cotizacion C-1-944 protecto</t>
  </si>
  <si>
    <t>Pago dotecion origen colombia fra FE12522</t>
  </si>
  <si>
    <t xml:space="preserve">Pago fra servicio internet tigo </t>
  </si>
  <si>
    <t>Pago upme hotel Adamo</t>
  </si>
  <si>
    <t>UPME</t>
  </si>
  <si>
    <t xml:space="preserve">Pago servicio publico cedenar mes de diciembre </t>
  </si>
  <si>
    <t xml:space="preserve">Pago servicio publico empopasto mes de diciembre </t>
  </si>
  <si>
    <t xml:space="preserve">Pago despacho camioneta a polaris </t>
  </si>
  <si>
    <t>Polaris</t>
  </si>
  <si>
    <t xml:space="preserve">Pago certificado de libertad y tradicion camara de comercio </t>
  </si>
  <si>
    <t xml:space="preserve">Pago retencion iva evolti </t>
  </si>
  <si>
    <t>Dian</t>
  </si>
  <si>
    <t>Pago video fin de año santiago cristancho villegas</t>
  </si>
  <si>
    <t>Pago compra de dron para minigranja en Sky Motion</t>
  </si>
  <si>
    <t>Pago electricos del valle cotizacion SO-685524 unicentro</t>
  </si>
  <si>
    <t>Pago electricos del valle cotizacionSO-686715 agropecuaria san rafael</t>
  </si>
  <si>
    <t>Pago electricos del valle cotizacion SO-684963 morasurco</t>
  </si>
  <si>
    <t>Pago electricos del valle cotizacion SO-687259 sotavento</t>
  </si>
  <si>
    <t xml:space="preserve">Pago saldo creditos la ferro </t>
  </si>
  <si>
    <t>PAGO QUINCENA  JOSE ALVEIRO CUSIS HERNANDEZ</t>
  </si>
  <si>
    <t>PAGO QUINCENA  SANDRA CAROLINA PATASCOY BOTINA</t>
  </si>
  <si>
    <t>PAGO QUINCENA  IVAN DARIO CAICEDO CALVACHE</t>
  </si>
  <si>
    <t>PAGO QUINCENA  JASON STEVEN DIAZ GUEVARA </t>
  </si>
  <si>
    <t>PAGO QUINCENA  OSCAR ANDRES CASTRO BOTINA</t>
  </si>
  <si>
    <t xml:space="preserve">PAGO QUINCENA  JHON ALEXANDER GELPUD ZAMORA </t>
  </si>
  <si>
    <t xml:space="preserve">PAGO QUINCENA  RUBEN DARIO ESPINOSA PARRA </t>
  </si>
  <si>
    <t>Cargador Libardo Benavides</t>
  </si>
  <si>
    <t>PAGO QUINCENA  MARIO ALEXANDER CUSIS HERNANDEZ</t>
  </si>
  <si>
    <t xml:space="preserve">PAGO QUINCENA  VICTOR ALEXANDER RUIZ </t>
  </si>
  <si>
    <t>PAGO QUINCENA  JORGE ANDRES BARRERA YANDAR</t>
  </si>
  <si>
    <t>PAGO QUINCENA  EDWIN LEONARDO MARTINEZ YAQUENO</t>
  </si>
  <si>
    <t>PAGO QUINCENA  JOY JAMIT MOSQUERA ORDOÑEZ</t>
  </si>
  <si>
    <t xml:space="preserve">PAGO QUINCENA  CARLOS ANDRES CERON PAREDES </t>
  </si>
  <si>
    <t>PAGO QUINCENA  WIILLIAM ALBERTO AZA CRIOLLO</t>
  </si>
  <si>
    <t>PAGO QUINCENA  ANDRES FERNANDO ESPINOSA GUACALES</t>
  </si>
  <si>
    <t>PAGO QUINCENA  CHRISTIAN MAURICIO DELGADO VILLOTA</t>
  </si>
  <si>
    <t>PAGO QUINCENA  JHORDY STEVEN TRUJILLO GALEANDO</t>
  </si>
  <si>
    <t>PAGO QUINCENA  JOHAN LEYDER CHAPAL VILLOTA</t>
  </si>
  <si>
    <t xml:space="preserve">PAGO QUINCENA  JOHAN SEBASTIAN OVIEDO NIÑAN </t>
  </si>
  <si>
    <t xml:space="preserve">PAGO QUINCENA  RUBEN ESTEBAN ESPINOSA GUACALES </t>
  </si>
  <si>
    <t>PAGO QUINCENA  ANDRES WILFREDY BASTIDAS GALINDEZ</t>
  </si>
  <si>
    <t>PAGO QUINCENA  VIVIANA ANDRES AYALA PICHINA</t>
  </si>
  <si>
    <t xml:space="preserve">PAGO QUINCENA  JOSE MANUEL LOPEZ OBANDO </t>
  </si>
  <si>
    <t>PAGO QUINCENA  OSWALDO NARVAEZ</t>
  </si>
  <si>
    <t xml:space="preserve">PAGO QUINCENA  JUAN DAVID GRANADA ALVAREZ </t>
  </si>
  <si>
    <t>PAGO QUINCENA  JOSE OMAR GANSASOY CASTILLO</t>
  </si>
  <si>
    <t>PAGO QUINCENA  AURO EDILSON ARTEAGA MEZA</t>
  </si>
  <si>
    <t>PAGO QUINCENA  HOLMES GALINDEZ VALDEZ</t>
  </si>
  <si>
    <t>PAGO QUINCENA  ALEXANDER MUÑOZ DIAZ</t>
  </si>
  <si>
    <t>PAGO QUINCENA  JOSE DELIO ALMEIDA ALMEIDA</t>
  </si>
  <si>
    <t>PAGO QUINCENA  WILLIAM HERNANDO CASTRO RODRIGUEZ</t>
  </si>
  <si>
    <t>PAGO QUINCENA  DEIBER QUINTERO DIAZ</t>
  </si>
  <si>
    <t>PAGO QUINCENA  JUAN FERNANDO PANIAGUA OSORIO</t>
  </si>
  <si>
    <t>Ingeniería</t>
  </si>
  <si>
    <t>PAGO QUINCENA  LEIBNITZ EDUARDO CHANA CALDERON</t>
  </si>
  <si>
    <t>PAGO AUXILIO DE RODAMIENTO  MIGUEL ALEJANDRO ENRIQUEZ CHAMORRO</t>
  </si>
  <si>
    <t>PAGO QUINCENA  MIGUEL ALEJANDRO ENRIQUEZ CHAMORRO</t>
  </si>
  <si>
    <t>PAGO AUXILIO DE RODAMIENTO  DANNA STEFANYA LASSO GUERRA</t>
  </si>
  <si>
    <t>PAGO QUINCENA  DANNA STEFANYA LASSO GUERRA</t>
  </si>
  <si>
    <t>PAGO AUXILIO DE RODAMIENTO  JAVIER SEBASTIÁN LUCENA VILLARREAL</t>
  </si>
  <si>
    <t>PAGO QUINCENA  JAVIER SEBASTIÁN LUCENA VILLARREAL</t>
  </si>
  <si>
    <t>PAGO QUINCENA  ANDRES FELIPE DELGADO ZUTTA</t>
  </si>
  <si>
    <t>PAGO AUXILIO DE RODAMIENTO ANDRES FELIPE DELGADO ZUTTA</t>
  </si>
  <si>
    <t>PAGO AUXILIO DE RODAMIENTO  HERNAN DARIO CABRERA QUITIAQUEZ</t>
  </si>
  <si>
    <t>PAGO AUXILIO DE RODAMIENT   HERNAN DARIO CABRERA QUITIAQUEZ</t>
  </si>
  <si>
    <t>PAGO AUXILIO DE RODAMIENTO  DIANA ALEJANDRA MERA MUÑOZ</t>
  </si>
  <si>
    <t>PAGO AUXILIO DE RODAMIENTO  IVAN DANIEL MONTILLA CORAL</t>
  </si>
  <si>
    <t>PAGO QUINCENA  YULY ANDREA JARAMILLO GUERRERO</t>
  </si>
  <si>
    <t>PAGO QUINCENA  LOREN ALEJANDRA DIAZ YAMPUEZAN</t>
  </si>
  <si>
    <t xml:space="preserve">PAGO QUINCENA  MARIA FERNANDA CHAMORRO </t>
  </si>
  <si>
    <t>PAGO QUINCENA  JUAN CARLOS CAÑAR POTOSI</t>
  </si>
  <si>
    <t>PAGO QUINCENA  JUAN CAMILO GARCIA SOUZA</t>
  </si>
  <si>
    <t>PAGO QUINCENA  CINDY JOHANA CARLOSAMA HERNANDEZ</t>
  </si>
  <si>
    <t>PAGO QUINCENA  JUAN ESTEBAN IBARRA CAMUES</t>
  </si>
  <si>
    <t xml:space="preserve">PAGO QUINCENA  CAROLINA CARDONA PAREJA </t>
  </si>
  <si>
    <t>PAGO QUINCENA  JHOANA MARCELA GERMAN REYES</t>
  </si>
  <si>
    <t>PAGO QUINCENA  JOSE RAFAEL RUEDA HERRERA</t>
  </si>
  <si>
    <t>PAGO QUINCENA  JERSON ALEXIS GOMEZ ACOSTA</t>
  </si>
  <si>
    <t xml:space="preserve">PAGO QUINCENA  MARTIN ALONSO SOSSA AGUIRRE </t>
  </si>
  <si>
    <t>PAGO QUINCENA  RAUL BARBENLEY CASTRO RIVERA</t>
  </si>
  <si>
    <t>PAGO QUINCENA  MARIANA SALDARRIAGA CADAVID</t>
  </si>
  <si>
    <t>PAGO QUINCENA  SEGUNDO MARCIAL GELPUD BOTINA</t>
  </si>
  <si>
    <t>PAGO QUINCENA  ALBEIRO ORLANDO ESPAÑA HERNANDEZ</t>
  </si>
  <si>
    <t>PAGO QUINCENA  JHONSIN ARLEY ARIAS CEBALLOS</t>
  </si>
  <si>
    <t>PAGO QUINCENA  EDILFONSO ROSERO CASTILLO</t>
  </si>
  <si>
    <t>PAGO QUINCENA  JIMMI ALEXANDER BURGOS GUERRERO</t>
  </si>
  <si>
    <t>PAGO QUINCENA  IVAN CAMILO MENESES ORDOÑEZ</t>
  </si>
  <si>
    <t>PAGO QUINCENA  RUBEN DARIO SILVA RODRIGUEZ</t>
  </si>
  <si>
    <t xml:space="preserve">PAGO QUINCENA  JUAN ESTEBAN BLANCO QUIROGA </t>
  </si>
  <si>
    <t>PAGO QUINCENA  LUZ IRMA ORTEGA CIFUENTES</t>
  </si>
  <si>
    <t>PAGO QUINCENA  RODRIGO QUINTERO DIAZ</t>
  </si>
  <si>
    <t>PAGO QUINCENA  JEFERSON VERGARA MUÑOZ</t>
  </si>
  <si>
    <t>PAGO QUINCENA  YALINER ILVIRA FIGUEROA</t>
  </si>
  <si>
    <t>PAGO QUINCENA  EYDER QUINTERO DIAZ</t>
  </si>
  <si>
    <t>PAGO QUINCENA  ALBERT FIGUEROA</t>
  </si>
  <si>
    <t xml:space="preserve">PAGO QUINCENA  ESTEBAN ALEJANDRO MARTINEZ FIGUEROA </t>
  </si>
  <si>
    <t>PAGO QUINCENA  JOSE MAURICIO PAZ JURADO</t>
  </si>
  <si>
    <t>PAGO QUINCENA  LUIS ALBERTO ALMEIDA MATABAJOY</t>
  </si>
  <si>
    <t xml:space="preserve">PAGO QUINCENA  DIEGO ANDRES ARAUJO NARVAEZ </t>
  </si>
  <si>
    <t>PAGO QUINCENA  RUBEN LOPEZ MUÑOZ</t>
  </si>
  <si>
    <t>PAGO QUINCENA  ROYER IDELVER LOPEZ SOLARTE</t>
  </si>
  <si>
    <t xml:space="preserve">PAGO QUINCENA  DILBER  MAURICIO PAZ ALMEIDA </t>
  </si>
  <si>
    <t>PAGO QUINCENA  WILLIAMS ALFREDO VILLAR MORA</t>
  </si>
  <si>
    <t>PAGO QUINCENA  YOHN ANDERSON LOPEZ JAIMEZ</t>
  </si>
  <si>
    <t>PAGO QUINCENA  DIYER DELGADO NARVAEZ</t>
  </si>
  <si>
    <t>PAGO QUINCENA  JUAN JOSE NARVEAEZ</t>
  </si>
  <si>
    <t>PAGO QUINCENA  JAVIER ANDRES RODRIGUEZ SANTIUSTY</t>
  </si>
  <si>
    <t xml:space="preserve">PAGO QUINCENA  CRISTIAN FERNANDO PASTAS CUESTAS </t>
  </si>
  <si>
    <t xml:space="preserve">PAGO QUINCENA  WILSON ALEJANDRO MORA ERAZO </t>
  </si>
  <si>
    <t>PAGO QUINCENA  LEIDER LUVER LOPEZ DIAZ</t>
  </si>
  <si>
    <t>PAGO QUINCENA  BRAYAN STIVEN PEREZ QUAQUEZ</t>
  </si>
  <si>
    <t xml:space="preserve">PAGO QUINCENA  EDISON ENRIQUE CANTILLO CORONADO </t>
  </si>
  <si>
    <t>PAGO QUINCENA  DEIMAN JARINSON DAVID MUÑOZ</t>
  </si>
  <si>
    <t>PAGO QUINCENA  JESUS ALBERTO DIAZ PALACIOS</t>
  </si>
  <si>
    <t>PAGO QUINCENA  LUIS FERNANDO RODRIGUEZ MUÑOZ</t>
  </si>
  <si>
    <t>PAGO QUINCENA  JORGE LUIS LIZCANO NIÑO</t>
  </si>
  <si>
    <t>Pago upme agroproductora san rafael</t>
  </si>
  <si>
    <t xml:space="preserve">Pago fac asesoria avia legal </t>
  </si>
  <si>
    <t>Retencion honorarios avia legal</t>
  </si>
  <si>
    <t>Pago remision Rm3937 y Rm3945</t>
  </si>
  <si>
    <t>pago a revisora fiscal evolti</t>
  </si>
  <si>
    <t>Pago cotiazacion 2011 a y c dotaciones</t>
  </si>
  <si>
    <t>Retencion ica cot 2011 a y c dotaciones</t>
  </si>
  <si>
    <t xml:space="preserve">Pago cotiazacion Cot-211 NegaWatt </t>
  </si>
  <si>
    <t xml:space="preserve">Retencion 11% Pago cotiazacion Cot-211 NegaWatt </t>
  </si>
  <si>
    <t>Pago cotizacion 44 Pasto metal humberto rosero</t>
  </si>
  <si>
    <t>Retencion fte 2% Pago cotizacion 44 Pasto metal humberto rosero</t>
  </si>
  <si>
    <t>Retencion ica 6*1000 Pago cotizacion 44 Pasto metal humberto rosero</t>
  </si>
  <si>
    <t>pago factura RM1-3948 Melba ligia</t>
  </si>
  <si>
    <t xml:space="preserve">Pago dotacion a protecto </t>
  </si>
  <si>
    <t xml:space="preserve">Pago fra of contrucciones </t>
  </si>
  <si>
    <t xml:space="preserve">Pago mantenimiento mc solar </t>
  </si>
  <si>
    <t>recepcion pago fra diciembre balcones de pubenza</t>
  </si>
  <si>
    <t>recepcion pago fra diciembre congelados de nariño</t>
  </si>
  <si>
    <t>recepcion pago fra diciembre edificio vivariunm</t>
  </si>
  <si>
    <t>pago fac interees dos constructores sas gd remolino</t>
  </si>
  <si>
    <t>GD</t>
  </si>
  <si>
    <t>Concepto anticipo granjas</t>
  </si>
  <si>
    <t>Anticipo granjas</t>
  </si>
  <si>
    <t>Pago cuenta de cobro Jose camacho</t>
  </si>
  <si>
    <t>Pago anticipo  tiba</t>
  </si>
  <si>
    <t>Paneles y Módulos Solares</t>
  </si>
  <si>
    <t>Pago impuesto ultimo bimestre 2024 evolti</t>
  </si>
  <si>
    <t>Anticipo granjas Naos 3</t>
  </si>
  <si>
    <t>anticipo Minigranja Polaris</t>
  </si>
  <si>
    <t>Pago certificado de libertad y tradicion camara de comercio ORBIS</t>
  </si>
  <si>
    <t>Pago certificado de libertad y tradicion camara de comercio NOVA</t>
  </si>
  <si>
    <t>Recepcion pago EDIFICIO SOLSTICIO1 PROPIEDAD HORIZONTAL diciembre</t>
  </si>
  <si>
    <t>Recepcion pago EDIFICIO GRAN AVENIDA PROPIEDAD HORIZONTAL diciembre</t>
  </si>
  <si>
    <t>Recepcion pago DIANA JACQUELINE MARTINEZ ORTIZ diciembre</t>
  </si>
  <si>
    <t>Recepcion pago EDIFICIO CAMPOS DE ARAGON PROPIEDAD HORIZONTAL noviembre</t>
  </si>
  <si>
    <t>Compra intl dreamhost</t>
  </si>
  <si>
    <t xml:space="preserve">Compra en adobe </t>
  </si>
  <si>
    <t>Pago tiquete en avianca juan manuel</t>
  </si>
  <si>
    <t xml:space="preserve">Recepcion pago diciembre V1501 SAS </t>
  </si>
  <si>
    <t xml:space="preserve">Pago estructura solaire </t>
  </si>
  <si>
    <t>C. Estructura Solar</t>
  </si>
  <si>
    <t>QUINCENA DEVUELTA POR EL BANCO EDISON ENRIQUEZ CANTILLO</t>
  </si>
  <si>
    <t>QUINCENA DEVUELTA POR EL BANCO JORGE LUIS LIZCANO</t>
  </si>
  <si>
    <t>Impresion de planos renders lineas en arquimaquetas</t>
  </si>
  <si>
    <t>Pago flete recepcion cable desde gILL instruments limited para reparcion equipo naos1</t>
  </si>
  <si>
    <t>Retencion fte 1% Transporte perosnal Wilian Basante</t>
  </si>
  <si>
    <t>Envío carretos de nylon y tarjeta Granja Polaris, trayecto: Pasto - Remolino</t>
  </si>
  <si>
    <t>Conectores bimetálicos</t>
  </si>
  <si>
    <t>Pila mediana tamaño C alkalina</t>
  </si>
  <si>
    <t>Envío ahoyador y demás materiales, trayecto: Pasto - Remolino</t>
  </si>
  <si>
    <t>Tornillo autoperforante cabeza lenteja 1/2"</t>
  </si>
  <si>
    <t>Temporizador digital</t>
  </si>
  <si>
    <t>Hierro 1/4", cintas aislantes</t>
  </si>
  <si>
    <t>Envío módem y temporizador, trayecto: Pasto - Bogotá</t>
  </si>
  <si>
    <t>Bordado logo</t>
  </si>
  <si>
    <t>carolina</t>
  </si>
  <si>
    <t>Amarras plásticas 20cm</t>
  </si>
  <si>
    <t>Bolsillo para catálogo</t>
  </si>
  <si>
    <t>Carrera taxi, trayecto: Sotavento - El Troje</t>
  </si>
  <si>
    <t>Carrera taxi, trayecto: El Troje - Oficina</t>
  </si>
  <si>
    <t>Carrera taxi, trayecto: Oficina - San Rafael</t>
  </si>
  <si>
    <t>Abrazaderas ajustables, uniones EMT</t>
  </si>
  <si>
    <t>Impresión planos tamaño carta</t>
  </si>
  <si>
    <t>Pilas para multímetro</t>
  </si>
  <si>
    <t>Bordados logos Evolti</t>
  </si>
  <si>
    <t>Termoencogibles de 2cm y 3cm</t>
  </si>
  <si>
    <t>Envío dotación, trayecto: Pasto - Remolino</t>
  </si>
  <si>
    <t>Sabanas cama doble</t>
  </si>
  <si>
    <t>Envío medidor de aislamiento y documentación, trayecto: Remolino - Pasto</t>
  </si>
  <si>
    <t>Tornillo tropicalizado, wasa, tuerca</t>
  </si>
  <si>
    <t>Matafilo</t>
  </si>
  <si>
    <t>Envío documentación y cargador de PC, trayecto: Aeropuerto Chachagüí - Aeropuerto Rionegro</t>
  </si>
  <si>
    <t>Pasaje taxi, trayecto: Pasto - Aeropuerto Chachagüí</t>
  </si>
  <si>
    <t>Pasaje taxi, trayecto: Aeropuerto Chachagüí - Pasto</t>
  </si>
  <si>
    <t>Compras en alkosto elementos de cafeteria admon</t>
  </si>
  <si>
    <t>Envío de sujeciones de bandeja y botas para cambio, trayecto: Remolino - Pasto</t>
  </si>
  <si>
    <t>Lápiz Mirado 2</t>
  </si>
  <si>
    <t>Tornillo drywall</t>
  </si>
  <si>
    <t>Brocas para concreto y metal</t>
  </si>
  <si>
    <t xml:space="preserve">Autofundente </t>
  </si>
  <si>
    <t>Conector recto coraza 2"</t>
  </si>
  <si>
    <t>Conector recto coraza 3"</t>
  </si>
  <si>
    <t>Bulto de arena</t>
  </si>
  <si>
    <t>Cable #8 Cu, Terminal #8</t>
  </si>
  <si>
    <t>Terminales SCH-40, Terminales EMT, Uniones IMC, Conduleta LR</t>
  </si>
  <si>
    <t>Carrera taxi, trayecto: Oficina - Batericars</t>
  </si>
  <si>
    <t>Bornas cable #12</t>
  </si>
  <si>
    <t xml:space="preserve">Transporte visita delta </t>
  </si>
  <si>
    <t>Rubiela</t>
  </si>
  <si>
    <t>Desayuno visita delta</t>
  </si>
  <si>
    <t>Transporte visita Naos2</t>
  </si>
  <si>
    <t>Viaticaje en obra</t>
  </si>
  <si>
    <t>Hidratacion visita Delta</t>
  </si>
  <si>
    <t>Hidratacion visita Naos2</t>
  </si>
  <si>
    <t>Transporte dede oficina a unicentro</t>
  </si>
  <si>
    <t>Transporte dede Unicentro a clinica morsurco</t>
  </si>
  <si>
    <t>Taxi terminal de transporte mixtos de pasto</t>
  </si>
  <si>
    <t>danna</t>
  </si>
  <si>
    <t>Transporte trayecto Pasto-Puerto remolino</t>
  </si>
  <si>
    <t>Hidratacion</t>
  </si>
  <si>
    <t>Almuerzo danna</t>
  </si>
  <si>
    <t>Gasolina transporte partcular(daniel)</t>
  </si>
  <si>
    <t>Daniel montilla</t>
  </si>
  <si>
    <t>Peaje Cano bajo</t>
  </si>
  <si>
    <t>Desayuno visita comercial popayan</t>
  </si>
  <si>
    <t>Almuerzo visita comercial popayan</t>
  </si>
  <si>
    <t>Cena visita comercial popayan</t>
  </si>
  <si>
    <t>Alojamiento visita Popayan</t>
  </si>
  <si>
    <t>Peaje el bordo</t>
  </si>
  <si>
    <t>Transporte Casa a terminal para tomar bus para aeropuerto JMC (MDE) (UBER)</t>
  </si>
  <si>
    <t>Bus desde Medellín para aeropuerto JMC</t>
  </si>
  <si>
    <t>Noche de hotel (Marcela, Jeancarlo y Juan Fernando)</t>
  </si>
  <si>
    <t>Cena (Marcela, Jeancarlo y Juan Fernando)</t>
  </si>
  <si>
    <t>Transporte Hotel Valledupar - Aeropuerto</t>
  </si>
  <si>
    <t>Transporte Aeropuerto pasto - Oficina Evolti - Hotel Vymar</t>
  </si>
  <si>
    <t>Almuerzo (Juan Fernando)</t>
  </si>
  <si>
    <t>Transporte Remolino - Pasto</t>
  </si>
  <si>
    <t>Cena (Juan Fernando)</t>
  </si>
  <si>
    <t>Desayuno (Juan Fernando)</t>
  </si>
  <si>
    <t>Almuerzo x2 (Juan Fernando y Luisa Obando)</t>
  </si>
  <si>
    <t>Transporte Pasto - Aeropuesto Antonio Nariño</t>
  </si>
  <si>
    <t>Transporte San Diego - Casa Medellin</t>
  </si>
  <si>
    <t>Pago equirent para entrega camioneta para polaris</t>
  </si>
  <si>
    <t>Pago praxsi academia curso Andrea Jaramillo</t>
  </si>
  <si>
    <t>Pago praxsi academia curso Cristina Lasso</t>
  </si>
  <si>
    <t>Pago spray Sodimac ref para pago
 300940640</t>
  </si>
  <si>
    <t>Pago 50% hotel Juan Manuel en popayan fra FEC456</t>
  </si>
  <si>
    <t>Pago 50% hotel Diana Mera en popayan fra FEC457</t>
  </si>
  <si>
    <t>Pago plan celular a tigo enero</t>
  </si>
  <si>
    <t>Transporte bucaramanga-sabana torres</t>
  </si>
  <si>
    <t>Servicios de transporte e hidratacion</t>
  </si>
  <si>
    <t xml:space="preserve">Pago fra FED3850 dotacion </t>
  </si>
  <si>
    <t xml:space="preserve">retencion fte 2,5% Pago fra FED3850 dotacion </t>
  </si>
  <si>
    <t xml:space="preserve">retencion ica 6*1000 Pago fra FED3850 dotacion </t>
  </si>
  <si>
    <t>Sikaflex (2 unidades)</t>
  </si>
  <si>
    <t>diana mera</t>
  </si>
  <si>
    <t>Cinta asfaltica (3 unidades)</t>
  </si>
  <si>
    <t>Desayuno (Muchachos)</t>
  </si>
  <si>
    <t>Gaseosa, agua</t>
  </si>
  <si>
    <t>Acetaminofen</t>
  </si>
  <si>
    <t>Almuerzo (Muchachos y Diana)</t>
  </si>
  <si>
    <t>Transporte Uber Jose (Splendor - Terminal de Cali)</t>
  </si>
  <si>
    <t>Transporte Jose (Terminal Cali - Terminal Tulua)</t>
  </si>
  <si>
    <t>Transporte Jose (Terminal Tulua - Casa Tulua)</t>
  </si>
  <si>
    <t>Comida</t>
  </si>
  <si>
    <t>Pago cotizacion PF72724 distribuciones ac</t>
  </si>
  <si>
    <t>Pago video cuenta de cobro PEDRO DANIEL RIASCOS RIASCOS</t>
  </si>
  <si>
    <t>Publicidad</t>
  </si>
  <si>
    <t>Pago alimentacion marcos ojeda</t>
  </si>
  <si>
    <t>Pago fra LOT147 hospedaje juanfernando</t>
  </si>
  <si>
    <t>Retencion fte 3,5% Pago fra LOT147 hospedaje juanfernando</t>
  </si>
  <si>
    <t>Retencion ica 6*1000 Pago fra LOT147 hospedaje juanfernando</t>
  </si>
  <si>
    <t xml:space="preserve">Pago fra LOT148 hospedaje luisa </t>
  </si>
  <si>
    <t xml:space="preserve">Retencion fte 3,5% Pago fra LOT148 hospedaje luisa </t>
  </si>
  <si>
    <t xml:space="preserve">Retencion ica 6*1000 Pago fra LOT148 hospedaje luisa </t>
  </si>
  <si>
    <t>Pago fra LOT151 hospedaje Andrea jaramillo</t>
  </si>
  <si>
    <t>Retencion fte 3,5% Pago fra LOT151 hospedaje Andrea jaramillo</t>
  </si>
  <si>
    <t>Retencion ica 6*1000 Pago fra LOT151 hospedaje Andrea jaramillo</t>
  </si>
  <si>
    <t>Pago fra avia legal fra 101 10134</t>
  </si>
  <si>
    <t>Retencion fte 11% Pago fra avia legal fra 101 10134</t>
  </si>
  <si>
    <t>Pago arrendamiento computadores Milenio pc enero</t>
  </si>
  <si>
    <t>Retencion fte 4% Pago arrendamiento computadores Milenio pc enero</t>
  </si>
  <si>
    <t>Pago arrendamiento malliesa</t>
  </si>
  <si>
    <t>Pago fra CON 88740 papeleria oficina</t>
  </si>
  <si>
    <t>Pago cta de corbo Milton santiago Rivera elaboracion carnets</t>
  </si>
  <si>
    <t>4 aguas de 1Lt hidratación</t>
  </si>
  <si>
    <t>3 Baldes de construcción, 1 lata de aerosol galvanizado, 4 tablas formaleta</t>
  </si>
  <si>
    <t>Wipers y broca de 1/2"</t>
  </si>
  <si>
    <t>Tiquete bus terminal de Tulúa a terminal de Cali</t>
  </si>
  <si>
    <t>Alquiler y flete de trompo (Mezcladora)</t>
  </si>
  <si>
    <t>Arreglo de pulidora</t>
  </si>
  <si>
    <t>Folder para guardar docuementación</t>
  </si>
  <si>
    <t xml:space="preserve">Tiquete bus terminal de Cali a terminal de Tulúa </t>
  </si>
  <si>
    <t>Transporte de terminal de Tulúa a casa hospedaje</t>
  </si>
  <si>
    <t xml:space="preserve">Pago cotizacion 1425 ferromac </t>
  </si>
  <si>
    <t xml:space="preserve">Pago cotizacion 1424 ferromac </t>
  </si>
  <si>
    <t>Pago camara de comercio garnja solar polaris2</t>
  </si>
  <si>
    <t>Polaris2</t>
  </si>
  <si>
    <t xml:space="preserve">Retencion 3,5% hotel popayan </t>
  </si>
  <si>
    <t>Pago cotizacion 8356 electrico boyaca</t>
  </si>
  <si>
    <t xml:space="preserve">Pago fra 7397 of construcciones </t>
  </si>
  <si>
    <t>C. Material micropilotaje</t>
  </si>
  <si>
    <t>Pago estudio para arrendamiento oficina popayan index</t>
  </si>
  <si>
    <t>Pago anticipo Martin Gumanjoa</t>
  </si>
  <si>
    <t>Compra camara de comercio evolti</t>
  </si>
  <si>
    <t>Pago cuenta de cobro Andrea vivas Compra y fabricacion extencion para ahoyadora</t>
  </si>
  <si>
    <t>Pago fra FE 283 Campo Portillo</t>
  </si>
  <si>
    <t>retencion fte 2,5% Pago fra FE 283 Campo Portillo</t>
  </si>
  <si>
    <t>retencion ica 6*1000 Pago fra FE 283 Campo Portillo</t>
  </si>
  <si>
    <t>Pago fra FE 284 Campo Portillo</t>
  </si>
  <si>
    <t>retencion fte 2,5% Pago fra FE 284 Campo Portillo</t>
  </si>
  <si>
    <t>retencion ica 6*1000 Pago fra FE 284 Campo Portillo</t>
  </si>
  <si>
    <t>Pago fra FVE 875 Angie Valencia Rosero</t>
  </si>
  <si>
    <t>Retencion fte 1% Pago fra FVE 875 Angie Valencia Rosero</t>
  </si>
  <si>
    <t>Retencion ica 6*1000 Pago fra FVE 875 Angie Valencia Rosero</t>
  </si>
  <si>
    <t>Retencion fte 1% Pago fra FVE 874 Angie Valencia Rosero</t>
  </si>
  <si>
    <t>Retencion ica 6*1000 Pago fra FVE 874 Angie Valencia Rosero</t>
  </si>
  <si>
    <t>Pago fra FE 13360 Prevent salud examenes de ingreso</t>
  </si>
  <si>
    <t>Pago fra FERS 9 fundacion ecosocial</t>
  </si>
  <si>
    <t>Pago Orden de compra Logi-055 melba Ligia</t>
  </si>
  <si>
    <t>Retencion fte 2,5% Pago Orden de compra Logi-055 melba Ligia</t>
  </si>
  <si>
    <t>Retencion ica 6*1000 Pago Orden de compra Logi-055 melba Ligia</t>
  </si>
  <si>
    <t>Pago cuenta de cobro Hotel Vanessa Muñoz</t>
  </si>
  <si>
    <t>Retecion fte 3,5% Pago cuenta de cobro Hotel Vanessa Muñoz</t>
  </si>
  <si>
    <t>Pago cuenta de cobro Harrison Steven Lopez</t>
  </si>
  <si>
    <t>Retencion 1% Pago cuenta de cobro Harrison Steven Lopez</t>
  </si>
  <si>
    <t>Pago Orden de compra 186 de grupo solaire</t>
  </si>
  <si>
    <t>Comunicaciones</t>
  </si>
  <si>
    <t>Pago Orden de compra 187 de grupo solaire</t>
  </si>
  <si>
    <t>Inversores Solares</t>
  </si>
  <si>
    <t>Retencion fte 2,5% Pago Orden de compra 187 de grupo solaire</t>
  </si>
  <si>
    <t>Pago Orden de compra 188 de grupo solaire</t>
  </si>
  <si>
    <t>Retencion fte 2,5% Pago Orden de compra 188 de grupo solaire</t>
  </si>
  <si>
    <t>Pago cotizacion SO 688970 Electricos del valle</t>
  </si>
  <si>
    <t>Pago cotizacion SO 687393 Electricos del valle</t>
  </si>
  <si>
    <t>Pago cuenta de cobro Steben Castro Lopez</t>
  </si>
  <si>
    <t>Pago Tablesa COTIZACION: TA685A-24</t>
  </si>
  <si>
    <t>Retencion fte 2,5 % Pago Tablesa COTIZACION: TA685A-24</t>
  </si>
  <si>
    <t>C. Tableros BT</t>
  </si>
  <si>
    <t>Pago cuenta de cobro Juan pablo pedroza Cretivo</t>
  </si>
  <si>
    <t xml:space="preserve">Pago cuenta de cobro 1 contruenergy </t>
  </si>
  <si>
    <t xml:space="preserve">Retefuente 4% Pago cuenta de cobro 1 contruenergy </t>
  </si>
  <si>
    <t>Pago cotizacion maquinagro para polaris</t>
  </si>
  <si>
    <t>Retencion fte 2,5% Pago cotizacion maquinagro para polaris</t>
  </si>
  <si>
    <t>Retencion ica 6*1000 Pago cotizacion maquinagro para polaris</t>
  </si>
  <si>
    <t xml:space="preserve">Pago cotizacion 5722 nelson diaz rocha </t>
  </si>
  <si>
    <t>Pago CONTRATO DE OBRA CIVIL PARA ESTRUCTA DE CUBIERTA  No 43-2025</t>
  </si>
  <si>
    <t>Refuerzo estructura</t>
  </si>
  <si>
    <t>Pago poliza transporte Tiba Colombia anticipo</t>
  </si>
  <si>
    <t>Pago certificado de libertad y tradicion</t>
  </si>
  <si>
    <t>Pafo Recepcion de camionetas Naos3 y Delta a Equirent</t>
  </si>
  <si>
    <t>Trayecto ida y regreso Pasto-Remolino</t>
  </si>
  <si>
    <t>Eduardo chana</t>
  </si>
  <si>
    <t>Compra de conector DB9 mas carcasa por 4 unidades</t>
  </si>
  <si>
    <t>Transporte personal Jesion Fabian Delgado</t>
  </si>
  <si>
    <t>Retencion fte 1% transporte personal Jesion Fabian Delgado</t>
  </si>
  <si>
    <t>Retencion ica 6*1000 transporte personal Jesion Fabian Delgado</t>
  </si>
  <si>
    <t>LIQUIDACION DE PLANILLA DICIEMBRE TRUJILLO GALEANO JHORDY STEVEN</t>
  </si>
  <si>
    <t>LIQUIDACION DE PLANILLA DICIEMBRE CHAPAL VILLOTA JOHAN LEYDER</t>
  </si>
  <si>
    <t>LIQUIDACION DE PLANILLA DICIEMBRE ESPINOSA GUACALES ANDRES FERNANDO</t>
  </si>
  <si>
    <t>LIQUIDACION DE PLANILLA DICIEMBRE OVIEDO NIÑAN JOHAN SEBASTIAN</t>
  </si>
  <si>
    <t>LIQUIDACION DE PLANILLA DICIEMBRE GARCIA SOUZA JUAN CAMILO</t>
  </si>
  <si>
    <t>LIQUIDACION DE PLANILLA DICIEMBRE MOSQUERA ORDOÑEZ JOY JAMIT</t>
  </si>
  <si>
    <t>LIQUIDACION DE PLANILLA DICIEMBRE ESPINOSA GUACALES RUBEN ESTEBAN</t>
  </si>
  <si>
    <t>LIQUIDACION DE PLANILLA DICIEMBRE ESPINOSA PARRA RUBEN DARIO</t>
  </si>
  <si>
    <t>Casa Pinasaco Francisco Gutierrez</t>
  </si>
  <si>
    <t>LIQUIDACION DE PLANILLA DICIEMBRE RUIZ  VICTOR ALEXANDER</t>
  </si>
  <si>
    <t>LIQUIDACION DE PLANILLA DICIEMBRE DELGADO VILLOTA CHRISTIAN MAURICIO</t>
  </si>
  <si>
    <t>LIQUIDACION DE PLANILLA DICIEMBRE CUSIS HERNANDEZ JOSE ALVEIRO</t>
  </si>
  <si>
    <t>LIQUIDACION DE PLANILLA DICIEMBRE PATASCOY BOTINA SANDRA CAROLINA</t>
  </si>
  <si>
    <t>LIQUIDACION DE PLANILLA DICIEMBRE MARTINEZ YAQUENO EDWIN LEONARDO</t>
  </si>
  <si>
    <t>LIQUIDACION DE PLANILLA DICIEMBRE CAICEDO CALVACHE IVAN DARIO</t>
  </si>
  <si>
    <t>LIQUIDACION DE PLANILLA DICIEMBRE AZA CRIOLLO WILLIAM ALBERTO</t>
  </si>
  <si>
    <t>LIQUIDACION DE PLANILLA DICIEMBRE CERON PAREDES CARLOS ANDRES</t>
  </si>
  <si>
    <t>LIQUIDACION DE PLANILLA DICIEMBRE GELPUD ZAMORA JHONALEXANDER</t>
  </si>
  <si>
    <t>LIQUIDACION DE PLANILLA DICIEMBRE DIAZ GUEVARA JASON STEVEN</t>
  </si>
  <si>
    <t>LIQUIDACION DE PLANILLA DICIEMBRE BARRERA YANDAR JORGE ANDRES</t>
  </si>
  <si>
    <t>LIQUIDACION DE PLANILLA DICIEMBRE CASTRO BOTINA OSCAR ANDRES</t>
  </si>
  <si>
    <t>LIQUIDACION DE PLANILLA DICIEMBRE CUSIS HERNANDEZ MARIO ALEXANDER</t>
  </si>
  <si>
    <t>LIQUIDACION DE PLANILLA DICIEMBRE NARVAEZ DIEGO ANDRES</t>
  </si>
  <si>
    <t>LIQUIDACION DE PLANILLA DICIEMBRE PAZ ALMEIDA DILBER MAURICIO</t>
  </si>
  <si>
    <t>LIQUIDACION DE PLANILLA DICIEMBRE GANSASOY CASTILLO JOSE OMAR</t>
  </si>
  <si>
    <t>LIQUIDACION DE PLANILLA DICIEMBRE AYALA PICHINA VIVIANA ANDREA</t>
  </si>
  <si>
    <t>LIQUIDACION DE PLANILLA DICIEMBRE BLANCO QUIROGA JUAN ESTEBAN</t>
  </si>
  <si>
    <t xml:space="preserve">LIQUIDACION DE PLANILLA DICIEMBRE VERGARA MUÑOZ JEFERSON </t>
  </si>
  <si>
    <t xml:space="preserve">LIQUIDACION DE PLANILLA DICIEMBRE QUINTERO DIAZ RODRIGO </t>
  </si>
  <si>
    <t xml:space="preserve">LIQUIDACION DE PLANILLA DICIEMBRE ILVIRA FIGUEROA YALINER </t>
  </si>
  <si>
    <t xml:space="preserve">LIQUIDACION DE PLANILLA DICIEMBRE QUINTERO DIAZ EYDER </t>
  </si>
  <si>
    <t xml:space="preserve">LIQUIDACION DE PLANILLA DICIEMBRE LOPEZ MUÑOZ RUBEN </t>
  </si>
  <si>
    <t xml:space="preserve">LIQUIDACION DE PLANILLA DICIEMBRE FIGUEROA  ALBERT </t>
  </si>
  <si>
    <t>LIQUIDACION DE PLANILLA DICIEMBRE VILLAR MORA WILLIAMS ALFREDO</t>
  </si>
  <si>
    <t>LIQUIDACION DE PLANILLA DICIEMBRE SILVA RODRIGUEZ RUBEN DARIO</t>
  </si>
  <si>
    <t>LIQUIDACION DE PLANILLA DICIEMBRE MONCAYO ANDRADE JEANCARLO GUILLERMO</t>
  </si>
  <si>
    <t xml:space="preserve">LIQUIDACION DE PLANILLA DICIEMBRE DELGADO NARVAEZ DIYER </t>
  </si>
  <si>
    <t>LIQUIDACION DE PLANILLA DICIEMBRE LOPEZ SOLARTE ROYER IDELVER</t>
  </si>
  <si>
    <t>LIQUIDACION DE PLANILLA DICIEMBRE BASTIDAS GALINDEZ ANDRES WILFREDY</t>
  </si>
  <si>
    <t>LIQUIDACION DE PLANILLA DICIEMBRE LOPEZ JAIMEZ YHON ANDERSON</t>
  </si>
  <si>
    <t>LIQUIDACION DE PLANILLA DICIEMBRE ALMEIDA MATABAJOY LUIS ALBERTO</t>
  </si>
  <si>
    <t>LIQUIDACION DE PLANILLA DICIEMBRE MENESES ORDOÑEZ IVAN CAMILO</t>
  </si>
  <si>
    <t>LIQUIDACION DE PLANILLA DICIEMBRE BENAVIDES CHAMORRO YOHN JAIRO</t>
  </si>
  <si>
    <t>LIQUIDACION DE PLANILLA DICIEMBRELOPEZOBANDOJOSE MANUEL</t>
  </si>
  <si>
    <t>LIQUIDACION DE PLANILLA DICIEMBRE ORTEGA CIFUENTES  LUZ IRMA</t>
  </si>
  <si>
    <t>LIQUIDACION DE PLANILLA DICIEMBRE MARTINEZ FIGUEROA ESTEBAN ALEJANDRO</t>
  </si>
  <si>
    <t>LIQUIDACION DE PLANILLA DICIEMBRE GRANADA ALVAREZ JUAN DAVID</t>
  </si>
  <si>
    <t>LIQUIDACION DE PLANILLA DICIEMBRE ARIAS CEBALLOS JHONSIN ARLEY</t>
  </si>
  <si>
    <t>LIQUIDACION DE PLANILLA DICIEMBRE GELPUD BOTINA SEGUNDO MARCIAL</t>
  </si>
  <si>
    <t>LIQUIDACION DE PLANILLA DICIEMBRE BURGOS GUERRERO JIMMI ALEXANDER</t>
  </si>
  <si>
    <t xml:space="preserve">LIQUIDACION DE PLANILLA DICIEMBRE ROSERO CASTILLO EDILFONSO </t>
  </si>
  <si>
    <t>LIQUIDACION DE PLANILLA DICIEMBRE PAZ JURADO JOSE MAURICIO</t>
  </si>
  <si>
    <t xml:space="preserve">LIQUIDACION DE PLANILLA DICIEMBRE NARVAEZ  OSWALDO </t>
  </si>
  <si>
    <t>LIQUIDACION DE PLANILLA DICIEMBRE ESPAÑA HERNANDEZ ALBEIRO ORLANDO</t>
  </si>
  <si>
    <t>LIQUIDACION DE PLANILLA DICIEMBRE ALVAREZ GARCIA KELLY TATIANA</t>
  </si>
  <si>
    <t>LIQUIDACION DE PLANILLA DICIEMBRE RODRIGUEZ QUINTERO JOSE ESTEBAN</t>
  </si>
  <si>
    <t>salarios</t>
  </si>
  <si>
    <t>LIQUIDACION DE PLANILLA DICIEMBRE HENAO GONZALEZ ANA MILENA</t>
  </si>
  <si>
    <t>LIQUIDACION DE PLANILLA DICIEMBRE CAÑAR POTOSI JUAN CARLOS</t>
  </si>
  <si>
    <t>LIQUIDACION DE PLANILLA DICIEMBRE SOUZA CUBIDES HERMANN DAVID</t>
  </si>
  <si>
    <t>LIQUIDACION DE PLANILLA DICIEMBRE ESPAÑA FORERO JUAN MANUEL</t>
  </si>
  <si>
    <t>LIQUIDACION DE PLANILLA DICIEMBRE JARAMILLO GUERRERO YULY ANDREA</t>
  </si>
  <si>
    <t>LIQUIDACION DE PLANILLA DICIEMBRE IPIALES BENAVIDES JEISON JULIAN</t>
  </si>
  <si>
    <t>LIQUIDACION DE PLANILLA DICIEMBRE GERMAN REYES JHOANA MARCELA</t>
  </si>
  <si>
    <t>LIQUIDACION DE PLANILLA DICIEMBRE IBARRA CAMUES JUAN ESTEBAN</t>
  </si>
  <si>
    <t>LIQUIDACION DE PLANILLA DICIEMBRE DIAZ YAMPUEZAN LOREN ALEJANDRA</t>
  </si>
  <si>
    <t>LIQUIDACION DE PLANILLA DICIEMBRE CHAMORRO CARLOSAMA MARIA FERNANDA</t>
  </si>
  <si>
    <t>LIQUIDACION DE PLANILLA DICIEMBRE CARLOSAMA HERNANDEZ CINDY JOHANA</t>
  </si>
  <si>
    <t>LIQUIDACION DE PLANILLA DICIEMBRE RAMOS PARRA RUBIELA DEL SOCORRO</t>
  </si>
  <si>
    <t xml:space="preserve">LIQUIDACION DE PLANILLA DICIEMBRE LASSO  CRISTINA </t>
  </si>
  <si>
    <t>LIQUIDACION DE PLANILLA DICIEMBRE NARVAEZ IBARRA JUAN JOSE</t>
  </si>
  <si>
    <t>LIQUIDACION DE PLANILLA DICIEMBRE SANTACRUZ MENZA VERONICA LILIANA</t>
  </si>
  <si>
    <t>LIQUIDACION DE PLANILLA DICIEMBRE BOLAÑOS FIGUEROA ANA MILENA</t>
  </si>
  <si>
    <t>LIQUIDACION DE PLANILLA DICIEMBRE BELALCAZAR MURILLOJULIO HERNANDO</t>
  </si>
  <si>
    <t>LIQUIDACION DE PLANILLA DICIEMBRE GOMEZ LEAL JUAN SEBASTIAN</t>
  </si>
  <si>
    <t>LIQUIDACION DE PLANILLA DICIEMBRE LASSO GUERRA DANNA STEFANYA</t>
  </si>
  <si>
    <t>LIQUIDACION DE PLANILLA DICIEMBRE ENRIQUEZ CHAMORRO MIGUEL ALEJANDRO</t>
  </si>
  <si>
    <t>LIQUIDACION DE PLANILLA DICIEMBRE PANIAGUA OSORIO JUAN FERNANDO</t>
  </si>
  <si>
    <t>LIQUIDACION DE PLANILLA DICIEMBRE CABRERA QUITIAQUEZ HERNAN DARIO</t>
  </si>
  <si>
    <t>LIQUIDACION DE PLANILLA DICIEMBRE MUÑOZ MARTINEZ JORGE ANDRES</t>
  </si>
  <si>
    <t>LIQUIDACION DE PLANILLA DICIEMBRE DELGADO ZUTTA ANDRES FELIPE</t>
  </si>
  <si>
    <t>LIQUIDACION DE PLANILLA DICIEMBRE MONTILLA CORAL IVAN DANIEL</t>
  </si>
  <si>
    <t>LIQUIDACION DE PLANILLA DICIEMBRE LUCENA VILLARREAL JAVIER SEBASTIAN</t>
  </si>
  <si>
    <t>LIQUIDACION DE PLANILLA DICIEMBRE ARMEROROSERO DANNA EVELYN</t>
  </si>
  <si>
    <t>LIQUIDACION DE PLANILLA DICIEMBRE CHANA CALDERON LEIBNITZ EDUARDO</t>
  </si>
  <si>
    <t>LIQUIDACION DE PLANILLA DICIEMBRE MERA MUÑOZ DIANA ALEJANDRA</t>
  </si>
  <si>
    <t xml:space="preserve">LIQUIDACION DE PLANILLA DICIEMBRE RUIZ AYALA MOISES </t>
  </si>
  <si>
    <t>LIQUIDACION DE PLANILLA DICIEMBRE RUEDA HERRERA JOSE RAFAEL</t>
  </si>
  <si>
    <t>LIQUIDACION DE PLANILLA DICIEMBRE GOMEZ ACOSTA JERSON ALEXIS</t>
  </si>
  <si>
    <t>LIQUIDACION DE PLANILLA DICIEMBRE CASTRO RIVERA RAUL BARBENLEY</t>
  </si>
  <si>
    <t>LIQUIDACION DE PLANILLA DICIEMBRE SOSSA AGUIRRE MARTIN ALONSO</t>
  </si>
  <si>
    <t>Compra Compra intl hubspot inc.</t>
  </si>
  <si>
    <t>Compra intl the lucid holding</t>
  </si>
  <si>
    <t xml:space="preserve">Pago documento en notaria 26 </t>
  </si>
  <si>
    <t>Pago tiquete en avianca juan manuel popayan medellin</t>
  </si>
  <si>
    <t>Compra intl microsoft e0100v2dc4</t>
  </si>
  <si>
    <t>Compra intl microsoft e0100v2cnw</t>
  </si>
  <si>
    <t>Pago alimentacion Juan manuel</t>
  </si>
  <si>
    <t>Pago alimentacion en home burguer</t>
  </si>
  <si>
    <t>Pago alimentacion hotel Juan manuel</t>
  </si>
  <si>
    <t>Pago alimentacion en hotel Juan manuel</t>
  </si>
  <si>
    <t>Pago alimentacion Juan manuel restaurante Terra inca</t>
  </si>
  <si>
    <t>Pago viaticos juan manue españa forero</t>
  </si>
  <si>
    <t>Recepcion pag edificio novacentro</t>
  </si>
  <si>
    <t>Recepcion pago fra diciembre la cali</t>
  </si>
  <si>
    <t>Pag camara de comercio derma y piel</t>
  </si>
  <si>
    <t>Anticipo Minigranja Polaris</t>
  </si>
  <si>
    <t>Anticipo Minigranja Delta</t>
  </si>
  <si>
    <t>Compra de ahoyadoras, nylon, llaves #19, flexometros, cable para extensión, niveles, marcadores</t>
  </si>
  <si>
    <t>Yoh Jairo</t>
  </si>
  <si>
    <t>Compra de botellones de agua</t>
  </si>
  <si>
    <t xml:space="preserve">Compra de naylon </t>
  </si>
  <si>
    <t>Compra plomadas, disco de corte para pulidora, ahoyadora, flexometro, decametro</t>
  </si>
  <si>
    <t>Compra de ACPM camioneta LHR730</t>
  </si>
  <si>
    <t>Compra de guaduas, guantes, broca madera, palustres</t>
  </si>
  <si>
    <t>Recepion anticipo 30% Productos la villa</t>
  </si>
  <si>
    <t>Anticipo proyectos</t>
  </si>
  <si>
    <t>Panificadora la Villa</t>
  </si>
  <si>
    <t>Pago 50 % humberto rosero</t>
  </si>
  <si>
    <t>Pago poliza 10428 administrativo</t>
  </si>
  <si>
    <t>Pago poliza 1528 administrativo</t>
  </si>
  <si>
    <t>Pago estado de cuenta creditos electricos del valle</t>
  </si>
  <si>
    <t>Pago fra pec1 5987 radio sanyo</t>
  </si>
  <si>
    <t xml:space="preserve">Pago guia transporte spray para delta </t>
  </si>
  <si>
    <t>Tornillo tropicalizado, wasa, arandela</t>
  </si>
  <si>
    <t>Tapa ciega 4x4 Rawelt</t>
  </si>
  <si>
    <t>Tomas dobles regulado, cinta bandy, hebilla acero, clavija de caucho</t>
  </si>
  <si>
    <t>Interruptor sencillo, reflector 20w, lámpara hermética 2x18</t>
  </si>
  <si>
    <t>Envío materiales, trayecto: Pasto - Remolino</t>
  </si>
  <si>
    <t>Capacete 4"</t>
  </si>
  <si>
    <t>Toma doble</t>
  </si>
  <si>
    <t>Lámparas de emergencia R1</t>
  </si>
  <si>
    <t>compra simcard para naos 2</t>
  </si>
  <si>
    <t>Andres</t>
  </si>
  <si>
    <t>compra simcard para naos 3</t>
  </si>
  <si>
    <t>Compa paquete de datos Naos1</t>
  </si>
  <si>
    <t>Tornillos tropicalizados, tuercas, wasas</t>
  </si>
  <si>
    <t>Aislador escalonado mediano</t>
  </si>
  <si>
    <t xml:space="preserve">1/4 de vinilo blanco tipo 2 </t>
  </si>
  <si>
    <t>Chazo mariposa 1/4", tornillos drywall</t>
  </si>
  <si>
    <t>Tornillos tropicalizados, turcas, arandelas, wasas, llave #18</t>
  </si>
  <si>
    <t>Tornillos autoperforantes, tornillos tropicalizados, wasas, tuercas, chazos de expansión</t>
  </si>
  <si>
    <t>Caja Rawelt, prensaestopas, tapas para toma doble</t>
  </si>
  <si>
    <t>Placa panel yeso, pinza de punta, sika flex</t>
  </si>
  <si>
    <t>Cámara domo 2Mp</t>
  </si>
  <si>
    <t>Terminales EMT, unión EMT.</t>
  </si>
  <si>
    <t>Abrazadera riel chanel 1"</t>
  </si>
  <si>
    <t>Transporte hacia terminal de transporte mixto Pasto</t>
  </si>
  <si>
    <t>Transporte Pasto - Puerto Remolino</t>
  </si>
  <si>
    <t>Refrigerio capacitación minigranjas</t>
  </si>
  <si>
    <t>logística Recursos Humanos</t>
  </si>
  <si>
    <t>Hidratación visita minigranjas</t>
  </si>
  <si>
    <t>Almuerzo visita minigranjas</t>
  </si>
  <si>
    <t>Transporte Puerto Remolino - Pasto</t>
  </si>
  <si>
    <t>Envío material, trayecto: Pasto - Remolino</t>
  </si>
  <si>
    <t>Envío rotomartillo, trayecto: Pasto - Remolino</t>
  </si>
  <si>
    <t>Envío documentos, trayecto: Remolino - Pasto</t>
  </si>
  <si>
    <t>Envío medidores Janitza, trayecto: Pasto - Remolino</t>
  </si>
  <si>
    <t>Envío documentos, trayecto: Pasto - Sabaneta</t>
  </si>
  <si>
    <t>Llantas para planta eléctrica</t>
  </si>
  <si>
    <t xml:space="preserve">Transporte personal y acarreos Wilian Basante </t>
  </si>
  <si>
    <t xml:space="preserve">Retencion fte 1% Transporte personal y acarreos Wilian Basante </t>
  </si>
  <si>
    <t xml:space="preserve">Retencion ica 6*1000 Transporte personal y acarreos Wilian Basante </t>
  </si>
  <si>
    <t>Servicio de Hospedaje x 3 personas (Juan, Marcela y Jean)</t>
  </si>
  <si>
    <t>Jean carlos</t>
  </si>
  <si>
    <t>Desayuno x 3 personas</t>
  </si>
  <si>
    <t>Almuerzo x 3 personas</t>
  </si>
  <si>
    <t>Cena x 3 personas</t>
  </si>
  <si>
    <t>Desayuno x 3 personas 11-01-25</t>
  </si>
  <si>
    <t>Transportes x 2</t>
  </si>
  <si>
    <t>Acrílico doblado</t>
  </si>
  <si>
    <t>Terminales rectos de coraza, terminales #6, conectores bimetálicos</t>
  </si>
  <si>
    <t>Conduletas LB, conduleta LR, conectores rectos de coraza</t>
  </si>
  <si>
    <t>Arandelas, tuercas</t>
  </si>
  <si>
    <t>Tornillo tropicalizado, tuerca, wasa</t>
  </si>
  <si>
    <t>Roscas tubo 1"</t>
  </si>
  <si>
    <t>Contactor, frenos para riel, conector de distribución, minibreak 2x6 amp</t>
  </si>
  <si>
    <t>Aislador escalonado pequeño</t>
  </si>
  <si>
    <t xml:space="preserve">Minibreak 2x6 amp, minibreak 3x16 amp </t>
  </si>
  <si>
    <t>Amarra plástica 20cm</t>
  </si>
  <si>
    <t>Logos Evolti</t>
  </si>
  <si>
    <t>Terminales tipo pin</t>
  </si>
  <si>
    <t>Minibreak 2x63 amp, prensaestopas, hojas de bisturí, capacete 11/2"</t>
  </si>
  <si>
    <t>Terminales tipo ojo</t>
  </si>
  <si>
    <t>Amarra plástica 30cm, toma y clavija de caucho, cinta bandit, hebillas, terminal de ojo</t>
  </si>
  <si>
    <t xml:space="preserve">Bloque de distribución </t>
  </si>
  <si>
    <t>Implementos de aseo habitaciones hotel</t>
  </si>
  <si>
    <t>Jorge Andres</t>
  </si>
  <si>
    <t>Sacas para recolección de basura</t>
  </si>
  <si>
    <t>Candado subestación NAOS II</t>
  </si>
  <si>
    <t xml:space="preserve">Aseo habitaciones </t>
  </si>
  <si>
    <t>Candado subestación NAOS III</t>
  </si>
  <si>
    <t>Peaje Cano</t>
  </si>
  <si>
    <t xml:space="preserve">Hidratación </t>
  </si>
  <si>
    <t>Combustible camioneta KYY983</t>
  </si>
  <si>
    <t xml:space="preserve">Combustible planta eléctrica </t>
  </si>
  <si>
    <t>Combustible corriente para guadaña</t>
  </si>
  <si>
    <t>Materiales para corte e instalación de mesas fotovoltaicas</t>
  </si>
  <si>
    <t>Visita inspector RETIE</t>
  </si>
  <si>
    <t>Retie</t>
  </si>
  <si>
    <t>Viáticos Remolino - Pasto - Remolino</t>
  </si>
  <si>
    <t>Pintura para cajas de paso (no conformidades RETIE)</t>
  </si>
  <si>
    <t>Combustible planta eléctrica y mezclador</t>
  </si>
  <si>
    <t>Materiales armado mesas Fotovoltaicas</t>
  </si>
  <si>
    <t>Impresión de bonos, contratos, actas de cumplimiento.</t>
  </si>
  <si>
    <t>Materiales para armado de mesas y limpieza terreno NAOS III</t>
  </si>
  <si>
    <t>Materiales para instalación y alineación de mesas FV.</t>
  </si>
  <si>
    <t>Transportes visita delta rubiela</t>
  </si>
  <si>
    <t>Transportes visita naos</t>
  </si>
  <si>
    <t>refirgierio actividad personal</t>
  </si>
  <si>
    <t>Transporte certificado bomberos</t>
  </si>
  <si>
    <t>COMPRA DE MATERIALES PARA CAMPAMENTO</t>
  </si>
  <si>
    <t>Preparativos Previos Inicio de Obras</t>
  </si>
  <si>
    <t>Alexander David</t>
  </si>
  <si>
    <t>COMPRA DE COMBUSTIBLE PARA PLANTA ELECTRICA (ACPM)</t>
  </si>
  <si>
    <t>COMPRA DE SILLAS Y MESAS</t>
  </si>
  <si>
    <t>COMPRA DE ESTERNA BLANCA, PARA TRANSPORTE DE AGUA</t>
  </si>
  <si>
    <t>COMPRA DE ACEITE QUEMADO PARA FORMALETA DE CAJAS</t>
  </si>
  <si>
    <t>COMPRA DE TORNILLOS, MANILA,CANCAMOS, TABLON PINO,   MANGUERA DE NIVEL, LLAVE DE PASO, TUBO PRESIÓN PVC 1" UN METRO PARA  POMA * 5 GALONES, TABLAS, LISTONES</t>
  </si>
  <si>
    <t>Pago Notaria Primera de valledupar FE9237 (Nebula)</t>
  </si>
  <si>
    <t>Nebula</t>
  </si>
  <si>
    <t>Pago poliza 10431 seguros mundial</t>
  </si>
  <si>
    <t>Pago cotizacion CT2-1245 AGRICO</t>
  </si>
  <si>
    <t>Retencion fte 2,5% cotizacion CT2-1245 AGRICO</t>
  </si>
  <si>
    <t>Retencion ica 6*1000 cotizacion CT2-1245 AGRICO</t>
  </si>
  <si>
    <t>Pago poliza 2830 seguros mundiales</t>
  </si>
  <si>
    <t>Pago registro legal en gobernacion compra tierras valledupar</t>
  </si>
  <si>
    <t>Pago cotizacion aura mirey para polaris</t>
  </si>
  <si>
    <t xml:space="preserve">Pago cotizacion grupo defa fra FEDP 70132 </t>
  </si>
  <si>
    <t xml:space="preserve">Retencion ica 5*100 cotizacion grupo defa fra FEDP 70132 </t>
  </si>
  <si>
    <t>Pago cotizacion grupo defa cotizacion 25641</t>
  </si>
  <si>
    <t xml:space="preserve">Retencion ica 5*100 cotizacion grupo defa cotizacion 25641 </t>
  </si>
  <si>
    <t>Pago liquidacion Oswaldo Narvaez</t>
  </si>
  <si>
    <t>Modificar</t>
  </si>
  <si>
    <t>Pago total tranformador fra 40983</t>
  </si>
  <si>
    <t>Retencion 2,5% tranformador fra 40983</t>
  </si>
  <si>
    <t>Pago 50% cotizcion Propuesta de inicio Proyecto DELTA ferremallas</t>
  </si>
  <si>
    <t>Cerramiento Perimetral</t>
  </si>
  <si>
    <t>Pago Melba ligia RM -3991</t>
  </si>
  <si>
    <t>Retencion fte 2,5 % Pago Melba ligia RM -3991</t>
  </si>
  <si>
    <t>Retencion ica 6*100 Pago Melba ligia RM -3991</t>
  </si>
  <si>
    <t>Pago Melba ligia RM -3985</t>
  </si>
  <si>
    <t>Retencion fte 2,5 % Pago Melba ligia RM -3985</t>
  </si>
  <si>
    <t>Retencion ica 6*100 Pago Melba ligia RM -3985</t>
  </si>
  <si>
    <t>Pago Melba ligia RM -3974</t>
  </si>
  <si>
    <t>Retencion fte 2,5 % Pago Melba ligia RM -3974</t>
  </si>
  <si>
    <t>Retencion ica 6*100 Pago Melba ligia RM -3974</t>
  </si>
  <si>
    <t>Pago Melba ligia RM -3954</t>
  </si>
  <si>
    <t>Retencion fte 2,5 % Pago Melba ligia RM -3954</t>
  </si>
  <si>
    <t>Retencion ica 6*100 Pago Melba ligia RM -3954</t>
  </si>
  <si>
    <t>Pago fra PF72843 Distribuciones ac</t>
  </si>
  <si>
    <t>Pago fra PF73158 Distribuciones ac</t>
  </si>
  <si>
    <t>Pago 50% obras remodelacion oficina evolti pasto Quast&amp;pabon</t>
  </si>
  <si>
    <t>Pago a grupo defa cotizacion 25670</t>
  </si>
  <si>
    <t>Pago Electricos del valle orden de compra OC-194</t>
  </si>
  <si>
    <t>Pago Electricos del valle orden de compra OC-195</t>
  </si>
  <si>
    <t xml:space="preserve">Pago a solaire cotizacion 193 </t>
  </si>
  <si>
    <t>Estacion Andalucia</t>
  </si>
  <si>
    <t xml:space="preserve">Pago Campo Helmer fra 287 </t>
  </si>
  <si>
    <t xml:space="preserve">Retencion fta 2,5 % Pago Campo Helmer fra 287 </t>
  </si>
  <si>
    <t xml:space="preserve">Retencion ica 6*1000 Pago Campo Helmer fra 287 </t>
  </si>
  <si>
    <t>Pago Campo Helmer fra 289</t>
  </si>
  <si>
    <t>Retencion ica 6*1000 Pago Campo Helmer fra 289</t>
  </si>
  <si>
    <t>Pago Campo Helmer fra 288</t>
  </si>
  <si>
    <t>Retencion ica 6*1000 Pago Campo Helmer fra 288</t>
  </si>
  <si>
    <t>Pago total electricos boyaca fra FVE 2482</t>
  </si>
  <si>
    <t>Pago total tierra a josefina de nebula</t>
  </si>
  <si>
    <t>Pago comision a carlos arboleda  nebula</t>
  </si>
  <si>
    <t>Pago asesoria Jorge Hernan Artehortua Ramirez</t>
  </si>
  <si>
    <t>Pago EMSI TECNOLOGIES cotizacion 1655</t>
  </si>
  <si>
    <t>Retefuente fte 2,5% Pago EMSI TECNOLOGIES cotizacion 1655</t>
  </si>
  <si>
    <t xml:space="preserve">Pago fra fundacion ecosocial </t>
  </si>
  <si>
    <t>Pago cuenta de cobro Leidy Lopez Rosero</t>
  </si>
  <si>
    <t>Pago cotizacion soluciones agricolas espitia sas</t>
  </si>
  <si>
    <t xml:space="preserve">Pago SISTEMAS INTEGRALES EN RIESGOS </t>
  </si>
  <si>
    <t>Pago ferreteria ferromac fra provisional 457</t>
  </si>
  <si>
    <t>Retencion fte 2,5 % ferreteria frromac 457</t>
  </si>
  <si>
    <t>Pago hotel surelis juanfernando</t>
  </si>
  <si>
    <t>Pago a cuerpo de bomberos voluntarios de pasto</t>
  </si>
  <si>
    <t>Pago cuenta de cobro eduard florez galindez</t>
  </si>
  <si>
    <t>Pago impuesto de industria y comercio bimestral nov y dic 2024</t>
  </si>
  <si>
    <t>Pago de tiquete terrestre pasto ipiales</t>
  </si>
  <si>
    <t>Ana milena</t>
  </si>
  <si>
    <t>Pago de transporte publico</t>
  </si>
  <si>
    <t>Pago del almuerzo</t>
  </si>
  <si>
    <t>comida</t>
  </si>
  <si>
    <t>Andrea 1</t>
  </si>
  <si>
    <t>PEAJE</t>
  </si>
  <si>
    <t>TAXI PASTO-AEROPUERTO</t>
  </si>
  <si>
    <t>transporte de envigado al aeropuerto</t>
  </si>
  <si>
    <t>Andrea 2</t>
  </si>
  <si>
    <t>Ticket vuelo pasto a cali (evolti cubre 100.000)</t>
  </si>
  <si>
    <t>Almuerzo jean carlos</t>
  </si>
  <si>
    <t>Peaje villarica</t>
  </si>
  <si>
    <t>Buseta aeropuerto-Terminal cali</t>
  </si>
  <si>
    <t>Taxi terminal a barrio Piloto Parqueadero Equirent</t>
  </si>
  <si>
    <t>Tanqueo Camioneta toyota Polaris</t>
  </si>
  <si>
    <t>Compra camara de comercio Lyra</t>
  </si>
  <si>
    <t>Compra camara de comercio polaris</t>
  </si>
  <si>
    <t>JUAN SEBASTIAN GOMEZ LEAL</t>
  </si>
  <si>
    <t>Resina epoxica para sellar manguera/tuberia de agua</t>
  </si>
  <si>
    <t>4 Cenas (Martin, Jose, Juan David, Juan Sebastian)</t>
  </si>
  <si>
    <t>1 Cena (Jersson)</t>
  </si>
  <si>
    <t>Viaticos varios (Electrolit, Bolsas plasticas, Cocacola)</t>
  </si>
  <si>
    <t xml:space="preserve"> Cenas (Martin, Jose, Juan David, Jersson)</t>
  </si>
  <si>
    <t>Hidratación personal</t>
  </si>
  <si>
    <t>2 Bolsas de hielo</t>
  </si>
  <si>
    <t>Cena (Jersson, J)</t>
  </si>
  <si>
    <t>Implementos de limpieza</t>
  </si>
  <si>
    <t>Implementos de aseo personal e higiene</t>
  </si>
  <si>
    <t>Implemento de limpieza (Trapero)</t>
  </si>
  <si>
    <t>5 Cenas (Martin, Jose, Juan David, Jersson, Juan Sebastian)</t>
  </si>
  <si>
    <t>Pago reintegro vuelo latam Juan Manuel medellin-cali</t>
  </si>
  <si>
    <t>Pago reintegro vuelo latam Juan Manuel Bogota-cali</t>
  </si>
  <si>
    <t>Pago liquidacion Esteban Martinez</t>
  </si>
  <si>
    <t>Memoria Usb 128 GB</t>
  </si>
  <si>
    <t>Nestor</t>
  </si>
  <si>
    <t>Transporte DIDI: Olimpica-Torres de  Milano</t>
  </si>
  <si>
    <t>Transporte DIDI: Torres de  Milano -Parque Caldas</t>
  </si>
  <si>
    <t>13/01/2025</t>
  </si>
  <si>
    <t>Taxi</t>
  </si>
  <si>
    <t>Luisa obando</t>
  </si>
  <si>
    <t>Hotel Vymar- Loto Azul</t>
  </si>
  <si>
    <t>14/01/2025</t>
  </si>
  <si>
    <t>Restaurante La Merced</t>
  </si>
  <si>
    <t>15/01/2025</t>
  </si>
  <si>
    <t>16/01/2025</t>
  </si>
  <si>
    <t>Nopal Café Resto</t>
  </si>
  <si>
    <t>17/01/2025</t>
  </si>
  <si>
    <t>Taxi compartido</t>
  </si>
  <si>
    <t>Pago curso de alturas Insegal fra 6092</t>
  </si>
  <si>
    <t>Retenciones fte 11% Pago curso de alturas Insegal fra 6092</t>
  </si>
  <si>
    <t>Retenciones ica 6*1000 Pago curso de alturas Insegal fra 6092</t>
  </si>
  <si>
    <t>Pago tiquete Juan fernando Medellin-cali</t>
  </si>
  <si>
    <t>Pago tiquete Herman Souza Popayan-Medellin</t>
  </si>
  <si>
    <t>Pago arena negra Of contrucciones</t>
  </si>
  <si>
    <t>Pago intereses natalia Segura</t>
  </si>
  <si>
    <t>Pago reteica GD el remolino</t>
  </si>
  <si>
    <t>Transporte personal Jennifer Portilla</t>
  </si>
  <si>
    <t>Retencion fte 1%  Transporte personal Jennifer Portilla</t>
  </si>
  <si>
    <t>Retencion ica 6*1000 Transporte personal Jennifer Portilla</t>
  </si>
  <si>
    <t>Retencion fte 1% ransporte personal Jesion Fabian Delgado</t>
  </si>
  <si>
    <t>Retencion ica 6*1000 Transporte personal Jesion Fabian Delgado</t>
  </si>
  <si>
    <t>Devolucion tiquete Daniel Mediana</t>
  </si>
  <si>
    <t>Anticipo Minigranja Polaris</t>
  </si>
  <si>
    <t>Pago Nomina Segunda quincena Enero HUBER ANDRES VELEZ BUSTAMAMTE</t>
  </si>
  <si>
    <t>Instalación de tuberías AC, DC y Tierra</t>
  </si>
  <si>
    <t>Recepcion pago Hotel Cuellar fra diciembre</t>
  </si>
  <si>
    <t>Recepcion pago PLATINUM INVESTMENTS S.A.S.  fra diciembre</t>
  </si>
  <si>
    <t>Recepcion pago incapacidad Juan Camilo Gracia sanitas</t>
  </si>
  <si>
    <t>Recepcion pago TIANSHI SAS fac diciembre</t>
  </si>
  <si>
    <t>Anticipo granja Delta</t>
  </si>
  <si>
    <t>Pago camara de comercio Polaris</t>
  </si>
  <si>
    <t>Pago 2 usuarios nuevos a siigo</t>
  </si>
  <si>
    <t>Compra telefono para Kely estructuracion</t>
  </si>
  <si>
    <t>Recepcion pago Supermercados tigre de la rebaja</t>
  </si>
  <si>
    <t>Recepcion pago Dispropan fac diciembre</t>
  </si>
  <si>
    <t>Recepcion anticipo Hotel Adamo</t>
  </si>
  <si>
    <t>Recepcion pago EDIFICIO LA ARBOLEDA PROPIEDAD HORIZONTAL</t>
  </si>
  <si>
    <t>PAGO LICENCIA PROGRAMA CANVA</t>
  </si>
  <si>
    <t>Pago alimentacion Juan manuel restaurante home burguer</t>
  </si>
  <si>
    <t>Pago tiquete avianca Juan Manuel</t>
  </si>
  <si>
    <t>Pago alimentacion Juan manuel restaurante creps</t>
  </si>
  <si>
    <t xml:space="preserve">Pago alimentacion Juan manuel restaurante dunkin </t>
  </si>
  <si>
    <t>Pago alimentacion Juan manuel restaurante home burguer King</t>
  </si>
  <si>
    <t>Pago alimentacion Juan manuel restaurante home qbanero</t>
  </si>
  <si>
    <t>Pago alimentacion Juan manuel restaurante home la barra</t>
  </si>
  <si>
    <t>Pago alimentacion Juan manuel restaurante home asotaba</t>
  </si>
  <si>
    <t>PAGO 2DA QUINCENA ENERO  JEANCARLO GUILLERMO MONCAYO ANDRADE</t>
  </si>
  <si>
    <t>PAGO 2DA QUINCENA ENERO  SEGUNDO MARCIAL GELPUD BOTINA</t>
  </si>
  <si>
    <t>PAGO 2DA QUINCENA ENERO  EDILFONSO ROSERO CASTILLO</t>
  </si>
  <si>
    <t xml:space="preserve">PAGO 2DA QUINCENA ENERO  JUAN ESTEBAN BLANCO QUIROGA </t>
  </si>
  <si>
    <t>PAGO 2DA QUINCENA ENERO  LUZ IRMA ORTEGA CIFUENTES</t>
  </si>
  <si>
    <t>PAGO 2DA QUINCENA ENERO  JEFERSON VERGARA MUÑOZ</t>
  </si>
  <si>
    <t>PAGO 2DA QUINCENA ENERO  YALINER ILVIRA FIGUEROA</t>
  </si>
  <si>
    <t>PAGO 2DA QUINCENA ENERO  ALBERT FIGUEROA</t>
  </si>
  <si>
    <t>PAGO 2DA QUINCENA ENERO  JOSE MAURICIO PAZ JURADO</t>
  </si>
  <si>
    <t>PAGO 2DA QUINCENA ENERO  LUIS ALBERTO ALMEIDA MATABAJOY</t>
  </si>
  <si>
    <t xml:space="preserve">PAGO 2DA QUINCENA ENERO  DIEGO ANDRES ARAUJO NARVAEZ </t>
  </si>
  <si>
    <t>PAGO 2DA QUINCENA ENERO  ROYER IDELVER LOPEZ SOLARTE</t>
  </si>
  <si>
    <t xml:space="preserve">PAGO 2DA QUINCENA ENERO  DILBER  MAURICIO PAZ ALMEIDA </t>
  </si>
  <si>
    <t>PAGO 2DA QUINCENA ENERO  WILLIAMS ALFREDO VILLAR MORA</t>
  </si>
  <si>
    <t>PAGO 2DA QUINCENA ENERO  YOHN ANDERSON LOPEZ JAIMEZ</t>
  </si>
  <si>
    <t>PAGO 2DA QUINCENA ENERO  BRANDON GUAQUEZ TITISTAR</t>
  </si>
  <si>
    <t>PAGO 2DA QUINCENA ENERO  DANGER ESTIVENSON BENAVIDES ORTEGA</t>
  </si>
  <si>
    <t>PAGO 2DA QUINCENA ENERO  LUIS ALFREDO MELENDEZ OJEDA</t>
  </si>
  <si>
    <t>PAGO 2DA QUINCENA ENERO  ORLANDO DIAZ LOPEZ</t>
  </si>
  <si>
    <t>PAGO 2DA QUINCENA ENERO  DIANA CRISTINA MARTINEZ</t>
  </si>
  <si>
    <t>PAGO 2DA QUINCENA ENERO  SANDRO ALBEIRO DELGADO MARTINEZ</t>
  </si>
  <si>
    <t>PAGO 2DA QUINCENA ENERO  JOSE OMAR GANSASOY CASTILLO</t>
  </si>
  <si>
    <t>PAGO 2DA QUINCENA ENERO  JAVIER ANDRES RODRIGUEZ SANTIUSTY</t>
  </si>
  <si>
    <t xml:space="preserve">PAGO 2DA QUINCENA ENERO  CRISTIAN FERNANDO PASTAS CUESTAS </t>
  </si>
  <si>
    <t>PAGO 2DA QUINCENA ENERO  RUBEN DARIO SILVA RODRIGUEZ</t>
  </si>
  <si>
    <t>PAGO 2DA QUINCENA ENERO  ANDRES WILFREDY BASTIDAS GALINDEZ</t>
  </si>
  <si>
    <t>PAGO 2DA QUINCENA ENERO  EYDER QUINTERO DIAZ</t>
  </si>
  <si>
    <t xml:space="preserve">PAGO 2DA QUINCENA ENERO  JOSE MANUEL LOPEZ OBANDO </t>
  </si>
  <si>
    <t xml:space="preserve">PAGO 2DA QUINCENA ENERO  EDISON ENRIQUE CANTILLO CORONADO </t>
  </si>
  <si>
    <t>PAGO 2DA QUINCENA ENERO  DEIMAN JARINSON DAVID MUÑOZ</t>
  </si>
  <si>
    <t>PAGO 2DA QUINCENA ENERO  DEIBER QUINTERO DIAZ</t>
  </si>
  <si>
    <t>PAGO 2DA QUINCENA ENERO  JOSE DEL CARMEN GUERRERO BERDUGO</t>
  </si>
  <si>
    <t>PAGO 2DA QUINCENA ENERO  ALEX DUVAN CIFUENTES PAZ</t>
  </si>
  <si>
    <t>PAGO 2DA QUINCENA ENERO  DANILO JAVIER OJEDA NARVAEZ</t>
  </si>
  <si>
    <t>PAGO 2DA QUINCENA ENERO  JHONATAN URIBE USMA</t>
  </si>
  <si>
    <t xml:space="preserve">PAGO 2DA QUINCENA ENERO  NORELI SELENA DIAZ JURADO </t>
  </si>
  <si>
    <t>PAGO 2DA QUINCENA ENERO  RICARDO HERNAN ORTIZ</t>
  </si>
  <si>
    <t>PAGO 2DA QUINCENA ENERO  YEINSON ANDRES GUAQUEZ JURADO</t>
  </si>
  <si>
    <t>PAGO 2DA QUINCENA ENERO  HUBER ANDRES VELEZ BUSTAMAMTE</t>
  </si>
  <si>
    <t xml:space="preserve">PAGO 2DA QUINCENA ENERO  KEVIN JONATHAN MONTILLA RIASCOS </t>
  </si>
  <si>
    <t>PAGO 2DA QUINCENA ENERO  OSCAR IVAN MELENDEZ GARCIA</t>
  </si>
  <si>
    <t>PAGO 2DA QUINCENA ENERO  ALBEIRO ORLANDO ESPAÑA HERNANDEZ</t>
  </si>
  <si>
    <t>PAGO 2DA QUINCENA ENERO  JHONSIN ARLEY ARIAS CEBALLOS</t>
  </si>
  <si>
    <t>PAGO 2DA QUINCENA ENERO  IVAN CAMILO MENESES ORDOÑEZ</t>
  </si>
  <si>
    <t>PAGO 2DA QUINCENA ENERO  RODRIGO QUINTERO DIAZ</t>
  </si>
  <si>
    <t>PAGO 2DA QUINCENA ENERO  RUBEN LOPEZ MUÑOZ</t>
  </si>
  <si>
    <t>PAGO 2DA QUINCENA ENERO  VIVIANA ANDRES AYALA PICHINA</t>
  </si>
  <si>
    <t xml:space="preserve">PAGO 2DA QUINCENA ENERO  JUAN DAVID GRANADA ALVAREZ </t>
  </si>
  <si>
    <t>PAGO 2DA QUINCENA ENERO  AURO EDILSON ARTEAGA MEZA</t>
  </si>
  <si>
    <t>PAGO 2DA QUINCENA ENERO  LEIDER LUVER LOPEZ DIAZ</t>
  </si>
  <si>
    <t>PAGO 2DA QUINCENA ENERO  WILLIAM HERNANDO CASTRO RODRIGUEZ</t>
  </si>
  <si>
    <t>PAGO 2DA QUINCENA ENERO  HOLMES GALINDEZ VALDEZ</t>
  </si>
  <si>
    <t>PAGO 2DA QUINCENA ENERO  ALEXANDER MUÑOZ DIAZ</t>
  </si>
  <si>
    <t>PAGO 2DA QUINCENA ENERO  JOSE DELIO ALMEIDA ALMEIDA</t>
  </si>
  <si>
    <t>PAGO 2DA QUINCENA ENERO  BRAYAN STIVEN PEREZ QUAQUEZ</t>
  </si>
  <si>
    <t>PAGO 2DA QUINCENA ENERO  JESUS ALBERTO DIAZ PALACIOS</t>
  </si>
  <si>
    <t>PAGO 2DA QUINCENA ENERO  LUIS FERNANDO RODRIGUEZ MUÑOZ</t>
  </si>
  <si>
    <t>PAGO 2DA QUINCENA ENERO  JORGE LUIS LIZCANO NIÑO</t>
  </si>
  <si>
    <t>PAGO 2DA QUINCENA ENERO  CARLOS HERNANDO ENRIQUEZ DIAZ</t>
  </si>
  <si>
    <t>PAGO 2DA QUINCENA ENERO  FABIAN OJEDA RODRIGUEZ</t>
  </si>
  <si>
    <t>PAGO 2DA QUINCENA ENERO  ASTRID VEIDUD LOPEZ NARVAEZ</t>
  </si>
  <si>
    <t>PAGO 2DA QUINCENA ENERO  ANDI NEISER GALINDEZ DELGADO</t>
  </si>
  <si>
    <t>PAGO 2DA QUINCENA ENERO  ODELMER DAZA PEREZ</t>
  </si>
  <si>
    <t>PAGO 2DA QUINCENA ENERO  JIMMI ALEXANDER BURGOS GUERRERO</t>
  </si>
  <si>
    <t>PAGO 2DA QUINCENA ENERO  YOHN JAIRO BENAVIDES CHAMORRO</t>
  </si>
  <si>
    <t>PAGO 2DA QUINCENA ENERO  JORGE ANDRES MUÑOZ MARTINEZ</t>
  </si>
  <si>
    <t>PAGO 2DA QUINCENA ENERO  JOSE RAFAEL RUEDA HERRERA</t>
  </si>
  <si>
    <t>PAGO 2DA QUINCENA ENERO  JERSON ALEXIS GOMEZ ACOSTA</t>
  </si>
  <si>
    <t xml:space="preserve">PAGO 2DA QUINCENA ENERO  MARTIN ALONSO SOSSA AGUIRRE </t>
  </si>
  <si>
    <t>PAGO 2DA QUINCENA ENERO  RAUL BARBENLEY CASTRO RIVERA</t>
  </si>
  <si>
    <t>PAGO 2DA QUINCENA ENERO  DIANA ALEJANDRA MERA MUÑOZ</t>
  </si>
  <si>
    <t>PAGO 2DA QUINCENA ENERO  KELLY TATIANA ALVAREZ GARCIA</t>
  </si>
  <si>
    <t>PAGO 2DA QUINCENA ENERO  ANA MILENA HENAO GONZALEZ</t>
  </si>
  <si>
    <t xml:space="preserve">PAGO 2DA QUINCENA ENERO  JOSE ESTEBAN RODRIGUEZ QUINTERO </t>
  </si>
  <si>
    <t>PAGO 2DA QUINCENA ENERO  VERONICA LILIANA SANTACRUZ MENZA</t>
  </si>
  <si>
    <t>PAGO COMISIONES VERONICA GONZALO JIMENES MAECHA</t>
  </si>
  <si>
    <t>Apartamento Tatiana jimenes</t>
  </si>
  <si>
    <t>PAGO COMISION VERONICA REFUGIO VALLE DE ATRIZ</t>
  </si>
  <si>
    <t>Refugio Valle de Atriz</t>
  </si>
  <si>
    <t xml:space="preserve">PAGO COMISION VERONICA LA VILLA SAS </t>
  </si>
  <si>
    <t>PAGO 2DA QUINCENA ENERO  JULIO BELALCAZAR MURILLO</t>
  </si>
  <si>
    <t>PAGO 2DA QUINCENA ENERO  ANA MILENA BOLAÑOS FIGUEROA</t>
  </si>
  <si>
    <t>PAGO 2DA QUINCENA ENERO  IVAN DANIEL MONTILLA CORAL</t>
  </si>
  <si>
    <t>PAGO 2DA QUINCENA ENERO  JOSE ALVEIRO CUSIS HERNANDEZ</t>
  </si>
  <si>
    <t>PAGO 2DA QUINCENA ENERO  IVAN DARIO CAICEDO CALVACHE</t>
  </si>
  <si>
    <t>PAGO 2DA QUINCENA ENERO  JASON STEVEN DIAZ GUEVARA </t>
  </si>
  <si>
    <t>PAGO 2DA QUINCENA ENERO  OSCAR ANDRES CASTRO BOTINA</t>
  </si>
  <si>
    <t xml:space="preserve">PAGO 2DA QUINCENA ENERO  JHON ALEXANDER GELPUD ZAMORA </t>
  </si>
  <si>
    <t xml:space="preserve">PAGO 2DA QUINCENA ENERO  RUBEN DARIO ESPINOSA PARRA </t>
  </si>
  <si>
    <t>PAGO 2DA QUINCENA ENERO  MARIO ALEXANDER CUSIS HERNANDEZ</t>
  </si>
  <si>
    <t xml:space="preserve">PAGO 2DA QUINCENA ENERO  VICTOR ALEXANDER RUIZ </t>
  </si>
  <si>
    <t>PAGO 2DA QUINCENA ENERO  JORGE ANDRES BARRERA YANDAR</t>
  </si>
  <si>
    <t>PAGO 2DA QUINCENA ENERO  EDWIN LEONARDO MARTINEZ YAQUENO</t>
  </si>
  <si>
    <t>PAGO 2DA QUINCENA ENERO  JOY JAMIT MOSQUERA ORDOÑEZ</t>
  </si>
  <si>
    <t xml:space="preserve">PAGO 2DA QUINCENA ENERO  CARLOS ANDRES CERON PAREDES </t>
  </si>
  <si>
    <t>PAGO 2DA QUINCENA ENERO  WIILLIAM ALBERTO AZA CRIOLLO</t>
  </si>
  <si>
    <t>PAGO 2DA QUINCENA ENERO  ANDRES FERNANDO ESPINOSA GUACALES</t>
  </si>
  <si>
    <t>PAGO 2DA QUINCENA ENERO  CHRISTIAN MAURICIO DELGADO VILLOTA</t>
  </si>
  <si>
    <t>PAGO 2DA QUINCENA ENERO  JHORDY STEVEN TRUJILLO GALEANDO</t>
  </si>
  <si>
    <t>PAGO 2DA QUINCENA ENERO  JOHAN LEYDER CHAPAL VILLOTA</t>
  </si>
  <si>
    <t xml:space="preserve">PAGO 2DA QUINCENA ENERO  JOHAN SEBASTIAN OVIEDO NIÑAN </t>
  </si>
  <si>
    <t xml:space="preserve">PAGO 2DA QUINCENA ENERO  RUBEN ESTEBAN ESPINOSA GUACALES </t>
  </si>
  <si>
    <t>PAGO 2DA QUINCENA ENERO  JHOANA MARCELA GERMAN REYES</t>
  </si>
  <si>
    <t>PAGO 2DA QUINCENA ENERO  JUAN MANUEL ESPAÑA FORERO</t>
  </si>
  <si>
    <t>PAGO 2DA QUINCENA ENERO  HERMANN SOUZA CUBIDES</t>
  </si>
  <si>
    <t>PAGO 2DA QUINCENA ENERO  SANDRA CAROLINA PATASCOY BOTINA</t>
  </si>
  <si>
    <t>PAGO 2DA QUINCENA ENERO  YULY ANDREA JARAMILLO GUERRERO</t>
  </si>
  <si>
    <t>PAGO 2DA QUINCENA ENERO  LOREN ALEJANDRA DIAZ YAMPUEZAN</t>
  </si>
  <si>
    <t xml:space="preserve">PAGO 2DA QUINCENA ENERO  MARIA FERNANDA CHAMORRO </t>
  </si>
  <si>
    <t>PAGO 2DA QUINCENA ENERO  CRISTINA LASSO</t>
  </si>
  <si>
    <t>PAGO 2DA QUINCENA ENERO  JUAN CARLOS CAÑAR POTOSI</t>
  </si>
  <si>
    <t>PAGO 2DA QUINCENA ENERO  RUBIELA DEL SOCORRO RAMOS PARRA</t>
  </si>
  <si>
    <t>PAGO 2DA QUINCENA ENERO  JUAN CAMILO GARCIA SOUZA</t>
  </si>
  <si>
    <t>PAGO 2DA QUINCENA ENERO  CINDY JOHANA CARLOSAMA HERNANDEZ</t>
  </si>
  <si>
    <t>PAGO 2DA QUINCENA ENERO  JUAN ESTEBAN IBARRA CAMUES</t>
  </si>
  <si>
    <t>PAGO 2DA QUINCENA ENERO  LUISA FERNANDA OBANDO VITAR</t>
  </si>
  <si>
    <t>PAGO 2DA QUINCENA ENERO  CLAUDIA STELLA CORAL ERASO</t>
  </si>
  <si>
    <t>PAGO 2DA QUINCENA ENERO  JUAN SEBASTIAN GOMEZ LEAL</t>
  </si>
  <si>
    <t>PAGO 2DA QUINCENA ENERO  JUAN JOSE NARVEAEZ</t>
  </si>
  <si>
    <t>PAGO 2DA QUINCENA ENERO  MOISES RUIZ AYALA</t>
  </si>
  <si>
    <t xml:space="preserve">PAGO 2DA QUINCENA ENERO  CAROLINA CARDONA PAREJA </t>
  </si>
  <si>
    <t xml:space="preserve">PAGO 2DA QUINCENA ENERO  WILSON ALEJANDRO MORA ERAZO </t>
  </si>
  <si>
    <t>PAGO 2DA QUINCENA ENERO  PAOLA ANDREA SEGURA MARTINEZ</t>
  </si>
  <si>
    <t>PAGO 2DA QUINCENA ENERO  NESTOR ANDRES ARCINIEGAS VILLAMARIN</t>
  </si>
  <si>
    <t xml:space="preserve">PAGO 2DA QUINCENA ENERO  ALEXANDER DAVID BETANCOURT CARVAJAL </t>
  </si>
  <si>
    <t>PAGO 2DA QUINCENA ENERO  EDERSON DAZA ARTEAGA</t>
  </si>
  <si>
    <t xml:space="preserve">PAGO 2DA QUINCENA ENERO  SERGIO DAVID ZAMBRANO ESCOBAR </t>
  </si>
  <si>
    <t>Lacteos Tulua</t>
  </si>
  <si>
    <t>PAGO 2DA QUINCENA ENERO  DANIELA ARBOLEDA RODRIGUEZ</t>
  </si>
  <si>
    <t xml:space="preserve">PAGO 2DA QUINCENA ENERO  SARA LUCIA DAZA LOPEZ </t>
  </si>
  <si>
    <t>PAGO 2DA QUINCENA ENERO  JUAN FERNANDO PANIAGUA OSORIO</t>
  </si>
  <si>
    <t>PAGO 2DA QUINCENA ENERO  LEIBNITZ EDUARDO CHANA CALDERON</t>
  </si>
  <si>
    <t>PAGO 2DA QUINCENA ENERO  MIGUEL ALEJANDRO ENRIQUEZ CHAMORRO</t>
  </si>
  <si>
    <t>PAGO 2DA QUINCENA ENERO  DANNA STEFANYA LASSO GUERRA</t>
  </si>
  <si>
    <t>PAGO 2DA QUINCENA ENERO  JAVIER SEBASTIÁN LUCENA VILLARREAL</t>
  </si>
  <si>
    <t>PAGO 2DA QUINCENA ENERO  ANDRES FELIPE DELGADO ZUTTA</t>
  </si>
  <si>
    <t>PAGO 2DA QUINCENA ENERO  HERNAN DARIO CABRERA QUITIAQUEZ</t>
  </si>
  <si>
    <t>PAGO 2DA QUINCENA ENERO  DANNA EVELYN ARMERO ROSERO</t>
  </si>
  <si>
    <t>PAGO 2DA QUINCENA ENERO  CRISTHIAN CAMILO ROSERO ALVAREZ</t>
  </si>
  <si>
    <t>QUINCENA DEVUELTA POR EL BANCO SANDRO ALBEIRO DELGADO</t>
  </si>
  <si>
    <t>QUINCENA DEVUELTA POR EL BANCO OSCAR IBAN MELENDEZ</t>
  </si>
  <si>
    <t>QUINCENA DEVUELTA POR EL BANCO SANDRA LUCIA DAZA</t>
  </si>
  <si>
    <t>QUINCENA DEVUELTA POR EL BANCO EDERSON DAZA ARTEAGA</t>
  </si>
  <si>
    <t>QUINCENA DEVUELTA POR EL BANCO ALEXANDER DAVID BETANCURT</t>
  </si>
  <si>
    <t>QUINCENA DEVUELTA POR EL BANCO  NESTOR ANDRES ARCINIEGAS VILLAMARIN</t>
  </si>
  <si>
    <t>QUINCENA DEVUELTA POR EL BANCO KEVIN JONATHAN MONTILLA</t>
  </si>
  <si>
    <t>QUINCENA DEVUELTA POR EL BANCO HUBER ANDRES VELEZ</t>
  </si>
  <si>
    <t>QUINCENA DEVUELTA POR EL BANCO DIANA MARTINEZ CRISTINA</t>
  </si>
  <si>
    <t>QUINCENA DEVUELTA HUBER ANDRES VELEZ BUSTAMAMTE</t>
  </si>
  <si>
    <t>QUINCENA DEVUELTA POR EL BANCO YEISON ANDRES GUAQUEZ</t>
  </si>
  <si>
    <t>QUINCENA DEVUELTA POR EL BANCO RICARDO HERNAN ORTIZ</t>
  </si>
  <si>
    <t>QUINCENA DEVUELTA POR EL BANCO ORLANDO LOPEZ</t>
  </si>
  <si>
    <t>QUINCENA DEVUELTA POR EL BANCO ODELMAR DAZA PEREZ</t>
  </si>
  <si>
    <t>QUINCENA DEVUELTA POR EL BANCO NORELI SELENA DIAZ</t>
  </si>
  <si>
    <t>QUINCENA DEVUELTA POR EL BANCO LUIS ALFREDO MELENDEZ</t>
  </si>
  <si>
    <t>QUINCENA DEVUELTA POR EL BANCO JHONATAN URIBE USMA</t>
  </si>
  <si>
    <t>QUINCENA DEVUELTA POR EL BANCO DANILO JAVIER OJEDA</t>
  </si>
  <si>
    <t>QUINCENA DEVUELTA POR EL BANCO DANGER STEVENSON BENAVIDEZ</t>
  </si>
  <si>
    <t xml:space="preserve">QUINCENA DEVUELTA POR EL BANCO BRANDON GUAQUEZ TUTISTAR </t>
  </si>
  <si>
    <t xml:space="preserve">QUINCENA DEVUELTA POR EL BANCO ALEX DUVAN CIFUENTES </t>
  </si>
  <si>
    <t>QUINCENA DEVUELTA POR EL BANCO ANDI NEISER GALINDEZ</t>
  </si>
  <si>
    <t xml:space="preserve">QUINCENA DEVUELTA POR EL BANCO ASTRID VEIDUD LOPEZ NARVAEZ </t>
  </si>
  <si>
    <t>QUINCENA DEVUELTA POR EL BANCO FABIAN OJEDA RODRIGUEZ</t>
  </si>
  <si>
    <t>QUINCENA DEVUELTA POR EL BANCO CARLOS HERNANDO ENRIQUEZ</t>
  </si>
  <si>
    <t>QUINCENA DEVUELTA POR EL BANCO JOSE DEL CARMEN GUERRERO</t>
  </si>
  <si>
    <t>QUINCENA DEVUELTA POR EL BANCO EDINSON ENRIQUEZ CORONADO</t>
  </si>
  <si>
    <t>QUINCENA DEVUELTA POR EL BANCO DANIELA ARBOLEDA RODRIGUEZ</t>
  </si>
  <si>
    <t>QUINCENA DEVUELTA POR EL BANCO CLAUDIA STELLA CORAL</t>
  </si>
  <si>
    <t>QUINCENA DEVUELTA POR EL BANCO SERGIO DAVID ZAMBRANO ESCOBAR</t>
  </si>
  <si>
    <t>Pago Hotel cuellar o. FEHC31403 alquiler salon y alimentacion personal cierre de año evolti TARJETA DE CREDITO</t>
  </si>
  <si>
    <t>Alimentacion reunion comercial caffeto  TARJETA DE CREDITO</t>
  </si>
  <si>
    <t>Pago expedicion camara de comercio evoltiTARJETA DE CREDITO</t>
  </si>
  <si>
    <t>Pago expedicion camara de comercio evolti TARJETA DE CREDITO</t>
  </si>
  <si>
    <t>Compra combustible fra 43f 89346 TARJETA DE CREDITO</t>
  </si>
  <si>
    <t>Compra combustible fra 43f 89382 TARJETA DE CREDITO</t>
  </si>
  <si>
    <t>Compra combustible fra F-201- 3718 TARJETA DE CREDITO</t>
  </si>
  <si>
    <t>Compra combustible fra 409-153546 TARJETA DE CREDITO</t>
  </si>
  <si>
    <t>compra combustible fra 1273 TARJETA DE CREDITO</t>
  </si>
  <si>
    <t>Alimentacion reunion comercial F1SB 34078 TARJETA DE CREDITO</t>
  </si>
  <si>
    <t>Pago en bolo grup sas reunion fin de año medellin E-20326 TARJETA DE CREDITO</t>
  </si>
  <si>
    <t>Pago servicio de conectividad M2M SMART DIGITAL TARJETA DE CREDITO</t>
  </si>
  <si>
    <t xml:space="preserve">Transporte personal Oscar Morales </t>
  </si>
  <si>
    <t xml:space="preserve">Retencion fte 1% Transporte personal Oscar Morales </t>
  </si>
  <si>
    <t xml:space="preserve">Retencion Ica 6*1000 Transporte personal Oscar Morales </t>
  </si>
  <si>
    <t>Taxi aeropuerto MDE</t>
  </si>
  <si>
    <t>juan manuel</t>
  </si>
  <si>
    <t xml:space="preserve">Registro faltante error en entrega de viaticos Rubiela </t>
  </si>
  <si>
    <t>PAGO LIQUIDACION DIYER DELGADO NARVAEZ</t>
  </si>
  <si>
    <t xml:space="preserve">QUINCENA DEVUELTA JOSE DEL CARMEN </t>
  </si>
  <si>
    <t>Pago excedente legalizacion para base polaris</t>
  </si>
  <si>
    <t xml:space="preserve">Pago devuelto excedente legalizacion para base </t>
  </si>
  <si>
    <t>PAGO 2DA QUINCENA ENERO  SANDRO ALBEIRO DELGADO</t>
  </si>
  <si>
    <t>PAGO 2DA QUINCENA ENERO OSCAR IBAN MELENDEZ</t>
  </si>
  <si>
    <t>PAGO 2DA QUINCENA ENERO SANDRA LUCIA DAZA</t>
  </si>
  <si>
    <t>PAGO 2DA QUINCENA ENERO EDERSON DAZA ARTEAGA</t>
  </si>
  <si>
    <t>PAGO 2DA QUINCENA ENERO ALEXANDER DAVID BETANCURT</t>
  </si>
  <si>
    <t>PAGO 2DA QUINCENA ENERO NESTOR ANDRES ARCINIEGAS VILLAMARIN</t>
  </si>
  <si>
    <t>PAGO 2DA QUINCENA ENERO KEVIN JONATHAN MONTILLA</t>
  </si>
  <si>
    <t>PAGO 2DA QUINCENA ENERO DIANA MARTINEZ CRISTINA</t>
  </si>
  <si>
    <t>PAGO 2DA QUINCENA ENERO HUBER ANDRES VELEZ BUSTAMAMTE</t>
  </si>
  <si>
    <t>PAGO 2DA QUINCENA ENERO POR EL BANCO YEISON ANDRES GUAQUEZ</t>
  </si>
  <si>
    <t>PAGO 2DA QUINCENA ENERO POR EL BANCO RICARDO HERNAN ORTIZ</t>
  </si>
  <si>
    <t>PAGO 2DA QUINCENA ENERO ORLANDO LOPEZ</t>
  </si>
  <si>
    <t>PAGO 2DA QUINCENA ENERO ODELMAR DAZA PEREZ</t>
  </si>
  <si>
    <t>PAGO 2DA QUINCENA ENERO NORELI SELENA DIAZ</t>
  </si>
  <si>
    <t>PAGO 2DA QUINCENA ENERO LUIS ALFREDO MELENDEZ</t>
  </si>
  <si>
    <t>PAGO 2DA QUINCENA ENERO JHONATAN URIBE USMA</t>
  </si>
  <si>
    <t>PAGO 2DA QUINCENA ENERO DANILO JAVIER OJEDA</t>
  </si>
  <si>
    <t>PAGO 2DA QUINCENA ENERO DANGER STEVENSON BENAVIDEZ</t>
  </si>
  <si>
    <t xml:space="preserve">PAGO 2DA QUINCENA ENERO BRANDON GUAQUEZ TUTISTAR </t>
  </si>
  <si>
    <t xml:space="preserve">PAGO 2DA QUINCENA ENERO ALEX DUVAN CIFUENTES </t>
  </si>
  <si>
    <t>PAGO 2DA QUINCENA ENERO ANDI NEISER GALINDEZ</t>
  </si>
  <si>
    <t xml:space="preserve">PAGO 2DA QUINCENA ENERO ASTRID VEIDUD LOPEZ NARVAEZ </t>
  </si>
  <si>
    <t>PAGO 2DA QUINCENA ENERO FABIAN OJEDA RODRIGUEZ</t>
  </si>
  <si>
    <t>PAGO 2DA QUINCENA ENERO CARLOS HERNANDO ENRIQUEZ</t>
  </si>
  <si>
    <t>PAGO 2DA QUINCENA ENERO JORGE LUIS LIZCANO</t>
  </si>
  <si>
    <t>PAGO 2DA QUINCENA ENERO JOSE DEL CARMEN GUERRERO</t>
  </si>
  <si>
    <t>PAGO 2DA QUINCENA ENERO EDINSON ENRIQUEZ CORONADO</t>
  </si>
  <si>
    <t>PAGO 2DA QUINCENA ENERO DANIELA ARBOLEDA RODRIGUEZ</t>
  </si>
  <si>
    <t>PAGO 2DA QUINCENA ENERO CLAUDIA STELLA CORAL</t>
  </si>
  <si>
    <t>PAGO 2DA QUINCENA ENERO SERGIO DAVID ZAMBRANO ESCOBAR</t>
  </si>
  <si>
    <t>PAGHO EXCEDENTE CORRECCION NOMINA RUBIELA RAMOS PARRA</t>
  </si>
  <si>
    <t>pago cartera leasing  cuota 6/36</t>
  </si>
  <si>
    <t>Pago alimentacion Juan manuel restaurante KARMELA CO</t>
  </si>
  <si>
    <t>Pago alimentacion Juan manuel restaurante Café garde</t>
  </si>
  <si>
    <t>Ingreso dinero Subsidio para el incentivo de nuevos empleos subsciclo 7</t>
  </si>
  <si>
    <t>Ingreso dinero Subsidio para el incentivo de nuevos empleos subsciclo 8</t>
  </si>
  <si>
    <t>Ingreso dinero Subsidio para el incentivo de nuevos empleos subsciclo 9</t>
  </si>
  <si>
    <t>Juan Sebastian Gomez</t>
  </si>
  <si>
    <t>Material para fundicion de caseta y pedestal de tableros</t>
  </si>
  <si>
    <t>4 Almuerzos (Martin, Jersson, Jose, Juan Sebastian)</t>
  </si>
  <si>
    <t>1 Almuerzo (Juan David)</t>
  </si>
  <si>
    <t>Implemento para casa (Raid)</t>
  </si>
  <si>
    <t>Flete de estructura de equipos y material</t>
  </si>
  <si>
    <t>3 Cenas (Martin, Juan David, Juan Sebastian)</t>
  </si>
  <si>
    <t>2  Cenas ( Jersson, Jose)</t>
  </si>
  <si>
    <t>Cable des #2 Cu, Tuberia PVC 2" y 1/2"</t>
  </si>
  <si>
    <t>1 aerosol negro mate (Pintar estructura de equipos)</t>
  </si>
  <si>
    <t>5 Almuerzos (Martin, Jersson, Jose, Juan Sebastian)</t>
  </si>
  <si>
    <t>2 Cenas (Martin,  Juan Sebastian)</t>
  </si>
  <si>
    <t>3 Cenas (Jersson, Jose, Juan David)</t>
  </si>
  <si>
    <t>Balineras para vehiculo de transporte</t>
  </si>
  <si>
    <t>Vaselina para halado de cable</t>
  </si>
  <si>
    <t>2 Almuerzos (Juan David, Juan Sebastian)</t>
  </si>
  <si>
    <t>Tanqueo Gasolina Juan David</t>
  </si>
  <si>
    <t>Borna P/empalme bimet cu 1/0</t>
  </si>
  <si>
    <t>Caja FS 2x4 3 salidas de 1/2 mercury</t>
  </si>
  <si>
    <t>Amarras y elemento para peinados de strings</t>
  </si>
  <si>
    <t>Cena Juan David</t>
  </si>
  <si>
    <t>Cena Martin Sossa</t>
  </si>
  <si>
    <t>Cena Jersson y Jose</t>
  </si>
  <si>
    <t>Tubo galvanizado 3/4 con rosca para dobla tubo</t>
  </si>
  <si>
    <t>Transporte Diana (Cali-Tulua)</t>
  </si>
  <si>
    <t xml:space="preserve">Lacteos Tulua </t>
  </si>
  <si>
    <t>Diana Mera</t>
  </si>
  <si>
    <t>Transporte Diana (Tulua-Cali)</t>
  </si>
  <si>
    <t>Mantenimiento DRON</t>
  </si>
  <si>
    <t>Transporte Uber (Casa-Terminal Cali)</t>
  </si>
  <si>
    <t>Transporte Diana (Cali-Popayan)</t>
  </si>
  <si>
    <t>Transporte Uber (Terminal Popayan hasta Hotel)</t>
  </si>
  <si>
    <t>Almuerzo Diana</t>
  </si>
  <si>
    <t>Transporte Diana (en Popayan)</t>
  </si>
  <si>
    <t>Transporte Uber (Comuna 1 hasta Hotel)</t>
  </si>
  <si>
    <t>Almuerzo Juan Manuel, Paola, Nestor y Diana</t>
  </si>
  <si>
    <t>Transporte Diana (Popayan-Cali)</t>
  </si>
  <si>
    <t>Transporte Uber (Terminal Cali hasta Casa)</t>
  </si>
  <si>
    <t>Almuerzo Julio y Diana</t>
  </si>
  <si>
    <t>Transporte Jose (Tulua-Cali)</t>
  </si>
  <si>
    <t>Transporte Jose Uber (Yumbo-Splendor)</t>
  </si>
  <si>
    <t>Papel Contact Naranja</t>
  </si>
  <si>
    <t>Almuerzo Jose</t>
  </si>
  <si>
    <t>Almuerzo Diana y Juan David</t>
  </si>
  <si>
    <t>Transporte Jose Uber (Splendo-Terminal)</t>
  </si>
  <si>
    <t>Transporte Jose (Cali-Tulua)</t>
  </si>
  <si>
    <t>Transporte Jose (Terminal Tulua - Casa)</t>
  </si>
  <si>
    <t>Transporte (2 galones) Juan David</t>
  </si>
  <si>
    <t>Pago tiquete aereo Maraiana saldarriaga</t>
  </si>
  <si>
    <t xml:space="preserve">Pago alimentacion marco ojeda </t>
  </si>
  <si>
    <t>Retencion ica pago alimentacion marcos ojeda</t>
  </si>
  <si>
    <t>Peaje Cali - Palmira</t>
  </si>
  <si>
    <t>Julio</t>
  </si>
  <si>
    <t>Peaje Palmira - Buga</t>
  </si>
  <si>
    <t>Peaje  Buga - Tulua</t>
  </si>
  <si>
    <t>Peaje Tulua - Buga</t>
  </si>
  <si>
    <t>Peaje Buga - Cali</t>
  </si>
  <si>
    <t>Peaje - Palmira - Cali</t>
  </si>
  <si>
    <t>Gasolina</t>
  </si>
  <si>
    <t>Parqueadero</t>
  </si>
  <si>
    <t>Desayuno</t>
  </si>
  <si>
    <t>Pago saldo cotizacion agrico CT2-1245</t>
  </si>
  <si>
    <t xml:space="preserve">Pago poliza todo riesgo a seguros mundiales </t>
  </si>
  <si>
    <t>Pago tiquete medellin-pasto andrea jaramillo</t>
  </si>
  <si>
    <t>Pago curso de alturas insegal fra 6106 y 6122</t>
  </si>
  <si>
    <t>Retencion fte 11% fra insegal 6106-6122</t>
  </si>
  <si>
    <t>Retencion 6*1000  fra insegal 6106-6122</t>
  </si>
  <si>
    <t>Pago reintegro compra con tarjeta andrea jaramillo</t>
  </si>
  <si>
    <t xml:space="preserve">Pago cuenta de cobro Andrea vivas compra matrerial y adaptacion de llantas </t>
  </si>
  <si>
    <t>Pago reintegro Stefanya Lasso compra para jugos naturales</t>
  </si>
  <si>
    <t>Pago liqudacion laboral Carlos Ceron</t>
  </si>
  <si>
    <t>Pago liquidacion laboral Hernan Rincon</t>
  </si>
  <si>
    <t>Pago anticipo 50% David Diaz estudoi de suelos lyra</t>
  </si>
  <si>
    <t>Pago impecol Servicio de aseo y cafetería mes de enero 2025 fra 2057</t>
  </si>
  <si>
    <t>Retencion fte arrendamiento oficinas wework</t>
  </si>
  <si>
    <t>Pago tiquete Juan Fernando Medellin-pasto</t>
  </si>
  <si>
    <t>Pago liqudacion laboral Luis Alfredo Melendez</t>
  </si>
  <si>
    <t>Pago cartera Ectricol fra 14299</t>
  </si>
  <si>
    <t>Pago cuenta de cobro 36 Hunberto Javier Rosero</t>
  </si>
  <si>
    <t>Retencion fte 2%  cuenta de cobro 36 Hunberto Javier Rosero</t>
  </si>
  <si>
    <t>Retencion ica 6*1000  cuenta de cobro 36 Hunberto Javier Rosero</t>
  </si>
  <si>
    <t>Pago pasto metal  SUMINISTRO DE MARCO METALICO Y TAPA EN 
ANGULO DE 2” X 1/8, INSTALACIÓN DE VARILLA 
A MARCO, PINTURA NEGRA y transporte</t>
  </si>
  <si>
    <t>Pago cuenta de cobro 37 Hunberto Javier Rosero</t>
  </si>
  <si>
    <t>Retencion fte 2%  cuenta de cobro 37 Hunberto Javier Rosero</t>
  </si>
  <si>
    <t>Retencion ica 6*1000  cuenta de cobro 37 Hunberto Javier Rosero</t>
  </si>
  <si>
    <t>Pago total Martin Felipe Gumajoa Botina</t>
  </si>
  <si>
    <t>Retencion fte 2%  cuenta de cobro  Martin Felipe Gumajoa Botina</t>
  </si>
  <si>
    <t>Retencion ica 6*1000  cuenta  de cobro  Martin Felipe Gumajoa Botina</t>
  </si>
  <si>
    <t>Pago anticipo 50%  a CENTRO DE LUBRICACION OIL CENTER TULUA JUAN JOSE PARDO MASSO</t>
  </si>
  <si>
    <t>Pago fra Franco Inchualca nava</t>
  </si>
  <si>
    <t xml:space="preserve">Pago orden 065 de compra Melba Ligia </t>
  </si>
  <si>
    <t xml:space="preserve">Pago orden 064 de compra Melba Ligia </t>
  </si>
  <si>
    <t>Pago realizado a Solaire oferta 392</t>
  </si>
  <si>
    <t>Pago realizado a Solaire fra 120329</t>
  </si>
  <si>
    <t>Pago realizado a Solaire fra 120325</t>
  </si>
  <si>
    <t>Pago examanes de ingreso  ips bienestar laboral</t>
  </si>
  <si>
    <t xml:space="preserve">Pago cuenta de cobro fundacion ecosocial </t>
  </si>
  <si>
    <t>Estructuración</t>
  </si>
  <si>
    <t>Orion</t>
  </si>
  <si>
    <t>Pago oc-196 electricos del valle</t>
  </si>
  <si>
    <t>Pago anticipo 50% Contruenergy FVE 4</t>
  </si>
  <si>
    <t>Pago Anticipo 50 % Transformdores Maxwell SAS COT 22690</t>
  </si>
  <si>
    <t>Pago cotizacion V-1-5041 DOTASOL</t>
  </si>
  <si>
    <t>Pago cotizacon V-1-6017 DOTASOL</t>
  </si>
  <si>
    <t>Retencion ica 6*1000 v-1-6017</t>
  </si>
  <si>
    <t>Retencion ica 6*1000 v-1-5041</t>
  </si>
  <si>
    <t xml:space="preserve">Pago cotizacion 5725 Kit Radio portail motorola </t>
  </si>
  <si>
    <t xml:space="preserve">Pago cuenta de cobro  ACOMPAÑAMIENTO PREFACTIBILIDAD Y FACTIBILIDAD, SOLICITUDES DE CONEXIÓN, SIMULACIONES CON PVSYST Y LAYOUTS EN AUTOCAD </t>
  </si>
  <si>
    <t>Pago liquidacion laboral jhonatan Uribe Usme</t>
  </si>
  <si>
    <t>Pago poliza seguros mundial lacteos tulua</t>
  </si>
  <si>
    <t>Pago poliza seguros mundial Hospital Infantil</t>
  </si>
  <si>
    <t>Hospital Infantil</t>
  </si>
  <si>
    <t xml:space="preserve">Pago anticipo 50 % electricos boyaca cotizacion 8365 </t>
  </si>
  <si>
    <t xml:space="preserve">Pago cuenta de cobro juan camacho 15 días de hospedaje en Tuluá, Valle del cauca. </t>
  </si>
  <si>
    <t>Pago UPME edificio ipk</t>
  </si>
  <si>
    <t>Edificio IPK</t>
  </si>
  <si>
    <t xml:space="preserve">Pago certificados de libertad y tradicion el placer </t>
  </si>
  <si>
    <t>Pago certificados de libertad y tradicion panorama</t>
  </si>
  <si>
    <t xml:space="preserve">Pago certificados de libertad y tradicion la esperanza </t>
  </si>
  <si>
    <t>Pago certificados de libertad y tradicion la julieta</t>
  </si>
  <si>
    <t>Pago cotizacion CM-0175955 seguridad del sur</t>
  </si>
  <si>
    <t xml:space="preserve">Pago cuenta de cobro GRUPO HSEQ CONSULTORES Y/O JUAN CAMILO ROSERO E. </t>
  </si>
  <si>
    <t xml:space="preserve">Pago ascenso </t>
  </si>
  <si>
    <t>Pago poliza seguros mundial agropecuaria san rafael</t>
  </si>
  <si>
    <t>Pago poliza seguros mundial comercializadora nava</t>
  </si>
  <si>
    <t>Pago poliza seguros sura Jugos naturales</t>
  </si>
  <si>
    <t>Pago anticipo 25%  a CENTRO DE LUBRICACION OIL CENTER TULUA JUAN JOSE PARDO MASSO</t>
  </si>
  <si>
    <t>Pago fra FEDC 1245 MENTE MAESTRA volantes para prospectos de predios</t>
  </si>
  <si>
    <t>Pago dinamica logistica fra DL 70737 servicio de transporte</t>
  </si>
  <si>
    <t>Retencion fte 1% dinamica logistica servicio de transporte 70737</t>
  </si>
  <si>
    <t>Pago inversion delta</t>
  </si>
  <si>
    <t xml:space="preserve">Delta </t>
  </si>
  <si>
    <t>Inversión DELTA</t>
  </si>
  <si>
    <t>Pago fra Los alpes FEL 3767 Alquiler habitacion</t>
  </si>
  <si>
    <t>Retencion fte 3,5% fra Los alpes FEL 3767 Alquiler habitacion</t>
  </si>
  <si>
    <t>PAGO IMPORTADORA Y COMERCIALIZADORA CAUCA LTDA C OTIZACION N. CR-2025-00024</t>
  </si>
  <si>
    <t>Retenciones 2,5 % importandora y comercializadora</t>
  </si>
  <si>
    <t xml:space="preserve">Pago cotizacion electricos boyaca 8364 </t>
  </si>
  <si>
    <t>Retencion ica 2,5% cotizacion electricos boyaca 8364</t>
  </si>
  <si>
    <t>Retencion fte  6*1000 cotizacion electricos boyaca 8364</t>
  </si>
  <si>
    <t>Pago fra Proenso FET 443 examenes de ingreso</t>
  </si>
  <si>
    <t xml:space="preserve">Pago fra FV-2-54 Vallas Innova group </t>
  </si>
  <si>
    <t xml:space="preserve">Retencion fte 4% FV-2-54 Vallas Innova group </t>
  </si>
  <si>
    <t xml:space="preserve">Retencion fte 6*1000 FV-2-54 Vallas Innova group </t>
  </si>
  <si>
    <t xml:space="preserve">Pago fra FV-2-50 Vallas Innova group </t>
  </si>
  <si>
    <t xml:space="preserve">Retencion fte 4% FV-2-50 Vallas Innova group </t>
  </si>
  <si>
    <t xml:space="preserve">Retencion fte 6*1000 FV-2-50 Vallas Innova group </t>
  </si>
  <si>
    <t>Pago fra E-1384 solubaos para polaris</t>
  </si>
  <si>
    <t>Retencion fte 4% Pago fra E-1384 solubaos para polaris</t>
  </si>
  <si>
    <t>Retencion ica 6*1000 Pago fra E-1384 solubaos para polaris</t>
  </si>
  <si>
    <t>Retencion fte 1% Pago fra E-1384 solubaos para polaris</t>
  </si>
  <si>
    <t>Pago cuenta de cobro MILTON SANTIAGO RIVERA KOKORO PLACA CAFETO CUENTA DE COBRO</t>
  </si>
  <si>
    <t xml:space="preserve">Pago cotizacion EMSI C022 1685 </t>
  </si>
  <si>
    <t xml:space="preserve">Retencion fte  EMSI C022 1685 </t>
  </si>
  <si>
    <t>Pago MAURICIO VELASQUEZ  mantenimiento impresora admon</t>
  </si>
  <si>
    <t>Pago  GRUPO DEFA SAS FEDP 71147 OC 072</t>
  </si>
  <si>
    <t>Retencion ica 3*1000 GRUPO DEFA SAS FEDP 71147 OC 072</t>
  </si>
  <si>
    <t>Pago  MELBA LIGIA MONCAYO LA FERRO OC 071 RM1-4033</t>
  </si>
  <si>
    <t>juan sebastian</t>
  </si>
  <si>
    <t>2 Desayunos (Martin, Jersson)</t>
  </si>
  <si>
    <t>2 Almuerzos (Martin, Jersson)</t>
  </si>
  <si>
    <t>3 Cenas (Martin, Jersson, Jose)</t>
  </si>
  <si>
    <t>Tanqueo Gasolina Martin</t>
  </si>
  <si>
    <t>2 Discos de Corte 4 1/2</t>
  </si>
  <si>
    <t>Prensa Estopa y Adaptador EMT</t>
  </si>
  <si>
    <t>Caja FS 2x4 5 Salidas</t>
  </si>
  <si>
    <t>ANCLAJE EXPANSIVO X 4 UNIDADES</t>
  </si>
  <si>
    <t>3 Guantes Anticorte 1 Guante Carnaza</t>
  </si>
  <si>
    <t>3 Cenas (Jersson, José, Juan David)</t>
  </si>
  <si>
    <t>1 Cena (Martin)</t>
  </si>
  <si>
    <t>Cableado de cobre y aluminio</t>
  </si>
  <si>
    <t>Platina de Cobre</t>
  </si>
  <si>
    <t>Marcador Sharpie</t>
  </si>
  <si>
    <t>Alquiler de pertiga</t>
  </si>
  <si>
    <t>2 curvas y 1 capacete</t>
  </si>
  <si>
    <t>Hidratacion Agua Gaseosa</t>
  </si>
  <si>
    <t>5 Cenas (Martin, Raúl, Jersson, José, Juan David)</t>
  </si>
  <si>
    <t>Minibreaker 2x40A siemens / Borna Terminal</t>
  </si>
  <si>
    <t>10 Tornillos Hexagonal 1/4 + Arandela + Tuerca</t>
  </si>
  <si>
    <t>1 Cena (Juan David)</t>
  </si>
  <si>
    <t>Pago compra de dron EDWIN ERNESTO GONZALEZ SAMBONY  GEODIGITAL COLOMBIA COT 1444</t>
  </si>
  <si>
    <t xml:space="preserve">Retencion fte 2,5 compra dron Edwin ernesto gonzalez Sambony </t>
  </si>
  <si>
    <t>Pago orden de compra 067 districuciones ac</t>
  </si>
  <si>
    <t>Retencion Ica 5*100 orden de compra 067 districuciones ac</t>
  </si>
  <si>
    <t>Pago PF 73200 DISTRIBUCIONES ELECTRICAS</t>
  </si>
  <si>
    <t>Pago de UPME restante desarrollo campesino</t>
  </si>
  <si>
    <t>Pago alquiler vallas Jesus alberto benavidez</t>
  </si>
  <si>
    <t>Pago final TABLESA PAGO FC 8202</t>
  </si>
  <si>
    <t>C. Celdas MT</t>
  </si>
  <si>
    <t xml:space="preserve">Pago a TABLESA ANTICIPO TRANSPORTE </t>
  </si>
  <si>
    <t xml:space="preserve">Retencion fte 1% Pago a TABLESA ANTICIPO TRANSPORTE </t>
  </si>
  <si>
    <t>Pago cuenta de cobro Jesion Ipiales Capacitacion</t>
  </si>
  <si>
    <t>Pago salario pdte Jose del carmen autorizado a  ALEXANDER DAVID BETANCOURT CARVAJAL</t>
  </si>
  <si>
    <t>Pago a OF CONTRUCCIONES FRA 7419</t>
  </si>
  <si>
    <t>Pago a OF CONTRUCCIONES FRA 7421 Y 7423</t>
  </si>
  <si>
    <t>Pago tiquete avianca Kelly estructuracion</t>
  </si>
  <si>
    <t>Pago Nomina pendiente de enero Huber Andres Velez</t>
  </si>
  <si>
    <t>Pago transporte a proyecto campesino</t>
  </si>
  <si>
    <t xml:space="preserve">danna </t>
  </si>
  <si>
    <t>Desayuno trayecto Pasto - Remolino</t>
  </si>
  <si>
    <t>Transporte  Puerto Remolino - Pasto</t>
  </si>
  <si>
    <t>Coraza americana 1", unión IMC 1"</t>
  </si>
  <si>
    <t>Carreras Piaggio, trayectos: Oficina - Terminal mixto, Terminal mixto - Centro</t>
  </si>
  <si>
    <t>Envío material eléctrico, trayecto: Pasto - Remolino</t>
  </si>
  <si>
    <t>Transporte personal jeison fabian delgado</t>
  </si>
  <si>
    <t>Retencion fte 1% Transporte personal jeison fabian delgado</t>
  </si>
  <si>
    <t>Retencion ica 6*1000 Transporte personal jeison fabian delgado</t>
  </si>
  <si>
    <t xml:space="preserve">Compra folder yute ofice y calculadora offesco </t>
  </si>
  <si>
    <t>Compra tela para limpiones oficina evolti</t>
  </si>
  <si>
    <t>Compra 2 chalecos azules y 3 chaquetas</t>
  </si>
  <si>
    <t xml:space="preserve">Compra 1 fotografico dotacion transparente </t>
  </si>
  <si>
    <t xml:space="preserve">Compra calculadora para oficina </t>
  </si>
  <si>
    <t>Carreras piaggio, trayectos: Oficina - Terminal mixto, Terminal mixto - Centro</t>
  </si>
  <si>
    <t>Curva PVC, Adaptador PVC, Caja plástica 4x4</t>
  </si>
  <si>
    <t>Envío saltarín, trayecto: Pasto - Remolino</t>
  </si>
  <si>
    <t>Cincel pala, cencel punta, carretos nylon</t>
  </si>
  <si>
    <t>Broca escalonada</t>
  </si>
  <si>
    <t>Envío cable UTP, trayecto: Pasto - Remolino</t>
  </si>
  <si>
    <t>Transporte fletes y personal Wilian Basamte</t>
  </si>
  <si>
    <t>Transporte Pasto - Naos</t>
  </si>
  <si>
    <t xml:space="preserve">hidratacion </t>
  </si>
  <si>
    <t>Transporte Naos - Pasto</t>
  </si>
  <si>
    <t>Carreras piaggio, trayectos: Unicentro - Oficina, Oficina - Batericars</t>
  </si>
  <si>
    <t>Carreras piaggio, trayectos: Oficina - Unicentro, Unicentro - Batericars</t>
  </si>
  <si>
    <t>Conector antifraude, cautín</t>
  </si>
  <si>
    <t>Cosedora, resaltadores, bisturí, cuchilla para bisturí</t>
  </si>
  <si>
    <t>Pomada de soldar, estaño</t>
  </si>
  <si>
    <t>Copias de llave puerta principal oficina</t>
  </si>
  <si>
    <t>Excedente cambio de cámara tipo domo según factura #0183</t>
  </si>
  <si>
    <t>Galones de graniplas y rodillo</t>
  </si>
  <si>
    <t>Tubo conduit PVC 11/2"</t>
  </si>
  <si>
    <t>Tablones de sajo</t>
  </si>
  <si>
    <t>Tablón de sajo</t>
  </si>
  <si>
    <t>Marquillas</t>
  </si>
  <si>
    <t xml:space="preserve">Galones de graniplas </t>
  </si>
  <si>
    <t>Pago saldo piezas patineta</t>
  </si>
  <si>
    <t>Transporte pasto-popayan</t>
  </si>
  <si>
    <t>Jeison</t>
  </si>
  <si>
    <t>almuerzo</t>
  </si>
  <si>
    <t>cena</t>
  </si>
  <si>
    <t>Taxi terminal-hotel</t>
  </si>
  <si>
    <t>Taxi visita comercial</t>
  </si>
  <si>
    <t>desayuno</t>
  </si>
  <si>
    <t>Transporte popayan-pasto</t>
  </si>
  <si>
    <t>Taxi terminal casa pasto</t>
  </si>
  <si>
    <t>Hotel estancia en popayan</t>
  </si>
  <si>
    <t>COMPRA DE COMBUSTIBLE PARA EQUIPOS (GASOLINA)</t>
  </si>
  <si>
    <t>COMPRA DE SILLAS</t>
  </si>
  <si>
    <t>COMPRA DE BOTELLONES DE AGUA</t>
  </si>
  <si>
    <t>COMPRA DE COMBUSTIBLE PARA CAMIONETA PLACA JLS546</t>
  </si>
  <si>
    <t>Compra de nylon, puntillas, paleta pare y siga, costales</t>
  </si>
  <si>
    <t>Compra de electrobomba y accesorios</t>
  </si>
  <si>
    <t>Compra de 4 llaves #14 mm</t>
  </si>
  <si>
    <t>Impresiones</t>
  </si>
  <si>
    <t>Compra de bolsas de agua</t>
  </si>
  <si>
    <t>Pago de energía CEDENAR</t>
  </si>
  <si>
    <t>Compra de 3 cuñetes de estuco</t>
  </si>
  <si>
    <t>Copra de nivel, escuadras, discos de corte, etc</t>
  </si>
  <si>
    <t>Compra de aceite para motor de mezcladora</t>
  </si>
  <si>
    <t>Transporte personal oscar mauricio torres</t>
  </si>
  <si>
    <t>Pago cuenta de cobro 01 fotografias con dron Ronal florez</t>
  </si>
  <si>
    <t>Pago a SOLUCIONES AGRICOLAS ESPITIA SAS COTIZACION  SISTEMA RIEGO  1 1/2 C-40 X 100</t>
  </si>
  <si>
    <t>Pago DISTRIBUCIONES ELECTRICAS AC OC 069 PF 73486</t>
  </si>
  <si>
    <t>Retencion fte 2,5% DISTRIBUCIONES ELECTRICAS AC OC 069 PF 73486</t>
  </si>
  <si>
    <t>Retencion ica 6*1000 DISTRIBUCIONES ELECTRICAS AC OC 069 PF 73486</t>
  </si>
  <si>
    <t>Pago total 25%   a CENTRO DE LUBRICACION OIL CENTER TULUA JUAN JOSE PARDO MASSO</t>
  </si>
  <si>
    <t>Pago liquidacion laboral Victor alexander Ruiz</t>
  </si>
  <si>
    <t>cancelación préstamo de impuesto naos</t>
  </si>
  <si>
    <t>Naos</t>
  </si>
  <si>
    <t xml:space="preserve"> abono factura naos 3</t>
  </si>
  <si>
    <t>anticipo minigranja Delta</t>
  </si>
  <si>
    <t>Ingreso anticpo proyecto san nicolas</t>
  </si>
  <si>
    <t>Casa Maria Fernanda Segura</t>
  </si>
  <si>
    <t>Ingreso campos de aragon fra diciembre</t>
  </si>
  <si>
    <t>Recepcion pago de EMPRESA DE SERVICIOS PUBLICOS VITALES DE ACUEDUCTO ALCANTARILLADO ASEO ELECTRICIDAD GAS Y COMUNICACIONES S A ESP noviembre</t>
  </si>
  <si>
    <t>Alimentcion Juan Manuel en dunkin donas</t>
  </si>
  <si>
    <t>Recepcion anticipo de jugos naturales</t>
  </si>
  <si>
    <t>Taxi aeropuerto BOG</t>
  </si>
  <si>
    <t>Taxis Bogota</t>
  </si>
  <si>
    <t>Taxis Cali</t>
  </si>
  <si>
    <t>Cena</t>
  </si>
  <si>
    <t>Taxis</t>
  </si>
  <si>
    <t>Almuerzo</t>
  </si>
  <si>
    <t>Hotel 3 noches</t>
  </si>
  <si>
    <t>Taxi aeropuerto CLO</t>
  </si>
  <si>
    <t>Envío marquillas de tableros eléctricos, trayecto: Pasto - Cali</t>
  </si>
  <si>
    <t>Abrazadera ajustable 1"</t>
  </si>
  <si>
    <t>Carrera piaggio, trayecto: Oficina - Desarrollo Campesino</t>
  </si>
  <si>
    <t>Tapón auditivo tipo hongo</t>
  </si>
  <si>
    <t>Sikaflex</t>
  </si>
  <si>
    <t>Rollo cable vehicular #16</t>
  </si>
  <si>
    <t>Cargador celular Medellín</t>
  </si>
  <si>
    <t>Cinta asfáltica</t>
  </si>
  <si>
    <t>Envío ponchadora hidráulica, trayecto: Remolino - Pasto</t>
  </si>
  <si>
    <t>Soldadura PVC</t>
  </si>
  <si>
    <t>Saca polipropileno rayada</t>
  </si>
  <si>
    <t>1/4 pintura tráfico amarilla</t>
  </si>
  <si>
    <t>Envío ponchadora por garantía, trayecto: Pasto - Cali</t>
  </si>
  <si>
    <t>Acrilicos</t>
  </si>
  <si>
    <t>Recarga extintor</t>
  </si>
  <si>
    <t xml:space="preserve">Pago recibo servicio publico de energia </t>
  </si>
  <si>
    <t>Pago liquidacion laboral Jhoan Chapal</t>
  </si>
  <si>
    <t>Pago liquidacion laboral Crsthian Delgado</t>
  </si>
  <si>
    <t>Pago liquidacion laboral Ruben Esteban Espinoza</t>
  </si>
  <si>
    <t xml:space="preserve">Pago fra informa colmbia : EI 2051462 </t>
  </si>
  <si>
    <t xml:space="preserve">Pago camara de comercio vega </t>
  </si>
  <si>
    <t>pago camara de comercio evolti generacion</t>
  </si>
  <si>
    <t>Pago provisional parte de nomina prueba nequi Jose del Carmen</t>
  </si>
  <si>
    <t>Pago dev a Juan Manue microfono para grabacionde videos FV 363</t>
  </si>
  <si>
    <t>Pago reintegro Tiquete Juan manuel Avianca 29QFFO Medellin-pasto-medellin</t>
  </si>
  <si>
    <t>Pago cuenta de cobro revisora fiscal</t>
  </si>
  <si>
    <t xml:space="preserve">Pago alimentacion cuenta de cobro marcos ojeda </t>
  </si>
  <si>
    <t>Retencion fte 3,5% cuenta de cobro marcos ojeda</t>
  </si>
  <si>
    <t>Juan sebastian</t>
  </si>
  <si>
    <t>Fabrica de Rosca NPT</t>
  </si>
  <si>
    <t>Galon Vinilo Blanco</t>
  </si>
  <si>
    <t>Impresiones de planos</t>
  </si>
  <si>
    <t>3 almuerzos (Martin, Jersson, Jose)</t>
  </si>
  <si>
    <t>1 almuerzo (Juanda)</t>
  </si>
  <si>
    <t>Tanqueo Gasolina para transporte Jersson</t>
  </si>
  <si>
    <t>Tanqueo Gasolina para transporte Martin</t>
  </si>
  <si>
    <t>4 Cenas (Martin, Jersson, Jose, Juan David)</t>
  </si>
  <si>
    <t>4 almuerzos (Martin, Jersson, José, Juan David)</t>
  </si>
  <si>
    <t>3 Kilos de Cemento</t>
  </si>
  <si>
    <t>Tanqueo Gasolina para transporte Juan David</t>
  </si>
  <si>
    <t>Transporte ING, Juan Sebastian Gomez a terminal de Cali</t>
  </si>
  <si>
    <t>Tiquete bus terminal de Cali-Tulúa</t>
  </si>
  <si>
    <t>1 Desayuno (Juanda)</t>
  </si>
  <si>
    <t>Capacete 1" para bajante tuberia IMC acometida</t>
  </si>
  <si>
    <t>Tanqueo Gasolina para transporte Martin Sossa</t>
  </si>
  <si>
    <t>Transporte ING, Juan Sebastian Gomez de terminal a Andalucia</t>
  </si>
  <si>
    <t>1 Almuerzo (Jose)</t>
  </si>
  <si>
    <t>3 almuerzos (Martin, Jersson, Juan Sebastian) y 4 cenas (Martin, Jersson, Jose, Juan Sebastian)</t>
  </si>
  <si>
    <t>Tanqueo gasolina Ing. Nicolas Lopez</t>
  </si>
  <si>
    <t>Tanqueo para transporte Gasolina Jersson</t>
  </si>
  <si>
    <t>Tanqueo para transporte Gasolina Martin</t>
  </si>
  <si>
    <t>Transporte/Retiro de escombros</t>
  </si>
  <si>
    <t>Soldadura modificación de herramientas</t>
  </si>
  <si>
    <t>Tubo galvanizado para herramienta de mano</t>
  </si>
  <si>
    <t>Hoyadora y Barreton</t>
  </si>
  <si>
    <t>Viaticos (Desayunos, Almuerzo, Cenas)</t>
  </si>
  <si>
    <t>Material de tierra para trasplante de palmera</t>
  </si>
  <si>
    <t>Aceite monogrado 2 tiempos para demoledor</t>
  </si>
  <si>
    <t>Tanqueo para transporte gasolina Ing. Nicolas Lopez</t>
  </si>
  <si>
    <t>Viaticos (Desayunos, Almuerzos)</t>
  </si>
  <si>
    <t>Transporte terminal desde Cali</t>
  </si>
  <si>
    <t>Pago servicio telefonico tigo</t>
  </si>
  <si>
    <t>Pago certificado de camara de comercio SUPERITEDENCIA DE NOTARIADO Y REGISTRO</t>
  </si>
  <si>
    <t xml:space="preserve">Pago tiquete Avianca Ana Henao </t>
  </si>
  <si>
    <t>Pago servicio enero pormonte FRA FVE 267</t>
  </si>
  <si>
    <t>Pago CASA ELECTRICA COT Z001-152703</t>
  </si>
  <si>
    <t>Pago realizado a TIBA COLOMBIA fra BOG 70495</t>
  </si>
  <si>
    <t xml:space="preserve">Pago retencion en la fuente Evolty SAS enero </t>
  </si>
  <si>
    <t>Pago impuesto retencion de iva Evolty SAS</t>
  </si>
  <si>
    <t>Pago tablesa  TABLESA COT TA71A-25</t>
  </si>
  <si>
    <t>Retencion fte 2,5 Pago tablesa  TABLESA COT TA71A-25</t>
  </si>
  <si>
    <t>Pago certificado camara de comercio para estructuracion</t>
  </si>
  <si>
    <t>Pago MELBA LIGIA MONCAYO LA FERRO COT RM1-4051 OC 073</t>
  </si>
  <si>
    <t>Retencion ica 5*1000 Pago MELBA LIGIA MONCAYO LA FERRO COT RM1-4051 OC 073</t>
  </si>
  <si>
    <t>Pago MELBA LIGIA MONCAYO LA FERRO COT RM1-4026 OC 070</t>
  </si>
  <si>
    <t>Retencion ica 5*1000 Pago MELBA LIGIA MONCAYO LA FERRO COT RM1-4026 OC 070</t>
  </si>
  <si>
    <t>Pago a ECTRICOL COT OV 43072 V0 30% 73.123*4132,93= 302,212,240*30%=90,663,672</t>
  </si>
  <si>
    <t>Delta2</t>
  </si>
  <si>
    <t xml:space="preserve">Pago arrendamiento MALLIESA SAS FVE 416 </t>
  </si>
  <si>
    <t>Retencion fte 3,5% Arriendo Malliesa FVE 416</t>
  </si>
  <si>
    <t>Retencion Ica 6*1000 Arriendo Malliesa FVE 416</t>
  </si>
  <si>
    <t>Pago factura BENAEQUIPOS FC 919</t>
  </si>
  <si>
    <t>Retencion iva factura Benaequipos FC 919</t>
  </si>
  <si>
    <t>Pago realizado a ELECTRICOS DEL VALLE CO SO-697607 OC202</t>
  </si>
  <si>
    <t>Pago a JAIRO ALFREDO LOPEZ 79,579,987ELECTRICOS BOYACA COT 8364A</t>
  </si>
  <si>
    <t>Retencion Ica JAIRO ALFREDO LOPEZ 79,579,987ELECTRICOS BOYACA COT 8364A</t>
  </si>
  <si>
    <t>Pago ELECTRICOS DEL VALLE CO SO-693184 OC 200</t>
  </si>
  <si>
    <t>Pago a Solaire oferta 744</t>
  </si>
  <si>
    <t>Retencion fte 1% Pago solaire oferta 744</t>
  </si>
  <si>
    <t xml:space="preserve">Pago SOLAIRE COT 740 ANTICIPO 50% OC 203 </t>
  </si>
  <si>
    <t>Pago a SUNEO COT 18906 panificaodra la villa</t>
  </si>
  <si>
    <t>Retencion fte 2,5% SUNEO COT 18906</t>
  </si>
  <si>
    <t>Pago TANQUES PARA RIEGO JORGE ELIECER LOPEZ MUÑOZ  FC 0666</t>
  </si>
  <si>
    <t>Pago triturado y arena DANIEL ESTEBAN ORTEGA FIGUEROA FC 7427</t>
  </si>
  <si>
    <t>Pago triturado y arena DANIEL ESTEBAN ORTEGA FIGUEROA FC 7430</t>
  </si>
  <si>
    <t xml:space="preserve">Pago VANESA MONCAYO CALVACHE </t>
  </si>
  <si>
    <t>Pago a DISTRIBUCIONES ELECTRICAS AC 074 PF 73672</t>
  </si>
  <si>
    <t>Pago a DISTRIBUCIONES ELECTRICAS AC 075 PF 73745</t>
  </si>
  <si>
    <t>Pago a DISTRIBUCIONES ELECTRICAS AC 076 PF 73642</t>
  </si>
  <si>
    <t>Retencion Ica 5*100 Pago a DISTRIBUCIONES ELECTRICAS AC 074 PF 73672</t>
  </si>
  <si>
    <t>Retencion Ica 5*100 Pago a DISTRIBUCIONES ELECTRICAS AC 075 PF 73745</t>
  </si>
  <si>
    <t>Retencion Ica 5*100 Pago a DISTRIBUCIONES ELECTRICAS AC 076 PF 73642</t>
  </si>
  <si>
    <t>Pago baños portatiles Maria Jose Arteaga E-1232 Y E 1255</t>
  </si>
  <si>
    <t>Pago saldo SUNEO COT 18906 SALDO 18,000</t>
  </si>
  <si>
    <t>Pago cotizacion Luis Camilo Patiño Alpala</t>
  </si>
  <si>
    <t>Pago cotizacion LUIS CAMILO PATIÑO ALPALA CT 003</t>
  </si>
  <si>
    <t>Línea MT aérea</t>
  </si>
  <si>
    <t xml:space="preserve">Pago LEISON HUMBERTO VIVEROS  obras oficina popayan </t>
  </si>
  <si>
    <t xml:space="preserve">Pago IMPRESION DE VALLA CON ACABADOS TAMAÑO 4 X 12 juan pablo pedroza </t>
  </si>
  <si>
    <t xml:space="preserve">Retencion fte 4% IMPRESION DE VALLA CON ACABADOS TAMAÑO 4 X 12 juan pablo pedroza </t>
  </si>
  <si>
    <t>Pago a HUMBERTO JAVIER ROSERO POTOSI COT 45</t>
  </si>
  <si>
    <t>Pago ECTRICOL OC 162 Pedido: OT 10040-H1</t>
  </si>
  <si>
    <t>Pago ELECTRICOS DEL VALLE CO SO-698937 OC 205</t>
  </si>
  <si>
    <t>Pago a PROTECTO COTIZACION N. C-1-1121</t>
  </si>
  <si>
    <t>Pago a PROTECTO COTIZACION N. C-1-1066</t>
  </si>
  <si>
    <t>Retencion fte 2,5 % PROTECTO COTIZACION N. C-1-1066</t>
  </si>
  <si>
    <t>Retencion ica 6*1000 PROTECTO COTIZACION N. C-1-1066</t>
  </si>
  <si>
    <t>Pago sald pendiente fra protecto</t>
  </si>
  <si>
    <t>Pago transporte a ANGIE VALENCIA ROSERO FVE 893</t>
  </si>
  <si>
    <t>Retencion fte 1% Transporte Angie valencia FVE 893</t>
  </si>
  <si>
    <t>Retencion ica 6*1000 Transporte Angie valencia FVE 893</t>
  </si>
  <si>
    <t>Pago cuenta de cobro Harrison Steven Lopez transporte personal</t>
  </si>
  <si>
    <t>Retencion fte 1% Transporte personal Harrison Steven</t>
  </si>
  <si>
    <t>Pago alojamiento cuenta de cobro 013 Vanesa Muñoz</t>
  </si>
  <si>
    <t>Retencion fte 3,5% cuenta de cobro vanessa muñoz</t>
  </si>
  <si>
    <t>Pago DOTASOL CO V-001-6094</t>
  </si>
  <si>
    <t xml:space="preserve">Pago a CORPORACION AUTONOMA REGIONAL DEL ATLANTICO </t>
  </si>
  <si>
    <t>Pago camara de comercio en medellin</t>
  </si>
  <si>
    <t>Pago a CONSTRU ENERGY FVE 3 MANO DE OBRA POR INSTALACION DE
 TUBERIA  BAJANTE  Y CONEXIONADO DE
 RED DE BAJA TENSIO</t>
  </si>
  <si>
    <t>Retencion fte 4% construenergy FVE 3 MANO DE OBRA POR INSTALACION DE
 TUBERIA  BAJANTE  Y CONEXIONADO DE
 RED DE BAJA TENSIO</t>
  </si>
  <si>
    <t>Pago asesoria JANELLY AYADID MARQUEZ OROZCO 43,109,208</t>
  </si>
  <si>
    <t>Pago examen de ingreso Diana Lucia Ruano</t>
  </si>
  <si>
    <t>Pago Cotización servicio de alquiler y aseo de Lavamanos Portátiles Solubaños</t>
  </si>
  <si>
    <t>Retencion fte 1% Cotización servicio de alquiler y aseo de Lavamanos Portátiles Solubaños</t>
  </si>
  <si>
    <t>Retencion ica 6*1000 Cotización servicio de alquiler y aseo de Lavamanos Portátiles Solubaños</t>
  </si>
  <si>
    <t>Retencion fte 4% Cotización servicio de alquiler y aseo de Lavamanos Portátiles Solubaños</t>
  </si>
  <si>
    <t xml:space="preserve">Alquiler de andamios </t>
  </si>
  <si>
    <t>Yhon Jairo</t>
  </si>
  <si>
    <t>Impresiones otro si personal DELTA</t>
  </si>
  <si>
    <t>Pago reinstalación de medidor de energía (incluye accesorios)</t>
  </si>
  <si>
    <t>Compra de discos para pulidora,  cinta sacos  rayados</t>
  </si>
  <si>
    <t>Compra de ACPM para mezcladora</t>
  </si>
  <si>
    <t>Pago de peaje CANO, transporte Remolino-Pasto</t>
  </si>
  <si>
    <t>Alexander David Carvajal</t>
  </si>
  <si>
    <t>Pago de peaje CANO, transporte Pasto-Remolino</t>
  </si>
  <si>
    <t>Compra de Aceite para planta electrica</t>
  </si>
  <si>
    <t>COMPRA DE 10 BOLSAS DE AGUA</t>
  </si>
  <si>
    <t>COMPRA DE LISTONES, TABLA, PUNTILLA, PLOMADA, TORNILLOS Y CEGUETA PARA FORMALETA DE CAJAS DE PASO</t>
  </si>
  <si>
    <t>COMPRA DE CANDADO, TORNILLOS, VISAGRAS, CANCAMOS Y ZERRUCHO PARA CAMPAMENTO</t>
  </si>
  <si>
    <t>COMPRA DE DISCO DE CORTE, MARCO CEGUETA, CUARTO DE ACEITE, MARCO ZEGUETA, CINTA METRICA, PLASTICO, PLOMADA, ALAMBRE DE AMARRE, MANILA, ROLLO DE MANGUERA, LLAVE DE PRESIÓN, BUJE, UNION 3/4, TABLA, CANDADO, ELECTROBOMBA, BUJE, TORNILLOS Y PUNTILLAS.</t>
  </si>
  <si>
    <t xml:space="preserve">Impresión de planos </t>
  </si>
  <si>
    <t>Cristhian Rosero</t>
  </si>
  <si>
    <t>Transporte hacia punto de encuentro</t>
  </si>
  <si>
    <t>Danna</t>
  </si>
  <si>
    <t>Transporte El Remolino - Pasto</t>
  </si>
  <si>
    <t xml:space="preserve">Impresión y espirltes para documentacion </t>
  </si>
  <si>
    <t>Compra yoyo para carnet personal</t>
  </si>
  <si>
    <t>Transporte Juan Camilo Garcia unicentro</t>
  </si>
  <si>
    <t xml:space="preserve">transporte oficina a desarrollo campesino </t>
  </si>
  <si>
    <t xml:space="preserve">transporte pasto-remolino </t>
  </si>
  <si>
    <t>Transporte remolino-pasto</t>
  </si>
  <si>
    <t>Transporte a productos la villa</t>
  </si>
  <si>
    <t>Compra Router tenda amplificador de señal wifi</t>
  </si>
  <si>
    <t>Compra canaleta y materiales  arreglo oficina</t>
  </si>
  <si>
    <t>Transporte compras router y materiales</t>
  </si>
  <si>
    <t>Transporte Remolino - Taminango</t>
  </si>
  <si>
    <t>Transporte Taminango - Remolino</t>
  </si>
  <si>
    <t>Almuerzo - Taminango</t>
  </si>
  <si>
    <t>Almuerzo: Facturado para 4 personas por visita BBVA, 
aprobado por el area administrativa, Marcela Reyes</t>
  </si>
  <si>
    <t>Almuerzo: Facturado para 4 personas por visita BBVA, 
aprobado por el area administrativa, Marcela German Reyes</t>
  </si>
  <si>
    <t>Transporte Pasto - Remolino para 3 puestos visita BBVA,
aprobado por el área administrativa Marcela German Reyes</t>
  </si>
  <si>
    <t xml:space="preserve">Taxis oficina a terminal aerea </t>
  </si>
  <si>
    <t>Herman</t>
  </si>
  <si>
    <t xml:space="preserve">Peajes </t>
  </si>
  <si>
    <t>Envío de elementos de seguridad, trayecto: Pasto - Remolino</t>
  </si>
  <si>
    <t>Envío de planta eléctrica, trayecto: Remolino - Pasto</t>
  </si>
  <si>
    <t>A-Z Tamaño carta</t>
  </si>
  <si>
    <t xml:space="preserve">Acarreos y transporte personal Wilian Basante </t>
  </si>
  <si>
    <t xml:space="preserve">Retencion fte 1% Acarreos y transporte personal Wilian Basante </t>
  </si>
  <si>
    <t xml:space="preserve">Retencion ica 6*1000 Acarreos y transporte personal Wilian Basante </t>
  </si>
  <si>
    <t>Router 2 antenas TP-LINK</t>
  </si>
  <si>
    <t>Tornillo tropicalizado, arandelas, tuercas, wasas</t>
  </si>
  <si>
    <t>Terminales EMT 1"</t>
  </si>
  <si>
    <t>Bloqueador solar</t>
  </si>
  <si>
    <t>Conduletas, terminales EMT, cinta autofundente</t>
  </si>
  <si>
    <t>Cinta autofundente</t>
  </si>
  <si>
    <t>Marquillas en acrílico</t>
  </si>
  <si>
    <t>Minibreakers, terminales EMT, caja Dexson</t>
  </si>
  <si>
    <t>Envío router y SIMcard, trayecto: Pasto - Cali</t>
  </si>
  <si>
    <t>Carrera taxi, trayecto: Unicentro - Oficina</t>
  </si>
  <si>
    <t>Botella plástica para el agua</t>
  </si>
  <si>
    <t>Disco de corte de metal, vinilo, rodillo, riel omega, estuco de relleno, estuco plástico, sonda eléctrica</t>
  </si>
  <si>
    <t>Terminal EMT, minibreaker</t>
  </si>
  <si>
    <t>Retencion fte 1% Transporte personal Jesion Fabian Delgado</t>
  </si>
  <si>
    <t>Compra de datos de internet para Naos</t>
  </si>
  <si>
    <t>Peaje Pasto-Ipiales</t>
  </si>
  <si>
    <t>miguel</t>
  </si>
  <si>
    <t>Taxi a Hotel Amiraty</t>
  </si>
  <si>
    <t>Taxi casa</t>
  </si>
  <si>
    <t>Taxi Sitio Paneles</t>
  </si>
  <si>
    <t xml:space="preserve">Pago Personal para descargue </t>
  </si>
  <si>
    <t>Taxi Terminal</t>
  </si>
  <si>
    <t>Transporte Ipiales-Pasto</t>
  </si>
  <si>
    <t>Pago Curso de lideres a Fernalco seccional Nariño</t>
  </si>
  <si>
    <t>Pago FREDY ALEXANDER LOPEZ MONDRAGO HABITAD FECO452 ARRENDAMIENTOS VALLAS</t>
  </si>
  <si>
    <t>Retencion fte 4% FREDY ALEXANDER LOPEZ MONDRAGO HABITAD FECO452 ARRENDAMIENTOS VALLAS</t>
  </si>
  <si>
    <t>Pago FREDY ALEXANDER LOPEZ MONDRAGO HABITAD FECO451 ARRENDAMIENTO VALLAS</t>
  </si>
  <si>
    <t>Retencion fte 4% FREDY ALEXANDER LOPEZ MONDRAGO HABITAD FECO451 ARRENDAMIENTOS VALLAS</t>
  </si>
  <si>
    <t xml:space="preserve">Pago Orden de compra 079 Melba Ligia </t>
  </si>
  <si>
    <t xml:space="preserve">Retencion ica 6*1000 Pago Orden de compra 079 Melba Ligia </t>
  </si>
  <si>
    <t xml:space="preserve">Pago Orden de compra 078 remision 4086 Melba Ligia </t>
  </si>
  <si>
    <t xml:space="preserve">Retencion ica 6*1000 Pago Orden de compra 078 Melba Ligia </t>
  </si>
  <si>
    <t>Pago HUMBERTO JAVIER ROSERO POTOSI COT 46</t>
  </si>
  <si>
    <t>Pago a INSPECCIONES TECNICAS Y CERTIFICACIONES IT CERTIFICA 2792-24</t>
  </si>
  <si>
    <t>Medidor</t>
  </si>
  <si>
    <t>Retencion fte INSPECCIONES TECNICAS Y CERTIFICACIONES IT CERTIFICA 2792-24</t>
  </si>
  <si>
    <t xml:space="preserve">Pago cotizacion Ferreteria J&amp;m Mariana Arango </t>
  </si>
  <si>
    <t>pago SUPERITEDENCIA DE NOTARIADO Y REGISTRO 248-14251</t>
  </si>
  <si>
    <t>pago SUPERITEDENCIA DE NOTARIADO Y REGISTRO 303-68836</t>
  </si>
  <si>
    <t>pago SUPERITEDENCIA DE NOTARIADO Y REGISTRO 303-96980</t>
  </si>
  <si>
    <t>pago SUPERITEDENCIA DE NOTARIADO Y REGISTRO 300-447486</t>
  </si>
  <si>
    <t>Pago CARLOS ALBERTO ARBOLEDA LASCARRO ALQUILER VEHICULO</t>
  </si>
  <si>
    <t>Retencion fte 4% CARLOS ALBERTO ARBOLEDA LASCARRO ALQUILER VEHICULO</t>
  </si>
  <si>
    <t>Pago JOHNNY MAURICIO CEBALLOS BASTIDAS FACTURA  JMCB 49</t>
  </si>
  <si>
    <t>Retencion fte 1%  JOHNNY MAURICIO CEBALLOS BASTIDAS FACTURA  JMCB 49</t>
  </si>
  <si>
    <t>Retencion fte 6*1000 JOHNNY MAURICIO CEBALLOS BASTIDAS FACTURA  JMCB 49</t>
  </si>
  <si>
    <t>Anticipo Minigranja Polaris</t>
  </si>
  <si>
    <t>Anticipo Minigranja Delta</t>
  </si>
  <si>
    <t xml:space="preserve">Pago liquidacion laboral Ana Milena Figueroa </t>
  </si>
  <si>
    <t>Retencion fte 1% transporte personal oscar mauricio morales</t>
  </si>
  <si>
    <t>Retencion ica 6*1000 transporte personal oscar mauricio morales</t>
  </si>
  <si>
    <t>Compra predios en Lyra (inversion lyra)</t>
  </si>
  <si>
    <t>Lyra</t>
  </si>
  <si>
    <t>Inversión LYRA</t>
  </si>
  <si>
    <t>Compra predios en Orbis</t>
  </si>
  <si>
    <t>Orbis</t>
  </si>
  <si>
    <t>Inversión ORBIS</t>
  </si>
  <si>
    <t>Pago UPME JUAN CAMILO ALVAREZ CASA ORION</t>
  </si>
  <si>
    <t>Casa Orion</t>
  </si>
  <si>
    <t>Pago UPME prodectos la villa</t>
  </si>
  <si>
    <t>anticipo Minigranja Polaris</t>
  </si>
  <si>
    <t>Pago licencia adobe</t>
  </si>
  <si>
    <t>Ingreso pago hotel V1501 fac vencida</t>
  </si>
  <si>
    <t>Compra en notaria 17 de medellin</t>
  </si>
  <si>
    <t>Pago Liquidacion laboral Huber velez</t>
  </si>
  <si>
    <t xml:space="preserve">Pago fra Insegal curso de alturas </t>
  </si>
  <si>
    <t>Pago a CARLOS ALBERTO ARBOLEDA prospeccion de tierras</t>
  </si>
  <si>
    <t>Recepcion dinero de carton</t>
  </si>
  <si>
    <t>DEVOLUCION Pago Liquidacion laboral Huber velez</t>
  </si>
  <si>
    <t>Recepcion devolucion saldo Cuyqer fiesta fin de año</t>
  </si>
  <si>
    <t xml:space="preserve">Recepcion pago de Edificio Vivarium </t>
  </si>
  <si>
    <t>Recepcion pago de Edificio Novacentro</t>
  </si>
  <si>
    <t>Recepcion pago de Corporacion Club Colombia</t>
  </si>
  <si>
    <t xml:space="preserve">Recepcion anticipo asociacion para el desarrollo campesino </t>
  </si>
  <si>
    <t>Recepcion pago de Edificio Hito</t>
  </si>
  <si>
    <t>Recepcion pago de Congelados de Nariño</t>
  </si>
  <si>
    <t>Recepcion pago de Platinum</t>
  </si>
  <si>
    <t>Recepcion pago fra evncidad octubre EDIFICIO V1501 PROPIEDAD HORIZONTAL</t>
  </si>
  <si>
    <t>Pago cartera vencida Fit For all SAS</t>
  </si>
  <si>
    <t xml:space="preserve">Recepcion pago Happina </t>
  </si>
  <si>
    <t xml:space="preserve">Recepcion pago factura el tigre de la rebaja </t>
  </si>
  <si>
    <t>Recepcion pago EDIFICIO GRAN AVENIDA PROPIEDAD HORIZONTAL enero</t>
  </si>
  <si>
    <t>Transporte Andrea oficina hotel cuellar</t>
  </si>
  <si>
    <t>PAGO 1ERA QUINCENA FEBRERO SANDRA CAROLINA PATASCOY BOTINA</t>
  </si>
  <si>
    <t>PAGO 1ERA QUINCENA FEBRERO YULY ANDREA JARAMILLO GUERRERO</t>
  </si>
  <si>
    <t>PAGO 1ERA QUINCENA FEBRERO LOREN ALEJANDRA DIAZ YAMPUEZAN</t>
  </si>
  <si>
    <t xml:space="preserve">PAGO 1ERA QUINCENA FEBRERO MARIA FERNANDA CHAMORRO </t>
  </si>
  <si>
    <t>PAGO 1ERA QUINCENA FEBRERO JUAN CARLOS CAÑAR POTOSI</t>
  </si>
  <si>
    <t>PAGO 1ERA QUINCENA FEBRERO JUAN JOSE NARVEAEZ</t>
  </si>
  <si>
    <t>PAGO 1ERA QUINCENA FEBRERO JUAN CAMILO GARCIA SOUZA</t>
  </si>
  <si>
    <t>PAGO 1ERA QUINCENA FEBRERO CINDY JOHANA CARLOSAMA HERNANDEZ</t>
  </si>
  <si>
    <t>PAGO 1ERA QUINCENA FEBRERO JUAN ESTEBAN IBARRA CAMUES</t>
  </si>
  <si>
    <t xml:space="preserve">PAGO 1ERA QUINCENA FEBRERO CAROLINA CARDONA PAREJA </t>
  </si>
  <si>
    <t xml:space="preserve">PAGO 1ERA QUINCENA FEBRERO SARA LUCIA DAZA LOPEZ </t>
  </si>
  <si>
    <t>PAGO 1ERA QUINCENA FEBRERO JULLY PAOLA AGUDELO BAEZ</t>
  </si>
  <si>
    <t>PAGO 1ERA QUINCENA FEBRERO ALBEIRO ORLANDO ESPAÑA HERNANDEZ</t>
  </si>
  <si>
    <t>PAGO 1ERA QUINCENA FEBRERO JHONSIN ARLEY ARIAS CEBALLOS</t>
  </si>
  <si>
    <t>PAGO 1ERA QUINCENA FEBRERO JIMMI ALEXANDER BURGOS GUERRERO</t>
  </si>
  <si>
    <t>PAGO 1ERA QUINCENA FEBRERO IVAN CAMILO MENESES ORDOÑEZ</t>
  </si>
  <si>
    <t>PAGO 1ERA QUINCENA FEBRERO RODRIGO QUINTERO DIAZ</t>
  </si>
  <si>
    <t>PAGO 1ERA QUINCENA FEBRERO RUBEN LOPEZ MUÑOZ</t>
  </si>
  <si>
    <t>PAGO 1ERA QUINCENA FEBRERO VIVIANA ANDRES AYALA PICHINA</t>
  </si>
  <si>
    <t xml:space="preserve">PAGO 1ERA QUINCENA FEBRERO JUAN DAVID GRANADA ALVAREZ </t>
  </si>
  <si>
    <t>PAGO 1ERA QUINCENA FEBRERO JAVIER ANDRES RODRIGUEZ SANTIUSTY</t>
  </si>
  <si>
    <t>PAGO 1ERA QUINCENA FEBRERO AURO EDILSON ARTEAGA MEZA</t>
  </si>
  <si>
    <t>PAGO 1ERA QUINCENA FEBRERO LEIDER LUVER LOPEZ DIAZ</t>
  </si>
  <si>
    <t>PAGO 1ERA QUINCENA FEBRERO WILLIAM HERNANDO CASTRO RODRIGUEZ</t>
  </si>
  <si>
    <t>PAGO 1ERA QUINCENA FEBRERO HOLMES GALINDEZ VALDEZ</t>
  </si>
  <si>
    <t>PAGO 1ERA QUINCENA FEBRERO ALEXANDER MUÑOZ DIAZ</t>
  </si>
  <si>
    <t>PAGO 1ERA QUINCENA FEBRERO JOSE DELIO ALMEIDA ALMEIDA</t>
  </si>
  <si>
    <t>PAGO 1ERA QUINCENA FEBRERO BRAYAN STIVEN PEREZ QUAQUEZ</t>
  </si>
  <si>
    <t>PAGO 1ERA QUINCENA FEBRERO JESUS ALBERTO DIAZ PALACIOS</t>
  </si>
  <si>
    <t>PAGO 1ERA QUINCENA FEBRERO LUIS FERNANDO RODRIGUEZ MUÑOZ</t>
  </si>
  <si>
    <t>PAGO 1ERA QUINCENA FEBRERO JORGE LUIS LIZCANO NIÑO</t>
  </si>
  <si>
    <t>PAGO 1ERA QUINCENA FEBRERO CARLOS HERNANDO ENRIQUEZ DIAZ</t>
  </si>
  <si>
    <t>PAGO 1ERA QUINCENA FEBRERO FABIAN OJEDA RODRIGUEZ</t>
  </si>
  <si>
    <t>PAGO 1ERA QUINCENA FEBRERO ASTRID VEIDUD LOPEZ NARVAEZ</t>
  </si>
  <si>
    <t>PAGO 1ERA QUINCENA FEBRERO ANDI NEISER GALINDEZ DELGADO</t>
  </si>
  <si>
    <t>PAGO 1ERA QUINCENA FEBRERO ODELMER DAZA PEREZ</t>
  </si>
  <si>
    <t>PAGO 1ERA QUINCENA FEBRERO SEGUNDO MARCIAL GELPUD BOTINA</t>
  </si>
  <si>
    <t>PAGO 1ERA QUINCENA FEBRERO EDILFONSO ROSERO CASTILLO</t>
  </si>
  <si>
    <t xml:space="preserve">PAGO 1ERA QUINCENA FEBRERO JUAN ESTEBAN BLANCO QUIROGA </t>
  </si>
  <si>
    <t>PAGO 1ERA QUINCENA FEBRERO LUZ IRMA ORTEGA CIFUENTES</t>
  </si>
  <si>
    <t>PAGO 1ERA QUINCENA FEBRERO JEFERSON VERGARA MUÑOZ</t>
  </si>
  <si>
    <t>PAGO 1ERA QUINCENA FEBRERO YALINER ILVIRA FIGUEROA</t>
  </si>
  <si>
    <t>PAGO 1ERA QUINCENA FEBRERO ALBERT FIGUEROA</t>
  </si>
  <si>
    <t>PAGO 1ERA QUINCENA FEBRERO JOSE MAURICIO PAZ JURADO</t>
  </si>
  <si>
    <t>PAGO 1ERA QUINCENA FEBRERO LUIS ALBERTO ALMEIDA MATABAJOY</t>
  </si>
  <si>
    <t xml:space="preserve">PAGO 1ERA QUINCENA FEBRERO DIEGO ANDRES ARAUJO NARVAEZ </t>
  </si>
  <si>
    <t>PAGO 1ERA QUINCENA FEBRERO ROYER IDELVER LOPEZ SOLARTE</t>
  </si>
  <si>
    <t xml:space="preserve">PAGO 1ERA QUINCENA FEBRERO DILBER  MAURICIO PAZ ALMEIDA </t>
  </si>
  <si>
    <t>PAGO 1ERA QUINCENA FEBRERO WILLIAMS ALFREDO VILLAR MORA</t>
  </si>
  <si>
    <t>PAGO 1ERA QUINCENA FEBRERO YOHN ANDERSON LOPEZ JAIMEZ</t>
  </si>
  <si>
    <t>PAGO 1ERA QUINCENA FEBRERO JOSE OMAR GANSASOY CASTILLO</t>
  </si>
  <si>
    <t xml:space="preserve">PAGO 1ERA QUINCENA FEBRERO CRISTIAN FERNANDO PASTAS CUESTAS </t>
  </si>
  <si>
    <t xml:space="preserve">PAGO 1ERA QUINCENA FEBRERO WILSON ALEJANDRO MORA ERAZO </t>
  </si>
  <si>
    <t>PAGO 1ERA QUINCENA FEBRERO BRANDON GUAQUEZ TITISTAR</t>
  </si>
  <si>
    <t>PAGO 1ERA QUINCENA FEBRERO DANGER ESTIVENSON BENAVIDES ORTEGA</t>
  </si>
  <si>
    <t>PAGO 1ERA QUINCENA FEBRERO ORLANDO DIAZ LOPEZ</t>
  </si>
  <si>
    <t>PAGO 1ERA QUINCENA FEBRERO DIANA CRISTINA MARTINEZ</t>
  </si>
  <si>
    <t>PAGO 1ERA QUINCENA FEBRERO SANDRO ALBEIRO DELGADO MARTINEZ</t>
  </si>
  <si>
    <t>PAGO 1ERA QUINCENA FEBRERO RUBEN DARIO SILVA RODRIGUEZ</t>
  </si>
  <si>
    <t>PAGO 1ERA QUINCENA FEBRERO ANDRES WILFREDY BASTIDAS GALINDEZ</t>
  </si>
  <si>
    <t>PAGO 1ERA QUINCENA FEBRERO EYDER QUINTERO DIAZ</t>
  </si>
  <si>
    <t xml:space="preserve">PAGO 1ERA QUINCENA FEBRERO JOSE MANUEL LOPEZ OBANDO </t>
  </si>
  <si>
    <t xml:space="preserve">PAGO 1ERA QUINCENA FEBRERO EDISON ENRIQUE CANTILLO CORONADO </t>
  </si>
  <si>
    <t>PAGO 1ERA QUINCENA FEBRERO DEIMAN JARINSON DAVID MUÑOZ</t>
  </si>
  <si>
    <t>PAGO 1ERA QUINCENA FEBRERO DEIBER QUINTERO DIAZ</t>
  </si>
  <si>
    <t>PAGO 1ERA QUINCENA FEBRERO JOSE DEL CARMEN GUERRERO BERDUGO</t>
  </si>
  <si>
    <t>PAGO 1ERA QUINCENA FEBRERO ALEX DUVAN CIFUENTES PAZ</t>
  </si>
  <si>
    <t>PAGO 1ERA QUINCENA FEBRERO DANILO JAVIER OJEDA NARVAEZ</t>
  </si>
  <si>
    <t xml:space="preserve">PAGO 1ERA QUINCENA FEBRERO NORELI SELENA DIAZ JURADO </t>
  </si>
  <si>
    <t>PAGO 1ERA QUINCENA FEBRERO RICARDO HERNAN ORTIZ</t>
  </si>
  <si>
    <t>PAGO 1ERA QUINCENA FEBRERO YEINSON ANDRES GUAQUEZ JURADO</t>
  </si>
  <si>
    <t xml:space="preserve">PAGO 1ERA QUINCENA FEBRERO KEVIN JONATHAN MONTILLA RIASCOS </t>
  </si>
  <si>
    <t>PAGO 1ERA QUINCENA FEBRERO OSCAR IVAN MELENDEZ GARCIA</t>
  </si>
  <si>
    <t>PAGO 1ERA QUINCENA FEBRERO LEIBNITZ EDUARDO CHANA CALDERON</t>
  </si>
  <si>
    <t>PAGO 1ERA QUINCENA FEBRERO ANDRES FELIPE DELGADO ZUTTA</t>
  </si>
  <si>
    <t>PAGO 1ERA QUINCENA FEBRERO JOSE RAFAEL RUEDA HERRERA</t>
  </si>
  <si>
    <t>PAGO 1ERA QUINCENA FEBRERO JERSON ALEXIS GOMEZ ACOSTA</t>
  </si>
  <si>
    <t xml:space="preserve">PAGO 1ERA QUINCENA FEBRERO MARTIN ALONSO SOSSA AGUIRRE </t>
  </si>
  <si>
    <t>PAGO 1ERA QUINCENA FEBRERO RAUL BARBENLEY CASTRO RIVERA</t>
  </si>
  <si>
    <t xml:space="preserve">PAGO 1ERA QUINCENA FEBRERO JAVIER GIOVANI YANDUN INAGAN </t>
  </si>
  <si>
    <t xml:space="preserve">PAGO 1ERA QUINCENA FEBRERO CRISTIAN ANDRES CHITAN </t>
  </si>
  <si>
    <t>PAGO 1ERA QUINCENA FEBRERO JHONY FERNANDO RIASCOS CEBALLOS</t>
  </si>
  <si>
    <t>PAGO 1ERA QUINCENA FEBRERO EDWIN LEONARDO MARTINEZ YAQUENO</t>
  </si>
  <si>
    <t>PAGO 1ERA QUINCENA FEBRERO ANDRES FERNANDO ESPINOSA GUACALES</t>
  </si>
  <si>
    <t>PAGO 1ERA QUINCENA FEBRERO JHORDY STEVEN TRUJILLO GALEANDO</t>
  </si>
  <si>
    <t xml:space="preserve">PAGO 1ERA QUINCENA FEBRERO JOHAN SEBASTIAN OVIEDO NIÑAN </t>
  </si>
  <si>
    <t>PAGO 1ERA QUINCENA FEBRERO JOSE ALVEIRO CUSIS HERNANDEZ</t>
  </si>
  <si>
    <t>PAGO 1ERA QUINCENA FEBRERO IVAN DARIO CAICEDO CALVACHE</t>
  </si>
  <si>
    <t>PAGO 1ERA QUINCENA FEBRERO JASON STEVEN DIAZ GUEVARA </t>
  </si>
  <si>
    <t>PAGO 1ERA QUINCENA FEBRERO OSCAR ANDRES CASTRO BOTINA</t>
  </si>
  <si>
    <t xml:space="preserve">PAGO 1ERA QUINCENA FEBRERO JHON ALEXANDER GELPUD ZAMORA </t>
  </si>
  <si>
    <t xml:space="preserve">PAGO 1ERA QUINCENA FEBRERO RUBEN DARIO ESPINOSA PARRA </t>
  </si>
  <si>
    <t>PAGO 1ERA QUINCENA FEBRERO MARIO ALEXANDER CUSIS HERNANDEZ</t>
  </si>
  <si>
    <t>PAGO 1ERA QUINCENA FEBRERO JORGE ANDRES BARRERA YANDAR</t>
  </si>
  <si>
    <t>PAGO 1ERA QUINCENA FEBRERO JOY JAMIT MOSQUERA ORDOÑEZ</t>
  </si>
  <si>
    <t>PAGO 1ERA QUINCENA FEBRERO WIILLIAM ALBERTO AZA CRIOLLO</t>
  </si>
  <si>
    <t xml:space="preserve">Transporte ida y vuelta Juancamilo a Desarrollo campesino </t>
  </si>
  <si>
    <t>Transporte personal rubiela Pasto-Ipiales</t>
  </si>
  <si>
    <t>Transporte personal pasto-ipiales</t>
  </si>
  <si>
    <t>Transporte personal rubiela Ipiales-Pasto</t>
  </si>
  <si>
    <t>Desayunos personal visita Ipiales</t>
  </si>
  <si>
    <t>Taxi en ipiales Hotel Adamo</t>
  </si>
  <si>
    <t>Transporte terminal a oficina</t>
  </si>
  <si>
    <t>Pag arrendamiento Wework</t>
  </si>
  <si>
    <t>devolucion PAGO 1ERA QUINCENA FEBRERO JULLY PAOLA AGUDELO BAEZ</t>
  </si>
  <si>
    <t xml:space="preserve">Pago factura de servicio de internet Tigo </t>
  </si>
  <si>
    <t>Pago intereses financieros gd del remolino</t>
  </si>
  <si>
    <t>Peaje  Buga - Palmira</t>
  </si>
  <si>
    <t>Peaje  Palmira - cali</t>
  </si>
  <si>
    <t>Peaje - Palmira - Yumbo</t>
  </si>
  <si>
    <t>EDISSON ARLEY PORTILLA RUALES FEHA 2370 HOTEL</t>
  </si>
  <si>
    <t>Retencion fte 3,5% EDISSON ARLEY PORTILLA RUALES FEHA 2370 HOTEL</t>
  </si>
  <si>
    <t>Pago JUAN DE LA ROSA MUÑOZ NATURA OFFICE PTE ARENDAMIENTO CALI</t>
  </si>
  <si>
    <t>Retencion 3,5% Pago JUAN DE LA ROSA MUÑOZ NATURA OFFICE PTE ARENDAMIENTO CALI</t>
  </si>
  <si>
    <t>Pago a CONSTRUCCIONES FUTURO FE 565</t>
  </si>
  <si>
    <t>Retencion fte 2% Pago a CONSTRUCCIONES FUTURO FE 565</t>
  </si>
  <si>
    <t>Retencion ica 6*1000 Pago a CONSTRUCCIONES FUTURO FE 565</t>
  </si>
  <si>
    <t>Pago a FERRO MAC 43599196 AURA MIREY B URBANO COT 0462</t>
  </si>
  <si>
    <t>Retencion fte 2,5% a FERRO MAC 43599196 AURA MIREY B URBANO COT 0462</t>
  </si>
  <si>
    <t>Pago a FERRO MAC COT 0464</t>
  </si>
  <si>
    <t>Pago a MARTIN FELIPE GOMAJOA BOTINA CUENTA DE COBRO N.01 VALOR CONTRATO 21.000.000 PRIMER ANTICIPO POR VALOR DE 500,000</t>
  </si>
  <si>
    <t>Pago alimentacion macos ojeda</t>
  </si>
  <si>
    <t>Retencion fte 3,5 Pago alimentacion macos ojeda</t>
  </si>
  <si>
    <t>Pago a TIBA COLOMBIA BOG 71217</t>
  </si>
  <si>
    <t>Pago cuenta de cobro Andrea Vivas pintura unicentro</t>
  </si>
  <si>
    <t xml:space="preserve">Retencion ica 6*1000 Pago cuenta de cobro Andrea Vivas </t>
  </si>
  <si>
    <t>Pago a LUZ ADRIANA FERNANDEZ MONDRAGON fra FEHA 4633</t>
  </si>
  <si>
    <t>Pago dotacion cali Cotización  Q792</t>
  </si>
  <si>
    <t>Pago crnets MILTON RIVERA KOKORO CUENTA DE COBRO</t>
  </si>
  <si>
    <t>Pago gafas a PROTECTO FED 4034</t>
  </si>
  <si>
    <t>Pago a MELBA LIGIA MONCAYO LA FERRO RM1-4069</t>
  </si>
  <si>
    <t>Retencion fte 2,5%  MELBA LIGIA MONCAYO LA FERRO RM1-4069</t>
  </si>
  <si>
    <t>Retencion ica 6*1000  MELBA LIGIA MONCAYO LA FERRO RM1-4069</t>
  </si>
  <si>
    <t>Pago a MELBA LIGIA MONCAYO LA FERRO RM1-4077</t>
  </si>
  <si>
    <t>Retencion fte 2,5%  MELBA LIGIA MONCAYO LA FERRO RM1-4077</t>
  </si>
  <si>
    <t>Retencion ica 6*1000  MELBA LIGIA MONCAYO LA FERRO RM1-4077</t>
  </si>
  <si>
    <t>Pago a MELBA LIGIA MONCAYO LA FERRO RM1-4080</t>
  </si>
  <si>
    <t>Retencion fte 2,5%  MELBA LIGIA MONCAYO LA FERRO RM1-4080</t>
  </si>
  <si>
    <t>Retencion ica 6*1000  MELBA LIGIA MONCAYO LA FERRO RM1-4080</t>
  </si>
  <si>
    <t>Pago a MELBA LIGIA MONCAYO LA FERRO RM2-1053</t>
  </si>
  <si>
    <t>Retencion fte 2,5%  MELBA LIGIA MONCAYO LA FERRO RM2-1053</t>
  </si>
  <si>
    <t>Retencion ica 6*1000  MELBA LIGIA MONCAYO LA FERRO RM2-1053</t>
  </si>
  <si>
    <t>TABLESA SA ANTICIPO DEL 50% COT TA74A-25 13.536.950*19%2.572.020 PARA UN TOTAL DE 16.108.970</t>
  </si>
  <si>
    <t>Pago cuenta de cobro  ERICA YASMIN SALAS JURADO</t>
  </si>
  <si>
    <t>Pago curso trabajo en alturas fra Insegal INSEGAL FC 6208</t>
  </si>
  <si>
    <t>Pago a TIBA COLOMBIA BOG 70841</t>
  </si>
  <si>
    <t>Pago EMSI TECHNOLOGIES COLOMBIA SAS CO C022-1737</t>
  </si>
  <si>
    <t>Pago a ASYSEL SAS COT 00221-2025</t>
  </si>
  <si>
    <t>Pago a GRUPO SST ARO SAS FEVN 1094</t>
  </si>
  <si>
    <t>Retencion fte 11%  GRUPO SST ARO SAS FEVN 1094</t>
  </si>
  <si>
    <t>Pago a ORIGEN COLOMBIA MARKETING SAS FE 12574</t>
  </si>
  <si>
    <t>Pago a IT CERTIFICA 0105-25</t>
  </si>
  <si>
    <t>Pago a Of contrucciones 7437</t>
  </si>
  <si>
    <t>Pago fra ADILAB IPS 18617 examenes de ingreso</t>
  </si>
  <si>
    <t>Pago a ADILAB IPS 18195 examenes de ingreso</t>
  </si>
  <si>
    <t>Pago a ADILAB IPS 19312 Eamenes de ingreso</t>
  </si>
  <si>
    <t>HUMBERTO JAVIER ROSERO POTOSI COT 46</t>
  </si>
  <si>
    <t>Pago a ELECTRICAS BOGOTA LTDA COT 25-071</t>
  </si>
  <si>
    <t>Retencion fte 2,5 %  ELECTRICAS BOGOTA LTDA COT 25-071</t>
  </si>
  <si>
    <t>2 almuerzos (Martin, Juan Sebastian)</t>
  </si>
  <si>
    <t>Tapa ciega galvanizada 2x4, tornillo autoperforante, silicona</t>
  </si>
  <si>
    <t>Marquilla riesgo eléctrico</t>
  </si>
  <si>
    <t>Tuberia PVC, soladadura, union para reparar tuberia de agua</t>
  </si>
  <si>
    <t>Aerosol blanco</t>
  </si>
  <si>
    <t>60mts cable 12, caja de paso PVC (Material para alimentacion de iluminacion y camaras existentes).</t>
  </si>
  <si>
    <t xml:space="preserve">Tanqueo gasolina Jersson </t>
  </si>
  <si>
    <t>Transporte desde EDS los alpes  a terminal de Tulúa</t>
  </si>
  <si>
    <t>Transporte ING, Juan Sebastian Gomez desde terminal de Cali</t>
  </si>
  <si>
    <t>Transporte Terminal de Cali - Aeropuerto</t>
  </si>
  <si>
    <t>Mariana</t>
  </si>
  <si>
    <t>Almuerzo en aeropuerto de Cali</t>
  </si>
  <si>
    <t>Transporte Aeropuerto Pasto - Hotel Pasto</t>
  </si>
  <si>
    <t>Cena en Pasto</t>
  </si>
  <si>
    <t>Desayuno en Pasto</t>
  </si>
  <si>
    <t>Almuerzo en Pasto</t>
  </si>
  <si>
    <t>Almuerzo en Remolino</t>
  </si>
  <si>
    <t>Transporte Remolino-Aeropuerto de Pasto</t>
  </si>
  <si>
    <t>Transporte Aeropuerto Cali - Terminal Cali</t>
  </si>
  <si>
    <t>Pago reintegro a Daniel Medina gastos reunion</t>
  </si>
  <si>
    <t xml:space="preserve">Pago cuenta de cobro alimentacion YANETH LOZANO LONDOAO </t>
  </si>
  <si>
    <t>Pago a ELECTRICOS DEL VALLE SO-703237</t>
  </si>
  <si>
    <t>Pago factura DEFA FEDP 72423</t>
  </si>
  <si>
    <t>Pago a DANIEL ESTEBAN OREGA FIGUEROA FC 7438</t>
  </si>
  <si>
    <t>Pago realizado a SOLAIRE OFERTA 1008</t>
  </si>
  <si>
    <t>Retencion fte 2,5% Pago realizado a SOLAIRE OFERTA 1008</t>
  </si>
  <si>
    <t>Pago a  SOLUCIONES ELÉCTRICAS T Y C COT 2306</t>
  </si>
  <si>
    <t>Pago saldo final HUMBERTO JAVIER ROSERO POTOSI COT 45</t>
  </si>
  <si>
    <t>Retencion fte 2% HUMBERTO JAVIER ROSERO POTOSI COT 45</t>
  </si>
  <si>
    <t>Retencion ica 6*1000 HUMBERTO JAVIER ROSERO POTOSI COT 45</t>
  </si>
  <si>
    <t>Pago a JUAN SEBASTIAN RODRIGUEZ SEVILLA CUENTA DE COBRO</t>
  </si>
  <si>
    <t>ACPM CAMIONETA VISITA MERCADERES</t>
  </si>
  <si>
    <t>jeancarlo</t>
  </si>
  <si>
    <t>Peaje trayecto Pasto - Mercaderes</t>
  </si>
  <si>
    <t>ALMUERZO PARA TRES PERSONAS</t>
  </si>
  <si>
    <t>HIDRATACION X 3 PERSONAS</t>
  </si>
  <si>
    <t>PEAJE CANO</t>
  </si>
  <si>
    <t>Jorge muñoz</t>
  </si>
  <si>
    <t>ACPM PLANTA ELECTRICA Y MEZCLADORA</t>
  </si>
  <si>
    <t>ACPM CAMIONETA KYY 983</t>
  </si>
  <si>
    <t>ARREGLO DE LLANTA CAMIONETA KYY 983</t>
  </si>
  <si>
    <t>ASEO HABITACIONES HOTEL</t>
  </si>
  <si>
    <t>IMPLEMENTOS ASEO HABITACIONES HOTEL</t>
  </si>
  <si>
    <t xml:space="preserve">HIDRATACIÓN </t>
  </si>
  <si>
    <t>VIÁTICOS REMOLINO-PASTO-REMOLINO</t>
  </si>
  <si>
    <t>INSUMOS PARA MONTAJE DE MESAS</t>
  </si>
  <si>
    <t>ACPM PLANTA ELÉCTRICA</t>
  </si>
  <si>
    <t>IMPRESIONES DOCUMENTOS Y FORMATOS.</t>
  </si>
  <si>
    <t>LAVADO CAMIONETA KYY983</t>
  </si>
  <si>
    <t>COMBUSTIBLE CAMIONETA KYY983</t>
  </si>
  <si>
    <t>ENVÍO TUBERÍA CONDUIT 4" (CURVA)</t>
  </si>
  <si>
    <t xml:space="preserve">CURVA CONDUIT 4" </t>
  </si>
  <si>
    <t>COMBUSTIBLE PLANTA ELÉCTRICA</t>
  </si>
  <si>
    <t>Transporte visita prospectos Chachagüí - Enero</t>
  </si>
  <si>
    <t>Transporte hacia terminal mixto - Visita prospectos Cauca</t>
  </si>
  <si>
    <t>Transporte Pasto - Remolino - Visita prospectos Cauca</t>
  </si>
  <si>
    <t>Desayuno - Visita prospectos Cauca</t>
  </si>
  <si>
    <t>Almuerzo - Visita prospectos Cauca</t>
  </si>
  <si>
    <t>Hidratación - Visita prospectos Cauca</t>
  </si>
  <si>
    <t>Transporte Remolino - Pasto - Visita prospectos Cauca</t>
  </si>
  <si>
    <t>Transporte hacia terminal mixto - Visita minigranjas</t>
  </si>
  <si>
    <t xml:space="preserve">Transporte Pasto - Remolino - Visita minigranjas </t>
  </si>
  <si>
    <t>Hidratación - Visita minigranjas</t>
  </si>
  <si>
    <t>Transporte - Remolino - Pasto - Visita minigranjas</t>
  </si>
  <si>
    <t>Transporte Juan Camilo Garcia panificadora la villa</t>
  </si>
  <si>
    <t>Transporte Juan Camilo Garcia refugio valle de atriz</t>
  </si>
  <si>
    <t>Transporte Andrea oficina reunion y hotel</t>
  </si>
  <si>
    <t>Pago fra FE6111 Copipartes recarga impresora oficina</t>
  </si>
  <si>
    <t>Terminales tipo pin, terminales de ojo, Multitomas</t>
  </si>
  <si>
    <t>Espiral para cable, marcador sharpie, bisturí metálico, cuchillas de repuesto</t>
  </si>
  <si>
    <t>Frenos para riel</t>
  </si>
  <si>
    <t>Tornillo autoperforante, capuchón, estuco de relleno</t>
  </si>
  <si>
    <t>Yoyos 30mm</t>
  </si>
  <si>
    <t>Doblez en platinas de cobre 1/2"</t>
  </si>
  <si>
    <t>Terminal tipo pin</t>
  </si>
  <si>
    <t>Aisladores tipo yoyo, terminal pin amarillo</t>
  </si>
  <si>
    <t>Botellones de agua</t>
  </si>
  <si>
    <t>Pila alcalina 9v</t>
  </si>
  <si>
    <t>Tornillos tropicalizados, arandela, tuerca y wasa</t>
  </si>
  <si>
    <t>Bisagras comunes</t>
  </si>
  <si>
    <t>Cáncamo, candado</t>
  </si>
  <si>
    <t>Disco de corte concreto, lija 120</t>
  </si>
  <si>
    <t>Terminales tipo pin, frenos para riel</t>
  </si>
  <si>
    <t>Acrílicos grabados</t>
  </si>
  <si>
    <t>Tapones de caucho</t>
  </si>
  <si>
    <t>Minibreaker 2x16amp</t>
  </si>
  <si>
    <t>Envío motor mezcladora, trayecto: Remolino - Pasto</t>
  </si>
  <si>
    <t>Bujes y codo</t>
  </si>
  <si>
    <t>Envio planta eléctrica y dotación, trayecto: Pasto - Remolino</t>
  </si>
  <si>
    <t>PASAJES PASTO - IPIALES - PASTO</t>
  </si>
  <si>
    <t>TRANSPORTE TERMINAL IPIALES - HOTEL ADAMO</t>
  </si>
  <si>
    <t>TRANSPORTE HOTEL ADAMO - EDIFICIO IPK</t>
  </si>
  <si>
    <t>ALMUERZOS (CRISTIAN ROSERO - RUBEN ESPINOSA - RUBIELA SANTACRUZ)</t>
  </si>
  <si>
    <t>TRANSPORTE HOTEL ADAMO - TERMINAL DE IPIALES</t>
  </si>
  <si>
    <t>TRANSPORTE TERMINAL PASTO - OFICINA</t>
  </si>
  <si>
    <t>PASAJES PASTO - IPIALES (CRISTIAN ROSERO - RUBEN ESPINOSA)</t>
  </si>
  <si>
    <t>DESAYUNOS PERSONAL (RUBI SANTACRUZ - CRISTHIAN ROSERO - RUBEN ESPINOSA)</t>
  </si>
  <si>
    <t>TRANSPORTE A TERMINAL DE PASTO</t>
  </si>
  <si>
    <t>TRANSPORTE DE TABLONES ASERRIO - HOTEL ADAMO</t>
  </si>
  <si>
    <t>TRANSPORTE HOTEL ADAMO - TERMINAL IPIALES</t>
  </si>
  <si>
    <t>TRANSPORTE IPIALES - PASTO</t>
  </si>
  <si>
    <t>Variedades Carvajal</t>
  </si>
  <si>
    <t>Transporte a la ciudad de ipiales</t>
  </si>
  <si>
    <t>Transporte desde ipk a ipk centro comercial</t>
  </si>
  <si>
    <t xml:space="preserve">Pago guia transporte suneo energy </t>
  </si>
  <si>
    <t>servicio de alimenacion</t>
  </si>
  <si>
    <t>andrea</t>
  </si>
  <si>
    <t>YOG CEREAL LA VICTORIA</t>
  </si>
  <si>
    <t>COMBUSTIBLE</t>
  </si>
  <si>
    <t>Pago a TIBA COLOMBIA BOG 71302</t>
  </si>
  <si>
    <t>Pago asesoria adquisicion ERP EVOLTI</t>
  </si>
  <si>
    <t>PAGO PLANILLA SEGURIDAD SOCIAL ENERO  ANDRES NESTOR VILLAMARIN ARCINIEGAS</t>
  </si>
  <si>
    <t>PAGO PLANILLA SEGURIDAD SOCIAL ENERO  SEGURA MARTINEZ PAOLA ANDREA</t>
  </si>
  <si>
    <t>LIQUIDACION PLANILLA SEGURIDAD SOCIAL  RAFAEL JOSE HERRERA RUEDA</t>
  </si>
  <si>
    <t>LIQUIDACION PLANILLA SEGURIDAD SOCIAL  ALEXIS JERSON ACOSTA GOMEZ</t>
  </si>
  <si>
    <t>LIQUIDACION PLANILLA SEGURIDAD SOCIAL  BARBENLEY RAUL RIVERA CASTRO</t>
  </si>
  <si>
    <t>LIQUIDACION PLANILLA SEGURIDAD SOCIAL  ALONSOMARTIN AGUIRRE SOSSA</t>
  </si>
  <si>
    <t>LIQUIDACION PLANILLA ENERO   DANIELA RODRIGUEZ ARBOLEDA</t>
  </si>
  <si>
    <t>LIQUIDACION PLANILLA ENERO  SEBASTIAN JUAN LEAL GOMEZ</t>
  </si>
  <si>
    <t>LIQUIDACION PLANILLA ENERO  STEFANYA DANNA GUERRA LASSO</t>
  </si>
  <si>
    <t>LIQUIDACION PLANILLA ENERO  ALEJANDRO MIGUEL CHAMORRO ENRIQUEZ</t>
  </si>
  <si>
    <t>LIQUIDACION PLANILLA ENERO  FERNANDO JUAN OSORIO PANIAGUA</t>
  </si>
  <si>
    <t>LIQUIDACION PLANILLA ENERO  DARIO HERNAN QUITIAQUEZ CABRERA</t>
  </si>
  <si>
    <t>LIQUIDACION PLANILLA ENERO  ANDRES JORGE MARTINEZ MUÑOZ</t>
  </si>
  <si>
    <t>LIQUIDACION PLANILLA ENERO  FELIPE ANDRES ZUTTA DELGADO</t>
  </si>
  <si>
    <t>LIQUIDACION PLANILLA ENERO  DANIEL IVAN CORAL MONTILLA</t>
  </si>
  <si>
    <t>LIQUIDACION PLANILLA ENERO  DAVID SERGIO ESCOBAR ZAMBRANO</t>
  </si>
  <si>
    <t>LIQUIDACION PLANILLA ENERO  SEBASTIAN JAVIER VILLARREAL LUCENA</t>
  </si>
  <si>
    <t>LIQUIDACION PLANILLA ENERO  ALEJANDRA DIANA MUÑOZ MERA</t>
  </si>
  <si>
    <t>LIQUIDACION PLANILLA ENERO  CAMILO CRISTHIAN ALVAREZ ROSERO</t>
  </si>
  <si>
    <t>LIQUIDACION PLANILLA ENERO  EVELYN DANNA ROSERO ARMERO</t>
  </si>
  <si>
    <t>LIQUIDACION PLANILLA ENERO  EDUARDO LEIBNITZ CALDERON CHANA</t>
  </si>
  <si>
    <t>LIQUIDACION PLANILLA ENERO  ALEJANDRO WILSON ERAZO MORA</t>
  </si>
  <si>
    <t>LIQUIDACION PLANILLA ENERO   MOISES AYALA RUIZ</t>
  </si>
  <si>
    <t>LIQUIDACION PLANILLA SEGURIDAD SOCIAL  TATIANA KELLY GARCIA ALVAREZ</t>
  </si>
  <si>
    <t>LIQUIDACION PLANILLA SEGURIDAD SOCIAL  ESTEBAN JOSE QUINTERO RODRIGUEZ</t>
  </si>
  <si>
    <t>LIQUIDACION PLANILLA SEGURIDAD SOCIAL  MILENA ANA GONZALEZ HENAO</t>
  </si>
  <si>
    <t>LIQUIDACION PLANILLA SEGURIDAD SOCIAL   MARIANA CADAVID SALDARRIAGA</t>
  </si>
  <si>
    <t>LIQUIDACION PLANILLA SEGURIDAD SOCIAL  CARLOS JUAN POTOSI CAÑAR</t>
  </si>
  <si>
    <t>LIQUIDACION PLANILLA SEGURIDAD SOCIAL  LUCIA SARA LOPEZ DAZA</t>
  </si>
  <si>
    <t>LIQUIDACION PLANILLA SEGURIDAD SOCIAL  DAVID HERMANN CUBIDES SOUZA</t>
  </si>
  <si>
    <t>LIQUIDACION PLANILLA SEGURIDAD SOCIAL  MANUEL JUAN FORERO ESPAÑA</t>
  </si>
  <si>
    <t>LIQUIDACION PLANILLA SEGURIDAD SOCIAL  ANDREA YULY GUERRERO JARAMILLO</t>
  </si>
  <si>
    <t>LIQUIDACION PLANILLA SEGURIDAD SOCIAL  FERNANDA LUISA VITAR OBANDO</t>
  </si>
  <si>
    <t>LIQUIDACION PLANILLA SEGURIDAD SOCIAL   CAROLINA PAREJA CARDONA</t>
  </si>
  <si>
    <t>LIQUIDACION PLANILLA SEGURIDAD SOCIAL  MARCELA JHOANA REYES GERMAN</t>
  </si>
  <si>
    <t>LIQUIDACION PLANILLA SEGURIDAD SOCIAL  ESTEBAN JUAN CAMUES IBARRA</t>
  </si>
  <si>
    <t>LIQUIDACION PLANILLA SEGURIDAD SOCIAL  ALEJANDRA LOREN YAMPUEZAN DIAZ</t>
  </si>
  <si>
    <t>LIQUIDACION PLANILLA SEGURIDAD SOCIAL  FERNANDA MARIA CARLOSAMA CHAMORRO</t>
  </si>
  <si>
    <t>LIQUIDACION PLANILLA SEGURIDAD SOCIAL  JOHANA CINDY HERNANDEZ CARLOSAMA</t>
  </si>
  <si>
    <t>LIQUIDACION PLANILLA SEGURIDAD SOCIAL  STELLA CLAUDIA ERASO CORAL</t>
  </si>
  <si>
    <t>LIQUIDACION PLANILLA SEGURIDAD SOCIAL  DEL SOCORRO RUBIELA PARRA RAMOS</t>
  </si>
  <si>
    <t>LIQUIDACION PLANILLA SEGURIDAD SOCIAL   CRISTINA  LASSO</t>
  </si>
  <si>
    <t>LIQUIDACION PLANILLA SEGURIDAD SOCIAL  JOSE JUAN IBARRA NARVAEZ</t>
  </si>
  <si>
    <t>LIQUIDACION PLANILLA SEGURIDAD SOCIAL  LILIANA VERONICA MENZA SANTACRUZ</t>
  </si>
  <si>
    <t>LIQUIDACION PLANILLA SEGURIDAD SOCIAL  MILENA ANA FIGUEROA BOLAÑOS</t>
  </si>
  <si>
    <t>LIQUIDACION PLANILLA SEGURIDAD SOCIAL  HERNANDO JULIO MURILLO BELALCAZAR</t>
  </si>
  <si>
    <t>LIQUIDACION PLANILLA SEGURIDAD SOCIAL  STEVEN JHORDY GALEANO TRUJILLO</t>
  </si>
  <si>
    <t>LIQUIDACION PLANILLA SEGURIDAD SOCIAL  LEYDER JOHAN VILLOTA CHAPAL</t>
  </si>
  <si>
    <t>LIQUIDACION PLANILLA SEGURIDAD SOCIAL  FERNANDO ANDRES GUACALES ESPINOSA</t>
  </si>
  <si>
    <t>LIQUIDACION PLANILLA SEGURIDAD SOCIAL  SEBASTIAN JOHAN NIÑAN OVIEDO</t>
  </si>
  <si>
    <t>LIQUIDACION PLANILLA SEGURIDAD SOCIAL  CAMILO JUAN SOUZA GARCIA</t>
  </si>
  <si>
    <t>LIQUIDACION PLANILLA SEGURIDAD SOCIAL  JAMIT JOY ORDOÑEZ MOSQUERA</t>
  </si>
  <si>
    <t>LIQUIDACION PLANILLA SEGURIDAD SOCIAL  ESTEBAN RUBEN GUACALES ESPINOSA</t>
  </si>
  <si>
    <t>LIQUIDACION PLANILLA SEGURIDAD SOCIAL  DARIO RUBEN PARRA ESPINOSA</t>
  </si>
  <si>
    <t>LIQUIDACION PLANILLA SEGURIDAD SOCIAL  ALEXANDER VICTOR  RUIZ</t>
  </si>
  <si>
    <t>LIQUIDACION PLANILLA SEGURIDAD SOCIAL  ALVEIRO JOSE HERNANDEZ CUSIS</t>
  </si>
  <si>
    <t>LIQUIDACION PLANILLA SEGURIDAD SOCIAL  CAROLINA SANDRA BOTINA PATASCOY</t>
  </si>
  <si>
    <t>LIQUIDACION PLANILLA SEGURIDAD SOCIAL  LEONARDO EDWIN YAQUENO MARTINEZ</t>
  </si>
  <si>
    <t>LIQUIDACION PLANILLA SEGURIDAD SOCIAL  DARIO IVAN CALVACHE CAICEDO</t>
  </si>
  <si>
    <t>LIQUIDACION PLANILLA SEGURIDAD SOCIAL  ALBERTO WILLIAM CRIOLLO AZA</t>
  </si>
  <si>
    <t>LIQUIDACION PLANILLA SEGURIDAD SOCIAL   ANDRES CARLOS PAREDES CERON</t>
  </si>
  <si>
    <t>LIQUIDACION PLANILLA SEGURIDAD SOCIAL  ALEXANDER JHON ZAMORA GELPUD</t>
  </si>
  <si>
    <t>LIQUIDACION PLANILLA SEGURIDAD SOCIAL  STEVEN JASON GUEVARA DIAZ</t>
  </si>
  <si>
    <t>LIQUIDACION PLANILLA SEGURIDAD SOCIAL  ANDRES JORGE YANDAR BARRERA</t>
  </si>
  <si>
    <t>LIQUIDACION PLANILLA SEGURIDAD SOCIAL  ANDRES OSCAR BOTINA CASTRO</t>
  </si>
  <si>
    <t>LIQUIDACION PLANILLA SEGURIDAD SOCIAL  ALEXANDER MARIO HERNANDEZ CUSIS</t>
  </si>
  <si>
    <t>LIQUIDACION PLANILLA SEGURIDAD SOCIAL  CAMILO CRISTHIAN ALVAREZ ROSERO</t>
  </si>
  <si>
    <t>LIQUIDACION PLANILLA SEGURIDAD SOCIAL HUBER ANDRES BUSTAMANTE VELEZ</t>
  </si>
  <si>
    <t>LIQUIDACION PLANILLA SEGURIDAD SOCIAL KEVIN JONATAN RIAZCO MONTILLA</t>
  </si>
  <si>
    <t>LIQUIDACION PLANILLA SEGURIDAD SOCIAL DIEGO ANDRES NARVAEZ ARAUJO</t>
  </si>
  <si>
    <t>LIQUIDACION PLANILLA SEGURIDAD SOCIAL DILBER MAURICIO ALMEIDA PAZ</t>
  </si>
  <si>
    <t>LIQUIDACION PLANILLA SEGURIDAD SOCIAL LUIS ALFREDO OJEDA MELENDEZ</t>
  </si>
  <si>
    <t>LIQUIDACION PLANILLA SEGURIDAD SOCIAL OSCAR IVAN GARCIA MELENDEZ</t>
  </si>
  <si>
    <t>LIQUIDACION PLANILLA SEGURIDAD SOCIAL ASTRID VEIDUD NARVAEZ LOPEZ</t>
  </si>
  <si>
    <t>LIQUIDACION PLANILLA SEGURIDAD SOCIAL JOSE OMAR CASTILLO GANSASOY</t>
  </si>
  <si>
    <t>LIQUIDACION PLANILLA SEGURIDAD SOCIAL VIVIANA ANDREA PICHINA AYALA</t>
  </si>
  <si>
    <t>LIQUIDACION PLANILLA SEGURIDAD SOCIAL JUAN ESTEBAN QUIROGA BLANCO</t>
  </si>
  <si>
    <t>LIQUIDACION PLANILLA SEGURIDAD SOCIAL ALEXANDER   DIAZ MUÑOZ</t>
  </si>
  <si>
    <t>LIQUIDACION PLANILLA SEGURIDAD SOCIAL JOSE DEL CARMEN BERDUGO GUERRERO</t>
  </si>
  <si>
    <t>LIQUIDACION PLANILLA SEGURIDAD SOCIAL JEFERSON   MUÑOZ VERGARA</t>
  </si>
  <si>
    <t>LIQUIDACION PLANILLA SEGURIDAD SOCIAL RODRIGO   DIAZ QUINTERO</t>
  </si>
  <si>
    <t>LIQUIDACION PLANILLA SEGURIDAD SOCIAL DEIMAN JARINSON MUÑOZ DAVID</t>
  </si>
  <si>
    <t>LIQUIDACION PLANILLA SEGURIDAD SOCIAL YALINER   FIGUEROA ILVIRA</t>
  </si>
  <si>
    <t>LIQUIDACION PLANILLA SEGURIDAD SOCIAL EYDER   DIAZ QUINTERO</t>
  </si>
  <si>
    <t>LIQUIDACION PLANILLA SEGURIDAD SOCIAL RUBEN   MUÑOZ LOPEZ</t>
  </si>
  <si>
    <t>LIQUIDACION PLANILLA SEGURIDAD SOCIAL ALBERT     FIGUEROA</t>
  </si>
  <si>
    <t>LIQUIDACION PLANILLA SEGURIDAD SOCIAL DEIBER   DIAZ QUINTERO</t>
  </si>
  <si>
    <t>LIQUIDACION PLANILLA SEGURIDAD SOCIAL WILLIAMS ALFREDO MORA VILLAR</t>
  </si>
  <si>
    <t>LIQUIDACION PLANILLA SEGURIDAD SOCIAL RUBEN DARIO RODRIGUEZ SILVA</t>
  </si>
  <si>
    <t>LIQUIDACION PLANILLA SEGURIDAD SOCIAL YEINSON ANDRES JURADO GUAQUEZ</t>
  </si>
  <si>
    <t>LIQUIDACION PLANILLA SEGURIDAD SOCIAL ALEXANDER DAVID CARVAJAL BETANCOURT</t>
  </si>
  <si>
    <t>LIQUIDACION PLANILLA SEGURIDAD SOCIAL JAVIER ANDRES SANTIUSTY RODRIGUEZ</t>
  </si>
  <si>
    <t>LIQUIDACION PLANILLA SEGURIDAD SOCIAL JEANCARLO GUILLERMO ANDRADE MONCAYO</t>
  </si>
  <si>
    <t>LIQUIDACION PLANILLA SEGURIDAD SOCIAL DIYER   NARVAEZ DELGADO</t>
  </si>
  <si>
    <t>LIQUIDACION PLANILLA SEGURIDAD SOCIAL ROYER IDELVER SOLARTE LOPEZ</t>
  </si>
  <si>
    <t>LIQUIDACION PLANILLA SEGURIDAD SOCIAL FABIAN   RODRIGUEZ OJEDA</t>
  </si>
  <si>
    <t>LIQUIDACION PLANILLA SEGURIDAD SOCIAL DIANA CRISTINA   MARTINEZ</t>
  </si>
  <si>
    <t>LIQUIDACION PLANILLA SEGURIDAD SOCIAL SANDRO ALBEIRO MARTINEZ DELGADO</t>
  </si>
  <si>
    <t>LIQUIDACION PLANILLA SEGURIDAD SOCIAL ANDRES WILFREDY GALINDEZ BASTIDAS</t>
  </si>
  <si>
    <t>LIQUIDACION PLANILLA SEGURIDAD SOCIAL DANILO JAVIER RODRIGUEZ OJEDA</t>
  </si>
  <si>
    <t>LIQUIDACION PLANILLA SEGURIDAD SOCIAL BRANDON   TITISTAR GUAQUEZ</t>
  </si>
  <si>
    <t>LIQUIDACION PLANILLA SEGURIDAD SOCIAL YHON ANDERSON JAIMEZ LOPEZ</t>
  </si>
  <si>
    <t>LIQUIDACION PLANILLA SEGURIDAD SOCIAL ODELMER   PEREZ DAZA</t>
  </si>
  <si>
    <t>LIQUIDACION PLANILLA SEGURIDAD SOCIAL NORELI SELENA JURADO DIAZ</t>
  </si>
  <si>
    <t>LIQUIDACION PLANILLA SEGURIDAD SOCIAL LUIS ALBERTO MATABAJOY ALMEIDA</t>
  </si>
  <si>
    <t>LIQUIDACION PLANILLA SEGURIDAD SOCIAL BRAYAN STIVEN GUAQUEZ PEREZ</t>
  </si>
  <si>
    <t>LIQUIDACION PLANILLA SEGURIDAD SOCIAL IVAN CAMILO ORDOÑEZ MENESES</t>
  </si>
  <si>
    <t>LIQUIDACION PLANILLA SEGURIDAD SOCIAL WILLMAN HERNANDO RODRIGUEZ CASTRO</t>
  </si>
  <si>
    <t>LIQUIDACION PLANILLA SEGURIDAD SOCIAL EDERSON   ARTEAGA DAZA</t>
  </si>
  <si>
    <t>LIQUIDACION PLANILLA SEGURIDAD SOCIAL CRISTIAN FERNANDO CUESTA PASTAS</t>
  </si>
  <si>
    <t>LIQUIDACION PLANILLA SEGURIDAD SOCIAL YOHN JAIRO CHAMORRO BENAVIDES</t>
  </si>
  <si>
    <t>LIQUIDACION PLANILLA SEGURIDAD SOCIAL LUIS FERNANDO MUÑOZ RODRIGUEZ</t>
  </si>
  <si>
    <t>LIQUIDACION PLANILLA SEGURIDAD SOCIAL JOSE MANUEL OBANDO LOPEZ</t>
  </si>
  <si>
    <t>LIQUIDACION PLANILLA SEGURIDAD SOCIAL ANDI NEISER DELGADO GALINDEZ</t>
  </si>
  <si>
    <t>LIQUIDACION PLANILLA SEGURIDAD SOCIAL LUZ IRMA CIFUENTES ORTEGA</t>
  </si>
  <si>
    <t>LIQUIDACION PLANILLA SEGURIDAD SOCIAL ESTEBAN ALEJANDRO FIGUEROA MARTINEZ</t>
  </si>
  <si>
    <t>LIQUIDACION PLANILLA SEGURIDAD SOCIAL ALEX DUVAN PAZ CIFUENTES</t>
  </si>
  <si>
    <t>LIQUIDACION PLANILLA SEGURIDAD SOCIAL DANGER ESTIVENSON ORTEGA BENAVIDES</t>
  </si>
  <si>
    <t>LIQUIDACION PLANILLA SEGURIDAD SOCIAL JUAN DAVID ALVAREZ GRANADA</t>
  </si>
  <si>
    <t>LIQUIDACION PLANILLA SEGURIDAD SOCIAL JESUS ALBERTO PALACIOS DIAZ</t>
  </si>
  <si>
    <t>LIQUIDACION PLANILLA SEGURIDAD SOCIAL JHONSIN ARLEY CEBALLOS ARIAS</t>
  </si>
  <si>
    <t>LIQUIDACION PLANILLA SEGURIDAD SOCIAL JHONATHAN   USMA URIBE</t>
  </si>
  <si>
    <t>LIQUIDACION PLANILLA SEGURIDAD SOCIAL SEGUNDO MARCIAL BOTINA GELPUD</t>
  </si>
  <si>
    <t>LIQUIDACION PLANILLA SEGURIDAD SOCIAL JIMMI ALEXANDER GUERRERO BURGOS</t>
  </si>
  <si>
    <t>LIQUIDACION PLANILLA SEGURIDAD SOCIAL EDILFONSO   CASTILLO ROSERO</t>
  </si>
  <si>
    <t>LIQUIDACION PLANILLA SEGURIDAD SOCIAL JOSE DELIO ALMEIDA ALMEIDA</t>
  </si>
  <si>
    <t>LIQUIDACION PLANILLA SEGURIDAD SOCIAL ORLANDO   DIAZ LOPEZ</t>
  </si>
  <si>
    <t>LIQUIDACION PLANILLA SEGURIDAD SOCIAL JOSE MAURICIO JURADO PAZ</t>
  </si>
  <si>
    <t>LIQUIDACION PLANILLA SEGURIDAD SOCIAL AURO EDILSON MEZA ARTEAGA</t>
  </si>
  <si>
    <t>LIQUIDACION PLANILLA SEGURIDAD SOCIAL CARLOS HERNANDO DIAZ ENRIQUEZ</t>
  </si>
  <si>
    <t>LIQUIDACION PLANILLA SEGURIDAD SOCIAL HOLMES   VALDEZ GALINDEZ</t>
  </si>
  <si>
    <t>LIQUIDACION PLANILLA SEGURIDAD SOCIAL RICARDO HERNAN   ORTIZ</t>
  </si>
  <si>
    <t>LIQUIDACION PLANILLA SEGURIDAD SOCIAL LEIDER LUVER DIAZ LOPEZ</t>
  </si>
  <si>
    <t>LIQUIDACION PLANILLA SEGURIDAD SOCIAL OSWALDO     NARVAEZ</t>
  </si>
  <si>
    <t>LIQUIDACION PLANILLA SEGURIDAD SOCIAL ALBEIRO ORLANDO HERNANDEZ ESPAÑA</t>
  </si>
  <si>
    <t>LIQUIDACION PLANILLA SEGURIDAD SOCIAL JORGE LUIS NIÑO LIZCANO</t>
  </si>
  <si>
    <t>Ingres anticipo proyecto hospital infantil</t>
  </si>
  <si>
    <t>Hospital infantil</t>
  </si>
  <si>
    <t>Anticipo minigranja Delta</t>
  </si>
  <si>
    <t>Ingreso devolucion saldo WEG COLOMBIA S.A.S.</t>
  </si>
  <si>
    <t>Recepcion pago EDIFICIO SOLSTICIO1 PROPIEDAD HORIZONTAL</t>
  </si>
  <si>
    <t>Recepcion anticipo Hotel adamo</t>
  </si>
  <si>
    <t>Recepcion pago factura diciembre FVEL 447</t>
  </si>
  <si>
    <t>Ingreso de BRENNTAG COLOMBIA ZONA FRANCA S.A.S.</t>
  </si>
  <si>
    <t>Recepcion pago fra la cali</t>
  </si>
  <si>
    <t xml:space="preserve">Alimentacion en la merced juan manuel </t>
  </si>
  <si>
    <t>Alimentacion en creps &amp; wafles juan manuel</t>
  </si>
  <si>
    <t xml:space="preserve">Alimentacion Juan manuel </t>
  </si>
  <si>
    <t>Alimentacion Juan manuel en Beaf burguer</t>
  </si>
  <si>
    <t>Compra en intl linktree</t>
  </si>
  <si>
    <t>Alimentacion Juan Manuel en V1501</t>
  </si>
  <si>
    <t>prestamo factura V1501 Naos generacion</t>
  </si>
  <si>
    <t>compra en intl the lucid holding</t>
  </si>
  <si>
    <t>Alimentacio en Juan manuel en Caffeto</t>
  </si>
  <si>
    <t>Compra en intl microsoft e0100ve4no</t>
  </si>
  <si>
    <t>Transferencia cta pyme arreglo dron</t>
  </si>
  <si>
    <t>compra en amazon.com camara telescopica equipo popayan</t>
  </si>
  <si>
    <t>compra en amazon.comcamara telescopica equipo popayan</t>
  </si>
  <si>
    <t xml:space="preserve">Compra en prime vide palo para camara </t>
  </si>
  <si>
    <t>Compra alimentacion juan manuel</t>
  </si>
  <si>
    <t>Compra materiales de papeleria oficina</t>
  </si>
  <si>
    <t>Compra elementos de cafeteria</t>
  </si>
  <si>
    <t>DEPOSITO CESANTIAS 2024 CINDY JOHANA CARLOSAMA HERNANDEZ</t>
  </si>
  <si>
    <t>DEPOSITO CESANTIAS 2024 CRISTINA LASSO</t>
  </si>
  <si>
    <t>DEPOSITO CESANTIAS 2024 JHOANA MARCELA GERMAN REYES</t>
  </si>
  <si>
    <t>DEPOSITO CESANTIAS 2024 JUAN CAMILO GARCIA SOUZA</t>
  </si>
  <si>
    <t>DEPOSITO CESANTIAS 2024 JUAN ESTEBAN IBARRA CAMUES</t>
  </si>
  <si>
    <t>DEPOSITO CESANTIAS 2024 LOREN ALEJANDRA DIAZ YAMPUEZAN</t>
  </si>
  <si>
    <t>DEPOSITO CESANTIAS 2024 RUBIELA DEL SOCORRO RAMOS PARRA</t>
  </si>
  <si>
    <t>DEPOSITO CESANTIAS 2024 JUAN CARLOS CAÑAR POTOSI</t>
  </si>
  <si>
    <t>DEPOSITO CESANTIAS 2024 JUAN MANUEL ESPAÑA FORERO</t>
  </si>
  <si>
    <t xml:space="preserve">DEPOSITO CESANTIAS 2024 MARIA FERNANDA CHAMORRO </t>
  </si>
  <si>
    <t>DEPOSITO CESANTIAS 2024 SANDRA CAROLINA PATASCOY BOTINA</t>
  </si>
  <si>
    <t>DEPOSITO CESANTIAS 2024 YULY ANDREA JARAMILLO GUERRERO</t>
  </si>
  <si>
    <t>DEPOSITO CESANTIAS 2024 HERMANN SOUZA CUBIDES</t>
  </si>
  <si>
    <t>DEPOSITO CESANTIAS 2024 JULIO BELALCAZAR MURILLO</t>
  </si>
  <si>
    <t>DEPOSITO CESANTIAS 2024 VERONICA LILIANA SANTACRUZ MENZA</t>
  </si>
  <si>
    <t>DEPOSITO CESANTIAS 2024 IVAN DANIEL MONTILLA CORAL</t>
  </si>
  <si>
    <t>DEPOSITO CESANTIAS 2024 IVAN CAMILO MENESES ORDOÑEZ</t>
  </si>
  <si>
    <t xml:space="preserve">DEPOSITO CESANTIAS 2024 JUAN DAVID GRANADA ALVAREZ </t>
  </si>
  <si>
    <t>DEPOSITO CESANTIAS 2024 RODRIGO QUINTERO DIAZ</t>
  </si>
  <si>
    <t>DEPOSITO CESANTIAS 2024 VIVIANA ANDRES AYALA PICHINA</t>
  </si>
  <si>
    <t>DEPOSITO CESANTIAS 2024 YOHN JAIRO BENAVIDES CHAMORRO</t>
  </si>
  <si>
    <t>DEPOSITO CESANTIAS 2024 JHONSIN ARLEY ARIAS CEBALLOS</t>
  </si>
  <si>
    <t>DEPOSITO CESANTIAS 2024 RUBEN LOPEZ MUÑOZ</t>
  </si>
  <si>
    <t>DEPOSITO CESANTIAS 2024 ALBEIRO ORLANDO ESPAÑA HERNANDEZ</t>
  </si>
  <si>
    <t>DEPOSITO CESANTIAS 2024 EDILFONSO ROSERO CASTILLO</t>
  </si>
  <si>
    <t>DEPOSITO CESANTIAS 2024 JORGE ANDRES MUÑOZ MARTINEZ</t>
  </si>
  <si>
    <t>DEPOSITO CESANTIAS 2024 JOSE MAURICIO PAZ JURADO</t>
  </si>
  <si>
    <t>DEPOSITO CESANTIAS 2024 JOSE OMAR GANSASOY CASTILLO</t>
  </si>
  <si>
    <t xml:space="preserve">DEPOSITO CESANTIAS 2024 JUAN ESTEBAN BLANCO QUIROGA </t>
  </si>
  <si>
    <t>DEPOSITO CESANTIAS 2024 LUZ IRMA ORTEGA CIFUENTES</t>
  </si>
  <si>
    <t>DEPOSITO CESANTIAS 2024 YALINER ILVIRA FIGUEROA</t>
  </si>
  <si>
    <t>DEPOSITO CESANTIAS 2024 YOHN ANDERSON LOPEZ JAIMEZ</t>
  </si>
  <si>
    <t>DEPOSITO CESANTIAS 2024 ALBERT FIGUEROA</t>
  </si>
  <si>
    <t xml:space="preserve">DEPOSITO CESANTIAS 2024 DIEGO ANDRES ARAUJO NARVAEZ </t>
  </si>
  <si>
    <t xml:space="preserve">DEPOSITO CESANTIAS 2024 DILBER  MAURICIO PAZ ALMEIDA </t>
  </si>
  <si>
    <t>DEPOSITO CESANTIAS 2024 EYDER QUINTERO DIAZ</t>
  </si>
  <si>
    <t>DEPOSITO CESANTIAS 2024 JEANCARLO GUILLERMO MONCAYO ANDRADE</t>
  </si>
  <si>
    <t>DEPOSITO CESANTIAS 2024 JEFERSON VERGARA MUÑOZ</t>
  </si>
  <si>
    <t>DEPOSITO CESANTIAS 2024 LUIS ALBERTO ALMEIDA MATABAJOY</t>
  </si>
  <si>
    <t>DEPOSITO CESANTIAS 2024 ROYER IDELVER LOPEZ SOLARTE</t>
  </si>
  <si>
    <t>DEPOSITO CESANTIAS 2024 RUBEN DARIO SILVA RODRIGUEZ</t>
  </si>
  <si>
    <t>DEPOSITO CESANTIAS 2024 SEGUNDO MARCIAL GELPUD BOTINA</t>
  </si>
  <si>
    <t>DEPOSITO CESANTIAS 2024 WILLIAMS ALFREDO VILLAR MORA</t>
  </si>
  <si>
    <t>DEPOSITO CESANTIAS 2024 ANDRES WILFREDY BASTIDAS GALINDEZ</t>
  </si>
  <si>
    <t>DEPOSITO CESANTIAS 2024 JIMMI ALEXANDER BURGOS GUERRERO</t>
  </si>
  <si>
    <t xml:space="preserve">DEPOSITO CESANTIAS 2024 JOSE MANUEL LOPEZ OBANDO </t>
  </si>
  <si>
    <t>DEPOSITO CESANTIAS 2024 ANA MILENA HENAO GONZALEZ</t>
  </si>
  <si>
    <t xml:space="preserve">DEPOSITO CESANTIAS 2024 JOSE ESTEBAN RODRIGUEZ QUINTERO </t>
  </si>
  <si>
    <t>DEPOSITO CESANTIAS 2024 MOISES RUIZ AYALA</t>
  </si>
  <si>
    <t>DEPOSITO CESANTIAS 2024 KELLY TATIANA ALVAREZ GARCIA</t>
  </si>
  <si>
    <t>DEPOSITO CESANTIAS 2024 JOSE RAFAEL RUEDA HERRERA</t>
  </si>
  <si>
    <t>DEPOSITO CESANTIAS 2024 DIANA ALEJANDRA MERA MUÑOZ</t>
  </si>
  <si>
    <t>DEPOSITO CESANTIAS 2024 JERSON ALEXIS GOMEZ ACOSTA</t>
  </si>
  <si>
    <t>DEPOSITO CESANTIAS 2024 JUAN SEBASTIAN GOMEZ LEAL</t>
  </si>
  <si>
    <t xml:space="preserve">DEPOSITO CESANTIAS 2024 MARTIN ALONSO SOSSA AGUIRRE </t>
  </si>
  <si>
    <t>DEPOSITO CESANTIAS 2024 RAUL BARBENLEY CASTRO RIVERA</t>
  </si>
  <si>
    <t>DEPOSITO CESANTIAS 2024 ANDRES FELIPE DELGADO ZUTTA</t>
  </si>
  <si>
    <t>DEPOSITO CESANTIAS 2024 HERNAN DARIO CABRERA QUITIAQUEZ</t>
  </si>
  <si>
    <t>DEPOSITO CESANTIAS 2024 DANNA EVELYN ARMERO ROSERO</t>
  </si>
  <si>
    <t>DEPOSITO CESANTIAS 2024 DANNA STEFANYA LASSO GUERRA</t>
  </si>
  <si>
    <t>DEPOSITO CESANTIAS 2024 JAVIER SEBASTIÁN LUCENA VILLARREAL</t>
  </si>
  <si>
    <t>DEPOSITO CESANTIAS 2024 LEIBNITZ EDUARDO CHANA CALDERON</t>
  </si>
  <si>
    <t>DEPOSITO CESANTIAS 2024 MIGUEL ALEJANDRO ENRIQUEZ CHAMORRO</t>
  </si>
  <si>
    <t>DEPOSITO CESANTIAS 2024 OSCAR ANDRES CASTRO BOTINA</t>
  </si>
  <si>
    <t>DEPOSITO CESANTIAS 2024 ANDRES FERNANDO ESPINOSA GUACALES</t>
  </si>
  <si>
    <t>DEPOSITO CESANTIAS 2024 EDWIN LEONARDO MARTINEZ YAQUENO</t>
  </si>
  <si>
    <t>DEPOSITO CESANTIAS 2024 JOY JAMIT MOSQUERA ORDOÑEZ</t>
  </si>
  <si>
    <t>DEPOSITO CESANTIAS 2024 JUAN FERNANDO PANIAGUA OSORIO</t>
  </si>
  <si>
    <t>DEPOSITO CESANTIAS 2024 MARIO ALEXANDER CUSIS HERNANDEZ</t>
  </si>
  <si>
    <t>DEPOSITO CESANTIAS 2024 IVAN DARIO CAICEDO CALVACHE</t>
  </si>
  <si>
    <t>DEPOSITO CESANTIAS 2024 JASON STEVEN DIAZ GUEVARA </t>
  </si>
  <si>
    <t xml:space="preserve">DEPOSITO CESANTIAS 2024 JHON ALEXANDER GELPUD ZAMORA </t>
  </si>
  <si>
    <t xml:space="preserve">DEPOSITO CESANTIAS 2024 JOHAN SEBASTIAN OVIEDO NIÑAN </t>
  </si>
  <si>
    <t>DEPOSITO CESANTIAS 2024 JORGE ANDRES BARRERA YANDAR</t>
  </si>
  <si>
    <t>DEPOSITO CESANTIAS 2024 JOSE ALVEIRO CUSIS HERNANDEZ</t>
  </si>
  <si>
    <t xml:space="preserve">DEPOSITO CESANTIAS 2024 RUBEN DARIO ESPINOSA PARRA </t>
  </si>
  <si>
    <t>DEPOSITO CESANTIAS 2024 WIILLIAM ALBERTO AZA CRIOLLO</t>
  </si>
  <si>
    <t>DEPOSITO CESANTIAS 2024 JHORDY STEVEN TRUJILLO GALEANDO</t>
  </si>
  <si>
    <t>Pago tiquete Price Res S.A.S Estefni lasso tiquete cali-pasto</t>
  </si>
  <si>
    <t xml:space="preserve">Pago tiquete avianca para Kely Alvarez Medellin-valledupar </t>
  </si>
  <si>
    <t>Pago tiquete Avianca Pasto-Cali Veronica Santacruz</t>
  </si>
  <si>
    <t>Pago a MARCOS DANIEL OJEDA cuenta de cobro alimentacion</t>
  </si>
  <si>
    <t>Retencion fte 3,5 % MARCOS DANIEL OJEDA cuenta de cobro alimentacion</t>
  </si>
  <si>
    <t>Reintegro tiquete en Latam medellin-cali Juan Manuel</t>
  </si>
  <si>
    <t>Compra accesorios Pvc en avila warner FA18-8074</t>
  </si>
  <si>
    <t>Mariana-mauricio rosero</t>
  </si>
  <si>
    <t>Compra accesorios Pvc en avila warner FA20-10696</t>
  </si>
  <si>
    <t>Compra accesorios Pvc FRA JCAV-45876</t>
  </si>
  <si>
    <t>Compra accesorios Pvc FRA JCAV-45875</t>
  </si>
  <si>
    <t>Compra en casa andina accesorios pvc FECOC-5416803</t>
  </si>
  <si>
    <t>Compra enKubiertas pvc fra 3702</t>
  </si>
  <si>
    <t>Transporte materiales Cali-pasto sistemas de riego</t>
  </si>
  <si>
    <t>Peaje Pasto-remolino</t>
  </si>
  <si>
    <t>Compra combustible viaje remolino-pasto</t>
  </si>
  <si>
    <t>Pago intereses juan pablo Sumaraga</t>
  </si>
  <si>
    <t>Reintegro a JUAN MANUEL ESPAÑA DEV COMPRA ACCESORIOS PARA GRABACION AMAZON</t>
  </si>
  <si>
    <t>Reintegro a JUAN MANUEL ESPAÑA DEV COMPRA MICROFONO KONIKO</t>
  </si>
  <si>
    <t xml:space="preserve">Alimentación </t>
  </si>
  <si>
    <t>Peaje</t>
  </si>
  <si>
    <t>Hotel</t>
  </si>
  <si>
    <t xml:space="preserve">Gasolina </t>
  </si>
  <si>
    <t>Maleta Avianca</t>
  </si>
  <si>
    <t>Estuche y protector celular oficina</t>
  </si>
  <si>
    <t xml:space="preserve">Sin facturas
Hidrataciones lugares sin factura 
Alimentación lugares sin factura
Transporte Aeropuerto </t>
  </si>
  <si>
    <t>taxi casa - San diego</t>
  </si>
  <si>
    <t>Bus san Diego - Aeropuerto</t>
  </si>
  <si>
    <t>Bus aeropuerto Cali - centro</t>
  </si>
  <si>
    <t>Taxi centro - CC Jardin Plaza</t>
  </si>
  <si>
    <t>Uber Jardin Plaza - Hotel</t>
  </si>
  <si>
    <t>Uber Hotel - Chipichape</t>
  </si>
  <si>
    <t>Taxi Chipichape - splendor</t>
  </si>
  <si>
    <t>Uber Splendor - Chipichape</t>
  </si>
  <si>
    <t>Uber Hotel - Jardin plaza</t>
  </si>
  <si>
    <t>Hospedaje hotel noches 05/02 y 06/02</t>
  </si>
  <si>
    <t>Uber Chipichape Solaire</t>
  </si>
  <si>
    <t xml:space="preserve">Bus Terminal Cali - Aeropuerto </t>
  </si>
  <si>
    <t>Optometría Julio</t>
  </si>
  <si>
    <t>Tiquete bus terminal de Cali-Tulúa-Ing. Juan Sebastian Gomez</t>
  </si>
  <si>
    <t>Tiquete bus terminal de Cali-Tulúa-Ing. Nicolas Lopez</t>
  </si>
  <si>
    <t>Transporte desde terminal de Tulúa a Andalucia</t>
  </si>
  <si>
    <t>Tiquete bus terminal de Cali-Tulúa-Jose Rueda</t>
  </si>
  <si>
    <t>Balastro (Material para fundición)</t>
  </si>
  <si>
    <t>Soldadura para construcción de flejadora</t>
  </si>
  <si>
    <t>Material para armar pisones, cadena, candado</t>
  </si>
  <si>
    <t>Plastico negro para proteger paneles y estructura</t>
  </si>
  <si>
    <t xml:space="preserve">4 Listones </t>
  </si>
  <si>
    <t>Flete de materias de San Rafael a Andalucia</t>
  </si>
  <si>
    <t>Transporte Andalucia - Lacteos en Tulua; Sebastian y Nicolás</t>
  </si>
  <si>
    <t>Transporte Lacteos - Andalucia; Sebastian, Nicolás, Daniela y Sergio</t>
  </si>
  <si>
    <t>Transporte Cali - Tulua, Daniela</t>
  </si>
  <si>
    <t>Transporte Cali - Tulua, Sergio</t>
  </si>
  <si>
    <t>Transporte Tulua - Cali, Daniela</t>
  </si>
  <si>
    <t>Transporte Tulua - Cali, Sergio</t>
  </si>
  <si>
    <t>Transporte Andalucia - Tulua, Sergio y Daniela</t>
  </si>
  <si>
    <t>Ferretería, compra de varillas y tablas</t>
  </si>
  <si>
    <t>Compra de puntillas</t>
  </si>
  <si>
    <t>Compra de guaduas</t>
  </si>
  <si>
    <t>Reparación hoyadora</t>
  </si>
  <si>
    <t>Transporte Andalucía - Tulúa Nicolás</t>
  </si>
  <si>
    <t>Transporte Tulua - Cali, Nicolás</t>
  </si>
  <si>
    <t>Transporte Salida del terminal de Cali, Nicolás</t>
  </si>
  <si>
    <t>Tanqueo Gasolina Martín</t>
  </si>
  <si>
    <t>Transporte Andalucía - Tulua, Sebastian</t>
  </si>
  <si>
    <t>Transporte Tulua - Cali, Sebastian</t>
  </si>
  <si>
    <t>Transporte Cali, Sebastian</t>
  </si>
  <si>
    <t>PAGO A CRISTHIAN DAVID IBARRA CABRERA HOTEL VYMAR &amp; LOTO AZUL LOT 206 (ANDREA)</t>
  </si>
  <si>
    <t>PAGO A CRISTHIAN DAVID IBARRA CABRERA HOTEL VYMAR &amp; LOTO AZUL LOT 208 (FERNANDO)</t>
  </si>
  <si>
    <t>PAGO A CRISTHIAN DAVID IBARRA CABRERA HOTEL VYMAR &amp; LOTO AZUL LOT 187 (MARIANA)</t>
  </si>
  <si>
    <t>CRISTHIAN DAVID IBARRA CABRERA HOTEL VYMAR &amp; LOTO AZUL (KELY)</t>
  </si>
  <si>
    <t>Retencion fte 3,5% Hotel Cristhian David Ibarra</t>
  </si>
  <si>
    <t>Retencion ica 6*1000 Hotel Cristhian David Ibarra</t>
  </si>
  <si>
    <t>PRESTAMO A LYRA PARA COMPRA DE TERRENOS (inversin lyra)</t>
  </si>
  <si>
    <t>PRESTAMO A ORBIS PARA COMPRA DE TERRENOS</t>
  </si>
  <si>
    <t>Pago planilla seguridad social Jesion ipiales</t>
  </si>
  <si>
    <t>PAGO DEPOSITO A LUZ ADRIANA FERNANDEZ HABITAD OFICINA POPAYAN</t>
  </si>
  <si>
    <t>Pago factura de plan celular tigo</t>
  </si>
  <si>
    <t>Pago licencia para dron popayan Cotizacion No. 51</t>
  </si>
  <si>
    <t xml:space="preserve">Pago anticipo 30% FERREMALLAS CALI </t>
  </si>
  <si>
    <t>Pago a MELBA LIGIA MONCAYO LA FERRO RM1-4088</t>
  </si>
  <si>
    <t>Retencion fte 2,5  MELBA LIGIA MONCAYO LA FERRO RM1-4088</t>
  </si>
  <si>
    <t>Retencion ica 6*1000 MELBA LIGIA MONCAYO LA FERRO RM1-4088</t>
  </si>
  <si>
    <t>Pago a MELBA LIGIA MONCAYO LA FERRO RM1-4090</t>
  </si>
  <si>
    <t>Retencion fte 2,5  MELBA LIGIA MONCAYO LA FERRO RM1-4090</t>
  </si>
  <si>
    <t>Retencion ica 6*1000 MELBA LIGIA MONCAYO LA FERRO RM1-4090</t>
  </si>
  <si>
    <t>Pago a MELBA LIGIA MONCAYO LA FERRO RM1-4092</t>
  </si>
  <si>
    <t>Retencion fte 2,5  MELBA LIGIA MONCAYO LA FERRO RM1-4092</t>
  </si>
  <si>
    <t>Retencion ica 6*1000 MELBA LIGIA MONCAYO LA FERRO RM1-4092</t>
  </si>
  <si>
    <t>Pago a MELBA LIGIA MONCAYO LA FERRO RM1-4091</t>
  </si>
  <si>
    <t>Retencion fte 2,5  MELBA LIGIA MONCAYO LA FERRO RM1-4091</t>
  </si>
  <si>
    <t>Retencion ica 6*1000 MELBA LIGIA MONCAYO LA FERRO RM1-4091</t>
  </si>
  <si>
    <t>Pago a MELBA LIGIA MONCAYO LA FERRO RM1-4087</t>
  </si>
  <si>
    <t>Pago a ELECTRICOS DEL VALLE SO-705221</t>
  </si>
  <si>
    <t>Pago a ANGIE VALENCIA ROSERO FVE 896</t>
  </si>
  <si>
    <t>Pago a ANGIE VALENCIA ROSERO FVE 895</t>
  </si>
  <si>
    <t>Retencion fte 1%  ANGIE VALENCIA ROSERO FVE 895</t>
  </si>
  <si>
    <t>Retencion ica 6*1000 ANGIE VALENCIA ROSERO FVE 895</t>
  </si>
  <si>
    <t>Pago a ANGIE VALENCIA ROSERO FVE 899</t>
  </si>
  <si>
    <t>Retencion fte 1%  ANGIE VALENCIA ROSERO FVE 899</t>
  </si>
  <si>
    <t>Retencion ica 6*1000 ANGIE VALENCIA ROSERO FVE 899</t>
  </si>
  <si>
    <t>Pago a ANGIE VALENCIA ROSERO FVE 900</t>
  </si>
  <si>
    <t>Retencion fte 1%  ANGIE VALENCIA ROSERO FVE 900</t>
  </si>
  <si>
    <t>Retencion ica 6*1000 ANGIE VALENCIA ROSERO FVE 900</t>
  </si>
  <si>
    <t>PAGO A DISTRIBUCIONES ELECTRICAS AC PF 74470</t>
  </si>
  <si>
    <t>Pago a JAIRO LOPEZ  ELECTRICOS BOYACA COT 8400</t>
  </si>
  <si>
    <t>Retencion ica 3*1000 JAIRO LOPEZ  ELECTRICOS BOYACA COT 8400</t>
  </si>
  <si>
    <t>Pago anticipo 50%  JAIRO LOPEZ  ELECTRICOS BOYACA COT 8365</t>
  </si>
  <si>
    <t>Retencion ica 3*1000 JAIRO LOPEZ  ELECTRICOS BOYACA COT 8365</t>
  </si>
  <si>
    <t>Retencion fte 2,5% JAIRO LOPEZ  ELECTRICOS BOYACA COT 8365</t>
  </si>
  <si>
    <t>Pago a MARIO AZAHINN ORTIZ CUENTA DE COBRO 055 ALQUILER</t>
  </si>
  <si>
    <t>Retencion fte 4% MARIO AZAHINN ORTIZ CUENTA DE COBRO 055 ALQUILER</t>
  </si>
  <si>
    <t>Retencion ica 6*1000 MARIO AZAHINN ORTIZ CUENTA DE COBRO 055 ALQUILER</t>
  </si>
  <si>
    <t xml:space="preserve">Pago a DARIO NAVIA CUJAR  CASA ELECTRICA COT Z-001-156049 </t>
  </si>
  <si>
    <t>Rtencion ica 5*1000 MARIO AZAHINN ORTIZ CUENTA DE COBRO 055 ALQUILER</t>
  </si>
  <si>
    <t>alexander</t>
  </si>
  <si>
    <t>COMPRA DE AGUA PARA HIDRATACIÓN</t>
  </si>
  <si>
    <t>COMPRA DE RECEBO PARA RELLENO DE SET CIVIL</t>
  </si>
  <si>
    <t>ALQUILER DE MAQUINARIA EXCAVADORA (ARREGLO DE VIA Y DESVARE DE MULA CONTAINER DE PANELES)</t>
  </si>
  <si>
    <t>COMPRA DE AGUA POR M3 (5.5 M3)</t>
  </si>
  <si>
    <t>COMPRA DE BROCA, ROLLO DE MANGUERA, UNION TUBO A MANGUERA, LLAVE DE PASO, TUERCA 3/8, CINTA AISLANTE, BOTAS, CINTA PELIGRO 500M, PLASTICO NEGRO, GUANTES CARNAZA Y NITRILO, LAPIZ, VARILLAS 3/8 Y GUADUAS</t>
  </si>
  <si>
    <t>PAPELERIA (IMPRESIONES, COPIAS, COMPRA DE AZ Y PEGASTIC)</t>
  </si>
  <si>
    <t>TRANSPORTE REMOLINO - PASTO</t>
  </si>
  <si>
    <t xml:space="preserve">PAGO COTIZACION TECNI AGRO CARLOS ALIRIO CADENA BURBANO </t>
  </si>
  <si>
    <t xml:space="preserve">Retencion ica 6*100  COTIZACION TECNI AGRO CARLOS ALIRIO CADENA BURBANO </t>
  </si>
  <si>
    <t xml:space="preserve">Pago anticipo 50% ALEXANDER DAVID BETANCOURT CARVAJAL </t>
  </si>
  <si>
    <t>Préstamo inversión Polaris 2</t>
  </si>
  <si>
    <t>Inversión POLARIS</t>
  </si>
  <si>
    <t>Pago anticipo fra EVA  FVE 1</t>
  </si>
  <si>
    <t>Pago anticipo fra EVA  FVE 2</t>
  </si>
  <si>
    <t>Pago  MATERIALES ELECTRICOS Y MECANICOS SAS COT 342967</t>
  </si>
  <si>
    <t>Pago a FUNDACION ECOSOCIAL RS FERS 11</t>
  </si>
  <si>
    <t xml:space="preserve">Pago ELECTRICOS DEL VALLE Cotización N°: SO - 705997 </t>
  </si>
  <si>
    <t>C. Canalizaciones</t>
  </si>
  <si>
    <t xml:space="preserve">PAGO CREDITOS ELECTRICOS DEL VALLE </t>
  </si>
  <si>
    <t>PAGO COTIZCION AGROPECUARIAS DON TATO Compra de insumos para instalación del cultivos</t>
  </si>
  <si>
    <t>Retencion ica 6*1000 COTIZCION AGROPECUARIAS DON TATO Compra de insumos para instalación del cultivos</t>
  </si>
  <si>
    <t>Pago a INELDEC PAGO SALDO FINAL FEIN 9390</t>
  </si>
  <si>
    <t>C. Transformador 1,25MVA</t>
  </si>
  <si>
    <t xml:space="preserve">PAGO COMISION A DANIEL FERNANDO MEDINA </t>
  </si>
  <si>
    <t>PAGO A INGENIERIA EN GALVANIZADOS DE OCCIDENTE  SAS COT 101-2025 ANTICIPO 50% INGAL</t>
  </si>
  <si>
    <t>PAGO A LUIS CAMILO PATIÑO ALPALA COT 002</t>
  </si>
  <si>
    <t>PAGO A PROTECTO FED 4128</t>
  </si>
  <si>
    <t>PAGO A ALEXANDER DAVID BETANCOURT CARVAJAL PRESTAMO COMPRA FERROMAC</t>
  </si>
  <si>
    <t>PAGO A MELBA LIGIA MONCAYO LA FERRO RM1-4101</t>
  </si>
  <si>
    <t>PAGO A JUAN PABLO PEDROZA CAMBIO DE CUENTA DE COBRO</t>
  </si>
  <si>
    <t>PAGO A BERNARDO MIGUEL BASTIDAS BASTIDAS 12.982.357-0 SEÑAL GRAFICA PUBLICIDAD COTIZACION</t>
  </si>
  <si>
    <t>Pago examen medicos de ingreso ips bienestar laboral</t>
  </si>
  <si>
    <t>Pago cuenta de cobro a ANDREA VIVIANA VIVAS BASTIDAS reparacon hidraulica</t>
  </si>
  <si>
    <t>Pago a DOTACIONES Y SOLDADURAS SAS FECR 4539</t>
  </si>
  <si>
    <t>Retencion ica 6*1000 DOTACIONES Y SOLDADURAS SAS FECR 4545</t>
  </si>
  <si>
    <t>Pago a DOTACIONES Y SOLDADURAS SAS FECR 4545</t>
  </si>
  <si>
    <t>Pago factura a DINAMIC LOGISTICA DL 71077</t>
  </si>
  <si>
    <t>Pago GESTION DE COMPRAS EMPRESARIALES S.A.S (LASUS) COT 47877</t>
  </si>
  <si>
    <t>Pago arrendamiento equipos de computo Milenio PC SA  IG77159</t>
  </si>
  <si>
    <t>Retencion fte 4%  arrendamiento equipos de computo Milenio PC SA  IG77159</t>
  </si>
  <si>
    <t>Pago hospedaje herman a Alejandra Gaviria gomez</t>
  </si>
  <si>
    <t>Pago examenes medicos a SAFETY,HEALTH AND WORK RISK CONSULTANTS SAS FE 345</t>
  </si>
  <si>
    <t>Retencio fte 11% SAFETY,HEALTH AND WORK RISK CONSULTANTS SAS FE 345</t>
  </si>
  <si>
    <t>Pago factura IMPECOL SAS FAC 2098</t>
  </si>
  <si>
    <t>Pago a CARLOS ARTEMIO GUERRA 12.960.193-5 CON 91503 DISTRIBUCIONES EL DORADO</t>
  </si>
  <si>
    <t>PAGO A MATERIALES ELECTRICOS Y MECANICOS  SAS COT 342967</t>
  </si>
  <si>
    <t xml:space="preserve">Pago liquidacion laboral Omar Janasasoy Castillo </t>
  </si>
  <si>
    <t>Pago SISTEMA E IRREGACION Naos 1</t>
  </si>
  <si>
    <t>Pago transporte material realizado a FAINCO FE 416</t>
  </si>
  <si>
    <t>Retencion fte 1% transporte material realizado a FAINCO FE 416</t>
  </si>
  <si>
    <t>Retencion ica 6*1000 transporte material realizado a FAINCO FE 416</t>
  </si>
  <si>
    <t>Pago transporte material realizado a FAINCO FE 427</t>
  </si>
  <si>
    <t>Retencion fte 1% transporte material realizado a FAINCO FE 427</t>
  </si>
  <si>
    <t>Retencion ica 6*1000 transporte material realizado a FAINCO FE 427</t>
  </si>
  <si>
    <t>Pago transporte material realizado a FAINCO FE 428</t>
  </si>
  <si>
    <t>Retencion fte 1% transporte material realizado a FAINCO FE 428</t>
  </si>
  <si>
    <t>Retencion ica 6*1000 transporte material realizado a FAINCO FE 428</t>
  </si>
  <si>
    <t>Pago transporte material realizado a FAINCO FE 429</t>
  </si>
  <si>
    <t>Retencion fte 1% transporte material realizado a FAINCO FE 429</t>
  </si>
  <si>
    <t>Retencion ica 6*1000 transporte material realizado a FAINCO FE 429</t>
  </si>
  <si>
    <t>Pago a AGRICO DISTRIBUIDORA Y CONSTRUCTORA SAS CT 1340</t>
  </si>
  <si>
    <t>Retencion fte 2,5%  Pago a AGRICO DISTRIBUIDORA Y CONSTRUCTORA SAS CT 1340</t>
  </si>
  <si>
    <t>Retencion ica 6*1000 Pago a AGRICO DISTRIBUIDORA Y CONSTRUCTORA SAS CT 1340</t>
  </si>
  <si>
    <t>Pago Upme de polaris 2</t>
  </si>
  <si>
    <t>Pago Upme de Delta2</t>
  </si>
  <si>
    <t xml:space="preserve">Pago cotizacion 852 Fenix tec </t>
  </si>
  <si>
    <t>Pago sado a TABLESA FC 8180</t>
  </si>
  <si>
    <t>Casa Pabon</t>
  </si>
  <si>
    <t>Pago a DANIEL ORTEGA FIGUEROA OF CONSTRUCCIONES  FC 7443</t>
  </si>
  <si>
    <t>Pago a DANIEL ORTEGA FIGUEROA OF CONSTRUCCIONES  FC 7441</t>
  </si>
  <si>
    <t xml:space="preserve">Pago factura Equirent </t>
  </si>
  <si>
    <t>Pago a INGENIERIA Y SOLUCIONES DE NARIÑO  FED-56</t>
  </si>
  <si>
    <t>Retencion fte 4% INGENIERIA Y SOLUCIONES DE NARIÑO  FED-56</t>
  </si>
  <si>
    <t>Retencio ica 6*1000 INGENIERIA Y SOLUCIONES DE NARIÑO  FED-56</t>
  </si>
  <si>
    <t>Pago examenes medicos ADILAB FEML 19485</t>
  </si>
  <si>
    <t>Pago a ELECTRICOS DEL VALLE SO-706489</t>
  </si>
  <si>
    <t xml:space="preserve">Pago facturas grandes Seguridad del sur </t>
  </si>
  <si>
    <t>Costos Mini granja</t>
  </si>
  <si>
    <t>Vigilancia Materiales</t>
  </si>
  <si>
    <t>Pago tiquete avianca Herman Souza Pasto-Cali</t>
  </si>
  <si>
    <t>Pago tiquete avianca Marcela German Pasto-Cali</t>
  </si>
  <si>
    <t xml:space="preserve">Pago CONSTRUENERGY RC S.A.S.  ANTICIPO 50% Suministro e instalación de caseta para equipos, incluye perfilería 
metálica, teja pvc, cimentación en concreto, accesorios y pernos 
para fijación.   </t>
  </si>
  <si>
    <t>Pago planilla  seguridad social Edinson Enrique Cantillo</t>
  </si>
  <si>
    <t>PAGO A HUMBERTO JAVIER ROSERO POTOSÍ ANTICIPO 25% COT 48</t>
  </si>
  <si>
    <t>PAGO A HUMBERTO JAVIER ROSERO POTOSÍ ANTICIPO 25% COT 49</t>
  </si>
  <si>
    <t>PAGO A HUMBERTO JAVIER ROSERO POTOSÍ ANTICIPO 25% COT 47</t>
  </si>
  <si>
    <t>PAGO A HUMBERTO JAVIER ROSERO POTOSI  98.384.754 COT 47 ANTICIPO 50%</t>
  </si>
  <si>
    <t>PAGO A HUMBERTO JAVIER ROSERO POTOSI  98.384.754 COT 49 ANTICIPO 50%</t>
  </si>
  <si>
    <t>PAGO A HUMBERTO JAVIER ROSERO POTOSI  98.384.754 COT 48 ANTICIPO 50%</t>
  </si>
  <si>
    <t>Compra pantalon dotacion Juan Camilo Garcia Souza Slogic</t>
  </si>
  <si>
    <t>Tramites compra actas de junta Evolti</t>
  </si>
  <si>
    <t>Transporte personal Juan camilo Garcia Souza</t>
  </si>
  <si>
    <t>Transporte personal Rubiela de socorro</t>
  </si>
  <si>
    <t>Recarga datos Sim Naos 2</t>
  </si>
  <si>
    <t>Recarga datos Sim Naos 3</t>
  </si>
  <si>
    <t>Transporte personal Oscar Mauricio Morales</t>
  </si>
  <si>
    <t>Retencion fte 1%  Transporte personal Oscar Mauricio Morales</t>
  </si>
  <si>
    <t>Retencion ica 6*1000 Transporte personal Oscar Mauricio Morales</t>
  </si>
  <si>
    <t>Peaje visita comercial</t>
  </si>
  <si>
    <t>Gaolina transporte visita comercial</t>
  </si>
  <si>
    <t>Almuerzo visita comercial</t>
  </si>
  <si>
    <t>Terminal pin hueco</t>
  </si>
  <si>
    <t xml:space="preserve">carolina </t>
  </si>
  <si>
    <t>Espiral para cable</t>
  </si>
  <si>
    <t>Aisladores escalonados</t>
  </si>
  <si>
    <t>Conector antifraude</t>
  </si>
  <si>
    <t>Tornillos, wasas, tuercas y arandelas para aisladores escalonados</t>
  </si>
  <si>
    <t>Router inalámbrico</t>
  </si>
  <si>
    <t>Borna #4</t>
  </si>
  <si>
    <t>Conduletas, uniones EMT, curvas EMT</t>
  </si>
  <si>
    <t>Envío materiales, trayecto: Pasto - Ipiales</t>
  </si>
  <si>
    <t>Cable de poder</t>
  </si>
  <si>
    <t>Juego de brocas escalonadas</t>
  </si>
  <si>
    <t>Riel din, frenos para riel</t>
  </si>
  <si>
    <t>Marquillas para cableado</t>
  </si>
  <si>
    <t>Minibreaker 3x50amp, borna terminal #6, caja rawelt 2x4</t>
  </si>
  <si>
    <t>Envío accesorios para riego, trayecto Pasto - Remolino</t>
  </si>
  <si>
    <t>Envío material eléctrico, trayecto Pasto - Remolino</t>
  </si>
  <si>
    <t>Tubos, curvas, uniones, capacete, terminales</t>
  </si>
  <si>
    <t>Termoencogible 5mm</t>
  </si>
  <si>
    <t>Terminales #8, termoencogible 5mm</t>
  </si>
  <si>
    <t>Carrera piagio, trayecto acuagen-oficina</t>
  </si>
  <si>
    <t>Logos evolti</t>
  </si>
  <si>
    <t>Tapa ciega 2X4</t>
  </si>
  <si>
    <t>Aisladores escalonado</t>
  </si>
  <si>
    <t>Envío materiales y reflector, trayecto: Pasto - Remolino</t>
  </si>
  <si>
    <t>Adaptador EMT 4"</t>
  </si>
  <si>
    <t>Envío cámara termográfica, trayecto: Cali - Pasto</t>
  </si>
  <si>
    <t xml:space="preserve">Almuerzo visita Juan Camilo Garcia </t>
  </si>
  <si>
    <t>juan camilo</t>
  </si>
  <si>
    <t xml:space="preserve">Transporte Juan Camilo Garcia </t>
  </si>
  <si>
    <t xml:space="preserve">Desayuno Juan Camilo Garcia </t>
  </si>
  <si>
    <t>Transporte cristhian Rosero</t>
  </si>
  <si>
    <t>Transporte a terminal cristhian Rosero</t>
  </si>
  <si>
    <t>Almuerzo visita Cristhian Rosero</t>
  </si>
  <si>
    <t>Transporte taxi cristhian Rosero</t>
  </si>
  <si>
    <t>Transporte a terminal</t>
  </si>
  <si>
    <t>Transporte Pasto - Ipiales</t>
  </si>
  <si>
    <t>Transporte terminal Ipiales - Hotel Adamo</t>
  </si>
  <si>
    <t>Desayuno Cristian Rosero - Juan Camilo</t>
  </si>
  <si>
    <t>Almuerzo Cristian Rosero</t>
  </si>
  <si>
    <t>Transporte Hotel Adamo - Terminal Ipiales</t>
  </si>
  <si>
    <t>Transporte terminal Pasto</t>
  </si>
  <si>
    <t>Compra elmentos de papeleria oficina</t>
  </si>
  <si>
    <t>Ingreso faltante en caja arqueo 26-2-25</t>
  </si>
  <si>
    <t>Juan carlos</t>
  </si>
  <si>
    <t>Anticipo Minigranja Lyra</t>
  </si>
  <si>
    <t>Anticipo minigranja Polaris 2</t>
  </si>
  <si>
    <t>pago de la factura FVEL 458 correspondiente a administración del mes Enero</t>
  </si>
  <si>
    <t>Ingresos GD</t>
  </si>
  <si>
    <t xml:space="preserve">Compra microfono para grabar videos </t>
  </si>
  <si>
    <t>Compra UDEMY CURSO</t>
  </si>
  <si>
    <t>Pago a SUPERITEDENCIA DE NOTARIADO Y REGISTRO 128-13276</t>
  </si>
  <si>
    <t>Pago servicio publico de acueducto empopasto</t>
  </si>
  <si>
    <t>Ingreso pago factura Hotel Cuellar</t>
  </si>
  <si>
    <t>Ingreso pago facturas hotel V1501</t>
  </si>
  <si>
    <t>Ingreso pago incapacidad  juan camilo Garcia</t>
  </si>
  <si>
    <t>Ingreso pago factura Tianshi enero</t>
  </si>
  <si>
    <t>Ingreso pago factura enero Balcones de Pubenza</t>
  </si>
  <si>
    <t>Ingreso devolucion prestamo factura V1501 Naos generacion</t>
  </si>
  <si>
    <t xml:space="preserve">Compra en alkosto impresora para oficina </t>
  </si>
  <si>
    <t xml:space="preserve">Compra en alkosto videoveem proyector para oficina </t>
  </si>
  <si>
    <t xml:space="preserve">Recepcion pago facturas clinica pabon </t>
  </si>
  <si>
    <t>Recepcion pago de EMPRESA DE SERVICIOS PUBLICOS VITALES DE ACUEDUCTO ALCANTARILLADO ASEO ELECTRICIDAD GAS Y COMUNICACIONES S A ESP ENERO</t>
  </si>
  <si>
    <t xml:space="preserve">Recepcion pago anticipo casa san Nicolas </t>
  </si>
  <si>
    <t>Recepcion pago factura EDIFICIO LA ARBOLEDA PROPIEDAD HORIZONTAL</t>
  </si>
  <si>
    <t>Recepcion pago anticipo Hotel adamo</t>
  </si>
  <si>
    <t>Recepcion pago factura enero DISPROPAN SAS</t>
  </si>
  <si>
    <t>Taxi aeropuerto PSO</t>
  </si>
  <si>
    <t>Taxi del aeropuerto a la casa</t>
  </si>
  <si>
    <t>servicio de alimentacion</t>
  </si>
  <si>
    <t>Taxi del Pasto al aeropuerto</t>
  </si>
  <si>
    <t>Recepcion anticipo francisco Guitierrez</t>
  </si>
  <si>
    <t>PAGO NOMINA SEGUNDA QUINCENA FEBRERO  ALBEIRO ORLANDO ESPAÑA HERNANDEZ</t>
  </si>
  <si>
    <t>PAGO NOMINA SEGUNDA QUINCENA FEBRERO  JHONSIN ARLEY ARIAS CEBALLOS</t>
  </si>
  <si>
    <t>PAGO NOMINA SEGUNDA QUINCENA FEBRERO  IVAN CAMILO MENESES ORDOÑEZ</t>
  </si>
  <si>
    <t>PAGO NOMINA SEGUNDA QUINCENA FEBRERO  RODRIGO QUINTERO DIAZ</t>
  </si>
  <si>
    <t>PAGO NOMINA SEGUNDA QUINCENA FEBRERO  RUBEN LOPEZ MUÑOZ</t>
  </si>
  <si>
    <t>PAGO NOMINA SEGUNDA QUINCENA FEBRERO  YOHN JAIRO BENAVIDES CHAMORRO</t>
  </si>
  <si>
    <t>PAGO NOMINA SEGUNDA QUINCENA FEBRERO  VIVIANA ANDREA AYALA PICHINA</t>
  </si>
  <si>
    <t xml:space="preserve">PAGO NOMINA SEGUNDA QUINCENA FEBRERO  JUAN DAVID GRANADA ALVAREZ </t>
  </si>
  <si>
    <t>PAGO NOMINA SEGUNDA QUINCENA FEBRERO  AURO EDILSON ARTEAGA MEZA</t>
  </si>
  <si>
    <t>PAGO NOMINA SEGUNDA QUINCENA FEBRERO  LEIDER LUVER LOPEZ DIAZ</t>
  </si>
  <si>
    <t>PAGO NOMINA SEGUNDA QUINCENA FEBRERO  WILLIAM HERNANDO CASTRO RODRIGUEZ</t>
  </si>
  <si>
    <t>PAGO NOMINA SEGUNDA QUINCENA FEBRERO  HOLMES GALINDEZ VALDEZ</t>
  </si>
  <si>
    <t>PAGO NOMINA SEGUNDA QUINCENA FEBRERO  ALEXANDER MUÑOZ DIAZ</t>
  </si>
  <si>
    <t>PAGO NOMINA SEGUNDA QUINCENA FEBRERO  JOSE DELIO ALMEIDA ALMEIDA</t>
  </si>
  <si>
    <t>PAGO NOMINA SEGUNDA QUINCENA FEBRERO  BRAYAN STIVEN PEREZ QUAQUEZ</t>
  </si>
  <si>
    <t>PAGO NOMINA SEGUNDA QUINCENA FEBRERO  DEIBER QUINTERO DIAZ</t>
  </si>
  <si>
    <t>PAGO NOMINA SEGUNDA QUINCENA FEBRERO  JESUS ALBERTO DIAZ PALACIOS</t>
  </si>
  <si>
    <t>PAGO NOMINA SEGUNDA QUINCENA FEBRERO  LUIS FERNANDO RODRIGUEZ MUÑOZ</t>
  </si>
  <si>
    <t>PAGO NOMINA SEGUNDA QUINCENA FEBRERO  JORGE LUIS LIZCANO NIÑO</t>
  </si>
  <si>
    <t>PAGO NOMINA SEGUNDA QUINCENA FEBRERO  CARLOS HERNANDO ENRIQUEZ DIAZ</t>
  </si>
  <si>
    <t>PAGO NOMINA SEGUNDA QUINCENA FEBRERO  FABIAN OJEDA RODRIGUEZ</t>
  </si>
  <si>
    <t>PAGO NOMINA SEGUNDA QUINCENA FEBRERO  ASTRID VEIDUD LOPEZ NARVAEZ</t>
  </si>
  <si>
    <t>PAGO NOMINA SEGUNDA QUINCENA FEBRERO  ANDI NEISER GALINDEZ DELGADO</t>
  </si>
  <si>
    <t>PAGO NOMINA SEGUNDA QUINCENA FEBRERO  ODELMER DAZA PEREZ</t>
  </si>
  <si>
    <t>PAGO NOMINA SEGUNDA QUINCENA FEBRERO  JEANCARLO GUILLERMO MONCAYO ANDRADE</t>
  </si>
  <si>
    <t>PAGO NOMINA SEGUNDA QUINCENA FEBRERO  SEGUNDO MARCIAL GELPUD BOTINA</t>
  </si>
  <si>
    <t>PAGO NOMINA SEGUNDA QUINCENA FEBRERO  EDILFONSO ROSERO CASTILLO</t>
  </si>
  <si>
    <t>PAGO NOMINA SEGUNDA QUINCENA FEBRERO  JIMMI ALEXANDER BURGOS GUERRERO</t>
  </si>
  <si>
    <t xml:space="preserve">PAGO NOMINA SEGUNDA QUINCENA FEBRERO  JUAN ESTEBAN BLANCO QUIROGA </t>
  </si>
  <si>
    <t>PAGO NOMINA SEGUNDA QUINCENA FEBRERO  LUZ IRMA ORTEGA CIFUENTES</t>
  </si>
  <si>
    <t>PAGO NOMINA SEGUNDA QUINCENA FEBRERO  JEFERSON VERGARA MUÑOZ</t>
  </si>
  <si>
    <t>PAGO NOMINA SEGUNDA QUINCENA FEBRERO  JORGE ANDRES MUÑOZ MARTINEZ</t>
  </si>
  <si>
    <t>PAGO NOMINA SEGUNDA QUINCENA FEBRERO  YALINER ILVIRA FIGUEROA</t>
  </si>
  <si>
    <t>PAGO NOMINA SEGUNDA QUINCENA FEBRERO  ALBERT FIGUEROA</t>
  </si>
  <si>
    <t>PAGO NOMINA SEGUNDA QUINCENA FEBRERO  JOSE MAURICIO PAZ JURADO</t>
  </si>
  <si>
    <t>PAGO NOMINA SEGUNDA QUINCENA FEBRERO  LUIS ALBERTO ALMEIDA MATABAJOY</t>
  </si>
  <si>
    <t xml:space="preserve">PAGO NOMINA SEGUNDA QUINCENA FEBRERO  DIEGO ANDRES ARAUJO NARVAEZ </t>
  </si>
  <si>
    <t>PAGO NOMINA SEGUNDA QUINCENA FEBRERO  ROYER IDELVER LOPEZ SOLARTE</t>
  </si>
  <si>
    <t xml:space="preserve">PAGO NOMINA SEGUNDA QUINCENA FEBRERO  DILBER  MAURICIO PAZ ALMEIDA </t>
  </si>
  <si>
    <t>PAGO NOMINA SEGUNDA QUINCENA FEBRERO  WILLIAMS ALFREDO VILLAR MORA</t>
  </si>
  <si>
    <t>PAGO NOMINA SEGUNDA QUINCENA FEBRERO  YOHN ANDERSON LOPEZ JAIMEZ</t>
  </si>
  <si>
    <t>PAGO NOMINA SEGUNDA QUINCENA FEBRERO  JAVIER ANDRES RODRIGUEZ SANTIUSTY</t>
  </si>
  <si>
    <t xml:space="preserve">PAGO NOMINA SEGUNDA QUINCENA FEBRERO  CRISTIAN FERNANDO PASTAS CUESTAS </t>
  </si>
  <si>
    <t xml:space="preserve">PAGO NOMINA SEGUNDA QUINCENA FEBRERO  WILSON ALEJANDRO MORA ERAZO </t>
  </si>
  <si>
    <t>PAGO NOMINA SEGUNDA QUINCENA FEBRERO  BRANDON GUAQUEZ TITISTAR</t>
  </si>
  <si>
    <t>PAGO NOMINA SEGUNDA QUINCENA FEBRERO  DANGER ESTIVENSON BENAVIDES ORTEGA</t>
  </si>
  <si>
    <t>PAGO NOMINA SEGUNDA QUINCENA FEBRERO  ORLANDO DIAZ LOPEZ</t>
  </si>
  <si>
    <t>PAGO NOMINA SEGUNDA QUINCENA FEBRERO  DIANA CRISTINA MARTINEZ</t>
  </si>
  <si>
    <t>PAGO NOMINA SEGUNDA QUINCENA FEBRERO  SANDRO ALBEIRO DELGADO MARTINEZ</t>
  </si>
  <si>
    <t>PAGO NOMINA SEGUNDA QUINCENA FEBRERO  RUBEN DARIO SILVA RODRIGUEZ</t>
  </si>
  <si>
    <t>PAGO NOMINA SEGUNDA QUINCENA FEBRERO  ANDRES WILFREDY BASTIDAS GALINDEZ</t>
  </si>
  <si>
    <t xml:space="preserve">PAGO NOMINA SEGUNDA QUINCENA FEBRERO  JOSE MANUEL LOPEZ OBANDO </t>
  </si>
  <si>
    <t xml:space="preserve">PAGO NOMINA SEGUNDA QUINCENA FEBRERO  EDISON ENRIQUE CANTILLO CORONADO </t>
  </si>
  <si>
    <t>PAGO NOMINA SEGUNDA QUINCENA FEBRERO  DEIMAN JARINSON DAVID MUÑOZ</t>
  </si>
  <si>
    <t>PAGO NOMINA SEGUNDA QUINCENA FEBRERO  JOSE DEL CARMEN GUERRERO BERDUGO</t>
  </si>
  <si>
    <t>PAGO NOMINA SEGUNDA QUINCENA FEBRERO  ALEX DUVAN CIFUENTES PAZ</t>
  </si>
  <si>
    <t>PAGO NOMINA SEGUNDA QUINCENA FEBRERO  DANILO JAVIER OJEDA NARVAEZ</t>
  </si>
  <si>
    <t xml:space="preserve">PAGO NOMINA SEGUNDA QUINCENA FEBRERO  NORELI SELENA DIAZ JURADO </t>
  </si>
  <si>
    <t>PAGO NOMINA SEGUNDA QUINCENA FEBRERO  RICARDO HERNAN ORTIZ</t>
  </si>
  <si>
    <t>PAGO NOMINA SEGUNDA QUINCENA FEBRERO  YEINSON ANDRES GUAQUEZ JURADO</t>
  </si>
  <si>
    <t xml:space="preserve">PAGO NOMINA SEGUNDA QUINCENA FEBRERO  KEVIN JONATHAN MONTILLA RIASCOS </t>
  </si>
  <si>
    <t>PAGO NOMINA SEGUNDA QUINCENA FEBRERO  OSCAR IVAN MELENDEZ GARCIA</t>
  </si>
  <si>
    <t xml:space="preserve">PAGO NOMINA SEGUNDA QUINCENA FEBRERO  ALEXANDER DAVID BETANCOURT CARVAJAL </t>
  </si>
  <si>
    <t xml:space="preserve">PAGO NOMINA SEGUNDA QUINCENA FEBRERO  CRISTIAN ANDRES CHITAN </t>
  </si>
  <si>
    <t xml:space="preserve">PAGO NOMINA SEGUNDA QUINCENA FEBRERO  JAVIER GIOVANI YANDUN INAGAN </t>
  </si>
  <si>
    <t>PAGO NOMINA SEGUNDA QUINCENA FEBRERO  JHONY FERNANDO RIASCOS CEBALLOS</t>
  </si>
  <si>
    <t>PAGO NOMINA SEGUNDA QUINCENA FEBRERO  JASON STEVEN DIAZ GUEVARA </t>
  </si>
  <si>
    <t>PAGO NOMINA SEGUNDA QUINCENA FEBRERO  OSCAR ANDRES CASTRO BOTINA</t>
  </si>
  <si>
    <t>PAGO NOMINA SEGUNDA QUINCENA FEBRERO  EDWIN LEONARDO MARTINEZ YAQUENO</t>
  </si>
  <si>
    <t>PAGO NOMINA SEGUNDA QUINCENA FEBRERO  JHORDY STEVEN TRUJILLO GALEANDO</t>
  </si>
  <si>
    <t xml:space="preserve">PAGO NOMINA SEGUNDA QUINCENA FEBRERO  JOHAN SEBASTIAN OVIEDO NIÑAN </t>
  </si>
  <si>
    <t>PAGO NOMINA SEGUNDA QUINCENA FEBRERO  JOSE ALVEIRO CUSIS HERNANDEZ</t>
  </si>
  <si>
    <t>PAGO NOMINA SEGUNDA QUINCENA FEBRERO  IVAN DARIO CAICEDO CALVACHE</t>
  </si>
  <si>
    <t>PAGO NOMINA SEGUNDA QUINCENA FEBRERO  MARIO ALEXANDER CUSIS HERNANDEZ</t>
  </si>
  <si>
    <t>PAGO NOMINA SEGUNDA QUINCENA FEBRERO  JOY JAMIT MOSQUERA ORDOÑEZ</t>
  </si>
  <si>
    <t>PAGO NOMINA SEGUNDA QUINCENA FEBRERO  WIILLIAM ALBERTO AZA CRIOLLO</t>
  </si>
  <si>
    <t xml:space="preserve">PAGO NOMINA SEGUNDA QUINCENA FEBRERO  JHON ALEXANDER GELPUD ZAMORA </t>
  </si>
  <si>
    <t xml:space="preserve">PAGO NOMINA SEGUNDA QUINCENA FEBRERO  RUBEN DARIO ESPINOSA PARRA </t>
  </si>
  <si>
    <t>PAGO NOMINA SEGUNDA QUINCENA FEBRERO  JORGE ANDRES BARRERA YANDAR</t>
  </si>
  <si>
    <t>PAGO NOMINA SEGUNDA QUINCENA FEBRERO  ANDRES FERNANDO ESPINOSA GUACALES</t>
  </si>
  <si>
    <t>PAGO NOMINA SEGUNDA QUINCENA FEBRERO  JOSE RAFAEL RUEDA HERRERA</t>
  </si>
  <si>
    <t>PAGO NOMINA SEGUNDA QUINCENA FEBRERO  JERSON ALEXIS GOMEZ ACOSTA</t>
  </si>
  <si>
    <t xml:space="preserve">PAGO NOMINA SEGUNDA QUINCENA FEBRERO  MARTIN ALONSO SOSSA AGUIRRE </t>
  </si>
  <si>
    <t>PAGO NOMINA SEGUNDA QUINCENA FEBRERO  RAUL BARBENLEY CASTRO RIVERA</t>
  </si>
  <si>
    <t>PAGO NOMINA SEGUNDA QUINCENA FEBRERO  EDERSON DAZA ARTEAGA</t>
  </si>
  <si>
    <t xml:space="preserve">PAGO NOMINA SEGUNDA QUINCENA FEBRERO  SERGIO DAVID ZAMBRANO ESCOBAR </t>
  </si>
  <si>
    <t>PAGO NOMINA SEGUNDA QUINCENA FEBRERO  DANIELA ARBOLEDA RODRIGUEZ</t>
  </si>
  <si>
    <t>PAGO NOMINA SEGUNDA QUINCENA FEBRERO  NICOLAS LOPEZ DULCE</t>
  </si>
  <si>
    <t xml:space="preserve">PAGO NOMINA SEGUNDA QUINCENA FEBRERO  JOSE JULIAN OCAMPO URIBE </t>
  </si>
  <si>
    <t>PAGO NOMINA SEGUNDA QUINCENA FEBRERO  JUAN FERNANDO PANIAGUA OSORIO</t>
  </si>
  <si>
    <t>PAGO NOMINA SEGUNDA QUINCENA FEBRERO  LEIBNITZ EDUARDO CHANA CALDERON</t>
  </si>
  <si>
    <t>PAGO NOMINA SEGUNDA QUINCENA FEBRERO  MIGUEL ALEJANDRO ENRIQUEZ CHAMORRO</t>
  </si>
  <si>
    <t>PAGO NOMINA SEGUNDA QUINCENA FEBRERO  DANNA STEFANYA LASSO GUERRA</t>
  </si>
  <si>
    <t>PAGO NOMINA SEGUNDA QUINCENA FEBRERO  JAVIER SEBASTIÁN LUCENA VILLARREAL</t>
  </si>
  <si>
    <t>PAGO NOMINA SEGUNDA QUINCENA FEBRERO  ANDRES FELIPE DELGADO ZUTTA</t>
  </si>
  <si>
    <t>PAGO NOMINA SEGUNDA QUINCENA FEBRERO  HERNAN DARIO CABRERA QUITIAQUEZ</t>
  </si>
  <si>
    <t>PAGO NOMINA SEGUNDA QUINCENA FEBRERO  DANNA EVELYN ARMERO ROSERO</t>
  </si>
  <si>
    <t>PAGO NOMINA SEGUNDA QUINCENA FEBRERO  DIANA ALEJANDRA MERA MUÑOZ</t>
  </si>
  <si>
    <t>PAGO NOMINA SEGUNDA QUINCENA FEBRERO  CRISTHIAN CAMILO ROSERO ALVAREZ</t>
  </si>
  <si>
    <t>PAGO NOMINA SEGUNDA QUINCENA FEBRERO  JHOANA MARCELA GERMAN REYES</t>
  </si>
  <si>
    <t>PAGO NOMINA SEGUNDA QUINCENA FEBRERO  JUAN MANUEL ESPAÑA FORERO</t>
  </si>
  <si>
    <t>PAGO NOMINA SEGUNDA QUINCENA FEBRERO  HERMANN SOUZA CUBIDES</t>
  </si>
  <si>
    <t>PAGO NOMINA SEGUNDA QUINCENA FEBRERO  SANDRA CAROLINA PATASCOY BOTINA</t>
  </si>
  <si>
    <t>PAGO NOMINA SEGUNDA QUINCENA FEBRERO  YULY ANDREA JARAMILLO GUERRERO</t>
  </si>
  <si>
    <t>PAGO NOMINA SEGUNDA QUINCENA FEBRERO  LOREN ALEJANDRA DIAZ YAMPUEZAN</t>
  </si>
  <si>
    <t xml:space="preserve">PAGO NOMINA SEGUNDA QUINCENA FEBRERO  MARIA FERNANDA CHAMORRO </t>
  </si>
  <si>
    <t>PAGO NOMINA SEGUNDA QUINCENA FEBRERO  CRISTINA LASSO</t>
  </si>
  <si>
    <t>PAGO NOMINA SEGUNDA QUINCENA FEBRERO  JUAN CARLOS CAÑAR POTOSI</t>
  </si>
  <si>
    <t>PAGO NOMINA SEGUNDA QUINCENA FEBRERO  RUBIELA DEL SOCORRO RAMOS PARRA</t>
  </si>
  <si>
    <t>PAGO NOMINA SEGUNDA QUINCENA FEBRERO  JUAN JOSE NARVEAEZ</t>
  </si>
  <si>
    <t>PAGO NOMINA SEGUNDA QUINCENA FEBRERO  JUAN CAMILO GARCIA SOUZA</t>
  </si>
  <si>
    <t>PAGO NOMINA SEGUNDA QUINCENA FEBRERO  CINDY JOHANA CARLOSAMA HERNANDEZ</t>
  </si>
  <si>
    <t>PAGO NOMINA SEGUNDA QUINCENA FEBRERO  JUAN ESTEBAN IBARRA CAMUES</t>
  </si>
  <si>
    <t>PAGO NOMINA SEGUNDA QUINCENA FEBRERO  JUAN SEBASTIAN GOMEZ LEAL</t>
  </si>
  <si>
    <t>PAGO NOMINA SEGUNDA QUINCENA FEBRERO  LUISA FERNANDA OBANDO VITAR</t>
  </si>
  <si>
    <t xml:space="preserve">PAGO NOMINA SEGUNDA QUINCENA FEBRERO  SARA LUCIA DAZA LOPEZ </t>
  </si>
  <si>
    <t>PAGO NOMINA SEGUNDA QUINCENA FEBRERO  CLAUDIA STELLA CORAL ERASO</t>
  </si>
  <si>
    <t>PAGO NOMINA SEGUNDA QUINCENA FEBRERO  JULLY PAOLA AGUDELO BAEZ</t>
  </si>
  <si>
    <t>PAGO NOMINA SEGUNDA QUINCENA FEBRERO  VERONICA LILIANA SANTACRUZ MENZA</t>
  </si>
  <si>
    <t xml:space="preserve">PAGO COMISION VERONICA SANTACRUZ HOSPITAL INFANTIL </t>
  </si>
  <si>
    <t xml:space="preserve">PAGO COMISION VERONICA SANTACRUZ EPRESAS AGUA DE CIUDAD DEL SUR </t>
  </si>
  <si>
    <t xml:space="preserve">EMPRESAS DE AGUA DE CIUDAD DEL SUR </t>
  </si>
  <si>
    <t>PAGO NOMINA SEGUNDA QUINCENA FEBRERO  JULIO BELALCAZAR MURILLO</t>
  </si>
  <si>
    <t>PAGO NOMINA SEGUNDA QUINCENA FEBRERO  IVAN DANIEL MONTILLA CORAL</t>
  </si>
  <si>
    <t xml:space="preserve">PAGO NOMINA SEGUNDA QUINCENA FEBRERO  CAROLINA CARDONA PAREJA </t>
  </si>
  <si>
    <t>PAGO NOMINA SEGUNDA QUINCENA FEBRERO  MARIANA SALDARRIAGA CADAVID</t>
  </si>
  <si>
    <t>PAGO NOMINA SEGUNDA QUINCENA FEBRERO  PAOLA ANDREA SEGURA MARTINEZ</t>
  </si>
  <si>
    <t>PAGO NOMINA SEGUNDA QUINCENA FEBRERO  NESTOR ANDRES ARCINIEGAS VILLAMARIN</t>
  </si>
  <si>
    <t>PAGO NOMINA SEGUNDA QUINCENA FEBRERO  JHON EDINSON SANCHEZ CAMACHO</t>
  </si>
  <si>
    <t>PAGO NOMINA SEGUNDA QUINCENA FEBRERO  KELLY TATIANA ALVAREZ GARCIA</t>
  </si>
  <si>
    <t>PAGO NOMINA SEGUNDA QUINCENA FEBRERO  ANA MILENA HENAO GONZALEZ</t>
  </si>
  <si>
    <t xml:space="preserve">PAGO NOMINA SEGUNDA QUINCENA FEBRERO  JOSE ESTEBAN RODRIGUEZ QUINTERO </t>
  </si>
  <si>
    <t>PAGO NOMINA SEGUNDA QUINCENA FEBRERO  MOISES RUIZ AYALA</t>
  </si>
  <si>
    <t>PAGO NOMINA SEGUNDA QUINCENA FEBRERO  MARIA ELENA RIVERA SOTO</t>
  </si>
  <si>
    <t>Retencion fte 1% transporte personal Oscar Mauricio Morales</t>
  </si>
  <si>
    <t>Retencion ica 6*1000 transporte personal Oscar Mauricio Morales</t>
  </si>
  <si>
    <t>Compra en Alkosto aromaticas para ofiicina</t>
  </si>
  <si>
    <t xml:space="preserve">Refrigerio de apagón nocturno para 25 personas </t>
  </si>
  <si>
    <t>Stefania</t>
  </si>
  <si>
    <t>Compra Hidratación para refrigerio</t>
  </si>
  <si>
    <t>ACPM CAMIONETA KYY983</t>
  </si>
  <si>
    <t>Ederson Daza</t>
  </si>
  <si>
    <t>ACPM PLANTA ELECTRICA</t>
  </si>
  <si>
    <t xml:space="preserve">TUBERIA Y ACCESORIOS </t>
  </si>
  <si>
    <t>HIDRATACIÓN</t>
  </si>
  <si>
    <t>PAPELERIA</t>
  </si>
  <si>
    <t>GASOLINA PARA DISOLVER PINTURA</t>
  </si>
  <si>
    <t>6  BORNA 500 MCM TERMINAL BIMETALICA - CILES</t>
  </si>
  <si>
    <t>TRANSPORTE 6  BORNA 500 MCM TERMINAL BIMETALICA</t>
  </si>
  <si>
    <t>LOGISTICA COMPRA Y ENVIO DE BORNA</t>
  </si>
  <si>
    <t>ACCESORIOS PARA ESTRUCTURA DE DRYWALL</t>
  </si>
  <si>
    <t>VIATICOS PARA TRANSPORTE IDA Y REGRESO A REMOLINO-PASTO</t>
  </si>
  <si>
    <t xml:space="preserve">Alexander Betancourt </t>
  </si>
  <si>
    <t>FRANELA, GALON DE ACEITE,GAFAS, VARILLA 1/2", CHIPA, TABLA PINO, LISTON 8*4, TORNILLOS, LISTON 4*4, DECAMETRO 50 M Y MANILA.</t>
  </si>
  <si>
    <t>COMPRA DE CUADERNO PARA BITACORA Y LAPICEROS</t>
  </si>
  <si>
    <t>PAGO ASEO HABITACIONES SEMANA 17-22 FEBRERO</t>
  </si>
  <si>
    <t>IMPLEMENTOS DE ASEO</t>
  </si>
  <si>
    <t>BUJIA PARA HOYADORA Y BOMBILLO PARA CAMIONETA</t>
  </si>
  <si>
    <t xml:space="preserve">COMPRA DE MADERA </t>
  </si>
  <si>
    <t>COMPRA DE DISCO DE CORTE, TABLA PINO Y ALAMBRE DE AMARRE</t>
  </si>
  <si>
    <t>IMPRESIONES Y COPIAS</t>
  </si>
  <si>
    <t xml:space="preserve">Peaje Pasto camioneta LHR730  (ida) </t>
  </si>
  <si>
    <t xml:space="preserve">Yonh Jairo </t>
  </si>
  <si>
    <t xml:space="preserve">Peaje Pasto camioneta LHR730  (vuelta) </t>
  </si>
  <si>
    <t xml:space="preserve">Compra de discor de corte metal, decámetros, cinta </t>
  </si>
  <si>
    <t>Compra de zinc, armarras para construcción de acopio de residuos</t>
  </si>
  <si>
    <t>Compra de 3  botellones de agua</t>
  </si>
  <si>
    <t>compra de llaves mixtas #22</t>
  </si>
  <si>
    <t>Pago de servicio de energía</t>
  </si>
  <si>
    <t>Compra de gasolina para guadaña</t>
  </si>
  <si>
    <t>Compra cal para delimitación de la malla a tierra y cajillas cuarto eléctrico</t>
  </si>
  <si>
    <t>Terminales tipo pin # 10-12</t>
  </si>
  <si>
    <t xml:space="preserve">Carolina </t>
  </si>
  <si>
    <t>Impresión volantes</t>
  </si>
  <si>
    <t>Envío impresora, dotación y terminales tipo pin</t>
  </si>
  <si>
    <t>Filtro tipo aceite (Pago de excedente por saldo a favor)</t>
  </si>
  <si>
    <t>Barreno 200mm</t>
  </si>
  <si>
    <t>Juego cuchillas barreno</t>
  </si>
  <si>
    <t>Envío barreno y cuchilla para barreno</t>
  </si>
  <si>
    <t>Conectores rectos coraza 1", amarras plásticas 20cm</t>
  </si>
  <si>
    <t>Estuco acrílico, vinilo tipo 1, pliego lija 150</t>
  </si>
  <si>
    <t>Corte en lámina</t>
  </si>
  <si>
    <t>Borna #2 Cu</t>
  </si>
  <si>
    <t>Carreras piaggio, trayectos: La ferro - Oficina, Oficina - Guillermo EPC</t>
  </si>
  <si>
    <t>Casa Guillermo</t>
  </si>
  <si>
    <t>Paño microfibra</t>
  </si>
  <si>
    <t>Servicio de carretila en el Terminal</t>
  </si>
  <si>
    <t>Envío materiales para mantenimiento, trayecto: Pasto - Ipiales</t>
  </si>
  <si>
    <t>Envío botiquines, extintores y cámara termográfica, trayecto Pasto - Remolino</t>
  </si>
  <si>
    <t>Envío saltarín, trayecto Pasto - Remolino</t>
  </si>
  <si>
    <t>Envío cable 1/0, bornas bimetálicas 500kcmil, trayecto Pasto - Remolino</t>
  </si>
  <si>
    <t>Envío documentos, trayecto: Remolio - Pasto</t>
  </si>
  <si>
    <t>Carreras piaggio, trayectos: Oficina - Terminal mixto, Terminal mixto - Oficina</t>
  </si>
  <si>
    <t>Carreras piaggio, trayectos: Oficina - Surtiequipos, Surtiequipos - La Ferro</t>
  </si>
  <si>
    <t>Envío saltarín, trayecto: Remolino -Pasto</t>
  </si>
  <si>
    <t>Sacas grandes y medianas</t>
  </si>
  <si>
    <t>Terminal recto coraza 1", canaleta plástica 60x40</t>
  </si>
  <si>
    <t>Tornillos, wasas, arandelas para aislador escalonado</t>
  </si>
  <si>
    <t>Espátula 3"</t>
  </si>
  <si>
    <t>Envío cable y prensaestopa, trayecto: Pasto - Remolino</t>
  </si>
  <si>
    <t>Terminal 1/0 Cobre</t>
  </si>
  <si>
    <t>Cinta peligro, Tornillo Drywall</t>
  </si>
  <si>
    <t>Serrucho, disco de corte metal, clavos de acero</t>
  </si>
  <si>
    <t>Cable 1/0 Cu</t>
  </si>
  <si>
    <t>Transporte personal Jennifer Portilla Chaucanes</t>
  </si>
  <si>
    <t>Retencion fte 1% Transporte personal Jennifer Portilla Chaucanes</t>
  </si>
  <si>
    <t>Retencion ica 6*1000 Transporte personal Jennifer Portilla Chaucanes</t>
  </si>
  <si>
    <t>Transporte terminal de Pasto - Ipiales</t>
  </si>
  <si>
    <t>Transporte terminal de ipiales - Hotel adamo</t>
  </si>
  <si>
    <t>Almuerzo Cristian Rosero - Ruben Espinosa</t>
  </si>
  <si>
    <t>Transporte Hotel adamo - Edificio IPK para aprobación ingenieria</t>
  </si>
  <si>
    <t>Transporte a terminal de ipiales</t>
  </si>
  <si>
    <t xml:space="preserve">Transporte terminal de  Ipiales - Pasto </t>
  </si>
  <si>
    <t>Compra caja de fresa dia de la mujer Popayan</t>
  </si>
  <si>
    <t>Almuerzo/Desayuno</t>
  </si>
  <si>
    <t>Juan camilo garcia</t>
  </si>
  <si>
    <t xml:space="preserve">Transporte </t>
  </si>
  <si>
    <t>Transporte Oficina a Casa francisco Gutierrez</t>
  </si>
  <si>
    <t>Transporte Casa francisco Gutierrez a Oficina</t>
  </si>
  <si>
    <t>Transporte visista Delta</t>
  </si>
  <si>
    <t xml:space="preserve">Rubiela </t>
  </si>
  <si>
    <t>Transporte polaris</t>
  </si>
  <si>
    <t>Compra refrigerio capacitacion</t>
  </si>
  <si>
    <t xml:space="preserve">1 cena </t>
  </si>
  <si>
    <t>Ruben</t>
  </si>
  <si>
    <t>Compra 4 Tajillos</t>
  </si>
  <si>
    <t xml:space="preserve">Servicio restaurante </t>
  </si>
  <si>
    <t>30 tiqueteras desayuno</t>
  </si>
  <si>
    <t>30 tiqueteras almuerzo</t>
  </si>
  <si>
    <t xml:space="preserve">Taxi pasto </t>
  </si>
  <si>
    <t xml:space="preserve">Taxi ipiales </t>
  </si>
  <si>
    <t>2 cenas</t>
  </si>
  <si>
    <t xml:space="preserve">servicio comedor </t>
  </si>
  <si>
    <t>30 tiquetera Cenas</t>
  </si>
  <si>
    <t>Ingreso pago error en liquidacion Huber</t>
  </si>
  <si>
    <t>Pago Wework factura WC1210835</t>
  </si>
  <si>
    <t>Retencion fte 4% Pago Wework factura WC1210835</t>
  </si>
  <si>
    <t>pago cartera leasing  cuota 7/36</t>
  </si>
  <si>
    <t>Pago camara de comercio</t>
  </si>
  <si>
    <t>Pago a AVILA WAGNER SAS  COT V - 001 - 37069</t>
  </si>
  <si>
    <t>Pago a PREMIUM ENERGY SERVICES SA FE 13948</t>
  </si>
  <si>
    <t>Retencion fte 3,5% PREMIUM ENERGY SERVICES SA FE 13948</t>
  </si>
  <si>
    <t>Pago a AVIA LEGAL SAS  FC 10138</t>
  </si>
  <si>
    <t>Retencion fte 11% AVIA LEGAL SAS  FC 10138</t>
  </si>
  <si>
    <t>Pago realizado a BENAEQUIPOS FC 929</t>
  </si>
  <si>
    <t>Retencion de iva BENAEQUIPOS FC 929</t>
  </si>
  <si>
    <t>Pago a HUMBERTO JAVIER ROSERO POTOSI  COTIZACION 52 ANTICIPO 50%</t>
  </si>
  <si>
    <t>Pago a TABLESA COTIZACION: TA95-25 ANTICIPO 50%</t>
  </si>
  <si>
    <t>Pago UPME refugio valle de atriz</t>
  </si>
  <si>
    <t>Pago a ELECTRICOS DEL VALLE OFERTA SO-708004</t>
  </si>
  <si>
    <t>Pago a MELBA LIGIA MONCAYO LA FERRO RM1-4103</t>
  </si>
  <si>
    <t>Retencion fte 2,5%  MELBA LIGIA MONCAYO LA FERRO RM1-4103</t>
  </si>
  <si>
    <t>Retencion ica 6*1000 MELBA LIGIA MONCAYO LA FERRO RM1-4103</t>
  </si>
  <si>
    <t>Pago a MELBA LIGIA MONCAYO LA FERRO RM1-4107</t>
  </si>
  <si>
    <t>Retencion fte 2,5%  MELBA LIGIA MONCAYO LA FERRO RM1-4107</t>
  </si>
  <si>
    <t>Retencion ica 6*1000 MELBA LIGIA MONCAYO LA FERRO RM1-4107</t>
  </si>
  <si>
    <t>Pago a MELBA LIGIA MONCAYO LA FERRO RM1-4109</t>
  </si>
  <si>
    <t>Retencion fte 2,5%  MELBA LIGIA MONCAYO LA FERRO RM1-4109</t>
  </si>
  <si>
    <t>Retencion ica 6*1000 MELBA LIGIA MONCAYO LA FERRO RM1-4109</t>
  </si>
  <si>
    <t>Pago a CEDENAR ESP de trabajo en línea viva para la adecuación del punto frontera de los proyectos Naos</t>
  </si>
  <si>
    <t>Pago UPME FEDERICO GOMEZ &amp; CIA SAS (GOLDTERRA ESTACION ANDALUCIA)</t>
  </si>
  <si>
    <t>Pago JUAN SEBASTIAN RODRIGUEZ SEVILLA CUENTA DE COBRO</t>
  </si>
  <si>
    <t xml:space="preserve">Pago a MARCOS DANIEL OJEDA ALIMENTACIO </t>
  </si>
  <si>
    <t>Pago a SUPERITEDENCIA DE NOTARIADO Y REGISTRO 045-61533</t>
  </si>
  <si>
    <t>Pago a SUPERITEDENCIA DE NOTARIADO Y REGISTRO 045-5273</t>
  </si>
  <si>
    <t>Pago a SUPERITEDENCIA DE NOTARIADO Y REGISTRO 045-4039</t>
  </si>
  <si>
    <t>Pago a SUPERITEDENCIA DE NOTARIADO Y REGISTRO 045-257545</t>
  </si>
  <si>
    <t>Pago a SUPERITEDENCIA DE NOTARIADO Y REGISTRO 045-257551</t>
  </si>
  <si>
    <t>Pago a PROTECTO FED 4107</t>
  </si>
  <si>
    <t>Pago a NEGAWATT COT 235</t>
  </si>
  <si>
    <t>Retencion fte NEGAWATT COT 235</t>
  </si>
  <si>
    <t>Pago a DIANA ALEJANDRA MERA DIA DE LA MUJER CALI</t>
  </si>
  <si>
    <t>Pago a KELLY TATIANA ALVAREZ DIA DE LA MUJER MEDELLIN</t>
  </si>
  <si>
    <t>Pago a SARA LUCIA DAZA LOPEZ DIA DE LA MUJER REMIOLINO</t>
  </si>
  <si>
    <t>Pago a PROTECTO COTIZACION C-1-1237</t>
  </si>
  <si>
    <t>Pago retencion ica 6*1000 PROTECTO COTIZACION C-1-1237</t>
  </si>
  <si>
    <t>Pago tiquete Juan Rodriguez  Medellin-pasto</t>
  </si>
  <si>
    <t>Pago tiquete Juan Rodriguez  pasto-Medellin</t>
  </si>
  <si>
    <t>Transporte cali-tulua</t>
  </si>
  <si>
    <t>Daniela</t>
  </si>
  <si>
    <t xml:space="preserve">Diana Alejandra </t>
  </si>
  <si>
    <t>Gasolina Nicolas</t>
  </si>
  <si>
    <t>Dron Cali - Popayan</t>
  </si>
  <si>
    <t>Pago CARLOS ALBERTO ARBOLEDA BROKERS CESAR</t>
  </si>
  <si>
    <t>Pago a MALLIESA factura FVE 431</t>
  </si>
  <si>
    <t>Retencion fte 3,5%  MALLIESA factura FVE 431</t>
  </si>
  <si>
    <t>Retencion ica 6*1000 MALLIESA factura FVE 431</t>
  </si>
  <si>
    <t>MOISES RUIZ AYALA BROKERS SANTANDER</t>
  </si>
  <si>
    <t xml:space="preserve">Pago a narvaez Sulerna Almuerzo dia d la mujer </t>
  </si>
  <si>
    <t xml:space="preserve">Retencion fte 3,5% narvaez Sulerna Almuerzo dia d la mujer </t>
  </si>
  <si>
    <t xml:space="preserve">Retenciones ica 6*1000 narvaez Sulerna Almuerzo dia d la mujer </t>
  </si>
  <si>
    <t>Alquiler de trompo de 1/2 bulto</t>
  </si>
  <si>
    <t>Tanqueo Nicolás</t>
  </si>
  <si>
    <t>Hidratación n°1</t>
  </si>
  <si>
    <t>Hidratación n°2</t>
  </si>
  <si>
    <t>Transporte desde terminal de Tulúa a PY-Andalucia</t>
  </si>
  <si>
    <t>Tanqueo gasolina Martin Sossa</t>
  </si>
  <si>
    <t>Transporte a visita PY-BAS INGENIEIRA</t>
  </si>
  <si>
    <t>Bus transporte Jose Rueda a terminal Tulúa</t>
  </si>
  <si>
    <t>Tiquete transporte terminal de Tulúa - Cali Jose Rueda</t>
  </si>
  <si>
    <t>Tanqueo para transporte visita a PY-BAS INGENIERIA</t>
  </si>
  <si>
    <t>Sevedol extra fuerte</t>
  </si>
  <si>
    <t>Bolsas de hielo</t>
  </si>
  <si>
    <t>Transporte Juan Sebastian a terminal Tulúa</t>
  </si>
  <si>
    <t>Tiquete transporte terminal de Tulúa - Cali Juan Sebastian</t>
  </si>
  <si>
    <t>Arreglo demoledor</t>
  </si>
  <si>
    <t>Brocas de 1/2 y 3/8</t>
  </si>
  <si>
    <t>Tanqueo gasolina Nicolás</t>
  </si>
  <si>
    <t>Tanqueo gasolina Jersson Gomez</t>
  </si>
  <si>
    <t>Viaticos (Cena Martin)</t>
  </si>
  <si>
    <t>Viaticos (3 Cena)</t>
  </si>
  <si>
    <t>Viaticos (3 cenas)</t>
  </si>
  <si>
    <t>Pago Meico estado de cuenta vencidas 2024 (48)</t>
  </si>
  <si>
    <t>Pago Meico estado de cuenta vencidas 2024 (18)</t>
  </si>
  <si>
    <t>Pago Meico estado de cuenta vencidas 2024 (41)</t>
  </si>
  <si>
    <t>Pago Meico estado de cuenta vencidas 2024(144)</t>
  </si>
  <si>
    <t>Peaje Medellín - Aeropuerto</t>
  </si>
  <si>
    <t>Kely Alvares</t>
  </si>
  <si>
    <t>Desayuno día 1</t>
  </si>
  <si>
    <t xml:space="preserve">Cena día 1 </t>
  </si>
  <si>
    <t xml:space="preserve">Uber casa - terminal </t>
  </si>
  <si>
    <t>Hidratación en campo día 2</t>
  </si>
  <si>
    <t>Noche Hotel Remolino día 2</t>
  </si>
  <si>
    <t>Almuerzo en campo día 3</t>
  </si>
  <si>
    <t>Hidratación en campo día 3</t>
  </si>
  <si>
    <t>Taxi restaurante - Hotel</t>
  </si>
  <si>
    <t>Almuerzo día 5</t>
  </si>
  <si>
    <t>Taxi oficina Horacio - Evolti</t>
  </si>
  <si>
    <t>Taxi Pasto - Aeropuerto</t>
  </si>
  <si>
    <t xml:space="preserve">Cena día 5 aeropuerto </t>
  </si>
  <si>
    <t xml:space="preserve">Parqueadero </t>
  </si>
  <si>
    <t>Peaje Aeropuerto - Medellín</t>
  </si>
  <si>
    <t>Taxi Medellín - Aeropuerto</t>
  </si>
  <si>
    <t>Almuerzo aeropuerto Bogotá</t>
  </si>
  <si>
    <t>Hidratación en campo</t>
  </si>
  <si>
    <t>Hotel 2 noches</t>
  </si>
  <si>
    <t xml:space="preserve">Desayuno día 3 </t>
  </si>
  <si>
    <t>Almuerzo comercial día 3</t>
  </si>
  <si>
    <t xml:space="preserve">Noche Hotel </t>
  </si>
  <si>
    <t>Taxi Aeropuerto - Medellín</t>
  </si>
  <si>
    <t>Pago a AYM GROUP SAS FEAY 20 (REVISORA PAOLA RAMOS)</t>
  </si>
  <si>
    <t>Retencion fte 11%  Pago a AYM GROUP SAS FEAY 20 (REVISORA PAOLA RAMOS)</t>
  </si>
  <si>
    <t>Retencion fte 6*1000 Pago a AYM GROUP SAS FEAY 20 (REVISORA PAOLA RAMOS)</t>
  </si>
  <si>
    <t>Pago UPME LILIANA ALEGSANDRA ALPALA PORTILLO (CASA GUILLERMO)</t>
  </si>
  <si>
    <t xml:space="preserve">Transporte fte 1%  Acarreos y transporte personal Wilian Basante </t>
  </si>
  <si>
    <t xml:space="preserve">Transporte ica 6*1000 Acarreos y transporte personal Wilian Basante </t>
  </si>
  <si>
    <t>Pago a ELECTRICOS DEL VALLE SO-708868</t>
  </si>
  <si>
    <t>Pago a CONSTRUENERGY RC S.A.S. SALDO FINAL DE LA FVE 5</t>
  </si>
  <si>
    <t>Pago a BRAJAN STEVE MORALES HERNANDEZ CUENTA DE COBRO</t>
  </si>
  <si>
    <t>Pago saldo PROTECTO  FED 4200</t>
  </si>
  <si>
    <t>Pago carnets a MILTON SANTIAGO RIVERA BENAVIDES KOKORO</t>
  </si>
  <si>
    <t>Pago fra a EL SUR ES MI NORTE SAS CWFE 531</t>
  </si>
  <si>
    <t>Pago a PROTECTO  FED 4213</t>
  </si>
  <si>
    <t>Pago a LUNA NUEVA ECO SAS ANTICIPO 50% FE 9</t>
  </si>
  <si>
    <t>Pago cuenta de cobro ALEJANDRA GAVIRIA GOMEZ MEDELLIN</t>
  </si>
  <si>
    <t>Pago polizas sura</t>
  </si>
  <si>
    <t>PAGO A ECTRICOL COT OV 43135 ANTICIPO DEL 3,75% 209.082X4,144,18 04-03-2025=866.473.443 Y ESE POR EL 30% 259,942,032</t>
  </si>
  <si>
    <t>Inventario granjas</t>
  </si>
  <si>
    <t>PAGO A SOLAIRE OFERTA 1123 ANTICIPO 20%</t>
  </si>
  <si>
    <t>Pago a PAOLA RAMOS RAMO CAMARA DE COMERCIO</t>
  </si>
  <si>
    <t>Pago a PAOLA RAMOS RAMO  CAMARA DE COMERCIO</t>
  </si>
  <si>
    <t>Pago a MANUELA ALEJANDRA POLO NAVAS ONC 95 50%</t>
  </si>
  <si>
    <t>Retencion iva 15% MANUELA ALEJANDRA POLO NAVAS ONC 95 50%</t>
  </si>
  <si>
    <t>Pago a MARTIN FELIPE GOMAJOA BOTINA ANTICIPO N. 2</t>
  </si>
  <si>
    <t xml:space="preserve">PAGO PLANILLA SEGURIDAD SOCIAL ENERO CHRISTIAN MAURICIO DELGADO </t>
  </si>
  <si>
    <t>PAGO PLANILLA SEGURIDAD SOCIAL ENERO ANA MILENA HENAO</t>
  </si>
  <si>
    <t>PAGO PLANILLA SEGURIDAD SOCIAL  ENERO ANA MILENA HENAO</t>
  </si>
  <si>
    <t>PAGO PLANILLA SEGURIDAD SOCIAL ENERO CAROLINA CARDONA PAREJO</t>
  </si>
  <si>
    <t>SURELIS NORBERTA TORRES FC 4090 ANTICIPO 50%</t>
  </si>
  <si>
    <t>Jeancarlo</t>
  </si>
  <si>
    <t>Gasolina Carro de Hermann</t>
  </si>
  <si>
    <t>ALMUERZO PARA CINCO PERSONAS</t>
  </si>
  <si>
    <t>Gasolina Camioneta Gilberto</t>
  </si>
  <si>
    <t>Peaje trayecto Mercaderes - Pasto</t>
  </si>
  <si>
    <t xml:space="preserve">Taxi terminal </t>
  </si>
  <si>
    <t>Miguel</t>
  </si>
  <si>
    <t>Taxi a hotel adamo mañana</t>
  </si>
  <si>
    <t>Taxi a hotel adamo  tarde</t>
  </si>
  <si>
    <t xml:space="preserve">Taxi a hotel adamo  mañana </t>
  </si>
  <si>
    <t>Taxi a terminal</t>
  </si>
  <si>
    <t>Pasaje ipiales-pasto</t>
  </si>
  <si>
    <t>Pasaje pasto-ipiales</t>
  </si>
  <si>
    <t>Refrigerio capacitación mensual</t>
  </si>
  <si>
    <t>Transporte Pasto - chachagüí</t>
  </si>
  <si>
    <t>Pago tiquete Latam juan fernando a cali</t>
  </si>
  <si>
    <t>Recepcion pago mantenimiento Mister pollo ipiales</t>
  </si>
  <si>
    <t>Liquidacion nomina  Eyder Quintero Diaz</t>
  </si>
  <si>
    <t>Liquidacion laborar Eyder Quintero Diaz</t>
  </si>
  <si>
    <t>Ingreso pago  FV 371</t>
  </si>
  <si>
    <t>Terrazas de Pinasaco 1 Casa 22</t>
  </si>
  <si>
    <t>Compra Jabon detergente para oficina x678 2519330</t>
  </si>
  <si>
    <t xml:space="preserve">Compra celular Oppo para </t>
  </si>
  <si>
    <t xml:space="preserve">Recepcion pago solardeport </t>
  </si>
  <si>
    <t>Recepcion pago final caffeto</t>
  </si>
  <si>
    <t>Pago a longi compra paneles</t>
  </si>
  <si>
    <t>C. Importación paneles</t>
  </si>
  <si>
    <t>Compra intl microsoft g080116</t>
  </si>
  <si>
    <t>Compra intl openai chatgpt s</t>
  </si>
  <si>
    <t>Tiquete Juan Manuel Cali-medellin</t>
  </si>
  <si>
    <t>LOGISTICA DE COMPRA DE UPS 2KVA</t>
  </si>
  <si>
    <t>ENVIO DE UPS 2KVA CALI-REMOLINO</t>
  </si>
  <si>
    <t>MATERIALES Y ACCESORIOS PARA INSTALACIÓN DE SUPERBOARD</t>
  </si>
  <si>
    <t>ACPM CAMIONETA KYY683</t>
  </si>
  <si>
    <t>MATERIALES,  ACCESORIOS PARA INSTALACIÓN DE SUPERBOARD Y PINTURA</t>
  </si>
  <si>
    <t>Pago factura plan celular de tigo</t>
  </si>
  <si>
    <t>Pago a FERRETERIA FERROMAC AURA MIREY BURBANO COT 1437</t>
  </si>
  <si>
    <t>Retencion fte 2,5%  FERRETERIA FERROMAC AURA MIREY BURBANO COT 1437</t>
  </si>
  <si>
    <t xml:space="preserve">Pago a DAVID ESTEBAN DIAZ COT -022/25-TOP ANTICIPO 50% </t>
  </si>
  <si>
    <t xml:space="preserve">Pago actualizacion de linderos a DAVID ESTEBAN DIAZ COT -023/25-TOP ANTICIPO 50% </t>
  </si>
  <si>
    <t>Pao a HUMBERTO JAVIER ROSERO COT 51</t>
  </si>
  <si>
    <t>Pao a HUMBERTO JAVIER ROSERO COT 44</t>
  </si>
  <si>
    <t>Retencion fte 2% HUMBERTO JAVIER ROSERO COT 44</t>
  </si>
  <si>
    <t>Retencion ica 6*1000 HUMBERTO JAVIER ROSERO COT 44</t>
  </si>
  <si>
    <t>Pago alquiler vallas publicidad a JESUS ALBERTO BENAVIDES PASTO</t>
  </si>
  <si>
    <t>Pago a AMARA NET ZERO COLOMBIA S.A.S OF2405640</t>
  </si>
  <si>
    <t xml:space="preserve">Pago cuenta de cobro  MARCOS DANIEL OJEDA ALIMENTACION </t>
  </si>
  <si>
    <t xml:space="preserve">Retencion fte 3,5%  MARCOS DANIEL OJEDA ALIMENTACION </t>
  </si>
  <si>
    <t>Pago a JOHNNY MAURICIO CEBALLOS BASTIDAS JMCB 51</t>
  </si>
  <si>
    <t>Retencion fte 1% JOHNNY MAURICIO CEBALLOS BASTIDAS JMCB 51</t>
  </si>
  <si>
    <t>Retencion ica 1*1000 JOHNNY MAURICIO CEBALLOS BASTIDAS JMCB 51</t>
  </si>
  <si>
    <t>Pago a JOHNNY MAURICIO CEBALLOS BASTIDAS JMCB 52</t>
  </si>
  <si>
    <t>Retencion fte 1% JOHNNY MAURICIO CEBALLOS BASTIDAS JMCB 52</t>
  </si>
  <si>
    <t>Retencion ica 1*1000 JOHNNY MAURICIO CEBALLOS BASTIDAS JMCB 52</t>
  </si>
  <si>
    <t>Pago polizas a sura proyecto sotavento</t>
  </si>
  <si>
    <t>Pago a ELECTRICOS DEL VALLE SO-706914</t>
  </si>
  <si>
    <t>Pago a consultoria integral y desarrollo energy</t>
  </si>
  <si>
    <t>Pago Cuñas radiales factura caracol radio BOGOTA</t>
  </si>
  <si>
    <t>Inversion Evolti en Polaris 2</t>
  </si>
  <si>
    <t>Inversion Evolti en Lyra</t>
  </si>
  <si>
    <t>Pago tiquete Avianca Andrea pasto-medellin</t>
  </si>
  <si>
    <t>Pago certificado de camara de comercio Evolti</t>
  </si>
  <si>
    <t>Pago planilla seguridad social Hernan Rincon</t>
  </si>
  <si>
    <t>Pago impuesto de retencion en la fuente Evolti</t>
  </si>
  <si>
    <t>Pagoelaboracion crnets a MILTON SANTIAGO RIVERA BENAVIDES KOKORO</t>
  </si>
  <si>
    <t>Pago a MELBA LIGIA MONCAYO LA FERRO RM 4121</t>
  </si>
  <si>
    <t>Retencion fte 2,5% MELBA LIGIA MONCAYO LA FERRO RM 4121</t>
  </si>
  <si>
    <t>Retencion ica 6*1000 MELBA LIGIA MONCAYO LA FERRO RM 4121</t>
  </si>
  <si>
    <t>Pago a MELBA LIGIA MONCAYO LA FERRO RM 4133</t>
  </si>
  <si>
    <t>Retencion fte 2,5% MELBA LIGIA MONCAYO LA FERRO RM 4133</t>
  </si>
  <si>
    <t>Retencion ica 6*1000 MELBA LIGIA MONCAYO LA FERRO RM 4133</t>
  </si>
  <si>
    <t>Pago a MELBA LIGIA MONCAYO LA FERRO RM 4124</t>
  </si>
  <si>
    <t>Retencion fte 2,5% MELBA LIGIA MONCAYO LA FERRO RM 4124</t>
  </si>
  <si>
    <t>Retencion ica 6*1000 MELBA LIGIA MONCAYO LA FERRO RM 4124</t>
  </si>
  <si>
    <t>Pago a LUNA NUEVA ECO SAS SALDO FINAL FE 9</t>
  </si>
  <si>
    <t>Retencin fte 3,5% LUNA NUEVA ECO SAS SALDO FINAL FE 9</t>
  </si>
  <si>
    <t>Pago a PROTECTO FED 4240</t>
  </si>
  <si>
    <t>Pago a SUPERITEDENCIA DE NOTARIADO Y REGISTRO 120-159867</t>
  </si>
  <si>
    <t>Pago a SUPERITEDENCIA DE NOTARIADO Y REGISTRO 120-5826</t>
  </si>
  <si>
    <t>Pago a SURTIEQUIPOS DEL SUR MD FEV 4284 ESCALERA</t>
  </si>
  <si>
    <t>Retencion fte 4% SURTIEQUIPOS DEL SUR MD FEV 4284 ESCALERA</t>
  </si>
  <si>
    <t>Retencion ica 6*1000 SURTIEQUIPOS DEL SUR MD FEV 4284 ESCALERA</t>
  </si>
  <si>
    <t>Pago a SURTIEQUIPOS DEL SUR MD FEV 4284 MEZCLADORA</t>
  </si>
  <si>
    <t>Retencion fte 4% SURTIEQUIPOS DEL SUR MD FEV 4284 MEZCLADORA</t>
  </si>
  <si>
    <t>Retencion ica 6*1000 SURTIEQUIPOS DEL SUR MD FEV 4284 MEZCLADORA</t>
  </si>
  <si>
    <t>Pago a SURTIEQUIPOS DEL SUR MD FEV 4284 SALTARIN</t>
  </si>
  <si>
    <t>Retencion fte 4% SURTIEQUIPOS DEL SUR MD FEV 4284 SALTARIN</t>
  </si>
  <si>
    <t>Retencion ica 6*1000 SURTIEQUIPOS DEL SUR MD FEV 4284 SALTARIN</t>
  </si>
  <si>
    <t>Pago a DISTRIBUCIONES ELECTRICAS AC PF 74970</t>
  </si>
  <si>
    <t xml:space="preserve">Pago a CRISTIAN MARTINEZ MARTINEZ COT 09295 ANTICIPO 50% </t>
  </si>
  <si>
    <t>Pago a MAURICIO ROSERO MATERON SALARIO MES ENERO 2025</t>
  </si>
  <si>
    <t>Pago cuenta de cobro transportes WILIAN BASANTE</t>
  </si>
  <si>
    <t>Transporte Cali-Tuluá</t>
  </si>
  <si>
    <t>Sergio Zambrano</t>
  </si>
  <si>
    <t>Taxi Terminal - Aguaclara</t>
  </si>
  <si>
    <t>Taxi Aguaclara - Centro</t>
  </si>
  <si>
    <t>Taxi Centro - Andalucía</t>
  </si>
  <si>
    <t>Taxi Andalucia - Aguaclara</t>
  </si>
  <si>
    <t>Taxi Aguaclara - Andalucía</t>
  </si>
  <si>
    <t>Taxi Andalucía - Terminal</t>
  </si>
  <si>
    <t>Transporte Tuluá-Cali</t>
  </si>
  <si>
    <t>Pago a ELECTRICOS DEL VALLE COT SO-710911</t>
  </si>
  <si>
    <t>Pago a SURAMERICANA DE GUANTES SAS COT CV-00007375</t>
  </si>
  <si>
    <t>Pago a CAMARA DE COMERCIO DE PASTO</t>
  </si>
  <si>
    <t>Pago a CAMAARA DE COMERCIO MEDELLIN</t>
  </si>
  <si>
    <t>Pago a ECTRICOL COT OV 43072 V0 40% 73.123*40%=29.249,20*4,161,96 10-03-2025= 121,734,000</t>
  </si>
  <si>
    <t>Pago a IT CERTIFICA COT-RETIE-3213-24</t>
  </si>
  <si>
    <t>Retencion fte 11% IT CERTIFICA COT-RETIE-3213-24</t>
  </si>
  <si>
    <t>Pago a IT CERTIFICA COT-RETIE-0377-25</t>
  </si>
  <si>
    <t>Retencion fte 11% IT CERTIFICA COT-RETIE-0377-25</t>
  </si>
  <si>
    <t>Pago a IT CERTIFICA COT-RETIE-0380-25</t>
  </si>
  <si>
    <t>Retencion fte 11% IT CERTIFICA COT-RETIE-0380-25</t>
  </si>
  <si>
    <t>Pago salario SEBASTIAN MENESES MERINO</t>
  </si>
  <si>
    <t>Pago a MILTON SANTIAGO RIVERA BENAVIDES CTA DE COBRO</t>
  </si>
  <si>
    <t>Pago acarreos y transporte Wilian Basante</t>
  </si>
  <si>
    <t>Retencin fte 1% Pago acarreos y transporte Wilian Basante</t>
  </si>
  <si>
    <t>Retencion ica 6*1000 Pago acarreos y transporte Wilian Basante</t>
  </si>
  <si>
    <t>Pago a CONSTRU ENERGY SAS SALDO FINAL FVE 4</t>
  </si>
  <si>
    <t>Pago a TABLESA COT TA 105-25 50%</t>
  </si>
  <si>
    <t>Pago a CARLOS ARBOLEDA ANTICIPO 50% VALOR TOTAL CTA DE COBRO 2.450.000</t>
  </si>
  <si>
    <t>Pago a MERCATOR TECNOLOGIA SAS COT 2552</t>
  </si>
  <si>
    <t>Retencion ica 6*1000 MERCATOR TECNOLOGIA SAS COT 2552</t>
  </si>
  <si>
    <t>Pago a PAGO LUZ ADRIANA HABITAT-ARRIENDO -POPAYAN</t>
  </si>
  <si>
    <t xml:space="preserve">Pago arreglo mezcladora Wilian Andres Basante </t>
  </si>
  <si>
    <t>Pago hotel juan fernando a SURELIS NOLBERTA TORES GUTIERREZ</t>
  </si>
  <si>
    <t>Pago hotel Marcela a SURELIS NOLBERTA TORES GUTIERREZ</t>
  </si>
  <si>
    <t>Pago a STAN  CENTRO DE ESTUDIOS INTERNACIONALES Y ESPECIALIZADOS PROFELEEL SAS</t>
  </si>
  <si>
    <t>Retencion fte 4%CENTRO DE ESTUDIOS INTERNACIONALES Y ESPECIALIZADOS PROFELEEL SAS</t>
  </si>
  <si>
    <t>Retencion ica 6*1000 CENTRO DE ESTUDIOS INTERNACIONALES Y ESPECIALIZADOS PROFELEEL SAS</t>
  </si>
  <si>
    <t>Pago a PROTECTO COT C-1-1295</t>
  </si>
  <si>
    <t>Retencion fte 2,5%  PROTECTO COT C-1-1295</t>
  </si>
  <si>
    <t>Retencion ica 6*1000 PROTECTO COT C-1-1295</t>
  </si>
  <si>
    <t>Pago a WEWORK COLOMBIA SAS WC10-9497</t>
  </si>
  <si>
    <t xml:space="preserve">Pago a EQUIRENT VEHICULOS Y MAQUINARIA SAS </t>
  </si>
  <si>
    <t>Pago factura servicio de internet Tigo</t>
  </si>
  <si>
    <t>Retecion fte 1% transporte personal Oscar Mauricio Morales</t>
  </si>
  <si>
    <t>Lijas, cinta asfáltica</t>
  </si>
  <si>
    <t>Racor para manguera, cinta de enmascarar, brochas, guante industrial</t>
  </si>
  <si>
    <t>Prensa estopa  11/2"</t>
  </si>
  <si>
    <t>Carrera taxi, trayecto: Oficina - Balcones de Pubenza</t>
  </si>
  <si>
    <t>Carrera taxi, trayecto: Balcones de Pubenza - Oficina</t>
  </si>
  <si>
    <t>Curvas EMT, uniones EMT</t>
  </si>
  <si>
    <t xml:space="preserve">Compra Regleta para oficina </t>
  </si>
  <si>
    <t>Pomas vacías, sikafil, brochas, multitoma</t>
  </si>
  <si>
    <t>Envío dotación, trayecto: Pasto - Popayán</t>
  </si>
  <si>
    <t>Envío dotación, trayecto: Pasto - Cali</t>
  </si>
  <si>
    <t>Envío dotación, trayecto: Pasto - Envigado</t>
  </si>
  <si>
    <t>Almuerzo viaje a mister pollo ipiales</t>
  </si>
  <si>
    <t xml:space="preserve">transporte visita Mister pollo </t>
  </si>
  <si>
    <t>Transporte terminal de ipiales - Edificio IPK</t>
  </si>
  <si>
    <t xml:space="preserve">Almuerzo Cristian Rosero </t>
  </si>
  <si>
    <t xml:space="preserve">Transporte  Edificio IPK  - Transporte terminal de ipiales </t>
  </si>
  <si>
    <t>Transporte terminal de ipiales - míster pollo</t>
  </si>
  <si>
    <t>Desayuno Cristian Rosero - Ruben Espinosa</t>
  </si>
  <si>
    <t xml:space="preserve">Compra papel higienico para oficina </t>
  </si>
  <si>
    <t>Recarga datos de internet para Naos1</t>
  </si>
  <si>
    <t>Envío materiales eléctricos, soldador, careta y guantes, trayecto: Pasto - Remolino</t>
  </si>
  <si>
    <t>Envío medidor de resistencia, trayecto: Pasto - Remolino</t>
  </si>
  <si>
    <t>Borna #6 Cu</t>
  </si>
  <si>
    <t>Envío motor mezcladora, torquímetro,plomadas y terminales #6 Cu, trayecto: Pasto - Remolino</t>
  </si>
  <si>
    <t>Terminales de ojo #8 Cu</t>
  </si>
  <si>
    <t>Borna #6 Cu, minibreaker 2x50amp</t>
  </si>
  <si>
    <t>Break DC 20 ah</t>
  </si>
  <si>
    <t>Corte acrílico</t>
  </si>
  <si>
    <t>Carpeta bisel carta</t>
  </si>
  <si>
    <t>Sika flex construction</t>
  </si>
  <si>
    <t>Bornas #1/0 Cu</t>
  </si>
  <si>
    <t xml:space="preserve">Mopa microfibra </t>
  </si>
  <si>
    <t>Mopa microfibra, repuesto microfibra</t>
  </si>
  <si>
    <t>Carrera piaggio, transporte de herramienta y materiales. Trayecto: Oficina - Fundonar</t>
  </si>
  <si>
    <t>Señales en acrílico</t>
  </si>
  <si>
    <t>Transporte terminal pasto-terminal cali</t>
  </si>
  <si>
    <t>Transporte (terminal cali-Hotel)</t>
  </si>
  <si>
    <t>Transporte (Hotel-Chipichape)</t>
  </si>
  <si>
    <t>Transporte (Chipichape-Hotel)</t>
  </si>
  <si>
    <t>Transporte (Hotel-Terminal)</t>
  </si>
  <si>
    <t>Transporte (Cali-Tulua) Stefany</t>
  </si>
  <si>
    <t>Transporte (Cali-Tulua) Juan Sebastian Gomez</t>
  </si>
  <si>
    <t>Transporte (Terminal Tulua-Lacteos Tulua)</t>
  </si>
  <si>
    <t>Transporte 3 personas (Lacteos Tulua-EDS Andalucia)</t>
  </si>
  <si>
    <t>Transporte 3 personas (EDS Andalucia-BAS ingenieria)</t>
  </si>
  <si>
    <t>Bas ingenieria</t>
  </si>
  <si>
    <t>Transporte 5 personas (BAS ingenieria-Terminal Tulua)</t>
  </si>
  <si>
    <t>Transporte (Cali-Tulua) Daniela Arboleda</t>
  </si>
  <si>
    <t>Transporte (Cali-Tulua) Sergio zambrano</t>
  </si>
  <si>
    <t>Cena Stefany</t>
  </si>
  <si>
    <t>Transporte 4 personas (Terminal Cali-Popayan)</t>
  </si>
  <si>
    <t>Almuerzo 4 personas (Stefany, Sergio, Daniela, Jose)</t>
  </si>
  <si>
    <t>Transporte 4 personas (Terminal Popayan-Cali)</t>
  </si>
  <si>
    <t>Pasaje Jose Rueda (Terminal Cali-EDS Andalucia)</t>
  </si>
  <si>
    <t>Cena-Jose Rueda</t>
  </si>
  <si>
    <t>Transporte (Hotel-Oficina Evolti)</t>
  </si>
  <si>
    <t>Desayuno Stefany Lasso</t>
  </si>
  <si>
    <t>Almuerzo Stefany Lasso</t>
  </si>
  <si>
    <t>Transporte (Oficina Evolti-Hotel)</t>
  </si>
  <si>
    <t>Transporte (Hotel-Aeropuerto)</t>
  </si>
  <si>
    <t>Transporte (Aeropuerto-Terminal)</t>
  </si>
  <si>
    <t>Hospedje 4 noches Cali</t>
  </si>
  <si>
    <t>Transporte (Terminal Cali-Terminal Pasto)</t>
  </si>
  <si>
    <t>PAGO 1ERA QUINCENA MARZO SANDRA CAROLINA PATASCOY BOTINA</t>
  </si>
  <si>
    <t>PAGO 1ERA QUINCENA MARZO YULY ANDREA JARAMILLO GUERRERO</t>
  </si>
  <si>
    <t>PAGO 1ERA QUINCENA MARZO LOREN ALEJANDRA DIAZ YAMPUEZAN</t>
  </si>
  <si>
    <t xml:space="preserve">PAGO 1ERA QUINCENA MARZO MARIA FERNANDA CHAMORRO </t>
  </si>
  <si>
    <t>PAGO 1ERA QUINCENA MARZO JUAN CARLOS CAÑAR POTOSI</t>
  </si>
  <si>
    <t>PAGO 1ERA QUINCENA MARZO JUAN JOSE NARVEAEZ</t>
  </si>
  <si>
    <t>PAGO 1ERA QUINCENA MARZO JUAN CAMILO GARCIA SOUZA</t>
  </si>
  <si>
    <t>PAGO 1ERA QUINCENA MARZO CINDY JOHANA CARLOSAMA HERNANDEZ</t>
  </si>
  <si>
    <t>PAGO 1ERA QUINCENA MARZO JUAN ESTEBAN IBARRA CAMUES</t>
  </si>
  <si>
    <t xml:space="preserve">PAGO 1ERA QUINCENA MARZO SARA LUCIA DAZA LOPEZ </t>
  </si>
  <si>
    <t>PAGO 1ERA QUINCENA MARZO JULLY PAOLA AGUDELO BAEZ</t>
  </si>
  <si>
    <t xml:space="preserve">PAGO 1ERA QUINCENA MARZO CAROLINA CARDONA PAREJA </t>
  </si>
  <si>
    <t>PAGO 1ERA QUINCENA MARZO JOSE RAFAEL RUEDA HERRERA</t>
  </si>
  <si>
    <t>PAGO 1ERA QUINCENA MARZO JERSON ALEXIS GOMEZ ACOSTA</t>
  </si>
  <si>
    <t xml:space="preserve">PAGO 1ERA QUINCENA MARZO MARTIN ALONSO SOSSA AGUIRRE </t>
  </si>
  <si>
    <t>PAGO 1ERA QUINCENA MARZO RAUL BARBENLEY CASTRO RIVERA</t>
  </si>
  <si>
    <t xml:space="preserve">PAGO 1ERA QUINCENA MARZO JOSE JULIAN OCAMPO URIBE </t>
  </si>
  <si>
    <t>PAGO 1ERA QUINCENA MARZO ALBEIRO ORLANDO ESPAÑA HERNANDEZ</t>
  </si>
  <si>
    <t>PAGO 1ERA QUINCENA MARZO JHONSIN ARLEY ARIAS CEBALLOS</t>
  </si>
  <si>
    <t>PAGO 1ERA QUINCENA MARZO IVAN CAMILO MENESES ORDOÑEZ</t>
  </si>
  <si>
    <t>PAGO 1ERA QUINCENA MARZO RODRIGO QUINTERO DIAZ</t>
  </si>
  <si>
    <t>PAGO 1ERA QUINCENA MARZO RUBEN LOPEZ MUÑOZ</t>
  </si>
  <si>
    <t>PAGO 1ERA QUINCENA MARZO VIVIANA ANDRES AYALA PICHINA</t>
  </si>
  <si>
    <t xml:space="preserve">PAGO 1ERA QUINCENA MARZO JUAN DAVID GRANADA ALVAREZ </t>
  </si>
  <si>
    <t>PAGO 1ERA QUINCENA MARZO AURO EDILSON ARTEAGA MEZA</t>
  </si>
  <si>
    <t>PAGO 1ERA QUINCENA MARZO LEIDER LUVER LOPEZ DIAZ</t>
  </si>
  <si>
    <t>PAGO 1ERA QUINCENA MARZO WILLIAM HERNANDO CASTRO RODRIGUEZ</t>
  </si>
  <si>
    <t>PAGO 1ERA QUINCENA MARZO HOLMES GALINDEZ VALDEZ</t>
  </si>
  <si>
    <t>PAGO 1ERA QUINCENA MARZO ALEXANDER MUÑOZ DIAZ</t>
  </si>
  <si>
    <t>PAGO 1ERA QUINCENA MARZO JOSE DELIO ALMEIDA ALMEIDA</t>
  </si>
  <si>
    <t>PAGO 1ERA QUINCENA MARZO BRAYAN STIVEN PEREZ QUAQUEZ</t>
  </si>
  <si>
    <t>PAGO 1ERA QUINCENA MARZO JESUS ALBERTO DIAZ PALACIOS</t>
  </si>
  <si>
    <t>PAGO 1ERA QUINCENA MARZO LUIS FERNANDO RODRIGUEZ MUÑOZ</t>
  </si>
  <si>
    <t>PAGO 1ERA QUINCENA MARZO JORGE LUIS LIZCANO NIÑO</t>
  </si>
  <si>
    <t>PAGO 1ERA QUINCENA MARZO CARLOS HERNANDO ENRIQUEZ DIAZ</t>
  </si>
  <si>
    <t>PAGO 1ERA QUINCENA MARZO FABIAN OJEDA RODRIGUEZ</t>
  </si>
  <si>
    <t>PAGO 1ERA QUINCENA MARZO ASTRID VEIDUD LOPEZ NARVAEZ</t>
  </si>
  <si>
    <t>PAGO 1ERA QUINCENA MARZO ANDI NEISER GALINDEZ DELGADO</t>
  </si>
  <si>
    <t>PAGO 1ERA QUINCENA MARZO ODELMER DAZA PEREZ</t>
  </si>
  <si>
    <t>PAGO 1ERA QUINCENA MARZO SEGUNDO MARCIAL GELPUD BOTINA</t>
  </si>
  <si>
    <t>PAGO 1ERA QUINCENA MARZO EDILFONSO ROSERO CASTILLO</t>
  </si>
  <si>
    <t>PAGO 1ERA QUINCENA MARZO JIMMI ALEXANDER BURGOS GUERRERO</t>
  </si>
  <si>
    <t xml:space="preserve">PAGO 1ERA QUINCENA MARZO JUAN ESTEBAN BLANCO QUIROGA </t>
  </si>
  <si>
    <t>PAGO 1ERA QUINCENA MARZO LUZ IRMA ORTEGA CIFUENTES</t>
  </si>
  <si>
    <t>PAGO 1ERA QUINCENA MARZO JEFERSON VERGARA MUÑOZ</t>
  </si>
  <si>
    <t>PAGO 1ERA QUINCENA MARZO YALINER ILVIRA FIGUEROA</t>
  </si>
  <si>
    <t>PAGO 1ERA QUINCENA MARZO ALBERT FIGUEROA</t>
  </si>
  <si>
    <t>PAGO 1ERA QUINCENA MARZO LUIS ALBERTO ALMEIDA MATABAJOY</t>
  </si>
  <si>
    <t xml:space="preserve">PAGO 1ERA QUINCENA MARZO DIEGO ANDRES ARAUJO NARVAEZ </t>
  </si>
  <si>
    <t>PAGO 1ERA QUINCENA MARZO ROYER IDELVER LOPEZ SOLARTE</t>
  </si>
  <si>
    <t xml:space="preserve">PAGO 1ERA QUINCENA MARZO DILBER  MAURICIO PAZ ALMEIDA </t>
  </si>
  <si>
    <t>PAGO 1ERA QUINCENA MARZO WILLIAMS ALFREDO VILLAR MORA</t>
  </si>
  <si>
    <t>PAGO 1ERA QUINCENA MARZO JAVIER ANDRES RODRIGUEZ SANTIUSTY</t>
  </si>
  <si>
    <t xml:space="preserve">PAGO 1ERA QUINCENA MARZO CRISTIAN FERNANDO PASTAS CUESTAS </t>
  </si>
  <si>
    <t xml:space="preserve">PAGO 1ERA QUINCENA MARZO WILSON ALEJANDRO MORA ERAZO </t>
  </si>
  <si>
    <t>PAGO 1ERA QUINCENA MARZO BRANDON GUAQUEZ TITISTAR</t>
  </si>
  <si>
    <t>PAGO 1ERA QUINCENA MARZO DANGER ESTIVENSON BENAVIDES ORTEGA</t>
  </si>
  <si>
    <t>PAGO 1ERA QUINCENA MARZO ORLANDO DIAZ LOPEZ</t>
  </si>
  <si>
    <t>PAGO 1ERA QUINCENA MARZO SANDRO ALBEIRO DELGADO MARTINEZ</t>
  </si>
  <si>
    <t>PAGO 1ERA QUINCENA MARZO RUBEN DARIO SILVA RODRIGUEZ</t>
  </si>
  <si>
    <t>PAGO 1ERA QUINCENA MARZO ANDRES WILFREDY BASTIDAS GALINDEZ</t>
  </si>
  <si>
    <t xml:space="preserve">PAGO 1ERA QUINCENA MARZO JOSE MANUEL LOPEZ OBANDO </t>
  </si>
  <si>
    <t xml:space="preserve">PAGO 1ERA QUINCENA MARZO EDISON ENRIQUE CANTILLO CORONADO </t>
  </si>
  <si>
    <t>PAGO 1ERA QUINCENA MARZO DEIMAN JARINSON DAVID MUÑOZ</t>
  </si>
  <si>
    <t>PAGO 1ERA QUINCENA MARZO DEIBER QUINTERO DIAZ</t>
  </si>
  <si>
    <t>PAGO 1ERA QUINCENA MARZO JOSE DEL CARMEN GUERRERO BERDUGO</t>
  </si>
  <si>
    <t>PAGO 1ERA QUINCENA MARZO ALEX DUVAN CIFUENTES PAZ</t>
  </si>
  <si>
    <t>PAGO 1ERA QUINCENA MARZO DANILO JAVIER OJEDA NARVAEZ</t>
  </si>
  <si>
    <t xml:space="preserve">PAGO 1ERA QUINCENA MARZO NORELI SELENA DIAZ JURADO </t>
  </si>
  <si>
    <t>PAGO 1ERA QUINCENA MARZO RICARDO HERNAN ORTIZ</t>
  </si>
  <si>
    <t>PAGO 1ERA QUINCENA MARZO YEINSON ANDRES GUAQUEZ JURADO</t>
  </si>
  <si>
    <t xml:space="preserve">PAGO 1ERA QUINCENA MARZO KEVIN JONATHAN MONTILLA RIASCOS </t>
  </si>
  <si>
    <t>PAGO 1ERA QUINCENA MARZO OSCAR IVAN MELENDEZ GARCIA</t>
  </si>
  <si>
    <t xml:space="preserve">PAGO 1ERA QUINCENA MARZO RUBEN DARIO ESPINOSA PARRA </t>
  </si>
  <si>
    <t xml:space="preserve">PAGO 1ERA QUINCENA MARZO JAVIER GIOVANI YANDUN INAGAN </t>
  </si>
  <si>
    <t xml:space="preserve">PAGO 1ERA QUINCENA MARZO CRISTIAN ANDRES CHITAN </t>
  </si>
  <si>
    <t>PAGO 1ERA QUINCENA MARZO JHONY FERNANDO RIASCOS CEBALLOS</t>
  </si>
  <si>
    <t>PAGO 1ERA QUINCENA MARZO OSCAR ANDRES CASTRO BOTINA</t>
  </si>
  <si>
    <t>PAGO 1ERA QUINCENA MARZO EDWIN LEONARDO MARTINEZ YAQUENO</t>
  </si>
  <si>
    <t>PAGO 1ERA QUINCENA MARZO JHORDY STEVEN TRUJILLO GALEANDO</t>
  </si>
  <si>
    <t xml:space="preserve">PAGO 1ERA QUINCENA MARZO JOHAN SEBASTIAN OVIEDO NIÑAN </t>
  </si>
  <si>
    <t>PAGO 1ERA QUINCENA MARZO JASON STEVEN DIAZ GUEVARA </t>
  </si>
  <si>
    <t>PAGO 1ERA QUINCENA MARZO JOSE ALVEIRO CUSIS HERNANDEZ</t>
  </si>
  <si>
    <t>PAGO 1ERA QUINCENA MARZO IVAN DARIO CAICEDO CALVACHE</t>
  </si>
  <si>
    <t xml:space="preserve">PAGO 1ERA QUINCENA MARZO JHON ALEXANDER GELPUD ZAMORA </t>
  </si>
  <si>
    <t>PAGO 1ERA QUINCENA MARZO MARIO ALEXANDER CUSIS HERNANDEZ</t>
  </si>
  <si>
    <t>PAGO 1ERA QUINCENA MARZO JORGE ANDRES BARRERA YANDAR</t>
  </si>
  <si>
    <t>PAGO 1ERA QUINCENA MARZO JOY JAMIT MOSQUERA ORDOÑEZ</t>
  </si>
  <si>
    <t>PAGO 1ERA QUINCENA MARZO WIILLIAM ALBERTO AZA CRIOLLO</t>
  </si>
  <si>
    <t>PAGO 1ERA QUINCENA MARZO ANDRES FERNANDO ESPINOSA GUACALES</t>
  </si>
  <si>
    <t>PAGO 1ERA QUINCENA MARZO LEIBNITZ EDUARDO CHANA CALDERON</t>
  </si>
  <si>
    <t>PAGO 1ERA QUINCENA MARZO ANDRES FELIPE DELGADO ZUTTA</t>
  </si>
  <si>
    <t>Recepcion pago Campos de Aragon</t>
  </si>
  <si>
    <t>Recepcion anticipo Francisco Gutierrez</t>
  </si>
  <si>
    <t>Pago devuelto por el banco a consultoria integral y desarrollo energy</t>
  </si>
  <si>
    <t>Recepcion pago factura Happina</t>
  </si>
  <si>
    <t>Recepcion pago factura tigre de la rebaja</t>
  </si>
  <si>
    <t>Recepcion pago factura Congelados de Nariño</t>
  </si>
  <si>
    <t xml:space="preserve">Recepcion pago factura Platinum </t>
  </si>
  <si>
    <t>Recepcion anticipo proyecto Lacteos Tulua</t>
  </si>
  <si>
    <t>Pago a HUMBERTO JAVIER ROSERO CUENTA DE COBRO 40 COT 52</t>
  </si>
  <si>
    <t>Retencion fte 2% HUMBERTO JAVIER ROSERO CUENTA DE COBRO 40 COT 52</t>
  </si>
  <si>
    <t>Retencion ica 6*1000 HUMBERTO JAVIER ROSERO CUENTA DE COBRO 40 COT 52</t>
  </si>
  <si>
    <t xml:space="preserve">Pago a HUMBERTO JAVIER ROSERO CUENTA DE COBRO 41 SUMINISTRO DE PLATINAS BASE Y TAPAS </t>
  </si>
  <si>
    <t xml:space="preserve">Retencion fte 2% HUMBERTO JAVIER ROSERO CUENTA DE COBRO 41 SUMINISTRO DE PLATINAS BASE Y TAPAS </t>
  </si>
  <si>
    <t xml:space="preserve">Retencion ica 6*1000 HUMBERTO JAVIER ROSERO CUENTA DE COBRO 41 SUMINISTRO DE PLATINAS BASE Y TAPAS </t>
  </si>
  <si>
    <t xml:space="preserve">Pago a HUMBERTO JAVIER ROSERO CUENTA DE COBRO 42 SUMINISTRO DE PLATINAS BASE Y TAPAS </t>
  </si>
  <si>
    <t xml:space="preserve">Retencion fte 2% HUMBERTO JAVIER ROSERO CUENTA DE COBRO 42 SUMINISTRO DE PLATINAS BASE Y TAPAS </t>
  </si>
  <si>
    <t xml:space="preserve">Retencion ica 6*1000 HUMBERTO JAVIER ROSERO CUENTA DE COBRO 42 SUMINISTRO DE PLATINAS BASE Y TAPAS </t>
  </si>
  <si>
    <t xml:space="preserve">Pago a HUMBERTO JAVIER ROSERO CUENTA DE COBRO 43 SUMINISTRO DE PLATINAS BASE Y TAPAS </t>
  </si>
  <si>
    <t xml:space="preserve">Retencion fte 2% HUMBERTO JAVIER ROSERO CUENTA DE COBRO 43 SUMINISTRO DE PLATINAS BASE Y TAPAS </t>
  </si>
  <si>
    <t xml:space="preserve">Retencion ica 6*1000 HUMBERTO JAVIER ROSERO CUENTA DE COBRO 43 SUMINISTRO DE PLATINAS BASE Y TAPAS </t>
  </si>
  <si>
    <t>Pago a DINAMICA LOGISTICA SAS DL-71142</t>
  </si>
  <si>
    <t>anticipo minigranja Delta</t>
  </si>
  <si>
    <t>Anticipo Minigranja Lyra</t>
  </si>
  <si>
    <t xml:space="preserve">Pago cambio de vuelo Juan manuel </t>
  </si>
  <si>
    <t>Pago  campañas de mercadeo de Instagram y facebook</t>
  </si>
  <si>
    <t>Ingreso pago v1501</t>
  </si>
  <si>
    <t>Pago liquidacion laboral Jose Mauricio Paz</t>
  </si>
  <si>
    <t>Pago liquidacion laboral Yohn Anderson Lopez Jaimez</t>
  </si>
  <si>
    <t xml:space="preserve">Pago recibo de servicio publico cedenar </t>
  </si>
  <si>
    <t>Compra de varillas #4 para estructura de inversores, discos pulidora, flexometro Ferretería Ferromac</t>
  </si>
  <si>
    <t>Yohn Jairo</t>
  </si>
  <si>
    <t>Compra de 4 dotellones de agua Deposito Figueroa</t>
  </si>
  <si>
    <t>Compra de madera, polisombra, disco corte madera, tornillos, etc Ferretería Ferromac</t>
  </si>
  <si>
    <t>Compra de combustible camioneta LHR730 Estación de servicio Corporación Remolino</t>
  </si>
  <si>
    <t>Compra de combustible camioneta LHR730 Estación de servicio terpel rio mayo</t>
  </si>
  <si>
    <t>Compra de 5 botellones de agua Deposito Figueroa</t>
  </si>
  <si>
    <t>Compra de combustible mezcladora Estación de servicio terpel rio mayo</t>
  </si>
  <si>
    <t>Compra de tabla, alambre de amarre, cinta, etc Ferretería Ferromac</t>
  </si>
  <si>
    <t>COMPRA DE COMBUSTIBLE PARA CAMIONETA PLACA JLS546 ESTACION DE SERVICIO TERPEL RIO MAYO LTDA</t>
  </si>
  <si>
    <t>Pago de peaje CANO, transporte Remolino-Pasto U.T. PEAJES NACIONALES</t>
  </si>
  <si>
    <t>Pago de peaje CANO, transporte Pasto-Remolino U.T. PEAJES NACIONALES</t>
  </si>
  <si>
    <t xml:space="preserve">COMPRA DE COMBUSTIBLE PARA CAMIONETA PLACA JLS546 ESTACION DE SERVICIO SERVICENTRO PANAMERICANA </t>
  </si>
  <si>
    <t>COMPRA DE COMBUSTIBLE PARA MEZCLADORA Y PLANTA (ACPM) ESTACION DE SERVICIO TERPEL RIO MAYO LTDA</t>
  </si>
  <si>
    <t>SALIDA A PASTO INGENIERO JEAN CARLOS JEANCARLOS MONCAYO</t>
  </si>
  <si>
    <t>COMPRA DE RESMA TAMAÑO CARTA Y MARCADORES PAPELERIA Y VARIEDADES LA ECONOMICA</t>
  </si>
  <si>
    <t>COMPRA DE AGUA PARA HIDRATACIÓN Y ESCOBA SUPERMERCADO EL MACHETE</t>
  </si>
  <si>
    <t>PAGO ASEO HABITACIONES SEMANA 24 FEBRERO - 01 MARZO DEISY VIVIANA ENRIQUEZ</t>
  </si>
  <si>
    <t>PAGO ASEO HABITACIONES SEMANA 03-08 MARZO DEISY VIVIANA ENRIQUEZ</t>
  </si>
  <si>
    <t>COMPRA DE SANDIA PARA HIDRATACIÓN JEANCARLOS MONCAYO</t>
  </si>
  <si>
    <t>COMPRA DE MADERA, PUNTILLAS, TUBERIA 3", CODO DE 3", NIVEL Y PLOMADA FERRETERÍA "FERRO MAC"</t>
  </si>
  <si>
    <t>MATERIALES PARA SOLDADURA DE SOPORTE DE SUPERBOARD FERRETERIA FERROMAC</t>
  </si>
  <si>
    <t>PILAS AAA DEPOSITO FIGUEROA</t>
  </si>
  <si>
    <t>GASOLINA PARA DISOLVER PINTURA EDS TERPEL RIO MAYO</t>
  </si>
  <si>
    <t>2 MARCADORES SHARPIE JEANCARLO MONCAYO ANDRADE</t>
  </si>
  <si>
    <t>ACPM PLANTA ELECTRICA EDS TERPEL RIO MAYO</t>
  </si>
  <si>
    <t>HIDRATACIÓN DEPOSITO FIGUEROA</t>
  </si>
  <si>
    <t>ACPM CAMIONETA KYY 863 EDS TERPEL RIO MAYO</t>
  </si>
  <si>
    <t>HIDRATACIÓN VISITA A MERCADERES x 4 PERSONAS JEANCARLO MONCAYO ANDRADE</t>
  </si>
  <si>
    <t>TUBERIA Y ACCESORIOS PARA INSTALACIÓN DE CÁMARAS FERRETERIA FERROMAC</t>
  </si>
  <si>
    <t>IMPRESIÓN DE PLANOS NAOS 2 JEANCARLO MONCAYO ANDRADE</t>
  </si>
  <si>
    <t>Pago a JAIRO LOPEZ  ELECTRICOS BOYACA COT 8430</t>
  </si>
  <si>
    <t>Retencion fte 2,5% JAIRO LOPEZ  ELECTRICOS BOYACA COT 8430</t>
  </si>
  <si>
    <t>Retencion ica 3*1000 JAIRO LOPEZ  ELECTRICOS BOYACA COT 8430</t>
  </si>
  <si>
    <t>Pago  a MELBA LIGIA MONCAYO LA FERRO RM 4152</t>
  </si>
  <si>
    <t>Retencion ica 6*1000 MELBA LIGIA MONCAYO LA FERRO RM 4152</t>
  </si>
  <si>
    <t>pago a MELBA LIGIA MONCAYO LA FERRO RM 4151</t>
  </si>
  <si>
    <t>Retencion ica 6*1000 MELBA LIGIA MONCAYO LA FERRO RM 4151</t>
  </si>
  <si>
    <t>Pago a MARCOS DANIEL OJEDA ALIMENTACION COMIDAS</t>
  </si>
  <si>
    <t>Retencion fte 3,5% MARCOS DANIEL OJEDA ALIMENTACION COMIDAS</t>
  </si>
  <si>
    <t>Pago a ELECTRICOS DEL VALLE COT SO-713621</t>
  </si>
  <si>
    <t>Pago a DISTRIBUCIONES ELECTRICAS AC PF 75187</t>
  </si>
  <si>
    <t xml:space="preserve">Pago a BANEZA MUÑOZ HOSPEDAJE </t>
  </si>
  <si>
    <t xml:space="preserve">Retencion fte 3,5% BANEZA MUÑOZ HOSPEDAJE </t>
  </si>
  <si>
    <t>Pago planes estructurales y  arquitectonicos CHRISTIAN KENNEDY MONCAYO ANDRADE</t>
  </si>
  <si>
    <t>Pago materiale a DANIEL ORTEGA FIGUEROA OF CONSTRUCCIONES FC 7454</t>
  </si>
  <si>
    <t>Retencion fte 2,5% DANIEL ORTEGA FIGUEROA OF CONSTRUCCIONES FC 7454</t>
  </si>
  <si>
    <t>Pago materiale a DANIEL ORTEGA FIGUEROA OF CONSTRUCCIONES FC 7458</t>
  </si>
  <si>
    <t>Retencion fte 2,5% DANIEL ORTEGA FIGUEROA OF CONSTRUCCIONES FC 7458</t>
  </si>
  <si>
    <t>Pago cuenta de cobro asesoria JANELLY AYADID MARQUEZ OROZCO</t>
  </si>
  <si>
    <t xml:space="preserve">Pago a WILSON DARIO JIMENEZ GUERRERO COT 1886 ANTICIPO N.1 </t>
  </si>
  <si>
    <t>Pago arrendamiento WEWORK WC 109585</t>
  </si>
  <si>
    <t>Pago a CARLOS ARBOLEDASALDO 50% ANTICIPO FINAL</t>
  </si>
  <si>
    <t>Retencion fte 1% CARLOS ARBOLEDASALDO 50% ANTICIPO FINAL</t>
  </si>
  <si>
    <t>Pago a AVIA LEGAL FC 10141</t>
  </si>
  <si>
    <t>Retencion fte 11% AVIA LEGAL FC 10141</t>
  </si>
  <si>
    <t>Pago a SOLAIRE PEDIDO DE VENTA 50778 ANTICIPO 50%</t>
  </si>
  <si>
    <t>Pago a AMARA NET ZERO COLOMBIA SAS COT OF2405766</t>
  </si>
  <si>
    <t>Pago a SOLAR HUB COLOMBIA SAS COT SHCJG250104</t>
  </si>
  <si>
    <t>Pago fra TIBA COLOMBIA SAS BOG 72484</t>
  </si>
  <si>
    <t>Pago arrendamiento PORMONTE FVE 279</t>
  </si>
  <si>
    <t>Retencion fte 3,5 PORMONTE FVE 279</t>
  </si>
  <si>
    <t>Retencion ica 6*1000 PORMONTE FVE 279</t>
  </si>
  <si>
    <t>Pagoa ANGELICA MARIA AGREDA AGREDA INDIGO PUBLICIDAD COT 231</t>
  </si>
  <si>
    <t>Pago liquidacion laboral DIANA CRISTINA MARTINEZ</t>
  </si>
  <si>
    <t>Pago cuenta de cobro publicidad CARLOS ALBERTO LOPEZ</t>
  </si>
  <si>
    <t>Retencion fte 4%cuenta de cobro publicidad CARLOS ALBERTO LOPEZ</t>
  </si>
  <si>
    <t>Retencion ica 6*1000 cuenta de cobro publicidad CARLOS ALBERTO LOPEZ</t>
  </si>
  <si>
    <t>Pago cotizacion VALENTINA FIGUEROA 2481</t>
  </si>
  <si>
    <t>Bolsas de hielo PREMIUM SERVICES ENERGY S.A.</t>
  </si>
  <si>
    <t>Compra de 4 tubos conduit FERRIPUERTA</t>
  </si>
  <si>
    <t>Transporte Sebastian Terminal Cali ISABELLA RODRIGUEZ VELA</t>
  </si>
  <si>
    <t>Transporte Sebastian Cali - Tulua AFILIADOS PALMIRA S.A</t>
  </si>
  <si>
    <t>Transporte Sebastian Tulua - Andalucia TAX CENTRAL</t>
  </si>
  <si>
    <t>Tanqueo Nicolás COMBUSTIBLES GUACARI SAS</t>
  </si>
  <si>
    <t>Hidratación D1 SAS</t>
  </si>
  <si>
    <t>Hidratación PREMIUM SERVICES ENERGY S.A.</t>
  </si>
  <si>
    <t>Transporte de personal JUAN JOSE CAMACHO ALEGRIA</t>
  </si>
  <si>
    <t>Transporte de personal TAX CENTRAL</t>
  </si>
  <si>
    <t>Discos de corte para madera FERRETERÍA J&amp;M (ARANGO RIAÑO MARIANA)</t>
  </si>
  <si>
    <t>Varillas 3/8" FERRETERÍA J&amp;M (ARANGO RIAÑO MARIANA)</t>
  </si>
  <si>
    <t>Tanqueo Martín PREMIUM SERVICES ENERGY S.A.</t>
  </si>
  <si>
    <t>Tanqueo Nicolás EDS CHIPAYA</t>
  </si>
  <si>
    <t>Transporte Sebastian Andalucia -  Tulua  TAX CENTRAL</t>
  </si>
  <si>
    <t>Transporte Sebastian Tulua - Cali AFILIADOS PALMIRA S.A</t>
  </si>
  <si>
    <t>Transporte Sebastian Cali  ISABELLA RODRIGUEZ VELA</t>
  </si>
  <si>
    <t>Mechero CENTRO HERRAMIENTAS</t>
  </si>
  <si>
    <t>Flexometro CENTRO HERRAMIENTAS</t>
  </si>
  <si>
    <t>Tubos  IMC GRUPO EMPRESARIAL TODO ELECTRICOS S.A.S.</t>
  </si>
  <si>
    <t>Arreglo del sacabocados FEDERICO GARCIA DIAZ</t>
  </si>
  <si>
    <t>Tanqueo Martín SERVICENTRO YIRETH</t>
  </si>
  <si>
    <t>Discos de corte, aerosol FERRETERÍA J&amp;M (ARANGO RIAÑO MARIANA)</t>
  </si>
  <si>
    <t>Tanqueo Nicolas PREMIUM SERVICES ENERGY S.A.</t>
  </si>
  <si>
    <t>Hidratación bolsa de hielo PREMIUM SERVICES ENERGY S.A.</t>
  </si>
  <si>
    <t>Union EMT, BUSHING, abrazadera 3" GRUPO EMPRESARIAL TODO ELECTRICOS S.A.S.</t>
  </si>
  <si>
    <t>Transporte Sebastian  Andalucia- Tulua  TAX CENTRAL</t>
  </si>
  <si>
    <t>Transporte Sebastian Tulua- Cali AFILIADOS PALMIRA S.A</t>
  </si>
  <si>
    <t>Transporte Sebastian desde Terminal Cali ISABELLA RODRIGUEZ VELA</t>
  </si>
  <si>
    <t>Cinta bandit, alquiler zunchadora y escalera ESTEBAN CASTRO LORES</t>
  </si>
  <si>
    <t>Tanqueo gasolina Martin Sossa MASSER S.A.S</t>
  </si>
  <si>
    <t>Transporte personal Andalucia-Tulúa (Integración) JUAN JOSE CAMACHO ALEGRIA</t>
  </si>
  <si>
    <t>Transporte personal Tulúa-Cali (Integración) COOPERATIVA DE TRANSPORTADORES DE TULÚA</t>
  </si>
  <si>
    <t>Transporte personal Cali-Tulúa (Integración) COOPERATIVA DE TRANSPORTADORES DE TULÚA</t>
  </si>
  <si>
    <t>Transporte personal Tulúa-Andalucia (Integración) JUAN JOSE CAMACHO ALEGRIA</t>
  </si>
  <si>
    <t>Tanqueo carro vehiculo transporte (Integración) EDS TERPEL CAÑASGORDAS</t>
  </si>
  <si>
    <t>Tanqueo gasolina nicolas CENTRO DE SERVICIOS LAS MERCEDES SAS</t>
  </si>
  <si>
    <t>Tanqueo gasolina Jersson PREMIUM SERVICES ENERGY S.A.</t>
  </si>
  <si>
    <t>Pago a ips bienestar labora fac 3138</t>
  </si>
  <si>
    <t>Reintegro dinero a Sara Daza celebaracion dia del hombre</t>
  </si>
  <si>
    <t>Reintegro dinero a Daniela Arboleda celebaracion dia del hombre</t>
  </si>
  <si>
    <t>Pago tiquete Danna viaje a medellin avianca</t>
  </si>
  <si>
    <t>Pago upme Lacteos Tulua Javier morales castro</t>
  </si>
  <si>
    <t xml:space="preserve">Pago tiquete aereo avianca Ana Henao </t>
  </si>
  <si>
    <t>Pago a TRANSFORMADORES MAXWELL SAS FC 41084</t>
  </si>
  <si>
    <t>Pago cotizacion 11345 GEE RENOVABLES</t>
  </si>
  <si>
    <t>Pago arrendamiento YULY ROCIO MUÑOZ mercaderes</t>
  </si>
  <si>
    <t>Pago tiquetes jean carlos pasto-medellin-pasto</t>
  </si>
  <si>
    <t>Pago Cotización de Estructura en Aluminio para Instalación Sistema Fotovoltaico (COT-113) OVERHAULIN</t>
  </si>
  <si>
    <t>Retencin fte 2,5%  Cotización de Estructura en Aluminio para Instalación Sistema Fotovoltaico (COT-113) OVERHAULIN</t>
  </si>
  <si>
    <t>Prestamo inversion Orbis</t>
  </si>
  <si>
    <t>Pago poliza sura delta</t>
  </si>
  <si>
    <t>Pago estado de cuenta Solaire fac  21099</t>
  </si>
  <si>
    <t>Pago a TABLESA S.A COT TA144-25 ANTICIPO DEL 50%</t>
  </si>
  <si>
    <t>Retencion fte 1% Pago acarreos y transporte Wilian Basante</t>
  </si>
  <si>
    <t>Pago a INGAL DE OCCIDENTE cuenta de cobro FP 111</t>
  </si>
  <si>
    <t>Retencion fte 2,5% INGAL DE OCCIDENTE cuenta de cobro FP 111</t>
  </si>
  <si>
    <t>Pago a ELECTRICOS BOYACA JAIRO LOPEZ 79.579.987 COT 8445</t>
  </si>
  <si>
    <t>Retencion ica 3*1000 ELECTRICOS BOYACA JAIRO LOPEZ 79.579.987 COT 8445</t>
  </si>
  <si>
    <t>Pago a PHC SERVICIOS INTEGRADOS GROUP SAS</t>
  </si>
  <si>
    <t>Pago cuenta de cobro DAVID ESTEBAN DIAZ TAQUEZ</t>
  </si>
  <si>
    <t>Pago a SUNEO ENERGY SAS COT 19361</t>
  </si>
  <si>
    <t>Retencion fte 2,5% SUNEO ENERGY SAS COT 19361</t>
  </si>
  <si>
    <t>Pago a JUAN DELAROSA MUÑOZ 16.794.503 ARRENDAMIENTO CALI MES MARZO 2025</t>
  </si>
  <si>
    <t>Retencion fte 3,5 JUAN DELAROSA MUÑOZ 16.794.503 ARRENDAMIENTO CALI MES MARZO 2025</t>
  </si>
  <si>
    <t>Pago final a Cristhian Martinez Martinez muebles</t>
  </si>
  <si>
    <t>Pago saldo cuenta de cobro Javier Rosero potosi</t>
  </si>
  <si>
    <t>Retencion fte 2% cuenta de cobro Javier Rosero potosi</t>
  </si>
  <si>
    <t>Retencion ica 6*1000 cuenta de cobro Javier Rosero potosi</t>
  </si>
  <si>
    <t>Pago fac of constructores  cotizacion 7460</t>
  </si>
  <si>
    <t>Pago a DIEGO ALEJANDRO FUENTES OJEDA  ARRENDAMIENTO MERCADERES</t>
  </si>
  <si>
    <t>Pago cuenta de cobro #3 artin Felipe Gumajoa</t>
  </si>
  <si>
    <t>Retencion fte 2% cuenta de cobro #3 artin Felipe Gumajoa</t>
  </si>
  <si>
    <t>Retencion ica 6*1000 cuenta de cobro #3 artin Felipe Gumajoa</t>
  </si>
  <si>
    <t>Pago impuesto retencion de ica Evolti 1er bimestre</t>
  </si>
  <si>
    <t>Pago comision Daniel Fernando Medina</t>
  </si>
  <si>
    <t>PAGO PLANILLA SEGURIDAD SOCIAL FEBRERO  JHONY FERNANDO RIASCOS CEBALLOS</t>
  </si>
  <si>
    <t xml:space="preserve">PAGO PLANILLA SEGURIDAD SOCIAL FEBRERO  CRISTIAN ANDRES CHITAN  </t>
  </si>
  <si>
    <t>PAGO PLANILLA SEGURIDAD SOCIAL FEBRERO  JAVIER GIOVANI YANDUN INAGAN</t>
  </si>
  <si>
    <t>PAGO PLANILLA SEGURIDAD SOCIAL FEBRERO  MARIO ALEXANDER CUSIS HERNANDEZ</t>
  </si>
  <si>
    <t>PAGO PLANILLA SEGURIDAD SOCIAL FEBRERO  EDWIN LEONARDO MARTINEZ YAQUENO</t>
  </si>
  <si>
    <t>PAGO PLANILLA SEGURIDAD SOCIAL FEBRERO  JOY JAMIT MOSQUERA ORDOÑEZ</t>
  </si>
  <si>
    <t>PAGO PLANILLA SEGURIDAD SOCIAL FEBRERO  WILLIAM ALBERTO AZA CRIOLLO</t>
  </si>
  <si>
    <t>PAGO PLANILLA SEGURIDAD SOCIAL FEBRERO  JHORDY STEVEN TRUJILLO GALEANO</t>
  </si>
  <si>
    <t>PAGO PLANILLA SEGURIDAD SOCIAL FEBRERO  JUAN CAMILO GARCIA SOUZA</t>
  </si>
  <si>
    <t>PAGO PLANILLA SEGURIDAD SOCIAL FEBRERO  JASON STEVEN DIAZ GUEVARA</t>
  </si>
  <si>
    <t>PAGO PLANILLA SEGURIDAD SOCIAL FEBRERO  JOSE ALVEIRO CUSIS HERNANDEZ</t>
  </si>
  <si>
    <t>PAGO PLANILLA SEGURIDAD SOCIAL FEBRERO  ANDRES FERNANDO ESPINOSA GUACALES</t>
  </si>
  <si>
    <t>PAGO PLANILLA SEGURIDAD SOCIAL FEBRERO  IVAN DARIO CAICEDO CALVACHE</t>
  </si>
  <si>
    <t>PAGO PLANILLA SEGURIDAD SOCIAL FEBRERO  JORGE ANDRES BARRERA YANDAR</t>
  </si>
  <si>
    <t>PAGO PLANILLA SEGURIDAD SOCIAL FEBRERO  JOHAN SEBASTIAN OVIEDO NIÑAN</t>
  </si>
  <si>
    <t>PAGO PLANILLA SEGURIDAD SOCIAL FEBRERO  OSCAR ANDRES CASTRO BOTINA</t>
  </si>
  <si>
    <t>PAGO PLANILLA SEGURIDAD SOCIAL FEBRERO  SANDRA CAROLINA PATASCOY BOTINA</t>
  </si>
  <si>
    <t>PAGO PLANILLA SEGURIDAD SOCIAL FEBRERO  CHRISTIAN MAURICIO DELGADO VILLOTA</t>
  </si>
  <si>
    <t>PAGO PLANILLA SEGURIDAD SOCIAL FEBRERO  JHON ALEXANDER GELPUD ZAMORA</t>
  </si>
  <si>
    <t>PAGO PLANILLA SEGURIDAD SOCIAL FEBRERO  JOHAN LEYDER CHAPAL VILLOTA</t>
  </si>
  <si>
    <t>PAGO PLANILLA SEGURIDAD SOCIAL FEBRERO  RUBEN ESTEBAN ESPINOSA GUACALES</t>
  </si>
  <si>
    <t>PAGO PLANILLA SEGURIDAD SOCIAL FEBRERO  RUBEN DARIO ESPINOSA PARRA</t>
  </si>
  <si>
    <t>PAGO PLANILLA SEGURIDAD SOCIAL FEBRERO KELLY TATIANA ALVAREZ GARCIA</t>
  </si>
  <si>
    <t>PAGO PLANILLA SEGURIDAD SOCIAL FEBRERO JOSE ESTEBAN RODRIGUEZ QUINTERO</t>
  </si>
  <si>
    <t>PAGO PLANILLA SEGURIDAD SOCIAL FEBRERO ANA MILENA HENAO GONZALEZ</t>
  </si>
  <si>
    <t>PAGO PLANILLA SEGURIDAD SOCIAL FEBRERO VERONICA LILIANA SANTACRUZ MENZA</t>
  </si>
  <si>
    <t>PAGO PLANILLA SEGURIDAD SOCIAL FEBRERO ANA MILENA BOLAÑOS FIGUEROA</t>
  </si>
  <si>
    <t>PAGO PLANILLA SEGURIDAD SOCIAL FEBRERO JULIO HERNANDO BELALCAZAR MURILLO</t>
  </si>
  <si>
    <t>PAGO PLANILLA SEGURIDAD SOCIAL FEBRERO MARIANA   SALDARRIAGA CADAVID</t>
  </si>
  <si>
    <t>PAGO PLANILLA SEGURIDAD SOCIAL FEBRERO MARIA ELENA RIVERA SOTO</t>
  </si>
  <si>
    <t>PAGO PLANILLA SEGURIDAD SOCIAL FEBRERO JUAN CARLOS CAÑAR POTOSI</t>
  </si>
  <si>
    <t>PAGO PLANILLA SEGURIDAD SOCIAL FEBRERO SARA LUCIA DAZA LOPEZ</t>
  </si>
  <si>
    <t>PAGO PLANILLA SEGURIDAD SOCIAL FEBRERO HERMANN DAVID SOUZA CUBIDES</t>
  </si>
  <si>
    <t>PAGO PLANILLA SEGURIDAD SOCIAL FEBRERO JUAN MANUEL ESPAÑA FORERO</t>
  </si>
  <si>
    <t>PAGO PLANILLA SEGURIDAD SOCIAL FEBRERO YULY ANDREA JARAMILLO GUERRERO</t>
  </si>
  <si>
    <t>PAGO PLANILLA SEGURIDAD SOCIAL FEBRERO LUISA FERNANDA OBANDO VITAR</t>
  </si>
  <si>
    <t>PAGO PLANILLA SEGURIDAD SOCIAL FEBRERO CAROLINA   CARDONA PAREJA</t>
  </si>
  <si>
    <t>PAGO PLANILLA SEGURIDAD SOCIAL FEBRERO JHOANA MARCELA GERMAN REYES</t>
  </si>
  <si>
    <t>PAGO PLANILLA SEGURIDAD SOCIAL FEBRERO JULLY PAOLA AGUDELO BAEZ</t>
  </si>
  <si>
    <t>PAGO PLANILLA SEGURIDAD SOCIAL FEBRERO JUAN ESTEBAN IBARRA CAMUES</t>
  </si>
  <si>
    <t>PAGO PLANILLA SEGURIDAD SOCIAL FEBRERO LOREN ALEJANDRA DIAZ YAMPUEZAN</t>
  </si>
  <si>
    <t>PAGO PLANILLA SEGURIDAD SOCIAL FEBRERO MARIA FERNANDA CHAMORRO CARLOSAMA</t>
  </si>
  <si>
    <t>PAGO PLANILLA SEGURIDAD SOCIAL FEBRERO CINDY JOHANA CARLOSAMA HERNANDEZ</t>
  </si>
  <si>
    <t>PAGO PLANILLA SEGURIDAD SOCIAL FEBRERO CLAUDIA STELLA CORAL ERASO</t>
  </si>
  <si>
    <t>PAGO PLANILLA SEGURIDAD SOCIAL FEBRERO RUBIELA DEL SOCORRO RAMOS PARRA</t>
  </si>
  <si>
    <t xml:space="preserve">PAGO PLANILLA SEGURIDAD SOCIAL FEBRERO CRISTINA   LASSO  </t>
  </si>
  <si>
    <t>PAGO PLANILLA SEGURIDAD SOCIAL FEBRERO JUAN JOSE NARVAEZ IBARRA</t>
  </si>
  <si>
    <t>PAGO PLANILLA SEGURIDAD SOCIAL FEBRERO JHON EDINSON SANCHEZ CAMACHO</t>
  </si>
  <si>
    <t xml:space="preserve">PAGO PLANILLA SEGURIDAD SOCIAL FEBRERO PAOLA ANDREA SEGURA MARTINEZ </t>
  </si>
  <si>
    <t xml:space="preserve">PAGO PLANILLA SEGURIDAD SOCIAL FEBRERO NESTOR ANDRES ARCINIEGAS VILLAMARIN </t>
  </si>
  <si>
    <t>PAGO PLANILLA SEGURIDAD SOCIAL FEBRERO DANIELA   ARBOLEDA SEGUNDO APELLIDORODRIGUEZ</t>
  </si>
  <si>
    <t>PAGO PLANILLA SEGURIDAD SOCIAL FEBRERO JUAN SEBASTIAN GOMEZ SEGUNDO APELLIDORODRIGUEZLEAL</t>
  </si>
  <si>
    <t>PAGO PLANILLA SEGURIDAD SOCIAL FEBRERO DANNA STEFANYA LASSO SEGUNDO APELLIDORODRIGUEZLEALGUERRA</t>
  </si>
  <si>
    <t>PAGO PLANILLA SEGURIDAD SOCIAL FEBRERO MIGUEL ALEJANDRO ENRIQUEZ SEGUNDO APELLIDORODRIGUEZLEALGUERRACHAMORRO</t>
  </si>
  <si>
    <t>PAGO PLANILLA SEGURIDAD SOCIAL FEBRERO JUAN FERNANDO PANIAGUA SEGUNDO APELLIDORODRIGUEZLEALGUERRACHAMORROOSORIO</t>
  </si>
  <si>
    <t>PAGO PLANILLA SEGURIDAD SOCIAL FEBRERO HERNAN DARIO CABRERA SEGUNDO APELLIDORODRIGUEZLEALGUERRACHAMORROOSORIOQUITIAQUEZ</t>
  </si>
  <si>
    <t>PAGO PLANILLA SEGURIDAD SOCIAL FEBRERO JORGE ANDRES MUÑOZ SEGUNDO APELLIDORODRIGUEZLEALGUERRACHAMORROOSORIOQUITIAQUEZMARTINEZ</t>
  </si>
  <si>
    <t xml:space="preserve">PAGO PLANILLA SEGURIDAD SOCIAL FEBRERO ANDRES FELIPE DELGADO </t>
  </si>
  <si>
    <t>PAGO PLANILLA SEGURIDAD SOCIAL FEBRERO NICOLAS LOPEZ SEGUNDO APELLIDO</t>
  </si>
  <si>
    <t>PAGO PLANILLA SEGURIDAD SOCIAL FEBRERO IVAN DANIEL MONTILLA</t>
  </si>
  <si>
    <t>PAGO PLANILLA SEGURIDAD SOCIAL FEBRERO SERGIO DAVID ZAMBRANO SEGUNDO APELLIDORODRIGUEZLEALGUERRACHAMORROOSORIOQUITIAQUEZMARTINEZZUTTADULCECORALESCOBAR</t>
  </si>
  <si>
    <t xml:space="preserve">PAGO PLANILLA SEGURIDAD SOCIAL FEBRERO MOISES   RUIZ SEGUNDO </t>
  </si>
  <si>
    <t>PAGO PLANILLA SEGURIDAD SOCIAL FEBRERO JAVIER SEBASTIAN LUCENA RODRIGUEZLEALGUERRACHAMORROOSORIOQUITIAQUEZMARTINEZZUTTADULCECORALESCOBARAYALAVILLARREAL</t>
  </si>
  <si>
    <t xml:space="preserve">PAGO PLANILLA SEGURIDAD SOCIAL FEBRERO DIANA ALEJANDRA MERA </t>
  </si>
  <si>
    <t>PAGO PLANILLA SEGURIDAD SOCIAL FEBRERO CRISTHIAN CAMILO ROSERO GUERRACHAMORROOSORIOQUITIAQUEZMARTINEZZUTTADULCECORALESCOBARAYALAVILLARREALMUÑOZALVAREZ</t>
  </si>
  <si>
    <t>PAGO PLANILLA SEGURIDAD SOCIAL FEBRERO DANNA EVELYN ARMERO CHAMORROOSORIOQUITIAQUEZMARTINEZZUTTADULCECORALESCOBARAYALAVILLARREALMUÑOZALVAREZROSERO</t>
  </si>
  <si>
    <t>PAGO PLANILLA SEGURIDAD SOCIAL FEBRERO LEIBNITZ EDUARDO CHANA OSORIOQUITIAQUEZMARTINEZZUTTADULCECORALESCOBARAYALAVILLARREALMUÑOZALVAREZROSEROCALDERON</t>
  </si>
  <si>
    <t>PAGO PLANILLA SEGURIDAD SOCIAL FEBRERO WILSON ALEJANDRO MORA QUITIAQUEZMARTINEZZUTTADULCECORALESCOBARAYALAVILLARREALMUÑOZALVAREZROSEROCALDERONERAZO</t>
  </si>
  <si>
    <t>PAGO PLANILLA SEGURIDAD SOCIAL FEBRERO RAUL BARBENLEY CASTRO RIVERA</t>
  </si>
  <si>
    <t>PAGO PLANILLA SEGURIDAD SOCIAL FEBRERO JOSE JULIAN OCAMPO URIBE</t>
  </si>
  <si>
    <t>PAGO PLANILLA SEGURIDAD SOCIAL FEBRERO MARTIN ALONSO SOSSA AGUIRRE</t>
  </si>
  <si>
    <t>PAGO PLANILLA SEGURIDAD SOCIAL FEBRERO JOSE RAFAEL RUEDA HERRERA</t>
  </si>
  <si>
    <t>PAGO PLANILLA SEGURIDAD SOCIAL FEBRERO JERSON ALEXIS GOMEZ ACOSTA</t>
  </si>
  <si>
    <t>PAGO PLANILLA SEGURIDAD SOCIAL FEBRERO ORLANDO   LOPEZ DIAZ</t>
  </si>
  <si>
    <t>PAGO PLANILLA SEGURIDAD SOCIAL FEBRERO JOSE MAURICIO PAZ JURADO</t>
  </si>
  <si>
    <t>PAGO PLANILLA SEGURIDAD SOCIAL FEBRERO EDINSON ENRIQUE CANTILLO CORONADO</t>
  </si>
  <si>
    <t>PAGO PLANILLA SEGURIDAD SOCIAL FEBRERO ALEXANDER   MUÑOZ DIAZ</t>
  </si>
  <si>
    <t>PAGO PLANILLA SEGURIDAD SOCIAL FEBRERO RODRIGO   QUINTERO DIAZ</t>
  </si>
  <si>
    <t>PAGO PLANILLA SEGURIDAD SOCIAL FEBRERO DEIMAN JARINSON DAVID MUÑOZ</t>
  </si>
  <si>
    <t>PAGO PLANILLA SEGURIDAD SOCIAL FEBRERO SEGUNDO MARCIAL GELPUD BOTINA</t>
  </si>
  <si>
    <t>PAGO PLANILLA SEGURIDAD SOCIAL FEBRERO JIMMI ALEXANDER BURGOS GUERRERO</t>
  </si>
  <si>
    <t>PAGO PLANILLA SEGURIDAD SOCIAL FEBRERO EDILFONSO   ROSERO CASTILLO</t>
  </si>
  <si>
    <t>PAGO PLANILLA SEGURIDAD SOCIAL FEBRERO JOSE DELIO ALMEIDA ALMEIDA</t>
  </si>
  <si>
    <t>PAGO PLANILLA SEGURIDAD SOCIAL FEBRERO AURO EDILSON ARTEAGA MEZA</t>
  </si>
  <si>
    <t>PAGO PLANILLA SEGURIDAD SOCIAL FEBRERO CARLOS HERNANDO ENRIQUEZ DIAZ</t>
  </si>
  <si>
    <t>PAGO PLANILLA SEGURIDAD SOCIAL FEBRERO HOLMES   GALINDEZ VALDEZ</t>
  </si>
  <si>
    <t xml:space="preserve">PAGO PLANILLA SEGURIDAD SOCIAL FEBRERO RICARDO HERNAN ORTIZ  </t>
  </si>
  <si>
    <t>PAGO PLANILLA SEGURIDAD SOCIAL FEBRERO LEIDER LUVER LOPEZ DIAZ</t>
  </si>
  <si>
    <t>PAGO PLANILLA SEGURIDAD SOCIAL FEBRERO ALBEIRO ORLANDO ESPAÑA HERNANDEZ</t>
  </si>
  <si>
    <t>PAGO PLANILLA SEGURIDAD SOCIAL FEBRERO JORGE LUIS LIZCANO NIÑO</t>
  </si>
  <si>
    <t>PAGO PLANILLA SEGURIDAD SOCIAL FEBRERO HUBER ANDRES VELEZ BUSTAMANTE</t>
  </si>
  <si>
    <t>PAGO PLANILLA SEGURIDAD SOCIAL FEBRERO KEVIN JONATAN MONTILLA RIAZCO</t>
  </si>
  <si>
    <t>PAGO PLANILLA SEGURIDAD SOCIAL FEBRERO DIEGO ANDRES ARAUJO NARVAEZ</t>
  </si>
  <si>
    <t>PAGO PLANILLA SEGURIDAD SOCIAL FEBRERO DILBER MAURICIO PAZ ALMEIDA</t>
  </si>
  <si>
    <t>PAGO PLANILLA SEGURIDAD SOCIAL FEBRERO OSCAR IVAN MELENDEZ GARCIA</t>
  </si>
  <si>
    <t>PAGO PLANILLA SEGURIDAD SOCIAL FEBRERO ASTRID VEIDUD LOPEZ NARVAEZ</t>
  </si>
  <si>
    <t>PAGO PLANILLA SEGURIDAD SOCIAL FEBRERO JOSE OMAR GANSASOY CASTILLO</t>
  </si>
  <si>
    <t>PAGO PLANILLA SEGURIDAD SOCIAL FEBRERO VIVIANA ANDREA AYALA PICHINA</t>
  </si>
  <si>
    <t>PAGO PLANILLA SEGURIDAD SOCIAL FEBRERO JUAN ESTEBAN BLANCO QUIROGA</t>
  </si>
  <si>
    <t>PAGO PLANILLA SEGURIDAD SOCIAL FEBRERO JOSE DEL CARMEN GUERRERO BERDUGO</t>
  </si>
  <si>
    <t>PAGO PLANILLA SEGURIDAD SOCIAL FEBRERO JEFERSON   VERGARA MUÑOZ</t>
  </si>
  <si>
    <t>PAGO PLANILLA SEGURIDAD SOCIAL FEBRERO YALINER   ILVIRA FIGUEROA</t>
  </si>
  <si>
    <t>PAGO PLANILLA SEGURIDAD SOCIAL FEBRERO EYDER   QUINTERO DIAZ</t>
  </si>
  <si>
    <t>PAGO PLANILLA SEGURIDAD SOCIAL FEBRERO RUBEN   LOPEZ MUÑOZ</t>
  </si>
  <si>
    <t xml:space="preserve">PAGO PLANILLA SEGURIDAD SOCIAL FEBRERO ALBERT   FIGUEROA  </t>
  </si>
  <si>
    <t>PAGO PLANILLA SEGURIDAD SOCIAL FEBRERO DEIBER   QUINTERO DIAZ</t>
  </si>
  <si>
    <t>PAGO PLANILLA SEGURIDAD SOCIAL FEBRERO WILLIAMS ALFREDO VILLAR MORA</t>
  </si>
  <si>
    <t>PAGO PLANILLA SEGURIDAD SOCIAL FEBRERO RUBEN DARIO SILVA RODRIGUEZ</t>
  </si>
  <si>
    <t>PAGO PLANILLA SEGURIDAD SOCIAL FEBRERO YEINSON ANDRES GUAQUEZ JURADO</t>
  </si>
  <si>
    <t>PAGO PLANILLA SEGURIDAD SOCIAL FEBRERO ALEXANDER DAVID BETANCOURT CARVAJAL</t>
  </si>
  <si>
    <t>PAGO PLANILLA SEGURIDAD SOCIAL FEBRERO JAVIER ANDRES RODRIGUEZ SANTIUSTY</t>
  </si>
  <si>
    <t>PAGO PLANILLA SEGURIDAD SOCIAL FEBRERO JEANCARLO GUILLERMO MONCAYO ANDRADE</t>
  </si>
  <si>
    <t>PAGO PLANILLA SEGURIDAD SOCIAL FEBRERO ROYER IDELVER LOPEZ SOLARTE</t>
  </si>
  <si>
    <t>PAGO PLANILLA SEGURIDAD SOCIAL FEBRERO FABIAN   OJEDA RODRIGUEZ</t>
  </si>
  <si>
    <t xml:space="preserve">PAGO PLANILLA SEGURIDAD SOCIAL FEBRERO DIANA CRISTINA MARTINEZ  </t>
  </si>
  <si>
    <t>PAGO PLANILLA SEGURIDAD SOCIAL FEBRERO SANDRO ALBEIRO DELGADO MARTINEZ</t>
  </si>
  <si>
    <t>PAGO PLANILLA SEGURIDAD SOCIAL FEBRERO ANDRES WILFREDY BASTIDAS GALINDEZ</t>
  </si>
  <si>
    <t>PAGO PLANILLA SEGURIDAD SOCIAL FEBRERO DANILO JAVIER OJEDA RODRIGUEZ</t>
  </si>
  <si>
    <t>PAGO PLANILLA SEGURIDAD SOCIAL FEBRERO BRANDON   GUAQUEZ TITISTAR</t>
  </si>
  <si>
    <t>PAGO PLANILLA SEGURIDAD SOCIAL FEBRERO YHON ANDERSON LOPEZ JAIMEZ</t>
  </si>
  <si>
    <t>PAGO PLANILLA SEGURIDAD SOCIAL FEBRERO ODELMER   DAZA PEREZ</t>
  </si>
  <si>
    <t>PAGO PLANILLA SEGURIDAD SOCIAL FEBRERO NORELI SELENA DIAZ JURADO</t>
  </si>
  <si>
    <t>PAGO PLANILLA SEGURIDAD SOCIAL FEBRERO LUIS ALBERTO ALMEIDA MATABAJOY</t>
  </si>
  <si>
    <t>PAGO PLANILLA SEGURIDAD SOCIAL FEBRERO BRAYAN STIVEN PEREZ GUAQUEZ</t>
  </si>
  <si>
    <t>PAGO PLANILLA SEGURIDAD SOCIAL FEBRERO IVAN CAMILO MENESES ORDOÑEZ</t>
  </si>
  <si>
    <t>PAGO PLANILLA SEGURIDAD SOCIAL FEBRERO WILLMAN HERNANDO CASTRO RODRIGUEZ</t>
  </si>
  <si>
    <t>PAGO PLANILLA SEGURIDAD SOCIAL FEBRERO EDERSON   DAZA ARTEAGA</t>
  </si>
  <si>
    <t>PAGO PLANILLA SEGURIDAD SOCIAL FEBRERO CRISTIAN FERNANDO PASTAS CUESTA</t>
  </si>
  <si>
    <t>PAGO PLANILLA SEGURIDAD SOCIAL FEBRERO YOHN JAIRO BENAVIDES CHAMORRO</t>
  </si>
  <si>
    <t>PAGO PLANILLA SEGURIDAD SOCIAL FEBRERO LUIS FERNANDO RODRIGUEZ MUÑOZ</t>
  </si>
  <si>
    <t>PAGO PLANILLA SEGURIDAD SOCIAL FEBRERO JOSE MANUEL LOPEZ OBANDO</t>
  </si>
  <si>
    <t>PAGO PLANILLA SEGURIDAD SOCIAL FEBRERO ANDI NEISER GALINDEZ DELGADO</t>
  </si>
  <si>
    <t>PAGO PLANILLA SEGURIDAD SOCIAL FEBRERO LUZ IRMA ORTEGA CIFUENTES</t>
  </si>
  <si>
    <t>PAGO PLANILLA SEGURIDAD SOCIAL FEBRERO ALEX DUVAN CIFUENTES PAZ</t>
  </si>
  <si>
    <t>PAGO PLANILLA SEGURIDAD SOCIAL FEBRERO DANGER ESTIVENSON BENAVIDES ORTEGA</t>
  </si>
  <si>
    <t>PAGO PLANILLA SEGURIDAD SOCIAL FEBRERO JUAN DAVID GRANADA ALVAREZ</t>
  </si>
  <si>
    <t>PAGO PLANILLA SEGURIDAD SOCIAL FEBRERO JESUS ALBERTO DIAZ PALACIOS</t>
  </si>
  <si>
    <t>PAGO PLANILLA SEGURIDAD SOCIAL FEBRERO JHONSIN ARLEY ARIAS CEBALLOS</t>
  </si>
  <si>
    <t>Pago combustible viaje comercil a ipiales</t>
  </si>
  <si>
    <t>veronica</t>
  </si>
  <si>
    <t>Pago alimentacion  viaje comercil a ipiales</t>
  </si>
  <si>
    <t>Retencion fte 1% Transporte personal Oscar Mauricio Morales</t>
  </si>
  <si>
    <t>Envío rieles de pandala, tubo CPVC, sikalataex, botas pantaneras y tapabocas. Trayecto: Pasto - Remolino</t>
  </si>
  <si>
    <t>Envío saltarín, trayecto: Remolino - Pasto</t>
  </si>
  <si>
    <t>Carreras piaggio, trayectos: Oficina - La ferro, La ferro - Terminal mixto, Terminal mixto - Oficina</t>
  </si>
  <si>
    <t>Envío cámara termográfica, trayecto: Remolino - Pasto</t>
  </si>
  <si>
    <t>Envío materiales (thinner, pintura para tráfico y cascos.Trayecto: Pasto - Remolino</t>
  </si>
  <si>
    <t>Envío marquillas, router, cable UTP. Trayecto: Pasto - Remolino</t>
  </si>
  <si>
    <t>Cable UTP Cat. 6E</t>
  </si>
  <si>
    <t>Envío dotación. Trayecto: Pasto - Remolino</t>
  </si>
  <si>
    <t>Brochas 2"</t>
  </si>
  <si>
    <t>Pintura tráfico, vinilo tipo 1, thinner</t>
  </si>
  <si>
    <t>Servicio de carretilla en el terminal de Pasto</t>
  </si>
  <si>
    <t>Envío de materiales, trayecto: Pasto - Ipiales</t>
  </si>
  <si>
    <t>Amarras plásticas 10cm y 15cm</t>
  </si>
  <si>
    <t>Carrera taxi, trayecto: Oficina - Panificadora la Villa</t>
  </si>
  <si>
    <t>Carrera taxi, trayecto: Refugio Valle de Atriz - Oficina</t>
  </si>
  <si>
    <t>Terminal #10-12</t>
  </si>
  <si>
    <t>Arandelas, tuercas, chazo bala, tornillo autoperforante</t>
  </si>
  <si>
    <t xml:space="preserve">Tornillos, arandelas, tuercas y wasas para aislador escalonado  </t>
  </si>
  <si>
    <t>Bisturí metálico, cemento por kg</t>
  </si>
  <si>
    <t>Esmalte,blanco, soldadura, rodillo, brocha, disco flap, careta de esmerilar</t>
  </si>
  <si>
    <t>Tornillo topicalizado, wasa, tuerca, arandela</t>
  </si>
  <si>
    <t>Carrera piaggio, trayecto: Oficina - Club Colombia</t>
  </si>
  <si>
    <t>Transporte oficina-aeropuerto marcela</t>
  </si>
  <si>
    <t>Marcela</t>
  </si>
  <si>
    <t>Bus aeropuerto-terminal</t>
  </si>
  <si>
    <t xml:space="preserve">Taxi terminal-Hotel </t>
  </si>
  <si>
    <t>Almuerzo marcela en marco tulio</t>
  </si>
  <si>
    <t>Cena Marce en Nextup Group</t>
  </si>
  <si>
    <t>Taxi hotel-oficina</t>
  </si>
  <si>
    <t>Almuerzo en oficia lubien villareal</t>
  </si>
  <si>
    <t>Taxi oficina-chipichape</t>
  </si>
  <si>
    <t>Taxi chipichape-hotel</t>
  </si>
  <si>
    <t>Almuerzo marcela en lubin villareal</t>
  </si>
  <si>
    <t>Taxi hotel-centro</t>
  </si>
  <si>
    <t>Cena Marcela Ahumadoa al barril</t>
  </si>
  <si>
    <t>Taxi centro -Hotel</t>
  </si>
  <si>
    <t>Almuerzo aeropuerto cali</t>
  </si>
  <si>
    <t>Transporte Oficina aeropuerto marcela</t>
  </si>
  <si>
    <t>Pasaje pasto-ipiales valle de atriz</t>
  </si>
  <si>
    <t>Taxi Terminal Platinum</t>
  </si>
  <si>
    <t>Taxi Pltinum-Casa</t>
  </si>
  <si>
    <t>Taxi Hotel Adamo</t>
  </si>
  <si>
    <t>Taxi Taxi IPK</t>
  </si>
  <si>
    <t xml:space="preserve">Taxi Adamo </t>
  </si>
  <si>
    <t>Pasaje Ipiales-Pasto valle de atriz</t>
  </si>
  <si>
    <t xml:space="preserve">Transporte Juan camilo a minigranjas </t>
  </si>
  <si>
    <t>Transporte Marcela dejar detalles dia del hombre pasto</t>
  </si>
  <si>
    <t xml:space="preserve">Tranporte Cindy compras para lyra </t>
  </si>
  <si>
    <t>Compra Termo, jarro, porta rosca y vaso fantasia</t>
  </si>
  <si>
    <t>Transporte visita a casa francisco guitierrez</t>
  </si>
  <si>
    <t>dev pago por banco Reintegro dinero a Sara Daza celebaracion dia del hombre</t>
  </si>
  <si>
    <t>dev pago por banco Reintegro dinero a Daniela Arboleda celebaracion dia del hombre</t>
  </si>
  <si>
    <t>Recepcion pago Novacentro</t>
  </si>
  <si>
    <t>Recepcion pago factura Club colombia</t>
  </si>
  <si>
    <t>Recepcion pago factura La cali</t>
  </si>
  <si>
    <t>administracion sistema naos1</t>
  </si>
  <si>
    <t>Anticipo importacion Longi</t>
  </si>
  <si>
    <t>Anticipo Minigranja Lyra</t>
  </si>
  <si>
    <t>Anticipo Minigranja Polaris 2</t>
  </si>
  <si>
    <t>Anticipo Minigranja Orbis</t>
  </si>
  <si>
    <t>Anticipo 38% Minigranja credito delta</t>
  </si>
  <si>
    <t>Bodega Surtisur 2025</t>
  </si>
  <si>
    <t>Conjunto Residencial La Estacion</t>
  </si>
  <si>
    <t>Club Campestre de Palmira</t>
  </si>
  <si>
    <t>C R Valle de Atriz</t>
  </si>
  <si>
    <t>Compra dotacion maria fernanda chamorro</t>
  </si>
  <si>
    <t>Ingreso Dinero dotacion personal</t>
  </si>
  <si>
    <t>Recepcion EMPRESA DE SERVICIOS PUBLICOS VITALES DE ACUEDUCTO ALCANTARILLADO ASEO ELECTRICIDAD GAS Y COMUNICACIONES S A ESP</t>
  </si>
  <si>
    <t>Recepcion pago factura edificio gran avenida</t>
  </si>
  <si>
    <t>Recepcion pago factura dispropan</t>
  </si>
  <si>
    <t>Compra intl facebk c8yappune</t>
  </si>
  <si>
    <t>Alimentancion juan manuel en Compra en cafe perga</t>
  </si>
  <si>
    <t>Compra en prime vide</t>
  </si>
  <si>
    <t xml:space="preserve">Alimentacion Juan Manuel España </t>
  </si>
  <si>
    <t>Compra intl hubspot inc.</t>
  </si>
  <si>
    <t>Compra intl facebk 686jxn4ne</t>
  </si>
  <si>
    <t>Compra en v1501 sas prestamo a gd remolino</t>
  </si>
  <si>
    <t>pago a MELBA LIGIA MONCAYO LA FERRO RM1-4159</t>
  </si>
  <si>
    <t>Pago a MELBA LIGIA MONCAYO LA FERRO RM1-4170</t>
  </si>
  <si>
    <t>Pago a JOHNNY MAURICIO CEBALLOS BASTIDAS JMCB 53</t>
  </si>
  <si>
    <t>Retencion fte 1% JOHNNY MAURICIO CEBALLOS BASTIDAS JMCB 53</t>
  </si>
  <si>
    <t>Retencion ica 6*1000 JOHNNY MAURICIO CEBALLOS BASTIDAS JMCB 53</t>
  </si>
  <si>
    <t>Pago anticipo HUMBERTO JAVIER ROSERO POTOSÍ COT 55 ANTICIPO 50%</t>
  </si>
  <si>
    <t>Pago a CRISTHIAN DAVID IBARRA CABRERA HOTEL LOTO</t>
  </si>
  <si>
    <t>Retencion fte 3,5 %  CRISTHIAN DAVID IBARRA CABRERA HOTEL LOTO</t>
  </si>
  <si>
    <t>Retencion ica 6*1000 Pago a CRISTHIAN DAVID IBARRA CABRERA HOTEL LOTO</t>
  </si>
  <si>
    <t>Pago fletes a Tablesa cotizacion TA156-25</t>
  </si>
  <si>
    <t>Retencion fte Tablesa cotizacion TA156-25</t>
  </si>
  <si>
    <t>Pago a SUPERINTENDECIA DE NOTARIADO Y REGISTRO</t>
  </si>
  <si>
    <t>Pago poliza sura proyecto splendor</t>
  </si>
  <si>
    <t>Pago poliza sura proyecto edificio ipk</t>
  </si>
  <si>
    <t>Pago poliza sura proyecto panificadora la villa</t>
  </si>
  <si>
    <t>Pago Tiquete avianca medellin-cali Edinson Enriquez  departamento de experiencia</t>
  </si>
  <si>
    <t>Pago a NACIONAL DE TRANSFORMADORES SAS TESLA FE 4147</t>
  </si>
  <si>
    <t>Retencion fte 2,5%  NACIONAL DE TRANSFORMADORES SAS TESLA FE 4147</t>
  </si>
  <si>
    <t>Pago a LUIS CAMILO PATIÑO ALPALA  ANTICIPO DEL 50%</t>
  </si>
  <si>
    <t>Pago a HARRISON STIVEN LOPEZ TENORIO</t>
  </si>
  <si>
    <t xml:space="preserve">Pago a vatia Cambio Medidor Unidireccional a Bidireccional 4 Cuadrantes - Clínica Morasurco </t>
  </si>
  <si>
    <t>Pago a MARCOS DANIEL OJEDA ALIMENTACION  COMIDAS</t>
  </si>
  <si>
    <t>Pago saldo final Rymel Ingenieria electrica sas FN 19940</t>
  </si>
  <si>
    <t xml:space="preserve">Pago a VALENTINA FIGUEROA MEJIA SOLUCIONES ELECTRICAS T Y C PEDIDO 817 </t>
  </si>
  <si>
    <t>Retencion fte 10% cuenta de cobro DAVID ESTEBAN DIAZ TAQUEZ</t>
  </si>
  <si>
    <t>Impresiones planos PL-4 PL-6, PL-7.</t>
  </si>
  <si>
    <t>Pago a Gilberto Lopez servicios de transporte y recorridos para visitas a predios, así como diligencias en notaría.</t>
  </si>
  <si>
    <t xml:space="preserve">Pago cuenta de cobro Andres Camilo Castaño levantamiento terreno 3D, Modelado 3D, Renders fotorealistas </t>
  </si>
  <si>
    <t>Pago a AMARA NET ZERO COLOMBIA SAS OFERTA 2405859 ANTICIPO 50%</t>
  </si>
  <si>
    <t>SURAGUAS PTAP</t>
  </si>
  <si>
    <t>Pago a PROTECTO FED 4338</t>
  </si>
  <si>
    <t>Pago a EVA ENVIRONMENT ADVISORS SAS FVE 5</t>
  </si>
  <si>
    <t>Pago a DISTRIBUCIONES ELECTRICAS AC PF 75558</t>
  </si>
  <si>
    <t>Pago a DISTRIBUCIONES ELECTRICAS AC PF 75598</t>
  </si>
  <si>
    <t xml:space="preserve">Pago a PAOLA ANDREA SEGURA reintegro compas oficina popayan </t>
  </si>
  <si>
    <t>Pago realizado a ASEQI SAS FEAQ 1867</t>
  </si>
  <si>
    <t>Retencion fte  ASEQI SAS FEAQ 1867</t>
  </si>
  <si>
    <t>Pago a AURA MIREY BURBANO FERRO MAC  COT 474</t>
  </si>
  <si>
    <t xml:space="preserve">Pago a FERREMALLAS CALI SALDO FINAL </t>
  </si>
  <si>
    <t>Pago a FERREMALLAS CALI ANTICIPO 50% COT 316-03-2025</t>
  </si>
  <si>
    <t>Renovación Registro mercantil Evolti</t>
  </si>
  <si>
    <t xml:space="preserve">Pago a LUIS CAMILO PATIÑO ALPALA CUENTA DE COBRO </t>
  </si>
  <si>
    <t>Pago a FREDY ALEXANDER LOPEZ MONDRAGON HABITAT VENCE 28-03-2025</t>
  </si>
  <si>
    <t>Retencion fte 4% FREDY ALEXANDER LOPEZ MONDRAGON HABITAT VENCE 28-03-2025</t>
  </si>
  <si>
    <t>Retencion fte 4%  FREDY ALEXANDER LOPEZ MONDRAGON HABITAT VENCE 28-03-2025</t>
  </si>
  <si>
    <t>Pago realizado a SOLAIRE 121123</t>
  </si>
  <si>
    <t>Pago realizado a SOLAIRE 121124</t>
  </si>
  <si>
    <t>Pago realizado a SOLAIRE 121125</t>
  </si>
  <si>
    <t>Pago realizado a SOLAIRE 121128</t>
  </si>
  <si>
    <t>Pago a TABLESA COT TA74A-25 SALDO FINAL</t>
  </si>
  <si>
    <t>Retencion fte 2,5% TABLESA COT TA74A-25 SALDO FINAL</t>
  </si>
  <si>
    <t>Pago vallas publicidad a INNOVA GROUP INE 69</t>
  </si>
  <si>
    <t>Pago a MELBA LIGIA MONCAYO LA FERRO RM1-4171</t>
  </si>
  <si>
    <t>Retencion ica 6*1000 MELBA LIGIA MONCAYO LA FERRO RM1-4171</t>
  </si>
  <si>
    <t>Pago a MELBA LIGIA MONCAYO LA FERRO RM1-4180</t>
  </si>
  <si>
    <t>Retencion ica 6*1000 MELBA LIGIA MONCAYO LA FERRO RM1-4180</t>
  </si>
  <si>
    <t>Pago a INELDEC ENERGY SAS C-1-4924</t>
  </si>
  <si>
    <t>Cambiar a Evolti generacion</t>
  </si>
  <si>
    <t>Pago fra MUNDO SOS FEF 435 Servicio de certificación y legalización de sistema de energía solar</t>
  </si>
  <si>
    <t>Pago fra cartera pdte v1501 FEAJ 25672 Y FEAJ 25671</t>
  </si>
  <si>
    <t>Pago a V1501 fac FEAJ27257</t>
  </si>
  <si>
    <t>Pago realizado a RYMEL  COT 521-2025</t>
  </si>
  <si>
    <t>pago tiquete avianca</t>
  </si>
  <si>
    <t xml:space="preserve">Pago servicio de vigilancia SEGURIDAD DEL SUR </t>
  </si>
  <si>
    <t>Acrílico cristal en ÍNDIGO PUBLICIDAD</t>
  </si>
  <si>
    <t>Envío latas de sikaboom y codo roscado 3". Trayecto: Pasto - Remolino en JEFERSON DAZA</t>
  </si>
  <si>
    <t>Pasaje inspector RETIE, trayecto: Pasto Remolino en HERNANDO ARROYO</t>
  </si>
  <si>
    <t>Envío saltarín, cal y señal para tablero. Trayecto: Pasto - Remolino en DIEGO ROBLES</t>
  </si>
  <si>
    <t>Tornillería para uniones de bandejas portacable en TODO TORNILLO</t>
  </si>
  <si>
    <t>Broca 1/2" para taladro plus en LA FERRO</t>
  </si>
  <si>
    <t>Envío materiales, trayecto: Pasto - Remolino en PAULO ERAZO</t>
  </si>
  <si>
    <t>Adaptador macho 3" PVC en LA FERRO</t>
  </si>
  <si>
    <t>Carrera piaggio, trayecto: Oficina - Club Colombia en LUIS PORTILLA</t>
  </si>
  <si>
    <t>Saca poliproleno rayada en LA FERRO</t>
  </si>
  <si>
    <t>Tornillo tropicalizado 6mm en LA FERRO</t>
  </si>
  <si>
    <t>Toma doble en DEFA</t>
  </si>
  <si>
    <t>Conector empalme amarillo en KUTIN</t>
  </si>
  <si>
    <t>Vinilo tipo 1, pintura amarilla, thinner, cinta de enmascarar, brocha en LA FERRO</t>
  </si>
  <si>
    <t>Tornillos, arandelas y wasas para aislador escalonado en TODO TORNILLO</t>
  </si>
  <si>
    <t>Aerosol negro, soldadura PVC, limpiador PVC, codos sanitarios 2" en LA FERRO</t>
  </si>
  <si>
    <t>Botellón de agua en SUPERMERCADOS TIGRE DE LA REBAJA</t>
  </si>
  <si>
    <t>Bolsillo para catálogo en LA CALI</t>
  </si>
  <si>
    <t>Terminal RJ45 en KUTIN</t>
  </si>
  <si>
    <t>Grata copa para pulidora, estuco listo, pila 3A, Tornillo 3" en LA FERRO</t>
  </si>
  <si>
    <t>Termoencogible 025N en SOLUCIONES ELÉCTRICAS T Y C</t>
  </si>
  <si>
    <t>Envío gabinetes y pilas 3A, trayecto: Pasto - Ipiales en NÉSTOR LEÓN</t>
  </si>
  <si>
    <t>Parqueadero piaggio en el Terminal en LUIS ALBERTO ZAMBRANO</t>
  </si>
  <si>
    <t>Servicio carretilla en el Terminal en LUIS EDUARDO RINCÓN</t>
  </si>
  <si>
    <t>Pasaje Pasto-remolino Miguel en coochachagui</t>
  </si>
  <si>
    <t>Desayuno miguel Enriquez</t>
  </si>
  <si>
    <t>Hidratacion Miguel Enriquez</t>
  </si>
  <si>
    <t xml:space="preserve">Pasaje remolino-pasto </t>
  </si>
  <si>
    <t xml:space="preserve">Compra Refrigerio celebracion dia del hombre evolti En brenda carolina </t>
  </si>
  <si>
    <t xml:space="preserve">Compra Refrigerio celebracion dia del hombre evolti </t>
  </si>
  <si>
    <t>Compra Refrigerio celebracion dia del hombre evolti En Alkosto</t>
  </si>
  <si>
    <t>Almuerzo Jorge Barrera en NIKOPAO2 RESTAURANTE</t>
  </si>
  <si>
    <t>Jorge Barrera</t>
  </si>
  <si>
    <t>Cena Jorge Barrera en NIKOPAO2 RESTAURANTE</t>
  </si>
  <si>
    <t>Transporte Jorge Barrera edificio IPK a Hotel  en Jorge Barrera</t>
  </si>
  <si>
    <t>Transporte Jorge Barrera hotel a edificio IPK en Jorge Barrera</t>
  </si>
  <si>
    <t>Desayuno Jorge Barrera en NIKOPAO2 RESTAURANTE</t>
  </si>
  <si>
    <t>Almuerzo Jorge Barrera en THE BROASTER HOUSE IP SAS ZOMAC</t>
  </si>
  <si>
    <t>Transporte de edificio IPK A ferreteria Mora HNOS  en Jorge Barrera</t>
  </si>
  <si>
    <t>Conector recto 1 1/2 Coraza en FERROELECTRICOS MORA HNOS</t>
  </si>
  <si>
    <t>Transporte de  ferreteria Mora HNOS a edificio IPK en Jorge Barrera</t>
  </si>
  <si>
    <t>Transporte edificio IPK a Hotel en Jorge Barrera</t>
  </si>
  <si>
    <t>Transporte Hotel a Terminal en Jorge Barrera</t>
  </si>
  <si>
    <t>Compra elementos de aseo y cafeteria en Alkosto</t>
  </si>
  <si>
    <t>Pasaje pasto-ipiales en Concesionaria Vial del Sur</t>
  </si>
  <si>
    <t>Taxi a Hotel Adamo (NC RETIE) en Miguel Enriquez Chamorro</t>
  </si>
  <si>
    <t>Taxi a IPK Plaza en Miguel Enriquez Chamorro</t>
  </si>
  <si>
    <t>Taxi a Adamos (recoger retie) en Miguel Enriquez Chamorro</t>
  </si>
  <si>
    <t>Transporte Terminal en Miguel Enriquez Chamorro</t>
  </si>
  <si>
    <t>Pasaje Ipiales-pasto en Expreso valle de Atriz</t>
  </si>
  <si>
    <t>Transporte de Pasto - Ipiales (Cristian Rosero - Jorge Barrera)</t>
  </si>
  <si>
    <t>cristhian rosero</t>
  </si>
  <si>
    <t>TRANSPORTE TERMINAL DE IPIALES - EDIFICIO IPK</t>
  </si>
  <si>
    <t>ALMUERZO CRISTIAN ROSERO</t>
  </si>
  <si>
    <t>TRANSPORTE EDIFICIO IPK - TERMINAL DE IPIALES</t>
  </si>
  <si>
    <t>Taxi Terminal- Hotel Adamo</t>
  </si>
  <si>
    <t>Taxi en ipiales</t>
  </si>
  <si>
    <t>Taxi a Mister Pollo</t>
  </si>
  <si>
    <t>Taxi a Coordinadora (retirar inversor)</t>
  </si>
  <si>
    <t>Transporte Ipiales- Pasto</t>
  </si>
  <si>
    <t>Ingreso devolucion talonarios Surticol Loren Diaz</t>
  </si>
  <si>
    <t>servicio de alimentacion en CRISTHIAN DAVID IBARRA CABRERA</t>
  </si>
  <si>
    <t>Andrea</t>
  </si>
  <si>
    <t>servicio de alimentacion en BAR ESCOSES E INVERSIONES SAS</t>
  </si>
  <si>
    <t>servicio de alimentacion en NOPAL CAFÉ RESTO</t>
  </si>
  <si>
    <t>servicio de alimentacion en DIAN BELALCAZAR (VALLADOLID)</t>
  </si>
  <si>
    <t>servicio de alimentacion en CAFELANDIA</t>
  </si>
  <si>
    <t>servicio de alimentacion en LA TRADICION DE MI TIERRA</t>
  </si>
  <si>
    <t>Transporte de Aeropuerto a Pasto-Gasolina en ALMACENES ÉXITO SA</t>
  </si>
  <si>
    <t>Taxis Asambleas en YULY ANDREA JARAMILLO</t>
  </si>
  <si>
    <t>Transporte de Envigado a Aeropuerto Rionegro en MOISES FLEISACHER COHEN</t>
  </si>
  <si>
    <t>servicio de alimentacion en FOOD SAS</t>
  </si>
  <si>
    <t xml:space="preserve">Transporte desde Aeropuerto Antonio Nariño hacía Pasto </t>
  </si>
  <si>
    <t>Jose rodriguez</t>
  </si>
  <si>
    <t>Alimentación - Hotel Vymar</t>
  </si>
  <si>
    <t>Transporte desde Pasto hacia Remolino</t>
  </si>
  <si>
    <t xml:space="preserve">Alimentación - Carretera </t>
  </si>
  <si>
    <t>Transporte desde Remolino hacia Pasto</t>
  </si>
  <si>
    <t>Alimentación - Caffeto</t>
  </si>
  <si>
    <t>Alimentación - Cream Mister Pollo</t>
  </si>
  <si>
    <t>Alimentación - Valladolid</t>
  </si>
  <si>
    <t>Transporte desde Pasto hacia Aeropuerto Antonio Nariño</t>
  </si>
  <si>
    <t>Alimentación - Crepes y Waffles</t>
  </si>
  <si>
    <t>Transporte desde Aeropuerto Jose Maria Cordova hacia Medellin</t>
  </si>
  <si>
    <t>1 Pasaje Pasto- Ipiales</t>
  </si>
  <si>
    <t xml:space="preserve">1 Pasaje Ipiales-Pasto </t>
  </si>
  <si>
    <t>Taxi terminal ipk</t>
  </si>
  <si>
    <t xml:space="preserve">Terminal Hotel </t>
  </si>
  <si>
    <t xml:space="preserve">Taxi IPK Mister pollo </t>
  </si>
  <si>
    <t xml:space="preserve">taxi IPK -TERMINAL </t>
  </si>
  <si>
    <t xml:space="preserve">Taxi TERMINAL -IPK </t>
  </si>
  <si>
    <t>Piagio Hotel  IPK</t>
  </si>
  <si>
    <t xml:space="preserve">Transporte paneles </t>
  </si>
  <si>
    <t>Taxi IPK -platium</t>
  </si>
  <si>
    <t>IPK platium</t>
  </si>
  <si>
    <t xml:space="preserve"> IPK platium mantenimiento</t>
  </si>
  <si>
    <t xml:space="preserve">Terminal </t>
  </si>
  <si>
    <t>Chirco IPK</t>
  </si>
  <si>
    <t>Terminal IPK encomienda</t>
  </si>
  <si>
    <t>Recoger encomienda IPK</t>
  </si>
  <si>
    <t>Piallo   IPK</t>
  </si>
  <si>
    <t>Piagio   IPK</t>
  </si>
  <si>
    <t>Servicio de comedor</t>
  </si>
  <si>
    <t xml:space="preserve">Almuerzo </t>
  </si>
  <si>
    <t>Transporte Veronica pasto-chachagui</t>
  </si>
  <si>
    <t>Transporte Veronica chachagui-pasto</t>
  </si>
  <si>
    <t>Taxis visita a cali</t>
  </si>
  <si>
    <t xml:space="preserve">Servicio alimentacion Veronica </t>
  </si>
  <si>
    <t>Pago hospedaje visita Veronica en cali</t>
  </si>
  <si>
    <t>Uber Casa - san diego</t>
  </si>
  <si>
    <t>Juan fernando</t>
  </si>
  <si>
    <t>Bus San diego - aeropuerto JMC</t>
  </si>
  <si>
    <t>Bus Aerpuerto - terminal Cali</t>
  </si>
  <si>
    <t>Taxi Terminal Cali - Hotel</t>
  </si>
  <si>
    <t>Uber Hotel - Terminal cali</t>
  </si>
  <si>
    <t>Pasaje Cali - Tulua (Juan Fernando)</t>
  </si>
  <si>
    <t>Pasaje Cali - Tulua (Daniela)</t>
  </si>
  <si>
    <t>Taxi Terminal Tulua - centro</t>
  </si>
  <si>
    <t>Compra herramienta menor</t>
  </si>
  <si>
    <t>Taxi Centro - Lacteos Tulua</t>
  </si>
  <si>
    <t>Taxi Lacteos Tulua - CC La herradura</t>
  </si>
  <si>
    <t>Almuerzo x2 (Juan Fdo y Daniela)</t>
  </si>
  <si>
    <t>Taxi CC La herradura - Terminal Tulua</t>
  </si>
  <si>
    <t>Pasaje Tulua - Cali (Juan Fernando)</t>
  </si>
  <si>
    <t>Pasaje Tulua - Cali (Daniela)</t>
  </si>
  <si>
    <t>Cena x2 (Marce y Juan Fdo)</t>
  </si>
  <si>
    <t>Uber Oficina Cali - Hotel</t>
  </si>
  <si>
    <t>Taxi Aeropuerto JMC - San diego</t>
  </si>
  <si>
    <t>Taxi San Diego - casa</t>
  </si>
  <si>
    <t>Taxi casa San Diego</t>
  </si>
  <si>
    <t>Bus San Diego Aeropuerto JMC</t>
  </si>
  <si>
    <t>Taxi Aeropuerto Chachagüí - Pasto</t>
  </si>
  <si>
    <t>Taxi Hotel - oficina - Terminal Mixto</t>
  </si>
  <si>
    <t>Pasaje Pasto - Remolino x2 (Juan Camilo y Juan Fdo)</t>
  </si>
  <si>
    <t>Pasaje Remolino Pasto</t>
  </si>
  <si>
    <t>Taxi Aeropuerto JMC - San Diego</t>
  </si>
  <si>
    <t>Taxi San Diego - Casa</t>
  </si>
  <si>
    <t xml:space="preserve">Pago flete envio herranienta a casa san nicolas </t>
  </si>
  <si>
    <t>Transporte hacia terminal de transporte mixto</t>
  </si>
  <si>
    <t>Transporte Pasto - Peñol - Remolino</t>
  </si>
  <si>
    <t>Hidratación - visita minigranjas</t>
  </si>
  <si>
    <t>Almuerzo - visita minigranjas</t>
  </si>
  <si>
    <t>PAGO NOMINA 2DA QUINCENA MARZO JHOANA MARCELA GERMAN REYES</t>
  </si>
  <si>
    <t>PAGO NOMINA 2DA QUINCENA MARZO HERMANN SOUZA CUBIDES</t>
  </si>
  <si>
    <t>PAGO NOMINA 2DA QUINCENA MARZO SANDRA CAROLINA PATASCOY BOTINA</t>
  </si>
  <si>
    <t>PAGO NOMINA 2DA QUINCENA MARZO YULY ANDREA JARAMILLO GUERRERO</t>
  </si>
  <si>
    <t>PAGO NOMINA 2DA QUINCENA MARZO LOREN ALEJANDRA DIAZ YAMPUEZAN</t>
  </si>
  <si>
    <t xml:space="preserve">PAGO NOMINA 2DA QUINCENA MARZO MARIA FERNANDA CHAMORRO </t>
  </si>
  <si>
    <t>PAGO NOMINA 2DA QUINCENA MARZO CRISTINA LASSO</t>
  </si>
  <si>
    <t>PAGO NOMINA 2DA QUINCENA MARZO JUAN CARLOS CAÑAR POTOSI</t>
  </si>
  <si>
    <t>PAGO NOMINA 2DA QUINCENA MARZO RUBIELA DEL SOCORRO RAMOS PARRA</t>
  </si>
  <si>
    <t>PAGO NOMINA 2DA QUINCENA MARZO JUAN JOSE NARVEAEZ</t>
  </si>
  <si>
    <t>PAGO NOMINA 2DA QUINCENA MARZO JUAN CAMILO GARCIA SOUZA</t>
  </si>
  <si>
    <t>PAGO NOMINA 2DA QUINCENA MARZO CINDY JOHANA CARLOSAMA HERNANDEZ</t>
  </si>
  <si>
    <t>PAGO NOMINA 2DA QUINCENA MARZO JUAN ESTEBAN IBARRA CAMUES</t>
  </si>
  <si>
    <t>PAGO NOMINA 2DA QUINCENA MARZO MARIANA SALDARRIAGA CADAVID</t>
  </si>
  <si>
    <t>PAGO NOMINA 2DA QUINCENA MARZO PAOLA ANDREA SEGURA MARTINEZ</t>
  </si>
  <si>
    <t>PAGO NOMINA 2DA QUINCENA MARZO LUISA FERNANDA OBANDO VITAR</t>
  </si>
  <si>
    <t>PAGO NOMINA 2DA QUINCENA MARZO NESTOR ANDRES ARCINIEGAS VILLAMARIN</t>
  </si>
  <si>
    <t xml:space="preserve">PAGO NOMINA 2DA QUINCENA MARZO SARA LUCIA DAZA LOPEZ </t>
  </si>
  <si>
    <t>PAGO NOMINA 2DA QUINCENA MARZO CLAUDIA STELLA CORAL ERASO</t>
  </si>
  <si>
    <t>PAGO NOMINA 2DA QUINCENA MARZO JULLY PAOLA AGUDELO BAEZ</t>
  </si>
  <si>
    <t>PAGO NOMINA 2DA QUINCENA MARZO JHON EDINSON SANCHEZ CAMACHO</t>
  </si>
  <si>
    <t>PAGO NOMINA 2DA QUINCENA MARZO MARIA ELENA RIVERA SOTO</t>
  </si>
  <si>
    <t>PAGO NOMINA 2DA QUINCENA MARZO PAOLA ANDREA ARENAS MARTINEZ</t>
  </si>
  <si>
    <t>PAGO NOMINA 2DA QUINCENA MARZO JUAN MANUEL ESPAÑA FORERO</t>
  </si>
  <si>
    <t>PAGO NOMINA 2DA QUINCENA MARZO VERONICA LILIANA SANTACRUZ MENZA</t>
  </si>
  <si>
    <t>polaris2</t>
  </si>
  <si>
    <t>PAGO NOMINA 2DA QUINCENA MARZO JULIO BELALCAZAR MURILLO</t>
  </si>
  <si>
    <t>PAGO NOMINA 2DA QUINCENA MARZO IVAN DANIEL MONTILLA CORAL</t>
  </si>
  <si>
    <t xml:space="preserve">PAGO NOMINA 2DA QUINCENA MARZO CAROLINA CARDONA PAREJA </t>
  </si>
  <si>
    <t>PAGO NOMINA 2DA QUINCENA MARZO KELLY TATIANA ALVAREZ GARCIA</t>
  </si>
  <si>
    <t>PAGO NOMINA 2DA QUINCENA MARZO ANA MILENA HENAO GONZALEZ</t>
  </si>
  <si>
    <t xml:space="preserve">PAGO NOMINA 2DA QUINCENA MARZO JOSE ESTEBAN RODRIGUEZ QUINTERO </t>
  </si>
  <si>
    <t>PAGO NOMINA 2DA QUINCENA MARZO MOISES RUIZ AYALA</t>
  </si>
  <si>
    <t>PAGO NOMINA 2DA QUINCENA MARZO JOSE RAFAEL RUEDA HERRERA</t>
  </si>
  <si>
    <t>PAGO NOMINA 2DA QUINCENA MARZO JERSON ALEXIS GOMEZ ACOSTA</t>
  </si>
  <si>
    <t xml:space="preserve">PAGO NOMINA 2DA QUINCENA MARZO MARTIN ALONSO SOSSA AGUIRRE </t>
  </si>
  <si>
    <t>PAGO NOMINA 2DA QUINCENA MARZO RAUL BARBENLEY CASTRO RIVERA</t>
  </si>
  <si>
    <t xml:space="preserve">PAGO NOMINA 2DA QUINCENA MARZO JOSE JULIAN OCAMPO URIBE </t>
  </si>
  <si>
    <t xml:space="preserve">PAGO NOMINA 2DA QUINCENA MARZO JHON ALEXANDER GELPUD ZAMORA </t>
  </si>
  <si>
    <t>PAGO NOMINA 2DA QUINCENA MARZO MARIO ALEXANDER CUSIS HERNANDEZ</t>
  </si>
  <si>
    <t>PAGO NOMINA 2DA QUINCENA MARZO JORGE ANDRES BARRERA YANDAR</t>
  </si>
  <si>
    <t>PAGO NOMINA 2DA QUINCENA MARZO ALBEIRO ORLANDO ESPAÑA HERNANDEZ</t>
  </si>
  <si>
    <t>PAGO NOMINA 2DA QUINCENA MARZO JHONSIN ARLEY ARIAS CEBALLOS</t>
  </si>
  <si>
    <t>PAGO NOMINA 2DA QUINCENA MARZO YOHN JAIRO BENAVIDES CHAMORRO</t>
  </si>
  <si>
    <t>PAGO NOMINA 2DA QUINCENA MARZO VIVIANA ANDREA AYALA PICHINA</t>
  </si>
  <si>
    <t xml:space="preserve">PAGO NOMINA 2DA QUINCENA MARZO JUAN DAVID GRANADA ALVAREZ </t>
  </si>
  <si>
    <t>PAGO NOMINA 2DA QUINCENA MARZO AURO EDILSON ARTEAGA MEZA</t>
  </si>
  <si>
    <t>PAGO NOMINA 2DA QUINCENA MARZO LEIDER LUVER LOPEZ DIAZ</t>
  </si>
  <si>
    <t>PAGO NOMINA 2DA QUINCENA MARZO WILLIAM HERNANDO CASTRO RODRIGUEZ</t>
  </si>
  <si>
    <t>PAGO NOMINA 2DA QUINCENA MARZO HOLMES GALINDEZ VALDEZ</t>
  </si>
  <si>
    <t>PAGO NOMINA 2DA QUINCENA MARZO ALEXANDER MUÑOZ DIAZ</t>
  </si>
  <si>
    <t>PAGO NOMINA 2DA QUINCENA MARZO JOSE DELIO ALMEIDA ALMEIDA</t>
  </si>
  <si>
    <t>PAGO NOMINA 2DA QUINCENA MARZO BRAYAN STIVEN PEREZ QUAQUEZ</t>
  </si>
  <si>
    <t>PAGO NOMINA 2DA QUINCENA MARZO JESUS ALBERTO DIAZ PALACIOS</t>
  </si>
  <si>
    <t>PAGO NOMINA 2DA QUINCENA MARZO LUIS FERNANDO RODRIGUEZ MUÑOZ</t>
  </si>
  <si>
    <t>PAGO NOMINA 2DA QUINCENA MARZO JORGE LUIS LIZCANO NIÑO</t>
  </si>
  <si>
    <t>PAGO NOMINA 2DA QUINCENA MARZO CARLOS HERNANDO ENRIQUEZ DIAZ</t>
  </si>
  <si>
    <t>PAGO NOMINA 2DA QUINCENA MARZO FABIAN OJEDA RODRIGUEZ</t>
  </si>
  <si>
    <t>PAGO NOMINA 2DA QUINCENA MARZO ASTRID VEIDUD LOPEZ NARVAEZ</t>
  </si>
  <si>
    <t>PAGO NOMINA 2DA QUINCENA MARZO ANDI NEISER GALINDEZ DELGADO</t>
  </si>
  <si>
    <t>PAGO NOMINA 2DA QUINCENA MARZO ODELMER DAZA PEREZ</t>
  </si>
  <si>
    <t>PAGO NOMINA 2DA QUINCENA MARZO JEANCARLO GUILLERMO MONCAYO ANDRADE</t>
  </si>
  <si>
    <t>PAGO NOMINA 2DA QUINCENA MARZO SEGUNDO MARCIAL GELPUD BOTINA</t>
  </si>
  <si>
    <t>PAGO NOMINA 2DA QUINCENA MARZO EDILFONSO ROSERO CASTILLO</t>
  </si>
  <si>
    <t>PAGO NOMINA 2DA QUINCENA MARZO JIMMI ALEXANDER BURGOS GUERRERO</t>
  </si>
  <si>
    <t>PAGO NOMINA 2DA QUINCENA MARZO JEFERSON VERGARA MUÑOZ</t>
  </si>
  <si>
    <t>PAGO NOMINA 2DA QUINCENA MARZO JORGE ANDRES MUÑOZ MARTINEZ</t>
  </si>
  <si>
    <t>PAGO NOMINA 2DA QUINCENA MARZO YALINER ILVIRA FIGUEROA</t>
  </si>
  <si>
    <t>PAGO NOMINA 2DA QUINCENA MARZO ALBERT FIGUEROA</t>
  </si>
  <si>
    <t>PAGO NOMINA 2DA QUINCENA MARZO LUIS ALBERTO ALMEIDA MATABAJOY</t>
  </si>
  <si>
    <t xml:space="preserve">PAGO NOMINA 2DA QUINCENA MARZO DILBER  MAURICIO PAZ ALMEIDA </t>
  </si>
  <si>
    <t>PAGO NOMINA 2DA QUINCENA MARZO WILLIAMS ALFREDO VILLAR MORA</t>
  </si>
  <si>
    <t>PAGO NOMINA 2DA QUINCENA MARZO JAVIER ANDRES RODRIGUEZ SANTIUSTY</t>
  </si>
  <si>
    <t xml:space="preserve">PAGO NOMINA 2DA QUINCENA MARZO CRISTIAN FERNANDO PASTAS CUESTAS </t>
  </si>
  <si>
    <t xml:space="preserve">PAGO NOMINA 2DA QUINCENA MARZO WILSON ALEJANDRO MORA ERAZO </t>
  </si>
  <si>
    <t>PAGO NOMINA 2DA QUINCENA MARZO BRANDON GUAQUEZ TITISTAR</t>
  </si>
  <si>
    <t>PAGO NOMINA 2DA QUINCENA MARZO DANGER ESTIVENSON BENAVIDES ORTEGA</t>
  </si>
  <si>
    <t>PAGO NOMINA 2DA QUINCENA MARZO SANDRO ALBEIRO DELGADO MARTINEZ</t>
  </si>
  <si>
    <t>PAGO NOMINA 2DA QUINCENA MARZO EDERSON DAZA ARTEAGA</t>
  </si>
  <si>
    <t xml:space="preserve">PAGO NOMINA 2DA QUINCENA MARZO EDISON ENRIQUE CANTILLO CORONADO </t>
  </si>
  <si>
    <t>PAGO NOMINA 2DA QUINCENA MARZO DEIBER QUINTERO DIAZ</t>
  </si>
  <si>
    <t>PAGO NOMINA 2DA QUINCENA MARZO JOSE DEL CARMEN GUERRERO BERDUGO</t>
  </si>
  <si>
    <t>PAGO NOMINA 2DA QUINCENA MARZO ALEX DUVAN CIFUENTES PAZ</t>
  </si>
  <si>
    <t>PAGO NOMINA 2DA QUINCENA MARZO DANILO JAVIER OJEDA NARVAEZ</t>
  </si>
  <si>
    <t xml:space="preserve">PAGO NOMINA 2DA QUINCENA MARZO NORELI SELENA DIAZ JURADO </t>
  </si>
  <si>
    <t>PAGO NOMINA 2DA QUINCENA MARZO RICARDO HERNAN ORTIZ</t>
  </si>
  <si>
    <t>PAGO NOMINA 2DA QUINCENA MARZO YEINSON ANDRES GUAQUEZ JURADO</t>
  </si>
  <si>
    <t xml:space="preserve">PAGO NOMINA 2DA QUINCENA MARZO KEVIN JONATHAN MONTILLA RIASCOS </t>
  </si>
  <si>
    <t>PAGO NOMINA 2DA QUINCENA MARZO OSCAR IVAN MELENDEZ GARCIA</t>
  </si>
  <si>
    <t xml:space="preserve">PAGO NOMINA 2DA QUINCENA MARZO ALEXANDER DAVID BETANCOURT CARVAJAL </t>
  </si>
  <si>
    <t xml:space="preserve">PAGO NOMINA 2DA QUINCENA MARZO RUBEN DARIO ESPINOSA PARRA </t>
  </si>
  <si>
    <t xml:space="preserve">PAGO NOMINA 2DA QUINCENA MARZO CRISTIAN ANDRES CHITAN </t>
  </si>
  <si>
    <t xml:space="preserve">PAGO NOMINA 2DA QUINCENA MARZO JAVIER GIOVANI YANDUN INAGAN </t>
  </si>
  <si>
    <t>PAGO NOMINA 2DA QUINCENA MARZO JHONY FERNANDO RIASCOS CEBALLOS</t>
  </si>
  <si>
    <t>PAGO NOMINA 2DA QUINCENA MARZO JASON STEVEN DIAZ GUEVARA </t>
  </si>
  <si>
    <t>PAGO NOMINA 2DA QUINCENA MARZO OSCAR ANDRES CASTRO BOTINA</t>
  </si>
  <si>
    <t>PAGO NOMINA 2DA QUINCENA MARZO EDWIN LEONARDO MARTINEZ YAQUENO</t>
  </si>
  <si>
    <t>PAGO NOMINA 2DA QUINCENA MARZO ANDRES FERNANDO ESPINOSA GUACALES</t>
  </si>
  <si>
    <t>PAGO NOMINA 2DA QUINCENA MARZO JHORDY STEVEN TRUJILLO GALEANDO</t>
  </si>
  <si>
    <t xml:space="preserve">PAGO NOMINA 2DA QUINCENA MARZO JOHAN SEBASTIAN OVIEDO NIÑAN </t>
  </si>
  <si>
    <t>PAGO NOMINA 2DA QUINCENA MARZO JOSE ALVEIRO CUSIS HERNANDEZ</t>
  </si>
  <si>
    <t>PAGO NOMINA 2DA QUINCENA MARZO IVAN DARIO CAICEDO CALVACHE</t>
  </si>
  <si>
    <t>PAGO NOMINA 2DA QUINCENA MARZO JOY JAMIT MOSQUERA ORDOÑEZ</t>
  </si>
  <si>
    <t>PAGO NOMINA 2DA QUINCENA MARZO WIILLIAM ALBERTO AZA CRIOLLO</t>
  </si>
  <si>
    <t>PAGO NOMINA 2DA QUINCENA MARZO DIANA ALEJANDRA MERA MUÑOZ</t>
  </si>
  <si>
    <t>PAGO NOMINA 2DA QUINCENA MARZO JUAN SEBASTIAN GOMEZ LEAL</t>
  </si>
  <si>
    <t xml:space="preserve">PAGO NOMINA 2DA QUINCENA MARZO SERGIO DAVID ZAMBRANO ESCOBAR </t>
  </si>
  <si>
    <t>PAGO NOMINA 2DA QUINCENA MARZO DANIELA ARBOLEDA RODRIGUEZ</t>
  </si>
  <si>
    <t>PAGO NOMINA 2DA QUINCENA MARZO NICOLAS LOPEZ DULCE</t>
  </si>
  <si>
    <t>PAGO NOMINA 2DA QUINCENA MARZO JUAN FERNANDO PANIAGUA OSORIO</t>
  </si>
  <si>
    <t>PAGO NOMINA 2DA QUINCENA MARZO DANNA EVELYN ARMERO ROSERO</t>
  </si>
  <si>
    <t>PAGO NOMINA 2DA QUINCENA MARZO LEIBNITZ EDUARDO CHANA CALDERON</t>
  </si>
  <si>
    <t>PAGO NOMINA 2DA QUINCENA MARZO MIGUEL ALEJANDRO ENRIQUEZ CHAMORRO</t>
  </si>
  <si>
    <t>PAGO NOMINA 2DA QUINCENA MARZO DANNA STEFANYA LASSO GUERRA</t>
  </si>
  <si>
    <t>PAGO NOMINA 2DA QUINCENA MARZO JAVIER SEBASTIÁN LUCENA VILLARREAL</t>
  </si>
  <si>
    <t>PAGO NOMINA 2DA QUINCENA MARZO ANDRES FELIPE DELGADO ZUTTA</t>
  </si>
  <si>
    <t>PAGO NOMINA 2DA QUINCENA MARZO HERNAN DARIO CABRERA QUITIAQUEZ</t>
  </si>
  <si>
    <t>PAGO NOMINA 2DA QUINCENA MARZO CRISTHIAN CAMILO ROSERO ALVAREZ</t>
  </si>
  <si>
    <t>Devolucion saldo a favor tiba colombia</t>
  </si>
  <si>
    <t xml:space="preserve">Recepcion pago hotel cuellar fac febrero </t>
  </si>
  <si>
    <t>Recepcion cartera vencida v1501</t>
  </si>
  <si>
    <t>Recepcion pago factura Hum colombia</t>
  </si>
  <si>
    <t>Recepcion pago incapacidad sanitas Jason Diaz</t>
  </si>
  <si>
    <t>Recepcion subsidio empleos banco de bogota</t>
  </si>
  <si>
    <t>Recepcion devolucion saldo Solardeport</t>
  </si>
  <si>
    <t>Recepcion saldo retenciones factura Gran avenida</t>
  </si>
  <si>
    <t>Pago factura Hotel V1501 27257</t>
  </si>
  <si>
    <t>Alimentacion juan manuel en Caffeto</t>
  </si>
  <si>
    <t xml:space="preserve">Compra en mercpago*j cambio tiquete </t>
  </si>
  <si>
    <t>Compra combustible en Eds Morasurco</t>
  </si>
  <si>
    <t xml:space="preserve">Modificacion en vuelo jsmart </t>
  </si>
  <si>
    <t>pago realizado por medio de Transferencia cta suc virtual alquiler carro</t>
  </si>
  <si>
    <t>pago realizado por medio de Transferencia cta suc virtual</t>
  </si>
  <si>
    <t>Pago alimentacion Juan Manuel visita cali</t>
  </si>
  <si>
    <t>Pago Hotel juan Manuel Visita cali</t>
  </si>
  <si>
    <t>Pago hotel Kelly en cali</t>
  </si>
  <si>
    <t>Compra en mercpago*j modificacion vuelo</t>
  </si>
  <si>
    <t>Compra en krost bake alimentacion</t>
  </si>
  <si>
    <t>Compra en redh palma</t>
  </si>
  <si>
    <t>Alimentacion juan manuel Compra en grupo gast</t>
  </si>
  <si>
    <t xml:space="preserve">peaje el placer </t>
  </si>
  <si>
    <t>gasolina transporte particular</t>
  </si>
  <si>
    <t>peaje el placer</t>
  </si>
  <si>
    <t>RESTAURANTE</t>
  </si>
  <si>
    <t>Gas MAPP EN LA FERRO</t>
  </si>
  <si>
    <t>Envío pintura para tráfico, thinner y gas EN EIVER CHAVES</t>
  </si>
  <si>
    <t>Señales para tableros EN ÍNDIGO PUBLICIDAD</t>
  </si>
  <si>
    <t>Amarras plásticas, cajas rawelt, tomas regulados, tapas para tomas regulados EN CASA ELÉCTRICA</t>
  </si>
  <si>
    <t>Lámpara hermética T8, Tapa ciega 4x4 EN CASA ELÉCTRICA</t>
  </si>
  <si>
    <t>Envío marquillas, trayecto: Pasto - Remolino EN DANIEL ROJAS</t>
  </si>
  <si>
    <t>Envío material eléctrico, trayecto: Pasto - Remolino EN DANIEL ROJAS</t>
  </si>
  <si>
    <t>Amarras plásticas 20cm EN DISTRIBUCIONES AC</t>
  </si>
  <si>
    <t>Marco de segueta y hoja de segueta en DISTRIBUCIONES AB</t>
  </si>
  <si>
    <t>Envío ponchadora hidráulica, trayecto: Pasto - Ipiales en WILLIAM CAICEDO</t>
  </si>
  <si>
    <t>Flete equipos</t>
  </si>
  <si>
    <t>Marquillas en acrílico en ÍNDIGO PUBLICIDAD</t>
  </si>
  <si>
    <t>Tableros de distribución</t>
  </si>
  <si>
    <t>Tornillos para aislador escalonado en TODO TORNILLO</t>
  </si>
  <si>
    <t>Galón de agua en AUTOSERVICIO TIGRE DE LA REBAJA</t>
  </si>
  <si>
    <t>Aislador escalonado en SOLUCIONES ELÉCTRICAS T Y C</t>
  </si>
  <si>
    <t>Aisladores escalonados en ELÉCTRICOS BOYACÁ</t>
  </si>
  <si>
    <t>Tornillos para aisladores escalonados en TODO TORNILLO</t>
  </si>
  <si>
    <t>Minibreakers 2x40, 1x32 en DISTRIBUCIONES AC</t>
  </si>
  <si>
    <t>Antorrosivo, brocha, lijas en DISTRIBUCIONES AB</t>
  </si>
  <si>
    <t>Carrera piaggio, trayecto: Oficina - Casa Guillermo en LUIS PORTILLA</t>
  </si>
  <si>
    <t>Carrera piaggio, trayecto: El Troje - Oficina en LUIS PORTILLA</t>
  </si>
  <si>
    <t>Carreras piaggio: El Troje - Oficina, Oficina - El Troje en LUIS PORTILLA</t>
  </si>
  <si>
    <t>Hilo plástico grueso en DISTRIBUCIONES AB</t>
  </si>
  <si>
    <t>Rollo cinta asfáltica en DISTRIBUCIONES AB</t>
  </si>
  <si>
    <t>Pago Inscripcion inicial garantia confecamaras prestamo delta</t>
  </si>
  <si>
    <t>PAGO NOMINA 2DA QUINCENA MARZO LUZ IRMA ORTEGA CIFUENTES</t>
  </si>
  <si>
    <t>PAGO NOMINA 2DA QUINCENA MARZO RODRIGO QUINTERO DIAZ</t>
  </si>
  <si>
    <t xml:space="preserve">PAGO NOMINA 2DA QUINCENA MARZO JOSE MANUEL LOPEZ OBANDO </t>
  </si>
  <si>
    <t>Pago realizado a TABLESA COT TA 158A-25</t>
  </si>
  <si>
    <t>Pago renovacion CAMARA DE COMERCIO MEDELLIN NEBULA</t>
  </si>
  <si>
    <t>Pago renovacion CAMARA DE COMERCIO PASTO POLARIS 3</t>
  </si>
  <si>
    <t>Pago renovacion CAMARA DE COMERCIO MEDELLIN ORION</t>
  </si>
  <si>
    <t>pago a CAMARA DE COMERCIO MEDELLIN VEGA</t>
  </si>
  <si>
    <t>Pago renovacion CAMARA DE COMERCIO PASTO SIRIO</t>
  </si>
  <si>
    <t>Pago renovacion CAMARA DE COMERCIO PASTO ALTAIR</t>
  </si>
  <si>
    <t>Pago renovacion CAMARA DE COMERCIO PASTO EVOLTI GENERACION</t>
  </si>
  <si>
    <t xml:space="preserve">Pago saldo importacion longi </t>
  </si>
  <si>
    <t xml:space="preserve">Pago cuenta de cobro ALEJANDRA GAVIRIA GOMEZ servicios de publicidad </t>
  </si>
  <si>
    <t>Pago cartera Leasing cuota 8/36</t>
  </si>
  <si>
    <t>Ingreso pago mantenimiento Hospital san pedro</t>
  </si>
  <si>
    <t>Pago intereses Juan Pablo sumarraga</t>
  </si>
  <si>
    <t>Recepcion pago factura edificio vivarium</t>
  </si>
  <si>
    <t>Recepcion pago factura Tianshi</t>
  </si>
  <si>
    <t>Anticipo proyecto Jugos naturales</t>
  </si>
  <si>
    <t>Pago cuenta de cobro servicio de transporte JENRI MAURICIO ROMO SALAZAR</t>
  </si>
  <si>
    <t>Retencion fte 1% servicio de transporte JENRI MAURICIO ROMO SALAZAR</t>
  </si>
  <si>
    <t>Pago a AGRICO DISTRIBUIDORA Y CONSTRUCTORA SAS</t>
  </si>
  <si>
    <t>Pago asesoria contable CHRISTIAN LOPEZ Naos</t>
  </si>
  <si>
    <t>Pago asesoria contable CHRISTIAN LOPEZ Delta</t>
  </si>
  <si>
    <t>Pago asesoria contable CHRISTIAN LOPEZ Polaris</t>
  </si>
  <si>
    <t>polaris</t>
  </si>
  <si>
    <t>Pago asesoria contable CHRISTIAN LOPEZ Lyra</t>
  </si>
  <si>
    <t>Pago fac JOHNNY MAURCIO CEBALLOS BASTIDAS servicio de transporte</t>
  </si>
  <si>
    <t>Retencion fte 1%  JOHNNY MAURCIO CEBALLOS BASTIDAS servicio de transporte</t>
  </si>
  <si>
    <t>Retencion ica 6*1000 JOHNNY MAURCIO CEBALLOS BASTIDAS servicio de transporte</t>
  </si>
  <si>
    <t>Pago fac JOHNNY MAURCIO CEBALLOS BASTIDAS</t>
  </si>
  <si>
    <t xml:space="preserve">Anticpo recibido de proyecto nava del sur </t>
  </si>
  <si>
    <t>GASOLINA PARA GUADAÑA</t>
  </si>
  <si>
    <t>HIDRATACIÓN VISITA A MERCADERES</t>
  </si>
  <si>
    <t>VIATICOS INSPECCIÓN RETIE NAOS 3</t>
  </si>
  <si>
    <t>HERRAMIENTA PARA PODA Y LIMPIEZA</t>
  </si>
  <si>
    <t>VIATICOS PASTO-REMOLINO SEGUNDO GELPUD</t>
  </si>
  <si>
    <t xml:space="preserve">HIDRATACIÓN PERSONAL DE LIMPIEZA </t>
  </si>
  <si>
    <t>MATERIAL PARA TAPAS DE CAJAS DE PASO PARA CAMARAS DE SEGURIDAD</t>
  </si>
  <si>
    <t>Compra de trapero y recogedor para actividad de pintura sub estación</t>
  </si>
  <si>
    <t>Compra de 4 botellones de agua</t>
  </si>
  <si>
    <t>Compra de varillas caja recolección aguas lluvias y tuberia de 3 pungadas para conducción de agua cuarto eléctrico</t>
  </si>
  <si>
    <t xml:space="preserve">Compra de gasolina para funcionamiento de apisonador </t>
  </si>
  <si>
    <t>Compra de combustible camioneta LHR730</t>
  </si>
  <si>
    <t xml:space="preserve">Compra de cal para demarcación </t>
  </si>
  <si>
    <t>Compra de lapiceros, marcadores y libretas</t>
  </si>
  <si>
    <t>Compra de Zinc y accesorios para decuación de campamento</t>
  </si>
  <si>
    <t>Compra botellón de agua</t>
  </si>
  <si>
    <t>Pago de servicio de acueducto</t>
  </si>
  <si>
    <t>Compra de 3 botellones de agua y 4 bolsas</t>
  </si>
  <si>
    <t>ok presupuesto</t>
  </si>
  <si>
    <t>SALIDA A PASTO "JIMMY BURGOS"</t>
  </si>
  <si>
    <t>SALIDA A PASTO "EDIFONSO ROSERO"</t>
  </si>
  <si>
    <t>COMPRA DE COMBUSTIBLE PARA MEZCLADORA Y PLANTA (ACPM)</t>
  </si>
  <si>
    <t>COMPRA DE SACAS, BOLSAS,ESTUCO ACRILICO, ESTUCO INTERIORES, RODILLO, BROCHA, LIJA, ESPATULA Y PINTURA</t>
  </si>
  <si>
    <t>COMPRA DE COMBUSTIBLE PARA CAMIONETA</t>
  </si>
  <si>
    <t>COMPRA DE ACEITE QUEMADO PARA FORMALETA</t>
  </si>
  <si>
    <t>PAGO ASEO HABITACIONES SEMANA 10 FEBRERO - 15 MARZO</t>
  </si>
  <si>
    <t>LAVADA DE BUSOS DE DOTACIÓN</t>
  </si>
  <si>
    <t>COMPRA DE PLASTICO NEGRO, SOLDADURA PVC, PUNTILLAS, TORNILLOS, MANILA Y TABLA.</t>
  </si>
  <si>
    <t>LAVADO GENERAL CAMIONETA</t>
  </si>
  <si>
    <t>COMPRA DE MARCADORES</t>
  </si>
  <si>
    <t>ALQUILER DE ANDAMIOS</t>
  </si>
  <si>
    <t>COMPRA DE CINTA PELIGRO, CINTA AISLANTE, NIVEL, PLOMADA, SOLDADURA PVC, BROCHA Y RODILLO</t>
  </si>
  <si>
    <t>COMPRA DE SANDIA PARA HIDRATACIÓN</t>
  </si>
  <si>
    <t>ACEITE MOTOR 15W40 CAMIONETA JLS 543</t>
  </si>
  <si>
    <t>ADECUACIÓN DE CAMPEMENTO Y OBRA</t>
  </si>
  <si>
    <t xml:space="preserve">CAMBIO DE GUARDA DE SEGURIDAD DE CASA </t>
  </si>
  <si>
    <t>DUPLICADO DE LLAVE DE CASA</t>
  </si>
  <si>
    <t>ADECUACION CAMPAMENTO</t>
  </si>
  <si>
    <t>PLASTICO DE PROTECCIÓN PARA TRASLADO DE HERRAMIENTA</t>
  </si>
  <si>
    <t>ACPM CAMIOENTA JLS 543</t>
  </si>
  <si>
    <t>BOLSAS PLASTICAS PARA SEÑALIZACION DE REPLANTEO</t>
  </si>
  <si>
    <t>Topografía</t>
  </si>
  <si>
    <t>VIATICOS MERCADERES-PASTO</t>
  </si>
  <si>
    <t>Pago a MELBA LIGIA MONCAYO LA FERRO RM1-4188</t>
  </si>
  <si>
    <t>Pago a MELBA LIGIA MONCAYO LA FERRO RM1-4183</t>
  </si>
  <si>
    <t>Pago a MELBA LIGIA MONCAYO LA FERRO RM1-4187</t>
  </si>
  <si>
    <t>Pago tiquete Juan Manuel Medellin-Cali</t>
  </si>
  <si>
    <t>Pago cuenta de cobro Juan Sebastian Gomez Dominguez</t>
  </si>
  <si>
    <t>Pago saldo a PAOLA ANDREA ARENAS DIA DEL HOMBRE</t>
  </si>
  <si>
    <t>Pago saldo a KELLY ALVAREZ DIA DEL HOMBRE</t>
  </si>
  <si>
    <t>Pago a CONTRU ENERGY RC S.A.S CONTRATO ANTICIPO 30%</t>
  </si>
  <si>
    <t>Devolucion a Cindy compra sabanas en panama plaza lyra</t>
  </si>
  <si>
    <t>Pago a ARLEY EDISSON PORTILLA RUALES FEHA 2446 ALOJAMIENTO</t>
  </si>
  <si>
    <t>Retencion fte 3,5% ARLEY EDISSON PORTILLA RUALES FEHA 2446 ALOJAMIENTO</t>
  </si>
  <si>
    <t>Pago a SEGURIDAD DEL SUR COT CM-016715</t>
  </si>
  <si>
    <t>Pago a DOTASOL COTIZACION V-001-6495</t>
  </si>
  <si>
    <t>Transporte Nestor Arciniegas Popayan-Bordo-Popayan</t>
  </si>
  <si>
    <t>Compra elementos de proteccion personal grupo vid oxi 18347</t>
  </si>
  <si>
    <t>Pago cuenta de cobro Jeison Ipiales Por concepto de cotizaciones comercialesde7 díasdel mes de marzodel 2025
 Semana 1: 10 al 14 de marzo 3 dias
 Semana 2: 17 al 21 de marzo 2 dias
 Semana 3: 24 al 28 de marzo 2 dias</t>
  </si>
  <si>
    <t>Pago a Brajan Steve Morales Hernández cuenta de cobro Prestación de servicios como Delineante de Ingeniería</t>
  </si>
  <si>
    <t>Pago elaboracion carnets MILTON SANTIAGO RIVERA BENAVIDES</t>
  </si>
  <si>
    <t>Pago a SOLECTRICA ANTICIPO 50% COTIZACION 11.000.000*19%=2.090.000 TOTAL COTIZACION 13.090.000 VALOR ANTICIPO 6.545.000</t>
  </si>
  <si>
    <t>Pago a CEFSA CENTRO DE FORMACION DE SEGURIDAD Y ALTURAS SAS FTSA2706 TULUA</t>
  </si>
  <si>
    <t>Pago arrendamiento computadores MILENIO IG-77653</t>
  </si>
  <si>
    <t>Pago cuenta de cobro alimentacion MARCOS DANIEL OJEDA ALIMENTACION  COMIDAS</t>
  </si>
  <si>
    <t>Retencion fte 3,5% MARCOS DANIEL OJEDA ALIMENTACION  COMIDAS</t>
  </si>
  <si>
    <t>Pago a ELECTRICOS DEL VALLE SO-718977</t>
  </si>
  <si>
    <t>Pago anticipo 50% a Complejo Turístico Tierra de Sol integracion personal remolino</t>
  </si>
  <si>
    <t>Pago a EDGAR MONTAÑO GARCIA BALCONES DE LA 70 DANNA ARMERO ANTICIPO 50% EN MEDELLIN</t>
  </si>
  <si>
    <t>EDGAR MONTAÑO GARCIA BALCONES DE LA 70 JEANCARLO MONCAYO ANTICIPO 50% EN MEDELLIN</t>
  </si>
  <si>
    <t>Pago a ROCORDAR PS 118951 descuento preexquial</t>
  </si>
  <si>
    <t xml:space="preserve">Pago CUENTA DE COBRO COMPRA  BUSOS LEIDY DUFRANY LOPEZ ROSERO CEDULA </t>
  </si>
  <si>
    <t xml:space="preserve">Pago a SURA POLIZAS 033000014599 proyecto casa guillermo </t>
  </si>
  <si>
    <t>Pago a INVERSIONES LEEI SAS RESTAURANTE KIKOS COT</t>
  </si>
  <si>
    <t>Pago realizado a SOLAIRE OFERTA 2659 ANTICIPO 50%</t>
  </si>
  <si>
    <t xml:space="preserve">Pago fac Overhaulin servicio de flte transporte lacteos Tulúa </t>
  </si>
  <si>
    <t xml:space="preserve">Pago a Mariana Escobar Sánchez-Hotel Brisas Del Rio servicios de alimentacion y hospedaje </t>
  </si>
  <si>
    <t xml:space="preserve">Retencion fte 3,5%  Mariana Escobar Sánchez-Hotel Brisas Del Rio servicios de alimentacion y hospedaje </t>
  </si>
  <si>
    <t>Pago fac FVEJ-176 LOZANO LONDOÑO YANETH servicio de alimentacion</t>
  </si>
  <si>
    <t>Pago a CARLOS ARTEMIO GUERRA SANCHEZ DISTRIBUCIONES EL DORADO CON 93365</t>
  </si>
  <si>
    <t>Pago a CARLOS ARTEMIO GUERRA SANCHEZ DISTRIBUCIONES EL DORADO CON 93389</t>
  </si>
  <si>
    <t>Pago a IT CERTIFICA COT-RETIE-0378-25</t>
  </si>
  <si>
    <t>Retencion fte 11%  Pago a IT CERTIFICA COT-RETIE-0378-25</t>
  </si>
  <si>
    <t>Pago a IT CERTIFICA COT-RETIE-0616-25</t>
  </si>
  <si>
    <t>Retencion fte 11%  Pago a IT CERTIFICA COT-RETIE-0616-25</t>
  </si>
  <si>
    <t>Pago a ANGELICA MARIA AGREDA AGREDA INDIGO COT 241</t>
  </si>
  <si>
    <t>Pago arrendamiento oficina MALLIESA FVE 450</t>
  </si>
  <si>
    <t>Retencion fte 3,5% MALLIESA FVE 450</t>
  </si>
  <si>
    <t>Retencion ica 6*1000 MALLIESA FVE 450</t>
  </si>
  <si>
    <t>Pago cuenta de cobro GILBERTO LOPEZ PASTEZ acompañamiento visita a terrenos</t>
  </si>
  <si>
    <t>Pago a VALENTINA FIJEROA MEJIA SOLUCIONES ELECTRICAS TYC COT 019</t>
  </si>
  <si>
    <t>Pago a SOLAIRE OFERTA N. 2364</t>
  </si>
  <si>
    <t>Pago a DISTRIBUCIONES ELECTRICAS AC PF 75927</t>
  </si>
  <si>
    <t>Retencion ica 5*1000 DISTRIBUCIONES ELECTRICAS AC PF 75927</t>
  </si>
  <si>
    <t>Pago a DISTRIBUCIONES ELECTRICAS AC PF 75991</t>
  </si>
  <si>
    <t>Pago a DISTRIBUCIONES ELECTRICAS AC PF 76099</t>
  </si>
  <si>
    <t>Pago a MELBA LIGIA MONCAYO LA FERRO RM 4195</t>
  </si>
  <si>
    <t>Pago a MELBA LIGIA MONCAYO LA FERRO RM 4203</t>
  </si>
  <si>
    <t>Pago a MELBA LIGIA MONCAYO LA FERRO RM 4204</t>
  </si>
  <si>
    <t>Pago realizado a COLSEIN SAS COT 13543 MEDIDOR UNIVERSAL, CL 0.5, UMG 103-CBM, MODBUS RTU, RANGO: L-N/L-N:115-277/80-2</t>
  </si>
  <si>
    <t>Pago a ELECTRICOS DEL VALLE SO-720354</t>
  </si>
  <si>
    <t>C. Cableado AC</t>
  </si>
  <si>
    <t>Pago a PREMIUM ENERGY SERVICES SA FE 14257</t>
  </si>
  <si>
    <t>Retencion fte 3,5% PREMIUM ENERGY SERVICES SA FE 14257</t>
  </si>
  <si>
    <t>Pago cuenta de cobro asesoria SEBASTIAN CARABALI VASQUEZ area de compras</t>
  </si>
  <si>
    <t>Pago liquidacion laboral RAUL BARBENLEY CASTRO RIVERA</t>
  </si>
  <si>
    <t>Pago a ANDREA YOLANDA ERAZO ROSERO</t>
  </si>
  <si>
    <t>Retencion fte 3,5%  ANDREA YOLANDA ERAZO ROSERO</t>
  </si>
  <si>
    <t>Pago camara de comercio medellin RENOVACION REGISTRO MERCANTIL</t>
  </si>
  <si>
    <t>PAGO NOMINA 2DA QUINCENA MARZO IVAN CAMILO MENESES ORDOÑEZ</t>
  </si>
  <si>
    <t>PAGO NOMINA 2DA QUINCENA MARZO RUBEN LOPEZ MUÑOZ</t>
  </si>
  <si>
    <t xml:space="preserve">PAGO NOMINA 2DA QUINCENA MARZO JUAN ESTEBAN BLANCO QUIROGA </t>
  </si>
  <si>
    <t xml:space="preserve">PAGO NOMINA 2DA QUINCENA MARZO DIEGO ANDRES ARAUJO NARVAEZ </t>
  </si>
  <si>
    <t>PAGO NOMINA 2DA QUINCENA MARZO ROYER IDELVER LOPEZ SOLARTE</t>
  </si>
  <si>
    <t>PAGO NOMINA 2DA QUINCENA MARZO ORLANDO DIAZ LOPEZ</t>
  </si>
  <si>
    <t>PAGO NOMINA 2DA QUINCENA MARZO ANDRES WILFREDY BASTIDAS GALINDEZ</t>
  </si>
  <si>
    <t>PAGO NOMINA 2DA QUINCENA MARZO DEIMAN JARINSON DAVID MUÑOZ</t>
  </si>
  <si>
    <t>PAGO NOMINA 2DA QUINCENA MARZO RUBEN DARIO SILVA RODRIGUEZ</t>
  </si>
  <si>
    <t>Pago camara de comercio Pasto</t>
  </si>
  <si>
    <t>Pago a DISTRIBUCIONES ELECTRICAS AC PF 75830</t>
  </si>
  <si>
    <t>Pago a GRUPO DEFA SAS FEDP 75320</t>
  </si>
  <si>
    <t>Pago a TESLA NACIONAL DE TRANSFORMADORES COT OF02253 ANTICIPO 50%</t>
  </si>
  <si>
    <t>Pago a TESLA NACIONAL DE TRANSFORMADORES COT OF02450 ANTICIPO 50%</t>
  </si>
  <si>
    <t>Transporte personal Oscar Mauricio Morales Torres</t>
  </si>
  <si>
    <t>Retencion fte 1% Transporte personal Oscar Mauricio Morales Torres</t>
  </si>
  <si>
    <t>Retencion ica 6*1000 Transporte personal Oscar Mauricio Morales Torres</t>
  </si>
  <si>
    <t>Tranporte trayecto ida pasto-remolino</t>
  </si>
  <si>
    <t>Edurdo</t>
  </si>
  <si>
    <t xml:space="preserve">Compra Conector DB9, cable Lan y carcasas conector Macho DB9 </t>
  </si>
  <si>
    <t xml:space="preserve">Hidratacion </t>
  </si>
  <si>
    <t>Compra en alkosto fac  X901 2526950 productos de oficina</t>
  </si>
  <si>
    <t>Compra alimentacion en Hamburguesas el corral</t>
  </si>
  <si>
    <t>Pago flete envio herramienta Bas ingenieria</t>
  </si>
  <si>
    <t>Pago transporte Popayan-Cali-Popayan Herman</t>
  </si>
  <si>
    <t>Compra combustible viaje Herman</t>
  </si>
  <si>
    <t>Peajes visita herman Popayan y cali</t>
  </si>
  <si>
    <t>Transporte de pasto - Ipiales (Cristian Rosero )</t>
  </si>
  <si>
    <t>Transporte terminal ipiales -Edificio ipk</t>
  </si>
  <si>
    <t>Trnsporte edificio ipk-terminal</t>
  </si>
  <si>
    <t xml:space="preserve">Prestamo tramites actualizacion camara de comercio Orbis </t>
  </si>
  <si>
    <t>Prestamo tramites actualizacion camara de comercio Orbis gobernacion de nariño</t>
  </si>
  <si>
    <t>Envío material eléctrico, trayecto: Pasto - Nariño</t>
  </si>
  <si>
    <t>Marquillas adhesivas de riesgo eléctrico grandes y pequeñas.</t>
  </si>
  <si>
    <t>casa guillermo</t>
  </si>
  <si>
    <t>Carrera taxi, trayecto: Oficina - Casa Guillermo</t>
  </si>
  <si>
    <t>Mata filo</t>
  </si>
  <si>
    <t>Envío marqullas, planos, acrílicos y router, trayecto: Pasto - Ipiales</t>
  </si>
  <si>
    <t>Carreras taxi, trayectos: Oficina - Hotel Vymar y Loto Azul, Hotel Vymar y Loto Azul - Oficina</t>
  </si>
  <si>
    <t>Tornillo autoperforante, tornillo drywall, paral para drywall, estuco de relleno, cinta papel</t>
  </si>
  <si>
    <t>Rollo cinta peligro</t>
  </si>
  <si>
    <t>Conector recto coraza 1"</t>
  </si>
  <si>
    <t>Envío TCs, trayecto: Pasto - Cali</t>
  </si>
  <si>
    <t>Compra maleta viaje pasto-cali Edinson</t>
  </si>
  <si>
    <t>Compra maleta viaje pasto-cali Paola Arenas</t>
  </si>
  <si>
    <t>Transportes Ruben</t>
  </si>
  <si>
    <t>Alimentacion Ruben trabajo en proyecto ipk ipiales</t>
  </si>
  <si>
    <t xml:space="preserve">Compra cementos gris </t>
  </si>
  <si>
    <t xml:space="preserve">Pago servicio de publicidad en anuncion Google ads </t>
  </si>
  <si>
    <t>Pago en notaria 26 medellin tramites legales</t>
  </si>
  <si>
    <t xml:space="preserve">Compra televisores en alkosto para oficina mercaderes </t>
  </si>
  <si>
    <t>Recepcion pago factura campos de Aragon</t>
  </si>
  <si>
    <t>Recepcion pago factura Solsticio</t>
  </si>
  <si>
    <t xml:space="preserve">Recepcion pago factura el Troje </t>
  </si>
  <si>
    <t>Pago a CALIDAD DE LA ENERGIA COT 20440</t>
  </si>
  <si>
    <t xml:space="preserve">Pago a IMPUESTOS CON BOTAS TALLER EXOGENA </t>
  </si>
  <si>
    <t>Pago a FLEJADORA Y FERRETERIA CLAUSS SAS COT 2787</t>
  </si>
  <si>
    <t>Abono factura Polaris2</t>
  </si>
  <si>
    <t>Anticipo minigranja Orbis</t>
  </si>
  <si>
    <t>Transporte personal desde centro popayan hasta conjunto san Nicolas</t>
  </si>
  <si>
    <t>hernan</t>
  </si>
  <si>
    <t>Compra accesorios para canalizaciones (Cable 10 awg, conduletas  y curvas)</t>
  </si>
  <si>
    <t>Transporte material electrico y civil desde centro de popayan hasta conjunto san nicolas</t>
  </si>
  <si>
    <t>Transporte personal desde conjunto san nicolas hasta hotel</t>
  </si>
  <si>
    <t xml:space="preserve">Pago Desayunos 5 personas </t>
  </si>
  <si>
    <t xml:space="preserve">Pago Desayunos 1 persona </t>
  </si>
  <si>
    <t>Transporte pesonal desde hotel hasta conjunto san Nicolas</t>
  </si>
  <si>
    <t>Transporte tablas hasta conjunto san Nicolas</t>
  </si>
  <si>
    <t>Compra de tablas y varengas para acceso a techo</t>
  </si>
  <si>
    <t>Piaggio para transporte de guadua</t>
  </si>
  <si>
    <t>Transoorte personal desde san nicolas hasta hotel</t>
  </si>
  <si>
    <t>Pago desayunos 6 personas</t>
  </si>
  <si>
    <t>Pago uber transporte personal Hotel hasta conjunto San Nicolas</t>
  </si>
  <si>
    <t>Pago transporte desde hotel hasta almacen electrico</t>
  </si>
  <si>
    <t>compra material electrico (uniones emt, terminales sch40 y abrazadaera metalicas)</t>
  </si>
  <si>
    <t>compra material electrico (terminales emt)</t>
  </si>
  <si>
    <t>compra discos de corte</t>
  </si>
  <si>
    <t>compra brocas</t>
  </si>
  <si>
    <t>transporte desde centro hasta conjunto san nicolas</t>
  </si>
  <si>
    <t>Transporte de paneles y estructura desde bodega cordinadora hasta conjunto san nicolas</t>
  </si>
  <si>
    <t>Compra cable 18 metros Cable No.8 AWG</t>
  </si>
  <si>
    <t>Domicilio Cable No.8 awg</t>
  </si>
  <si>
    <t>Transporte perasonal conjunto San nicolas hasta hotel</t>
  </si>
  <si>
    <t xml:space="preserve">Transoporte Pasto -Popayan 5 personas </t>
  </si>
  <si>
    <t>Transporte terminal popayan-hotel popayan</t>
  </si>
  <si>
    <t>Cena para 6 personas (se ralizaron en tres facturas diferentes por valor de 4.000 - 6.700 - 70.500)</t>
  </si>
  <si>
    <t>Desayuno para 6 personas</t>
  </si>
  <si>
    <t>Transporte Hotel - conjunto san nicolas casa 55</t>
  </si>
  <si>
    <t xml:space="preserve">Transporte conjunto San Nicolas casa 55 - centro </t>
  </si>
  <si>
    <t>Transporte conjunto San Nicolas casa 55 - hotel</t>
  </si>
  <si>
    <t>Compra Material electrico (Tuberia y accesorios)</t>
  </si>
  <si>
    <t xml:space="preserve">Compra material Civil para cartera y resane </t>
  </si>
  <si>
    <t xml:space="preserve">Alquiler Escalera </t>
  </si>
  <si>
    <t>Pago Desayunos dos personas</t>
  </si>
  <si>
    <t>Pago Desayunos 4 personas</t>
  </si>
  <si>
    <t>Compra gasolina estacion de servicio el tablon viaje remolino paola arenas</t>
  </si>
  <si>
    <t>Peaje viaje remolino paola arenas</t>
  </si>
  <si>
    <t>Juan manuel</t>
  </si>
  <si>
    <t>Taxis Pasto</t>
  </si>
  <si>
    <t>Junta comercial</t>
  </si>
  <si>
    <t>Tanqueo Martín</t>
  </si>
  <si>
    <t>Sebastian</t>
  </si>
  <si>
    <t>Transporte a terminal, Sebastian</t>
  </si>
  <si>
    <t>Transporte Cali - Tulua, Sebastian</t>
  </si>
  <si>
    <t>Transporte en Tulua, Sebastian</t>
  </si>
  <si>
    <t>Coraza y prensaestopa</t>
  </si>
  <si>
    <t>Desalojo de material</t>
  </si>
  <si>
    <t>Transporte Tulua - Cali, Sebastían</t>
  </si>
  <si>
    <t>Transporte terminal de Cali, Sebastían</t>
  </si>
  <si>
    <t>Mango de pica</t>
  </si>
  <si>
    <t>Transporte Puerto Tejada, Sebastían</t>
  </si>
  <si>
    <t>Tanqueo Nicolás para Andalucia</t>
  </si>
  <si>
    <t>Tanqueo Nicolás para Puerto Tejada</t>
  </si>
  <si>
    <t>Transporte desde Puerto Tejada, Sebastían</t>
  </si>
  <si>
    <t xml:space="preserve">Flete de escalera </t>
  </si>
  <si>
    <t>Tanqueo, Jerson</t>
  </si>
  <si>
    <t>Tanqueo, Martin</t>
  </si>
  <si>
    <t>Presaestropa y disco de corte</t>
  </si>
  <si>
    <t>Ploter para planos</t>
  </si>
  <si>
    <t>Rejilla metalica para subestación</t>
  </si>
  <si>
    <t xml:space="preserve">Copa sierra </t>
  </si>
  <si>
    <t>Pequeño material para conexión en caseta</t>
  </si>
  <si>
    <t>Trabajo de soldadura</t>
  </si>
  <si>
    <t>Ana henao</t>
  </si>
  <si>
    <t>Transporte</t>
  </si>
  <si>
    <t>Alimentacion</t>
  </si>
  <si>
    <t>Viaticos legalizacion sin facturas</t>
  </si>
  <si>
    <t>Pago a COMPAÑÍA DE JESUS (Villa loyola)  actividad con personal</t>
  </si>
  <si>
    <t>MARCOS DANIEL OJEDA ALIMENTACION  COMIDAS</t>
  </si>
  <si>
    <t>Retencion fte 3,5 %  MARCOS DANIEL OJEDA ALIMENTACION  COMIDAS</t>
  </si>
  <si>
    <t>Pago arrendamiento Vallas INNOVA GROUP INE 77</t>
  </si>
  <si>
    <t xml:space="preserve">Pago servicio plan celular ventas </t>
  </si>
  <si>
    <t>Inversión Evolti en Lyra</t>
  </si>
  <si>
    <t>Insectisida control de hormigas</t>
  </si>
  <si>
    <t xml:space="preserve">Oscar Mauricio </t>
  </si>
  <si>
    <t>Pago flete encio mngera de cadelaria a remolino</t>
  </si>
  <si>
    <t>Ed corporacion remolino Gasolina 5,71 gl</t>
  </si>
  <si>
    <t>Pago a AGRILAB LABORATORIOS SAS Examenes de ingreso</t>
  </si>
  <si>
    <t xml:space="preserve">Pago devolucion envio flete </t>
  </si>
  <si>
    <t>Inversión Evolti en Naos 4</t>
  </si>
  <si>
    <t>Naos4</t>
  </si>
  <si>
    <t>Inversión NAOS4</t>
  </si>
  <si>
    <t>Prestamo inversion Delta 2</t>
  </si>
  <si>
    <t>Inversión DELTA2</t>
  </si>
  <si>
    <t xml:space="preserve">Vuelos </t>
  </si>
  <si>
    <t>Kelly</t>
  </si>
  <si>
    <t>Comida aeropuerto</t>
  </si>
  <si>
    <t>Taxi aeropuerto - hotel</t>
  </si>
  <si>
    <t>Peaje Cali - Palmira (Estambul)</t>
  </si>
  <si>
    <t>Peaje Palmira - Buga (Cerrito)</t>
  </si>
  <si>
    <t>Peaje Buga (Cerrito)</t>
  </si>
  <si>
    <t>Peaje CIAT</t>
  </si>
  <si>
    <t>Alquiler de vehículo</t>
  </si>
  <si>
    <t>Combustible</t>
  </si>
  <si>
    <t>Taxi Cali - Aeropuerto</t>
  </si>
  <si>
    <t>Parqueadero aeropuerto Medellín</t>
  </si>
  <si>
    <t xml:space="preserve">Peaje Aeropuerto - Medellín </t>
  </si>
  <si>
    <t>Pago saldo transportes Juan fernando viaje Cali</t>
  </si>
  <si>
    <t>CONSTRU ENERGY RC SAS COT 3</t>
  </si>
  <si>
    <t>Retencion fte 4% CONSTRU ENERGY RC SAS COT 3</t>
  </si>
  <si>
    <t xml:space="preserve">Pago cuenta de cobro Alquiler de bodega en Cl 25 #11-47 a 11-1, Tuluá, Valle del Cauca. </t>
  </si>
  <si>
    <t>Pago a FERRETERIA FERROMAC AURA MIREY BURBANO COT 0477</t>
  </si>
  <si>
    <t>Retencion fte 2,5% FERRETERIA FERROMAC AURA MIREY BURBANO COT 0477</t>
  </si>
  <si>
    <t>Pago a IPS BIENESTAR LABORAL FC 3211</t>
  </si>
  <si>
    <t>Pago cuenta de cobro WILIAN ANDRES BASANTE (ARREGLO PATINETA)</t>
  </si>
  <si>
    <t>Pago dotacion PROTECTO FED 4432</t>
  </si>
  <si>
    <t>Pago dotacion PROTECTO FED 4437</t>
  </si>
  <si>
    <t xml:space="preserve">Pago cuent de cobro transporte para proyecto polaris </t>
  </si>
  <si>
    <t>Pago UPME proyecto Bas Ingenieria</t>
  </si>
  <si>
    <t xml:space="preserve">Pago UPME proyecto Casa san Maria fernanda Segura </t>
  </si>
  <si>
    <t>Pago cuenta de cobro  MARIANA ESCOBAR SANCHEZ HOTEL BRISAS DEL RIO RESTAURANTE  hospedaje alimentacion</t>
  </si>
  <si>
    <t xml:space="preserve">Retencion fte 3,5 % MARIANA ESCOBAR SANCHEZ HOTEL BRISAS DEL RIO RESTAURANTE  </t>
  </si>
  <si>
    <t xml:space="preserve">Pago cuenta de cobro  MARIANA ESCOBAR SANCHEZ HOTEL BRISAS DEL RIO RESTAURANTE  </t>
  </si>
  <si>
    <t>Pago cuenta de cobro  MARIANA ESCOBAR SANCHEZ HOTEL BRISAS DEL RIO RESTAURANTE  2da semana</t>
  </si>
  <si>
    <t>Pago factura AVIA LEGAL FC 10142</t>
  </si>
  <si>
    <t>Retencion 11% AVIA LEGAL FC 10142</t>
  </si>
  <si>
    <t>Pago a AYC DOTACIONES INDUSTRIALES FVE 1561</t>
  </si>
  <si>
    <t>Pago realizado a TABLESA COT TA182-25 VR COT 49.890.428*19%=9.479.181=59.369.609*50%29.684.805</t>
  </si>
  <si>
    <t>Pago a ELECTRICOS DEL VALLE COT  SO-721054</t>
  </si>
  <si>
    <t>Pago a MELBA LIGIA MONCAYO LA FERRO RM 4207</t>
  </si>
  <si>
    <t>Pago a MELBA LIGIA MONCAYO LA FERRO RM 4222</t>
  </si>
  <si>
    <t>Pago a MELBA LIGIA MONCAYO LA FERRO RM 4221</t>
  </si>
  <si>
    <t>Pago cuenta de cobro EYDER MAURICIO AGUDELO AGUDELO  Desayunos y almuerzos, Tuluá, Valle del Cauca.</t>
  </si>
  <si>
    <t>Retencion fte 3,5% EYDER MAURICIO AGUDELO AGUDELO Desayunos y almuerzos, Tuluá, Valle del Cauca.</t>
  </si>
  <si>
    <t>Pago cuenta de cobro GERARDO DULCE FIGUEROA DISEÑO ESTRUCTURAL AMPLIACION INSTALACIONES EVOLTI</t>
  </si>
  <si>
    <t>Retencion fte 4% GERARDO DULCE FIGUEROA DISEÑO ESTRUCTURAL AMPLIACION INSTALACIONES EVOLTI</t>
  </si>
  <si>
    <t>Retencion ica 6*1000 GERARDO DULCE FIGUEROA DISEÑO ESTRUCTURAL AMPLIACION INSTALACIONES EVOLTI</t>
  </si>
  <si>
    <t xml:space="preserve">Pago a MARIA JOSE ARTEAGA RIASCOS E-1396 SOLUBAÑOS </t>
  </si>
  <si>
    <t xml:space="preserve">Pago a MARIA JOSE ARTEAGA RIASCOS E-1397 SOLUBAÑOS </t>
  </si>
  <si>
    <t xml:space="preserve">Pago a MARIA JOSE ARTEAGA RIASCOS E-1398 SOLUBAÑOS </t>
  </si>
  <si>
    <t xml:space="preserve">Pago a LUZ ADRIANA FERNANDEZ MONDRAGON FEHA 4815 oficina popayan </t>
  </si>
  <si>
    <t>Pago a JOHN JAIRO CHAPAL ESTACIO FE 773</t>
  </si>
  <si>
    <t>Pago a SEGURIDAD DEL SUR FEVP 8598</t>
  </si>
  <si>
    <t>Pago a SEGURIDAD DEL SUR FEVP 8599</t>
  </si>
  <si>
    <t>Préstamo inversión Polaris 2</t>
  </si>
  <si>
    <t>inversion POLARIS2</t>
  </si>
  <si>
    <t>Préstamo inversión Polaris 3</t>
  </si>
  <si>
    <t>Polaris3</t>
  </si>
  <si>
    <t>inversion POLARIS3</t>
  </si>
  <si>
    <t>Pago Anticipo a MARTIN FELIPE GOMAJOA BOTINA</t>
  </si>
  <si>
    <t>Pago a HUMBERTO JAVIER ROSERO POTOSI ANTICIPO 25% COT 56</t>
  </si>
  <si>
    <t>Pago a HUMBERTO JAVIER ROSERO POTOSI ANTICIPO 25% COT 55</t>
  </si>
  <si>
    <t>Pago a HUMBERTO JAVIER ROSERO POTOSI ANTICIPO 25% COT 54</t>
  </si>
  <si>
    <t>AVIANCA TIQUETE KELLY ALVAREZ MED-BUCARAMANGA</t>
  </si>
  <si>
    <t>Pago fac TABLESA TA 198-25</t>
  </si>
  <si>
    <t>Retencion fte % TABLESA TA 198-25</t>
  </si>
  <si>
    <t>Paqo IMPUESTOS RETEFUENTE Evolti Marzo</t>
  </si>
  <si>
    <t>Pago Retencion iva Marzo Evolti</t>
  </si>
  <si>
    <t>Pago a FREY RODOLFO RUIZ VELASQUEZ 94.387.904-6 FERROPAISA</t>
  </si>
  <si>
    <t>Retencion fte 3,5%  FREY RODOLFO RUIZ VELASQUEZ 94.387.904-6 FERROPAISA</t>
  </si>
  <si>
    <t>Pago a EDISSON ARLEY PORTILLA RUALES FEHA 2460</t>
  </si>
  <si>
    <t>Pago a TABLESA CONTRATO TBL-23012025-001 ANTICIPO 30%</t>
  </si>
  <si>
    <t xml:space="preserve">Pago devolucion almuerzo para 4 personas actividad estructuracion </t>
  </si>
  <si>
    <t>Pago a JUAN CAMILO ROSERO DISEÑO PLAN ESTRATEGICO VIAL</t>
  </si>
  <si>
    <t>Pago fac PROTECTO FED 4465</t>
  </si>
  <si>
    <t>Pagp A y C DOTACIONES FVE 1569</t>
  </si>
  <si>
    <t>Pago a ALEXANDER ANTIONIO AGUDELO VELASQUEZ</t>
  </si>
  <si>
    <t>MAURICIO ROSERO PAGO SUELDO MES MARZO 2025 ingeniero agrovoltai</t>
  </si>
  <si>
    <t>Pago a EQUIRENT VEHICULOS Y MAQUINARIA SAS BIC BG01-113577</t>
  </si>
  <si>
    <t>Pago a EQUIRENT VEHICULOS Y MAQUINARIA SAS BIC BG01-113578</t>
  </si>
  <si>
    <t>Pago a EQUIRENT VEHICULOS Y MAQUINARIA SAS BIC BG01-113580</t>
  </si>
  <si>
    <t>Pago a JOSE LUIS VALVERDE VARONA ASADERO Y RESTAURANTE LEÑA VERDE</t>
  </si>
  <si>
    <t>Transporte de Pasto - Ipiales (Cristian Rosero)</t>
  </si>
  <si>
    <t>Pago flete envio herramienta Casa san nicolas Popayan-Pasto</t>
  </si>
  <si>
    <t>Transporte taxi terminal ipiales Ruben</t>
  </si>
  <si>
    <t>Transporte terminal oficina Ruben</t>
  </si>
  <si>
    <t>Transporte taxi Ruben en ipiales</t>
  </si>
  <si>
    <t xml:space="preserve">Compra candado con llave </t>
  </si>
  <si>
    <t>Transporte pasto-ipiales</t>
  </si>
  <si>
    <t>Gasolina transporte (Pasto -  finca la concepción (Rio bobo) - Pasto)</t>
  </si>
  <si>
    <t xml:space="preserve">Stefanya </t>
  </si>
  <si>
    <t>Peaje viaje Ipiales</t>
  </si>
  <si>
    <t>Juan Camilo</t>
  </si>
  <si>
    <t>Almuerzo Juan Camilo Garcia viaje ipiales</t>
  </si>
  <si>
    <t>Combustible viaje Ipiales</t>
  </si>
  <si>
    <t>Taxi a casa</t>
  </si>
  <si>
    <t>Bornas N° 2/0 2Und</t>
  </si>
  <si>
    <t>Taxi terminal</t>
  </si>
  <si>
    <t>Pasaje Ipiales-Pasto</t>
  </si>
  <si>
    <t>Pasaje pasto-Ipiales</t>
  </si>
  <si>
    <t>Taxi NAVA (reunion Ingenieria)</t>
  </si>
  <si>
    <t>Taxi IPK (poner en marcha el sistema)</t>
  </si>
  <si>
    <t>Juego broca escalonada</t>
  </si>
  <si>
    <t>Amarras plásticas 10cm</t>
  </si>
  <si>
    <t>Envío arandelas</t>
  </si>
  <si>
    <t>COMPRA TIQUETE AVIANCA TIQUETE ANA MILENA HENAO MED-PASTO-MED</t>
  </si>
  <si>
    <t>Ingreso inversion campaña Ascenso</t>
  </si>
  <si>
    <t>Deuda</t>
  </si>
  <si>
    <t>Inversion EVOLTI GENERACION</t>
  </si>
  <si>
    <t>Recepcion pago incapacidad Orlando Lopez Diaz</t>
  </si>
  <si>
    <t>Anticipo minigranja Polaris 2</t>
  </si>
  <si>
    <t>Anticipo minigranja Orbis</t>
  </si>
  <si>
    <t>Recepcion pago factura administracion naos1 FAC 509 marzo</t>
  </si>
  <si>
    <t>Recepcion pago factura administracion naos1 FAC 529 abril</t>
  </si>
  <si>
    <t>Recepcion pago factura administracion naos2 FAC 529 abril</t>
  </si>
  <si>
    <t>Pago a EDGAR MONTAÑO GARCIA BALCONES DE LA 70 JEAN CARLOS ANTICIPO 50%</t>
  </si>
  <si>
    <t>ok rpesupuesto</t>
  </si>
  <si>
    <t>Pago a EDGAR MONTAÑO GARCIA BALCONES DE LA 70 DANNA ARMERO ANTICIPO 50%</t>
  </si>
  <si>
    <t>Recepcion pago anticipo Jugos Daniel Garcia</t>
  </si>
  <si>
    <t>Pago compra amazon Kinupute Mini PC industrial, computadora sin ventilador de escritorio Cor</t>
  </si>
  <si>
    <t>Ahorros occidente</t>
  </si>
  <si>
    <t>Pago compra amazon  Kinupute Mini PC industrial, computadora sin ventilador de escritorio Core i7</t>
  </si>
  <si>
    <t>Pago curso UDEMY Carolina Cardona</t>
  </si>
  <si>
    <t>PAGO SERVICIO DE CONCETIVIDAD Servicio de Conectividad M2M</t>
  </si>
  <si>
    <t>Recepcion dev factura pagada doble V1501</t>
  </si>
  <si>
    <t>Compra adicional Jet smart Juan Manuel</t>
  </si>
  <si>
    <t>Compra en adobe</t>
  </si>
  <si>
    <t>Carrera piaggio, trayecto: La feroo - El Troje</t>
  </si>
  <si>
    <t>Vinipel 30cm, vinipel 15cm</t>
  </si>
  <si>
    <t>Borna tubular #8 Cu</t>
  </si>
  <si>
    <t>Termoencogible negro</t>
  </si>
  <si>
    <t>Estuco listo</t>
  </si>
  <si>
    <t>Planillero con tapa carta</t>
  </si>
  <si>
    <t>Lápices negros, rojos, sharpies, lapiceros negros, resaltadores</t>
  </si>
  <si>
    <t>Adaptador EMT 1"</t>
  </si>
  <si>
    <t>Breaker solar</t>
  </si>
  <si>
    <t>Tornillos tropicalizados, wasa, tuerca, arandela para gabinete eléctrico</t>
  </si>
  <si>
    <t>Tornillos, arandelas y tuercas para aislador escalonado</t>
  </si>
  <si>
    <t>Protector solar</t>
  </si>
  <si>
    <t>Carpeta catálogo</t>
  </si>
  <si>
    <t>Recarga botellón</t>
  </si>
  <si>
    <t>4 Desayunos personal mantenimiento (Ruben, Jhon, Wilian,Joey)</t>
  </si>
  <si>
    <t>4 Almuerzos personal mantenimiento (Ruben, Jhon, Wilian,Joey)</t>
  </si>
  <si>
    <t xml:space="preserve">Compra Jabon liquido para manos oficina </t>
  </si>
  <si>
    <t>Rosca de tubo galvanizado 1"</t>
  </si>
  <si>
    <t>Envío sensores de humo, extintores, dotación y elementos para medición. Trayecto: Pasto - Remolino</t>
  </si>
  <si>
    <t>Envío sikabond, tuercas, arandelas. Trayecto: Pasto - Remolino</t>
  </si>
  <si>
    <t>Envío de router y transformador, trayecto: Remolino - Pasto</t>
  </si>
  <si>
    <t>Envío de transformador, trayecto: Pasto - Funza</t>
  </si>
  <si>
    <t>Envío tubos y material de montaje eléctrico. Trayecto: Pasto Remolino</t>
  </si>
  <si>
    <t>Correa industrial</t>
  </si>
  <si>
    <t>Envío equipo de medición, trayecto: Pasto - Remolino</t>
  </si>
  <si>
    <t xml:space="preserve">Adaptador EMT 3/4" </t>
  </si>
  <si>
    <t>Tramites en banco de occidente Fondo de garantias</t>
  </si>
  <si>
    <t xml:space="preserve">Devolucion dinero Daniel Garcia </t>
  </si>
  <si>
    <t>Pago servicio publico empopasto</t>
  </si>
  <si>
    <t>Pago servicio publico cedenar</t>
  </si>
  <si>
    <t>PAGO A CONSTRU ENERGY SAS SEGUNDO ANTICIPO 30%</t>
  </si>
  <si>
    <t>Pago a DIANA PATRICIA LOPEZ JURADO ANTICIPO 50%</t>
  </si>
  <si>
    <t>Pago a JAIRO ANTONIO ESPAÑA PAREDES COT 01</t>
  </si>
  <si>
    <t>Retencion ica 6*1000 JAIRO ANTONIO ESPAÑA PAREDES COT 01</t>
  </si>
  <si>
    <t>Retencion ica 2,5% JAIRO ANTONIO ESPAÑA PAREDES COT 01</t>
  </si>
  <si>
    <t>Pago a JOHNNY MAURICIO CEBALLOS BASTIDAS JMCB 57</t>
  </si>
  <si>
    <t>Retencion fte 1% JOHNNY MAURICIO CEBALLOS BASTIDAS JMCB 57</t>
  </si>
  <si>
    <t>Retencion ica 6*1000 JOHNNY MAURICIO CEBALLOS BASTIDAS JMCB 57</t>
  </si>
  <si>
    <t>Pago a DAVID GUILLERMO MEJIA PROSPECCION TERRENOS LEY SEGUNDA</t>
  </si>
  <si>
    <t>Pago a GRUPO SST ARO SOCIEDAD POR ACCIONES SIMPLIFICADA FEVN 1099</t>
  </si>
  <si>
    <t>GRUPO SST ARO SOCIEDAD POR ACCIONES SIMPLIFICADA FEVN 1134</t>
  </si>
  <si>
    <t>Pago arreglo pistola de calor WILIAN ANDRES BASANTE el troje</t>
  </si>
  <si>
    <t>Pago a AURA MIREY BURBANO FERROMAC COT 1969</t>
  </si>
  <si>
    <t>Daniela arboleda</t>
  </si>
  <si>
    <t>Transporte tulua-cali</t>
  </si>
  <si>
    <t>Transporte lacteos-terminal</t>
  </si>
  <si>
    <t>Transporte terminal tulua-lacteos</t>
  </si>
  <si>
    <t xml:space="preserve">Transporte piajio herramienta </t>
  </si>
  <si>
    <t xml:space="preserve">Tablas, manila 6mm y gafas de seguridad </t>
  </si>
  <si>
    <t>Gasolina martin sossa</t>
  </si>
  <si>
    <t xml:space="preserve">Gasolina Jersson </t>
  </si>
  <si>
    <t>hielo</t>
  </si>
  <si>
    <t xml:space="preserve">Guantes de nitrilo </t>
  </si>
  <si>
    <t>Sharpie negro</t>
  </si>
  <si>
    <t>Pago WILSON JIMENEZ GUERRERO SALDO FINAL programa compras</t>
  </si>
  <si>
    <t>Paqo a SURTIEQUIPOS DEL SUR FEV 4335</t>
  </si>
  <si>
    <t xml:space="preserve">Pago  FERREMALLAS FVFM 560 ANTICIPO 50% </t>
  </si>
  <si>
    <t>Pago a FERREMALLAS CALI COT 380-04-2025 ANTICIPO 50%</t>
  </si>
  <si>
    <t>Pago a SOLUCIONES ELECTRICAS PASTO KAROL SOFIA FIGUEROA MEJIA ORDEN DE COMPRA 072</t>
  </si>
  <si>
    <t>Retencion ica 6*1000  SOLUCIONES ELECTRICAS PASTO KAROL SOFIA FIGUEROA MEJIA ORDEN DE COMPRA 072</t>
  </si>
  <si>
    <t xml:space="preserve">Pago fac a ANGIE VALENCIA ROSERO  FVE-927 recoleccion residuos </t>
  </si>
  <si>
    <t xml:space="preserve">Pago a TABLESA TA105-25 SALDO FINAL </t>
  </si>
  <si>
    <t xml:space="preserve">Retencion fte 2,5% TABLESA TA105-25 SALDO FINAL </t>
  </si>
  <si>
    <t xml:space="preserve">Pago a TABLESA TA144-25 SALDO FINAL </t>
  </si>
  <si>
    <t xml:space="preserve">Retencion fte 2,5% TABLESA TA144-25 SALDO FINAL </t>
  </si>
  <si>
    <t>Pago a MANUELA ALEJANDRA POLO NAVAS ONC 100</t>
  </si>
  <si>
    <t>Reteiva 15%  MANUELA ALEJANDRA POLO NAVAS ONC 100</t>
  </si>
  <si>
    <t>Pago a INELDEC ENERGY SAS COT C-1-5075 ANTICIPO 50%</t>
  </si>
  <si>
    <t xml:space="preserve">Pago a CARLOS ALBERTO ARBOLEDA LASGARRO 98.495.266 </t>
  </si>
  <si>
    <t xml:space="preserve">Pago comision a GILBERTO LOPEZ PASTEZ </t>
  </si>
  <si>
    <t>Pago a MOISES RUIZ RIVERO</t>
  </si>
  <si>
    <t xml:space="preserve">Pago a SEGUNDO HERMES ERASO FERNANDEZ COT 001 </t>
  </si>
  <si>
    <t xml:space="preserve">Retencion fte 2,5% SEGUNDO HERMES ERASO FERNANDEZ COT 001 </t>
  </si>
  <si>
    <t>Pago  ANGELICA MARIA AGREDA AGREDA COT 2403 INDIGO</t>
  </si>
  <si>
    <t>Paggo ANGELICA MARIA AGREDA AGREDA FE 791 INDIGO</t>
  </si>
  <si>
    <t>Pago servicio de aseo IMPECOL FC 2141</t>
  </si>
  <si>
    <t>Pago a MELBA LIGIA MONCAYO LA FERRO RM1-4233</t>
  </si>
  <si>
    <t>Retencion ica 6*1000 MELBA LIGIA MONCAYO LA FERRO RM1-4233</t>
  </si>
  <si>
    <t>Pago a MELBA LIGIA MONCAYO LA FERRO RM1-4228</t>
  </si>
  <si>
    <t>Retencion ica 6*1000 MELBA LIGIA MONCAYO LA FERRO RM1-4228</t>
  </si>
  <si>
    <t>Pago a MELBA LIGIA MONCAYO LA FERRO RM1-4227</t>
  </si>
  <si>
    <t>Retencion ica 6*1000 MELBA LIGIA MONCAYO LA FERRO RM1-4227</t>
  </si>
  <si>
    <t>Pago a DISTRIBUCIONES ELECTRICAS AC PF 76484</t>
  </si>
  <si>
    <t>Retencion ica 5*1000 DISTRIBUCIONES ELECTRICAS AC PF 76484</t>
  </si>
  <si>
    <t>Pago a CRISTHIAN DAVID IBARRA CABRERA HOTEL LOTO PAOLA RENAS HV 556</t>
  </si>
  <si>
    <t>Pago a CRISTHIAN DAVID IBARRA CABRERA HOTEL LOTO PAOLA RENAS HV 567</t>
  </si>
  <si>
    <t>Pago a CRISTHIAN DAVID IBARRA CABRERA HOTEL LOTO EDINSON HV 555</t>
  </si>
  <si>
    <t>Pago a CRISTHIAN DAVID IBARRA CABRERA HOTEL LOTO EDINSON HV 566</t>
  </si>
  <si>
    <t>Pago a CARLOS ALBERTO  ARBOLEDA LASCARRO</t>
  </si>
  <si>
    <t>Pago a ACUEDUCTO Y ALCANTARILLADO DE POPAYAN</t>
  </si>
  <si>
    <t>Pago servicio de energia CEO ENERGIA oficina popayan</t>
  </si>
  <si>
    <t>Pago fac servicio de internet Tigo</t>
  </si>
  <si>
    <t>PAGO CERTIFICADO CAMARA DE COMERCIO PASTO</t>
  </si>
  <si>
    <t>PAGO NOTARIA PRIMERA DE VALLEDUPAR JAIME JAVIER ROMERO AMADOR</t>
  </si>
  <si>
    <t>PAGO LOTE BUENA VISTA</t>
  </si>
  <si>
    <t>Pago cuenta de cobro ERICA YASMIN SALAS JURADO</t>
  </si>
  <si>
    <t xml:space="preserve">Pago a TABLESA SALDO FINAL TA664B-24 LLEGA LA FACTURA N. 8275 </t>
  </si>
  <si>
    <t xml:space="preserve">Retencion fte 2,5% TABLESA SALDO FINAL TA664B-24 LLEGA LA FACTURA N. 8275 </t>
  </si>
  <si>
    <t>PAGO A TABLESA TA205-25 TRANSPORTE</t>
  </si>
  <si>
    <t>Retencion fte 1% PAGO A TABLESA TA205-25 TRANSPORTE</t>
  </si>
  <si>
    <t>Pago a JUAN DE LA ROSA MUÑOZ GARCIA NATURA OFFICE MES ABRIL 2025</t>
  </si>
  <si>
    <t>Retencion ft 3,5% JUAN DE LA ROSA MUÑOZ GARCIA NATURA OFFICE MES ABRIL 2025</t>
  </si>
  <si>
    <t>PAGO LIQUIDACION LABORAL JUAN DAVID GRANADA ALVAREZ</t>
  </si>
  <si>
    <t xml:space="preserve">pago saldo devlucion VARIEDADES CARVAJAL SAS </t>
  </si>
  <si>
    <t>Pago a MELBA LIGIA MONCAYO LA FERRO RM 4234</t>
  </si>
  <si>
    <t>Pago a GRUPO DEFA FEDP 76560</t>
  </si>
  <si>
    <t>Pago a SOLAIRE OFERTA 3036</t>
  </si>
  <si>
    <t>Retencion 2,5% SOLAIRE OFERTA 3036</t>
  </si>
  <si>
    <t>Pago a SOLAIRE OFERTA 3036 FLETE</t>
  </si>
  <si>
    <t>Retencion fte SOLAIRE OFERTA 3036 FLETE</t>
  </si>
  <si>
    <t>Pago a SOLAIRE OFERTA 3128</t>
  </si>
  <si>
    <t>PAGO A SOLAIRE OFERTA N. 3100</t>
  </si>
  <si>
    <t xml:space="preserve">Pago a MARIANA ESCOBAR SANCHEZ 1.088.024.068 HOTEL BRISAS DEL RIO HOSPÉDAJE  </t>
  </si>
  <si>
    <t xml:space="preserve">Retencion fte 3,5% MARIANA ESCOBAR SANCHEZ 1.088.024.068 HOTEL BRISAS DEL RIO HOSPÉDAJE  </t>
  </si>
  <si>
    <t>Pago a EYDER MAURICIO AGUDELO AGUDELO 1.076.350.222 RESTAURANTE</t>
  </si>
  <si>
    <t>Retencion fte 3,5%  EYDER MAURICIO AGUDELO AGUDELO 1.076.350.222 RESTAURANTE</t>
  </si>
  <si>
    <t>Pago a ELECTRICOS DEL VALLE SO-722864</t>
  </si>
  <si>
    <t>Pago  JAIRO LOPEZ ELECTRICOS BOYACA COT 8469 79.579.987</t>
  </si>
  <si>
    <t>Retencion fte 2,5 %  JAIRO LOPEZ ELECTRICOS BOYACA COT 8469</t>
  </si>
  <si>
    <t>Retencion ica 3*1000  JAIRO LOPEZ ELECTRICOS BOYACA COT 8469</t>
  </si>
  <si>
    <t xml:space="preserve">Pago cuenta de cobro MARCOS DANIEL OJEDA ALIMENTACION </t>
  </si>
  <si>
    <t xml:space="preserve">Retencion fte 3,5 % MARCOS DANIEL OJEDA ALIMENTACION </t>
  </si>
  <si>
    <t>Pago a FREDY ALEXANDER LOPEZ MONDRAGON HABITAT</t>
  </si>
  <si>
    <t xml:space="preserve">Pago Upme proyecto nava del sur </t>
  </si>
  <si>
    <t>Pago fac PROTECTO FED 4504</t>
  </si>
  <si>
    <t>Pago final DIANA PATRICIA LOPEZ JURADO PAGO SALDO FINAL alimentacion</t>
  </si>
  <si>
    <t>Retencion fte 3,5% DIANA PATRICIA LOPEZ JURADO PAGO SALDO FINAL alimentacion</t>
  </si>
  <si>
    <t>Pago anticipo a JUAN SEBASTIAN RODRIGUEZ SEVILLA ANTICIPO 50%</t>
  </si>
  <si>
    <t>Pago a NACIONAL DE TRANSFORMADORES TESLA OF 01830 ANTICIPO 50%</t>
  </si>
  <si>
    <t>Transporte terminal cali</t>
  </si>
  <si>
    <t>Transporte Tulua-cali</t>
  </si>
  <si>
    <t>Carrera planos kopien</t>
  </si>
  <si>
    <t>Transporte lacteos-terminal tulua</t>
  </si>
  <si>
    <t>SIKAFLEX UNIVERSAL Y BISTURI MATÁLICO</t>
  </si>
  <si>
    <t xml:space="preserve">Sergio zambrano </t>
  </si>
  <si>
    <t>IMPRESIÓN PLANOS</t>
  </si>
  <si>
    <t>TAXI TERMINAL - HOTEL BRISAS DEL RIO</t>
  </si>
  <si>
    <t>COPA MAGNETICA TRUPER</t>
  </si>
  <si>
    <t>PUNTAS TOPE</t>
  </si>
  <si>
    <t>HIDRATACION</t>
  </si>
  <si>
    <t>TIENDAS ARA</t>
  </si>
  <si>
    <t>SIKAFLEX CONSTRUCTION</t>
  </si>
  <si>
    <t>TRANSPORTE IDA FERRIOBRAS</t>
  </si>
  <si>
    <t>BISTURI 18 MM UYUSTOOLS</t>
  </si>
  <si>
    <t>TRANSPORTE REGRESO AGUACLARA</t>
  </si>
  <si>
    <t>GASOLINA</t>
  </si>
  <si>
    <t>ALKITODO - ALQUILER ESCALERA 9 METROS</t>
  </si>
  <si>
    <t>HIELO - TIENDAS ARA</t>
  </si>
  <si>
    <t>TIENDAS D1</t>
  </si>
  <si>
    <t>PAPELERIA PARA SST</t>
  </si>
  <si>
    <t>TRANSPORTE IDA CENTRO</t>
  </si>
  <si>
    <t xml:space="preserve">PROTECTOR SOLAR </t>
  </si>
  <si>
    <t>TORNILLOS AUTOPERFORANTES Y SEGUETA</t>
  </si>
  <si>
    <t xml:space="preserve">TRANSPORTE IDA FERRETERIA </t>
  </si>
  <si>
    <t>FERRETERIA DISTRIBUCIONES N&amp;G</t>
  </si>
  <si>
    <t>PRIMAX GASOLINA</t>
  </si>
  <si>
    <t>PANADERIA TRIGALIA DEL VALLE</t>
  </si>
  <si>
    <t xml:space="preserve"> 15 TABLAS ADICIONALES - VENTA DE MADERA LA 12</t>
  </si>
  <si>
    <t>TAXI AGUACLARA - PARQUE INDUSTRIAL</t>
  </si>
  <si>
    <t>TEJA UPVC BLANCA - FERRIOBRAS</t>
  </si>
  <si>
    <t>PIAGGIO PARA LAS TEJAS UPVC</t>
  </si>
  <si>
    <t>TRANSPORTE CALI - TULUÁ</t>
  </si>
  <si>
    <t>CHINATOOLS - AQUILER ESCALERA TIJERA</t>
  </si>
  <si>
    <t xml:space="preserve">Pago flete envio herramienta SURAGUAS </t>
  </si>
  <si>
    <t>Pago a SISTEMAS INDUSTRIALES Y SEGURIDAD OCUPACIONAL S.A.S COT C-1-20109</t>
  </si>
  <si>
    <t>Pago dotacion PROTECTO FED 4516</t>
  </si>
  <si>
    <t>Pago a AYM GROUP FEAY-25 (REVISORIA FISCAL) FEAY	25</t>
  </si>
  <si>
    <t>Pago a HUMBERTO JAVIER ROSERO POTOSI COT 54 SALDO FINAL</t>
  </si>
  <si>
    <t>Retencion fte 2%  HUMBERTO JAVIER ROSERO POTOSI COT 54 SALDO FINAL</t>
  </si>
  <si>
    <t>Pago a HUMBERTO JAVIER ROSERO POTOSI COT 55 SALDO FINAL</t>
  </si>
  <si>
    <t>Retencion fte 2%  HUMBERTO JAVIER ROSERO POTOSI COT 55 SALDO FINAL</t>
  </si>
  <si>
    <t>Pago a HUMBERTO JAVIER ROSERO POTOSI COT 56 SALDO FINAL</t>
  </si>
  <si>
    <t>Retencion fte 2%  HUMBERTO JAVIER ROSERO POTOSI COT 56 SALDO FINAL</t>
  </si>
  <si>
    <t>Pago a JOHNNY MAURICIO CEBALLOS BASTIDAS JMCB 60</t>
  </si>
  <si>
    <t>Retencion fte 1%  JOHNNY MAURICIO CEBALLOS BASTIDAS JMCB 60</t>
  </si>
  <si>
    <t>Retencion ica 6*1000 JOHNNY MAURICIO CEBALLOS BASTIDAS JMCB 60</t>
  </si>
  <si>
    <t>Pago a JOHNNY MAURICIO CEBALLOS BASTIDAS JMCB 58</t>
  </si>
  <si>
    <t>Retencion fte 1%  JOHNNY MAURICIO CEBALLOS BASTIDAS JMCB 58</t>
  </si>
  <si>
    <t>Retencion ica 6*1000 JOHNNY MAURICIO CEBALLOS BASTIDAS JMCB 58</t>
  </si>
  <si>
    <t>Pago a JOHNNY MAURICIO CEBALLOS BASTIDAS JMCB 61</t>
  </si>
  <si>
    <t>Retencion fte 1%  JOHNNY MAURICIO CEBALLOS BASTIDAS JMCB 61</t>
  </si>
  <si>
    <t>Retencion ica 6*1000 JOHNNY MAURICIO CEBALLOS BASTIDAS JMCB 61</t>
  </si>
  <si>
    <t>Pago a CHAPAL ESTACION JOHN JAIRO FE 777 SERVICIO TRANSPORTE</t>
  </si>
  <si>
    <t>Pago comision a DANIEL FERNANDO MEDINA</t>
  </si>
  <si>
    <t>Retencion fte Pago comision a DANIEL FERNANDO MEDINA</t>
  </si>
  <si>
    <t>Pago a SOLAIRE PEDIDO 8795</t>
  </si>
  <si>
    <t>Pago estado de cuenta Solaire</t>
  </si>
  <si>
    <t>Retencion fte 2,5% Pago estado de cuenta Solaire</t>
  </si>
  <si>
    <t>PAGO 1ERA QUINCENA ABRIL  SANDRA CAROLINA PATASCOY BOTINA</t>
  </si>
  <si>
    <t>PAGO 1ERA QUINCENA ABRIL  YULY ANDREA JARAMILLO GUERRERO</t>
  </si>
  <si>
    <t>PAGO 1ERA QUINCENA ABRIL  LOREN ALEJANDRA DIAZ YAMPUEZAN</t>
  </si>
  <si>
    <t xml:space="preserve">PAGO 1ERA QUINCENA ABRIL  MARIA FERNANDA CHAMORRO </t>
  </si>
  <si>
    <t>PAGO 1ERA QUINCENA ABRIL  JUAN CARLOS CAÑAR POTOSI</t>
  </si>
  <si>
    <t>PAGO 1ERA QUINCENA ABRIL  JUAN JOSE NARVEAEZ</t>
  </si>
  <si>
    <t>PAGO 1ERA QUINCENA ABRIL  JUAN CAMILO GARCIA SOUZA</t>
  </si>
  <si>
    <t>PAGO 1ERA QUINCENA ABRIL  CINDY JOHANA CARLOSAMA HERNANDEZ</t>
  </si>
  <si>
    <t>PAGO 1ERA QUINCENA ABRIL  JUAN ESTEBAN IBARRA CAMUES</t>
  </si>
  <si>
    <t xml:space="preserve">PAGO 1ERA QUINCENA ABRIL  SARA LUCIA DAZA LOPEZ </t>
  </si>
  <si>
    <t>PAGO 1ERA QUINCENA ABRIL  JULLY PAOLA AGUDELO BAEZ</t>
  </si>
  <si>
    <t>PAGO 1ERA QUINCENA ABRIL  ASTRID CAROLINA RODRIGUEZ RODRIGUEZ</t>
  </si>
  <si>
    <t xml:space="preserve">PAGO 1ERA QUINCENA ABRIL  CAROLINA CARDONA PAREJA </t>
  </si>
  <si>
    <t>PAGO 1ERA QUINCENA ABRIL  ANDRES FELIPE DELGADO ZUTTA</t>
  </si>
  <si>
    <t>PAGO 1ERA QUINCENA ABRIL  JOSE RAFAEL RUEDA HERRERA</t>
  </si>
  <si>
    <t>PAGO 1ERA QUINCENA ABRIL  JERSON ALEXIS GOMEZ ACOSTA</t>
  </si>
  <si>
    <t xml:space="preserve">PAGO 1ERA QUINCENA ABRIL  MARTIN ALONSO SOSSA AGUIRRE </t>
  </si>
  <si>
    <t xml:space="preserve">PAGO 1ERA QUINCENA ABRIL  JOSE JULIAN OCAMPO URIBE </t>
  </si>
  <si>
    <t>PAGO 1ERA QUINCENA ABRIL  JOSE ALVEIRO CUSIS HERNANDEZ</t>
  </si>
  <si>
    <t>PAGO 1ERA QUINCENA ABRIL  MARIO ALEXANDER CUSIS HERNANDEZ</t>
  </si>
  <si>
    <t>PAGO 1ERA QUINCENA ABRIL  JOY JAMIT MOSQUERA ORDOÑEZ</t>
  </si>
  <si>
    <t>PAGO 1ERA QUINCENA ABRIL  YALINER ILVIRA FIGUEROA</t>
  </si>
  <si>
    <t xml:space="preserve">PAGO 1ERA QUINCENA ABRIL  DILBER  MAURICIO PAZ ALMEIDA </t>
  </si>
  <si>
    <t>PAGO 1ERA QUINCENA ABRIL  WILLIAM HERNANDO CASTRO RODRIGUEZ</t>
  </si>
  <si>
    <t>PAGO 1ERA QUINCENA ABRIL  SEGUNDO MARCIAL GELPUD BOTINA</t>
  </si>
  <si>
    <t>PAGO 1ERA QUINCENA ABRIL  ALBEIRO ORLANDO ESPAÑA HERNANDEZ</t>
  </si>
  <si>
    <t>PAGO 1ERA QUINCENA ABRIL  EDILFONSO ROSERO CASTILLO</t>
  </si>
  <si>
    <t>PAGO 1ERA QUINCENA ABRIL  JEFERSON VERGARA MUÑOZ</t>
  </si>
  <si>
    <t>PAGO 1ERA QUINCENA ABRIL  ALBERT FIGUEROA</t>
  </si>
  <si>
    <t>PAGO 1ERA QUINCENA ABRIL  WILLIAMS ALFREDO VILLAR MORA</t>
  </si>
  <si>
    <t>PAGO 1ERA QUINCENA ABRIL  VIVIANA ANDREA AYALA PICHINA</t>
  </si>
  <si>
    <t>PAGO 1ERA QUINCENA ABRIL  JAVIER ANDRES RODRIGUEZ SANTIUSTY</t>
  </si>
  <si>
    <t xml:space="preserve">PAGO 1ERA QUINCENA ABRIL  WILSON ALEJANDRO MORA ERAZO </t>
  </si>
  <si>
    <t>PAGO 1ERA QUINCENA ABRIL  AURO EDILSON ARTEAGA MEZA</t>
  </si>
  <si>
    <t>PAGO 1ERA QUINCENA ABRIL  LEIDER LUVER LOPEZ DIAZ</t>
  </si>
  <si>
    <t>PAGO 1ERA QUINCENA ABRIL  HOLMES GALINDEZ VALDEZ</t>
  </si>
  <si>
    <t>PAGO 1ERA QUINCENA ABRIL  ALEXANDER MUÑOZ DIAZ</t>
  </si>
  <si>
    <t>PAGO 1ERA QUINCENA ABRIL  JOSE DELIO ALMEIDA ALMEIDA</t>
  </si>
  <si>
    <t>PAGO 1ERA QUINCENA ABRIL  BRAYAN STIVEN PEREZ QUAQUEZ</t>
  </si>
  <si>
    <t>PAGO 1ERA QUINCENA ABRIL  JESUS ALBERTO DIAZ PALACIOS</t>
  </si>
  <si>
    <t>PAGO 1ERA QUINCENA ABRIL  LUIS FERNANDO RODRIGUEZ MUÑOZ</t>
  </si>
  <si>
    <t>PAGO 1ERA QUINCENA ABRIL  JORGE LUIS LIZCANO NIÑO</t>
  </si>
  <si>
    <t>PAGO 1ERA QUINCENA ABRIL  CARLOS HERNANDO ENRIQUEZ DIAZ</t>
  </si>
  <si>
    <t>PAGO 1ERA QUINCENA ABRIL  FABIAN OJEDA RODRIGUEZ</t>
  </si>
  <si>
    <t>PAGO 1ERA QUINCENA ABRIL  ASTRID VEIDUD LOPEZ NARVAEZ</t>
  </si>
  <si>
    <t>PAGO 1ERA QUINCENA ABRIL  ANDI NEISER GALINDEZ DELGADO</t>
  </si>
  <si>
    <t>PAGO 1ERA QUINCENA ABRIL  ODELMER DAZA PEREZ</t>
  </si>
  <si>
    <t>PAGO 1ERA QUINCENA ABRIL  JHONSIN ARLEY ARIAS CEBALLOS</t>
  </si>
  <si>
    <t>PAGO 1ERA QUINCENA ABRIL  JIMMI ALEXANDER BURGOS GUERRERO</t>
  </si>
  <si>
    <t>PAGO 1ERA QUINCENA ABRIL  IVAN CAMILO MENESES ORDOÑEZ</t>
  </si>
  <si>
    <t>PAGO 1ERA QUINCENA ABRIL  RUBEN DARIO SILVA RODRIGUEZ</t>
  </si>
  <si>
    <t xml:space="preserve">PAGO 1ERA QUINCENA ABRIL  JUAN ESTEBAN BLANCO QUIROGA </t>
  </si>
  <si>
    <t>PAGO 1ERA QUINCENA ABRIL  RODRIGO QUINTERO DIAZ</t>
  </si>
  <si>
    <t>PAGO 1ERA QUINCENA ABRIL  ANDRES WILFREDY BASTIDAS GALINDEZ</t>
  </si>
  <si>
    <t>PAGO 1ERA QUINCENA ABRIL  LUIS ALBERTO ALMEIDA MATABAJOY</t>
  </si>
  <si>
    <t>PAGO 1ERA QUINCENA ABRIL  RUBEN LOPEZ MUÑOZ</t>
  </si>
  <si>
    <t>PAGO 1ERA QUINCENA ABRIL  ROYER IDELVER LOPEZ SOLARTE</t>
  </si>
  <si>
    <t xml:space="preserve">PAGO 1ERA QUINCENA ABRIL  JOSE MANUEL LOPEZ OBANDO </t>
  </si>
  <si>
    <t xml:space="preserve">PAGO 1ERA QUINCENA ABRIL  EDINSON ENRIQUE CANTILLO CORONADO </t>
  </si>
  <si>
    <t>PAGO 1ERA QUINCENA ABRIL  DEIMAN JARINSON DAVID MUÑOZ</t>
  </si>
  <si>
    <t>PAGO 1ERA QUINCENA ABRIL  DEIBER QUINTERO DIAZ</t>
  </si>
  <si>
    <t>PAGO 1ERA QUINCENA ABRIL  ALEX DUVAN CIFUENTES PAZ</t>
  </si>
  <si>
    <t>PAGO 1ERA QUINCENA ABRIL  BRANDON GUAQUEZ TITISTAR</t>
  </si>
  <si>
    <t>PAGO 1ERA QUINCENA ABRIL  DANGER ESTIVENSON BENAVIDES ORTEGA</t>
  </si>
  <si>
    <t>PAGO 1ERA QUINCENA ABRIL  DANILO JAVIER OJEDA NARVAEZ</t>
  </si>
  <si>
    <t xml:space="preserve">PAGO 1ERA QUINCENA ABRIL  NORELI SELENA DIAZ JURADO </t>
  </si>
  <si>
    <t>PAGO 1ERA QUINCENA ABRIL  ORLANDO DIAZ LOPEZ</t>
  </si>
  <si>
    <t>PAGO 1ERA QUINCENA ABRIL  RICARDO HERNAN ORTIZ</t>
  </si>
  <si>
    <t>PAGO 1ERA QUINCENA ABRIL  YEINSON ANDRES GUAQUEZ JURADO</t>
  </si>
  <si>
    <t xml:space="preserve">PAGO 1ERA QUINCENA ABRIL  KEVIN JONATHAN MONTILLA RIASCOS </t>
  </si>
  <si>
    <t>PAGO 1ERA QUINCENA ABRIL  OSCAR IVAN MELENDEZ GARCIA</t>
  </si>
  <si>
    <t>PAGO 1ERA QUINCENA ABRIL  SANDRO ALBEIRO DELGADO MARTINEZ</t>
  </si>
  <si>
    <t>ok</t>
  </si>
  <si>
    <t>PAGO 1ERA QUINCENA ABRIL  LUZ IRMA ORTEGA CIFUENTES</t>
  </si>
  <si>
    <t xml:space="preserve">PAGO 1ERA QUINCENA ABRIL  DIEGO ANDRES ARAUJO NARVAEZ </t>
  </si>
  <si>
    <t>PAGO 1ERA QUINCENA ABRIL  ASTRID CAROLINA DIAZ LOPEZ</t>
  </si>
  <si>
    <t>PAGO 1ERA QUINCENA ABRIL  ALVARO HERNAN MONTILLA GONZALEZ</t>
  </si>
  <si>
    <t>PAGO 1ERA QUINCENA ABRIL  JUAN GABRIEL TUTISTAR NARVAEZ</t>
  </si>
  <si>
    <t>PAGO 1ERA QUINCENA ABRIL  LIBERIO IPIALES ROSERO</t>
  </si>
  <si>
    <t>PAGO 1ERA QUINCENA ABRIL  ROMEL MARTINEZ GRIJALBA</t>
  </si>
  <si>
    <t>PAGO 1ERA QUINCENA ABRIL  JORGE AURELIO GOMEZ BENAVIDES</t>
  </si>
  <si>
    <t>PAGO 1ERA QUINCENA ABRIL  JAIR ALEXANDER BOLAÑOS CHAVEZ</t>
  </si>
  <si>
    <t xml:space="preserve">PAGO 1ERA QUINCENA ABRIL  CRISTIAN ANDRES CHITAN </t>
  </si>
  <si>
    <t xml:space="preserve">PAGO 1ERA QUINCENA ABRIL  JAVIER GIOVANI YANDUN INAGAN </t>
  </si>
  <si>
    <t>PAGO 1ERA QUINCENA ABRIL  IVAN DARIO CAICEDO CALVACHE</t>
  </si>
  <si>
    <t>PAGO 1ERA QUINCENA ABRIL  WIILLIAM ALBERTO AZA CRIOLLO</t>
  </si>
  <si>
    <t>PAGO 1ERA QUINCENA ABRIL  JASON STEVEN DIAZ GUEVARA </t>
  </si>
  <si>
    <t>PAGO 1ERA QUINCENA ABRIL  OSCAR ANDRES CASTRO BOTINA</t>
  </si>
  <si>
    <t>PAGO 1ERA QUINCENA ABRIL  EDWIN LEONARDO MARTINEZ YAQUENO</t>
  </si>
  <si>
    <t>PAGO 1ERA QUINCENA ABRIL  ANDRES FERNANDO ESPINOSA GUACALES</t>
  </si>
  <si>
    <t xml:space="preserve">PAGO 1ERA QUINCENA ABRIL  JOHAN SEBASTIAN OVIEDO NIÑAN </t>
  </si>
  <si>
    <t>PAGO 1ERA QUINCENA ABRIL  JORGE ANDRES BARRERA YANDAR</t>
  </si>
  <si>
    <t>PAGO 1ERA QUINCENA ABRIL  JHORDY STEVEN TRUJILLO GALEANDO</t>
  </si>
  <si>
    <t xml:space="preserve">PAGO 1ERA QUINCENA ABRIL  JHON ALEXANDER GELPUD ZAMORA </t>
  </si>
  <si>
    <t xml:space="preserve">PAGO 1ERA QUINCENA ABRIL  RUBEN DARIO ESPINOSA PARRA </t>
  </si>
  <si>
    <t>PAGO 1ERA QUINCENA ABRIL  LEIBNITZ EDUARDO CHANA CALDERON</t>
  </si>
  <si>
    <t>Pago DEVUELTO CRISTHIAN DAVID IBARRA CABRERA HOTEL LOTO PAOLA RENAS HV 556</t>
  </si>
  <si>
    <t>Pago DEVUELTO  CRISTHIAN DAVID IBARRA CABRERA HOTEL LOTO PAOLA RENAS HV 567</t>
  </si>
  <si>
    <t>Pago DEVUELTO  CRISTHIAN DAVID IBARRA CABRERA HOTEL LOTO EDINSON HV 555</t>
  </si>
  <si>
    <t>Pago DEVUELTO  CRISTHIAN DAVID IBARRA CABRERA HOTEL LOTO EDINSON HV 566</t>
  </si>
  <si>
    <t>abono factura naos 3</t>
  </si>
  <si>
    <t>anticipo minigranja Delta</t>
  </si>
  <si>
    <t>anticipo minigranja Delta2</t>
  </si>
  <si>
    <t>Recepcion visita comercial conjunto residencia bosques de la colina</t>
  </si>
  <si>
    <t>Recepcion pago factura club colombia</t>
  </si>
  <si>
    <t>Pago cartera vencida v1501 propiedad horizontal</t>
  </si>
  <si>
    <t>Recepcion pago fac edificio novacentro</t>
  </si>
  <si>
    <t>Compra tiquete aereo medellin cali juan manuel</t>
  </si>
  <si>
    <t>Pago servicio de publicidad FACEBOOK</t>
  </si>
  <si>
    <t>Transporte Hotel hasta conjunto san nicolas</t>
  </si>
  <si>
    <t>transporte hotel hasta ferreteria para compra material</t>
  </si>
  <si>
    <t>transporte ferreteria hasta conjunto san nicolas</t>
  </si>
  <si>
    <t>Transporte conjunto San Nicolas hasta almacen electrico</t>
  </si>
  <si>
    <t>Transporte almacen electrico hasta Hotel</t>
  </si>
  <si>
    <t>Compra sika mastic 1/4</t>
  </si>
  <si>
    <t>Compra viniltex blanco 1/4</t>
  </si>
  <si>
    <t>Compra 8 metros de coraza americana 3/4"</t>
  </si>
  <si>
    <t>Compra Lija</t>
  </si>
  <si>
    <t>Compra accesorios canalizacion FV (conector recto coraza metalica, caja de paso 10x10 tercol, conector tubular de empalme)</t>
  </si>
  <si>
    <t>Transporte personal conjunto San nicolas hotel</t>
  </si>
  <si>
    <t>Pago hotel dos dias adicionales</t>
  </si>
  <si>
    <t>Pago alquiler escalera tres dias adicionales</t>
  </si>
  <si>
    <t xml:space="preserve">transporte desde hotel hasta almacen eletrico </t>
  </si>
  <si>
    <t>Compra conectores Tubulares 8awg</t>
  </si>
  <si>
    <t xml:space="preserve">Transporte desde almacen electrico hasta san nicolas </t>
  </si>
  <si>
    <t>Transporte desde conjunto San nicolas hasta Hotel</t>
  </si>
  <si>
    <t xml:space="preserve">transporte desde hotel hasta conjunto san nicolas </t>
  </si>
  <si>
    <t>Compra vinipel para embalaje de herramienta</t>
  </si>
  <si>
    <t>Transporte desde casa san nicolas hasta hotel</t>
  </si>
  <si>
    <t>Transporte desde hotel hasta casa 55 san nicolas</t>
  </si>
  <si>
    <t xml:space="preserve">Compra chazo anclaje  argolla abierto </t>
  </si>
  <si>
    <t>Transporte centro - san nicolas</t>
  </si>
  <si>
    <t>Compra breaker riel 20A</t>
  </si>
  <si>
    <t>Transporte william desde hotel hasta conjunto san nicolas</t>
  </si>
  <si>
    <t>Transporte mario, alveiro y joy pasto popayan</t>
  </si>
  <si>
    <t xml:space="preserve">Servicio de comedor </t>
  </si>
  <si>
    <t>Transporte william y hernan desde conjunto san nicolas hasta hotel</t>
  </si>
  <si>
    <t>Pago una noche adicional william y hernan</t>
  </si>
  <si>
    <t>Pago Hotel dos dias adicionales</t>
  </si>
  <si>
    <t>Pago desayunos 2 personas</t>
  </si>
  <si>
    <t xml:space="preserve">Pago transporte hotel hasta conjunto san nicolas </t>
  </si>
  <si>
    <t>Tranporte desde conjunto san nicolas hasta terminal</t>
  </si>
  <si>
    <t>Transporte popayan pasto william y hernan</t>
  </si>
  <si>
    <t>Compra 2 cenas</t>
  </si>
  <si>
    <t>Juan gomez</t>
  </si>
  <si>
    <t>Tanqueo visita en Buga</t>
  </si>
  <si>
    <t>Tanque para Los Alpes</t>
  </si>
  <si>
    <t>Transporte de personal (técnico) desde Los Alpes hasta BAS</t>
  </si>
  <si>
    <t>Transporte de personal (ing) desde Los Alpes hasta BAS</t>
  </si>
  <si>
    <t>Material electrico</t>
  </si>
  <si>
    <t>EPP Guantes</t>
  </si>
  <si>
    <t>Refrigerio madrugada de Domingo</t>
  </si>
  <si>
    <t>Transporte termianl de Cali, Sebastian</t>
  </si>
  <si>
    <t>Tanqueo, Nicolás</t>
  </si>
  <si>
    <t>Desayuno y almuerzo personal técnico</t>
  </si>
  <si>
    <t>Pistolas de calafateo</t>
  </si>
  <si>
    <t>Tornillos autoperforantes</t>
  </si>
  <si>
    <t>Transporte terminal, andalucia, Sebastian</t>
  </si>
  <si>
    <t>Transporte Andalucía, BAS, Sebastian</t>
  </si>
  <si>
    <t>Transporte Hotel, Terminal, Sebastian</t>
  </si>
  <si>
    <t>Transporte Tulua, Cali, Sebastian</t>
  </si>
  <si>
    <t>Cena personal técnico y Nicolás</t>
  </si>
  <si>
    <t>Tanqueo en Tulua y Nariño, Nicolás</t>
  </si>
  <si>
    <t>4 Almuerzos en el corregimiento de Nariño</t>
  </si>
  <si>
    <t>Tanqueo Jersson</t>
  </si>
  <si>
    <t>Sticker RETIE</t>
  </si>
  <si>
    <t>Tanqueo visita en Santander de Quilichao</t>
  </si>
  <si>
    <t>Transporte Sebas, para Santander de Quilichao</t>
  </si>
  <si>
    <t>Almuerzo en Santander de Quilichao</t>
  </si>
  <si>
    <t>Transporte sebastian a terminal</t>
  </si>
  <si>
    <t>Tiquete bus Ing. Sebastian. (ida)</t>
  </si>
  <si>
    <t>Tiquete bus Ing. Andres (RETIE). (ida)</t>
  </si>
  <si>
    <t>Transporte desde terminal tulúa - andalucia</t>
  </si>
  <si>
    <t>3 desayunos</t>
  </si>
  <si>
    <t>Tiquete bus Ing. Andres (RETIE). ( regreso)</t>
  </si>
  <si>
    <t>Tiquete bus Ing. Sebastian. (regreso)</t>
  </si>
  <si>
    <t>Transporte sebastian desde terminal</t>
  </si>
  <si>
    <t>Impresión visita campo</t>
  </si>
  <si>
    <t>Pequeño material (aerosol)</t>
  </si>
  <si>
    <t xml:space="preserve">Tanqueo visita proyecto puerto tejada </t>
  </si>
  <si>
    <t>Pequeño material (riel chanel)</t>
  </si>
  <si>
    <t>Pequeño material (tornilleria)</t>
  </si>
  <si>
    <t>Transporte Sebas, para Santander de Quilichao (Ida)</t>
  </si>
  <si>
    <t>Transporte Sebas, para Santander de Quilichao (Regreso)</t>
  </si>
  <si>
    <t>2 desayunos en el corregimiento de nariño</t>
  </si>
  <si>
    <t>Tanqueo gasolina nicolas trasnporte ida</t>
  </si>
  <si>
    <t>Pequeño material (conduleta LT)</t>
  </si>
  <si>
    <t>2 almuerzos en el corregimeinto de nariño</t>
  </si>
  <si>
    <t>Tanqueo transporte visita Santander Comfacauca</t>
  </si>
  <si>
    <t>Tanqueo transporte visita Santander EDS</t>
  </si>
  <si>
    <t>Retiro de escombros y material</t>
  </si>
  <si>
    <t>Pago estado de cartera ELECTRICOS DEL VALLE</t>
  </si>
  <si>
    <t>Reg 24 abril</t>
  </si>
  <si>
    <t>Pago estado de cartera ELECTRICOS DEL VALLE EPE13321</t>
  </si>
  <si>
    <t>Pago estado de cartera ELECTRICOS DEL VALLE EPE13320</t>
  </si>
  <si>
    <t>Pago estado de cartera ELECTRICOS DEL VALLE EPE13319</t>
  </si>
  <si>
    <t>Pago estado de cartera ELECTRICOS DEL VALLE EPE13331</t>
  </si>
  <si>
    <t>Pago estado de cartera ELECTRICOS DEL VALLE EPE13521</t>
  </si>
  <si>
    <t>PAGO 1ERA QUINCENA ABRIL  JOSE DEL CARMEN GUERRERO BERDUGO</t>
  </si>
  <si>
    <t>PAGO PLANILLA SEGURIDAD SOCIAL MARZO HERNAN DARIO CABRERA QUITIAQUEZ</t>
  </si>
  <si>
    <t>PAGO PLANILLA SEGURIDAD SOCIAL MARZO DANNA STEFANYA LASSO GUERRA</t>
  </si>
  <si>
    <t>PAGO PLANILLA SEGURIDAD SOCIAL MARZO JUAN FERNANDO PANIAGUA OSORIO</t>
  </si>
  <si>
    <t>PAGO PLANILLA SEGURIDAD SOCIAL MARZO SERGIO DAVID ZAMBRANO ESCOBAR</t>
  </si>
  <si>
    <t>PAGO PLANILLA SEGURIDAD SOCIAL MARZO MOISES  RUIZ AYALA</t>
  </si>
  <si>
    <t>PAGO PLANILLA SEGURIDAD SOCIAL MARZO JAVIER SEBASTIAN LUCENA VILLARREAL</t>
  </si>
  <si>
    <t>PAGO PLANILLA SEGURIDAD SOCIAL MARZO WILSON ALEJANDRO MORA ERAZO</t>
  </si>
  <si>
    <t>PAGO PLANILLA SEGURIDAD SOCIAL MARZO DANNA EVELYN ARMERO ROSERO</t>
  </si>
  <si>
    <t>PAGO PLANILLA SEGURIDAD SOCIAL MARZO LEIBNITZ EDUARDO CHANA CALDERON</t>
  </si>
  <si>
    <t>PAGO PLANILLA SEGURIDAD SOCIAL MARZO DIANA ALEJANDRA MERA MUÑOZ</t>
  </si>
  <si>
    <t>PAGO PLANILLA SEGURIDAD SOCIAL MARZO DANIELA  ARBOLEDA RODRIGUEZ</t>
  </si>
  <si>
    <t>PAGO PLANILLA SEGURIDAD SOCIAL MARZO NICOLAS  LOPEZ DULCE</t>
  </si>
  <si>
    <t>PAGO PLANILLA SEGURIDAD SOCIAL MARZO JORGE ANDRES MUÑOZ MARTINEZ</t>
  </si>
  <si>
    <t>PAGO PLANILLA SEGURIDAD SOCIAL MARZO MIGUEL ALEJANDRO ENRIQUEZ CHAMORRO</t>
  </si>
  <si>
    <t>PAGO PLANILLA SEGURIDAD SOCIAL MARZO CRISTHIAN CAMILO ROSERO ALVAREZ</t>
  </si>
  <si>
    <t>PAGO PLANILLA SEGURIDAD SOCIAL MARZO JUAN SEBASTIAN GOMEZ LEAL</t>
  </si>
  <si>
    <t>PAGO PLANILLA SEGURIDAD SOCIAL MARZO IVAN DANIEL MONTILLA CORAL</t>
  </si>
  <si>
    <t>Ventas</t>
  </si>
  <si>
    <t>PAGO PLANILLA SEGURIDAD SOCIAL MARZO ANDRES FELIPE DELGADO ZUTTA</t>
  </si>
  <si>
    <t>PAGO PLANILLA SEGURIDAD SOCIAL MARZO  ANA MILENA HENAO GONZALEZ</t>
  </si>
  <si>
    <t>PAGO PLANILLA SEGURIDAD SOCIAL MARZO  KELLY TATIANA ALVAREZ GARCIA</t>
  </si>
  <si>
    <t>PAGO PLANILLA SEGURIDAD SOCIAL MARZO  JOSE ESTEBAN RODRIGUEZ QUINTERO</t>
  </si>
  <si>
    <t>PAGO PLANILLA SEGURIDAD SOCIAL MARZO  SARA LUCIA DAZA LOPEZ</t>
  </si>
  <si>
    <t>PAGO PLANILLA SEGURIDAD SOCIAL MARZO  CLAUDIA STELLA CORAL ERASO</t>
  </si>
  <si>
    <t>PAGO PLANILLA SEGURIDAD SOCIAL MARZO  JHOANA MARCELA GERMAN REYES</t>
  </si>
  <si>
    <t>PAGO PLANILLA SEGURIDAD SOCIAL MARZO  JULIO HERNANDO BELALCAZAR MURILLO</t>
  </si>
  <si>
    <t>PAGO PLANILLA SEGURIDAD SOCIAL MARZO  LUISA FERNANDA OBANDO VITAR</t>
  </si>
  <si>
    <t>PAGO PLANILLA SEGURIDAD SOCIAL MARZO  JUAN CARLOS CAÑAR POTOSI</t>
  </si>
  <si>
    <t>PAGO PLANILLA SEGURIDAD SOCIAL MARZO  JULLY PAOLA AGUDELO BAEZ</t>
  </si>
  <si>
    <t>PAGO PLANILLA SEGURIDAD SOCIAL MARZO  MARIA FERNANDA CHAMORRO CARLOSAMA</t>
  </si>
  <si>
    <t>PAGO PLANILLA SEGURIDAD SOCIAL MARZO  JUAN ESTEBAN IBARRA CAMUES</t>
  </si>
  <si>
    <t>PAGO PLANILLA SEGURIDAD SOCIAL MARZO  RUBIELA DEL SOCORRO RAMOS PARRA</t>
  </si>
  <si>
    <t>PAGO PLANILLA SEGURIDAD SOCIAL MARZO  HERMANN DAVID SOUZA CUBIDES</t>
  </si>
  <si>
    <t xml:space="preserve">PAGO PLANILLA SEGURIDAD SOCIAL MARZO  CRISTINA  LASSO </t>
  </si>
  <si>
    <t>PAGO PLANILLA SEGURIDAD SOCIAL MARZO  YULY ANDREA JARAMILLO GUERRERO</t>
  </si>
  <si>
    <t>PAGO PLANILLA SEGURIDAD SOCIAL MARZO  MARIANA  SALDARRIAGA CADAVID</t>
  </si>
  <si>
    <t>PAGO PLANILLA SEGURIDAD SOCIAL MARZO  JHON EDINSON SANCHEZ CAMACHO</t>
  </si>
  <si>
    <t>PAGO PLANILLA SEGURIDAD SOCIAL MARZO  MARIA ELENA RIVERA SOTO</t>
  </si>
  <si>
    <t>PAGO PLANILLA SEGURIDAD SOCIAL MARZO  LOREN ALEJANDRA DIAZ YAMPUEZAN</t>
  </si>
  <si>
    <t>PAGO PLANILLA SEGURIDAD SOCIAL MARZO  CAROLINA  CARDONA PAREJA</t>
  </si>
  <si>
    <t>PAGO PLANILLA SEGURIDAD SOCIAL MARZO  JUAN MANUEL ESPAÑA FORERO</t>
  </si>
  <si>
    <t>PAGO PLANILLA SEGURIDAD SOCIAL MARZO  CINDY JOHANA CARLOSAMA HERNANDEZ</t>
  </si>
  <si>
    <t>PAGO PLANILLA SEGURIDAD SOCIAL MARZO  PAOLA ANDREA ARENAS MARTINEZ</t>
  </si>
  <si>
    <t>PAGO PLANILLA SEGURIDAD SOCIAL MARZO  VERONICA LILIANA SANTACRUZ MENZA</t>
  </si>
  <si>
    <t>PAGO PLANILLA SEGURIDAD SOCIAL MARZO  JUAN JOSE NARVAEZ IBARRA</t>
  </si>
  <si>
    <t>PAGO PLANILLA SEGURIDAD SOCIAL MARZO  BRAYAN STIVEN PEREZ GUAQUEZ</t>
  </si>
  <si>
    <t>PAGO PLANILLA SEGURIDAD SOCIAL MARZO  WILLMAN HERNANDO CASTRO RODRIGUEZ</t>
  </si>
  <si>
    <t>PAGO PLANILLA SEGURIDAD SOCIAL MARZO  ALBEIRO ORLANDO ESPAÑA HERNANDEZ</t>
  </si>
  <si>
    <t>PAGO PLANILLA SEGURIDAD SOCIAL MARZO  RODRIGO  QUINTERO DIAZ</t>
  </si>
  <si>
    <t>PAGO PLANILLA SEGURIDAD SOCIAL MARZO  ASTRID VEIDUD LOPEZ NARVAEZ</t>
  </si>
  <si>
    <t>PAGO PLANILLA SEGURIDAD SOCIAL MARZO  RUBEN  LOPEZ MUÑOZ</t>
  </si>
  <si>
    <t>PAGO PLANILLA SEGURIDAD SOCIAL MARZO  LUIS FERNANDO RODRIGUEZ MUÑOZ</t>
  </si>
  <si>
    <t>PAGO PLANILLA SEGURIDAD SOCIAL MARZO  VIVIANA ANDREA AYALA PICHINA</t>
  </si>
  <si>
    <t>PAGO PLANILLA SEGURIDAD SOCIAL MARZO  ODELMER  DAZA PEREZ</t>
  </si>
  <si>
    <t>PAGO PLANILLA SEGURIDAD SOCIAL MARZO  JORGE LUIS LIZCANO NIÑO</t>
  </si>
  <si>
    <t>PAGO PLANILLA SEGURIDAD SOCIAL MARZO  JOSE DELIO ALMEIDA ALMEIDA</t>
  </si>
  <si>
    <t>PAGO PLANILLA SEGURIDAD SOCIAL MARZO  YOHN JAIRO BENAVIDES CHAMORRO</t>
  </si>
  <si>
    <t>PAGO PLANILLA SEGURIDAD SOCIAL MARZO  LEIDER LUVER LOPEZ DIAZ</t>
  </si>
  <si>
    <t>PAGO PLANILLA SEGURIDAD SOCIAL MARZO  ANDI NEISER GALINDEZ DELGADO</t>
  </si>
  <si>
    <t>PAGO PLANILLA SEGURIDAD SOCIAL MARZO  JESUS ALBERTO DIAZ PALACIOS</t>
  </si>
  <si>
    <t>PAGO PLANILLA SEGURIDAD SOCIAL MARZO  CARLOS HERNANDO ENRIQUEZ DIAZ</t>
  </si>
  <si>
    <t>PAGO PLANILLA SEGURIDAD SOCIAL MARZO  HOLMES  GALINDEZ VALDEZ</t>
  </si>
  <si>
    <t>PAGO PLANILLA SEGURIDAD SOCIAL MARZO  ALEXANDER  MUÑOZ DIAZ</t>
  </si>
  <si>
    <t>PAGO PLANILLA SEGURIDAD SOCIAL MARZO  FABIAN  OJEDA RODRIGUEZ</t>
  </si>
  <si>
    <t>PAGO PLANILLA SEGURIDAD SOCIAL MARZO  IVAN CAMILO MENESES ORDOÑEZ</t>
  </si>
  <si>
    <t>PAGO PLANILLA SEGURIDAD SOCIAL MARZO  JHONSIN ARLEY ARIAS CEBALLOS</t>
  </si>
  <si>
    <t>PAGO PLANILLA SEGURIDAD SOCIAL MARZO  AURO EDILSON ARTEAGA MEZA</t>
  </si>
  <si>
    <t>PAGO PLANILLA SEGURIDAD SOCIAL MARZO  JUAN DAVID GRANADA ALVAREZ</t>
  </si>
  <si>
    <t>PAGO PLANILLA SEGURIDAD SOCIAL MARZO  JIMMI ALEXANDER BURGOS GUERRERO</t>
  </si>
  <si>
    <t>PAGO PLANILLA SEGURIDAD SOCIAL MARZO  DIEGO ANDRES ARAUJO NARVAEZ</t>
  </si>
  <si>
    <t xml:space="preserve">PAGO PLANILLA SEGURIDAD SOCIAL MARZO  ALBERT  FIGUEROA </t>
  </si>
  <si>
    <t>PAGO PLANILLA SEGURIDAD SOCIAL MARZO  JEANCARLO GUILLERMO MONCAYO ANDRADE</t>
  </si>
  <si>
    <t>PAGO PLANILLA SEGURIDAD SOCIAL MARZO  BRANDON  GUAQUEZ TITISTAR</t>
  </si>
  <si>
    <t>PAGO PLANILLA SEGURIDAD SOCIAL MARZO  JOSE MAURICIO PAZ JURADO</t>
  </si>
  <si>
    <t>PAGO PLANILLA SEGURIDAD SOCIAL MARZO  EDILFONSO  ROSERO CASTILLO</t>
  </si>
  <si>
    <t>PAGO PLANILLA SEGURIDAD SOCIAL MARZO  YHON ANDERSON LOPEZ JAIMEZ</t>
  </si>
  <si>
    <t>PAGO PLANILLA SEGURIDAD SOCIAL MARZO  CRISTIAN FERNANDO PASTAS CUESTA</t>
  </si>
  <si>
    <t>PAGO PLANILLA SEGURIDAD SOCIAL MARZO  DILBER MAURICIO PAZ ALMEIDA</t>
  </si>
  <si>
    <t>PAGO PLANILLA SEGURIDAD SOCIAL MARZO  WILLIAMS ALFREDO VILLAR MORA</t>
  </si>
  <si>
    <t>PAGO PLANILLA SEGURIDAD SOCIAL MARZO  JAVIER ANDRES RODRIGUEZ SANTIUSTY</t>
  </si>
  <si>
    <t>PAGO PLANILLA SEGURIDAD SOCIAL MARZO  LUIS ALBERTO ALMEIDA MATABAJOY</t>
  </si>
  <si>
    <t>PAGO PLANILLA SEGURIDAD SOCIAL MARZO  LUZ IRMA ORTEGA CIFUENTES</t>
  </si>
  <si>
    <t>PAGO PLANILLA SEGURIDAD SOCIAL MARZO  JEFERSON  VERGARA MUÑOZ</t>
  </si>
  <si>
    <t>PAGO PLANILLA SEGURIDAD SOCIAL MARZO  JUAN ESTEBAN BLANCO QUIROGA</t>
  </si>
  <si>
    <t>PAGO PLANILLA SEGURIDAD SOCIAL MARZO  SEGUNDO MARCIAL GELPUD BOTINA</t>
  </si>
  <si>
    <t>PAGO PLANILLA SEGURIDAD SOCIAL MARZO  YALINER  ILVIRA FIGUEROA</t>
  </si>
  <si>
    <t xml:space="preserve">PAGO PLANILLA SEGURIDAD SOCIAL MARZO  DIANA CRISTINA MARTINEZ </t>
  </si>
  <si>
    <t>PAGO PLANILLA SEGURIDAD SOCIAL MARZO  ORLANDO  LOPEZ DIAZ</t>
  </si>
  <si>
    <t>PAGO PLANILLA SEGURIDAD SOCIAL MARZO  ROYER IDELVER LOPEZ SOLARTE</t>
  </si>
  <si>
    <t>PAGO PLANILLA SEGURIDAD SOCIAL MARZO  DANGER ESTIVENSON BENAVIDES ORTEGA</t>
  </si>
  <si>
    <t>PAGO PLANILLA SEGURIDAD SOCIAL MARZO  SANDRO ALBEIRO DELGADO MARTINEZ</t>
  </si>
  <si>
    <t>PAGO PLANILLA SEGURIDAD SOCIAL MARZO  EDERSON  DAZA ARTEAGA</t>
  </si>
  <si>
    <t>PAGO PLANILLA SEGURIDAD SOCIAL MARZO  ANDRES WILFREDY BASTIDAS GALINDEZ</t>
  </si>
  <si>
    <t>PAGO PLANILLA SEGURIDAD SOCIAL MARZO  DANILO JAVIER OJEDA RODRIGUEZ</t>
  </si>
  <si>
    <t>PAGO PLANILLA SEGURIDAD SOCIAL MARZO  OSCAR IVAN MELENDEZ GARCIA</t>
  </si>
  <si>
    <t>PAGO PLANILLA SEGURIDAD SOCIAL MARZO  JOSE DEL CARMEN GUERRERO BERDUGO</t>
  </si>
  <si>
    <t>PAGO PLANILLA SEGURIDAD SOCIAL MARZO  YEINSON ANDRES GUAQUEZ JURADO</t>
  </si>
  <si>
    <t>PAGO PLANILLA SEGURIDAD SOCIAL MARZO  KEVIN JONATAN MONTILLA RIAZCO</t>
  </si>
  <si>
    <t>PAGO PLANILLA SEGURIDAD SOCIAL MARZO  RUBEN DARIO SILVA RODRIGUEZ</t>
  </si>
  <si>
    <t>PAGO PLANILLA SEGURIDAD SOCIAL MARZO  ALEXANDER DAVID BETANCOURT CARVAJAL</t>
  </si>
  <si>
    <t>PAGO PLANILLA SEGURIDAD SOCIAL MARZO  ALEX DUVAN CIFUENTES PAZ</t>
  </si>
  <si>
    <t>PAGO PLANILLA SEGURIDAD SOCIAL MARZO  DEIMAN JARINSON DAVID MUÑOZ</t>
  </si>
  <si>
    <t>PAGO PLANILLA SEGURIDAD SOCIAL MARZO  NORELI SELENA DIAZ JURADO</t>
  </si>
  <si>
    <t>PAGO PLANILLA SEGURIDAD SOCIAL MARZO  EDINSON ENRIQUE CANTILLO CORONADO</t>
  </si>
  <si>
    <t xml:space="preserve">PAGO PLANILLA SEGURIDAD SOCIAL MARZO  RICARDO HERNAN ORTIZ </t>
  </si>
  <si>
    <t>PAGO PLANILLA SEGURIDAD SOCIAL MARZO  DEIBER  QUINTERO DIAZ</t>
  </si>
  <si>
    <t>PAGO PLANILLA SEGURIDAD SOCIAL MARZO  JOSE MANUEL LOPEZ OBANDO</t>
  </si>
  <si>
    <t>PAGO PLANILLA SEGURIDAD SOCIAL MARZO  JHONY FERNANDO RIASCOS CEBALLOS</t>
  </si>
  <si>
    <t>PAGO PLANILLA SEGURIDAD SOCIAL MARZO  JAVIER GIOVANI YANDUN INAGAN</t>
  </si>
  <si>
    <t xml:space="preserve">PAGO PLANILLA SEGURIDAD SOCIAL MARZO  CRISTIAN ANDRES CHITAN </t>
  </si>
  <si>
    <t>PAGO PLANILLA SEGURIDAD SOCIAL MARZO  WILLIAM ALBERTO AZA CRIOLLO</t>
  </si>
  <si>
    <t>PAGO PLANILLA SEGURIDAD SOCIAL MARZO JHON ALEXANDER  GELPUD ZAMORA</t>
  </si>
  <si>
    <t xml:space="preserve">PAGO PLANILLA SEGURIDAD SOCIAL MARZO RUBEN DARIO  ESPINOSA PARRA </t>
  </si>
  <si>
    <t xml:space="preserve">PAGO PLANILLA SEGURIDAD SOCIAL MARZO JOSE ALVEIRO CUSIS HERNANDEZ </t>
  </si>
  <si>
    <t>PAGO PLANILLA SEGURIDAD SOCIAL MARZO JASON STEVEN  DIAZ GUEVARA</t>
  </si>
  <si>
    <t>PAGO PLANILLA SEGURIDAD SOCIAL MARZO  JORGE ANDRES  BARRERA YANDAR</t>
  </si>
  <si>
    <t>PAGO PLANILLA SEGURIDAD SOCIAL MARZO JOHAN SEBASTIAN  OVIEDO NIÑAN</t>
  </si>
  <si>
    <t>PAGO PLANILLA SEGURIDAD SOCIAL MARZO OSCAR ANDRES  CASTRO BOTINA</t>
  </si>
  <si>
    <t>PAGO PLANILLA SEGURIDAD SOCIAL MARZO SANDRA CAROLINA  PATASCOY BOTINA</t>
  </si>
  <si>
    <t>PAGO PLANILLA SEGURIDAD SOCIAL MARZO EDWIN LEONARDO  MARTINEZ YAQUENO</t>
  </si>
  <si>
    <t>PAGO PLANILLA SEGURIDAD SOCIAL MARZO JUAN CAMILO  GARCIA SOUZA</t>
  </si>
  <si>
    <t>PAGO PLANILLA SEGURIDAD SOCIAL MARZO IVAN DARIO  CAICEDO CALVACHE</t>
  </si>
  <si>
    <t>PAGO PLANILLA SEGURIDAD SOCIAL MARZO MARIO ALEXANDER  CUSIS HERNANDEZ</t>
  </si>
  <si>
    <t>PAGO PLANILLA SEGURIDAD SOCIAL MARZO JOY JAMIT  MOSQUERA ORDOÑEZ</t>
  </si>
  <si>
    <t>PAGO PLANILLA SEGURIDAD SOCIAL MARZO ANDRES FERNANDO  ESPINOSA GUACALES</t>
  </si>
  <si>
    <t xml:space="preserve">PAGO PLANILLA SEGURIDAD SOCIAL MARZO JHORDY STEVEN TRUJILLO GALEANO </t>
  </si>
  <si>
    <t>PAGO PLANILLA SEGURIDAD SOCIAL MARZO  PAOLA ANDREA SEGURA MARTINEZ</t>
  </si>
  <si>
    <t>PAGO PLANILLA SEGURIDAD SOCIAL MARZO  NESTOR ANDRES ARCINIEGAS VILLAMARIN</t>
  </si>
  <si>
    <t>PAGO PLANILLA SEGURIDAD SOCIAL MARZO  JOSE RAFAEL RUEDA HERRERA</t>
  </si>
  <si>
    <t>PAGO PLANILLA SEGURIDAD SOCIAL MARZO  MARTIN ALONSO SOSSA AGUIRRE</t>
  </si>
  <si>
    <t>PAGO PLANILLA SEGURIDAD SOCIAL MARZO  RAUL BARBENLEY CASTRO RIVERA</t>
  </si>
  <si>
    <t>PAGO PLANILLA SEGURIDAD SOCIAL MARZO  JOSE JULIAN OCAMPO URIBE</t>
  </si>
  <si>
    <t>PAGO PLANILLA SEGURIDAD SOCIAL MARZO  JERSON ALEXIS GOMEZ ACOSTA</t>
  </si>
  <si>
    <t>Pago cuenta de cobro transportes HARRISON STIVEN LOPEZ TENORIO</t>
  </si>
  <si>
    <t>Retencion fte 1% HARRISON STIVEN LOPEZ TENORIO</t>
  </si>
  <si>
    <t>Pago a ECTRICOL  IE 14453</t>
  </si>
  <si>
    <t>Retencion ft 2,5% ECTRICOL  IE 14453</t>
  </si>
  <si>
    <t>Pago póliza SURA 10331004326</t>
  </si>
  <si>
    <t>Pago póliza SURA 10331004328</t>
  </si>
  <si>
    <t>Pago póliza SURA 10331004315</t>
  </si>
  <si>
    <t xml:space="preserve">Pago a EYDER MAURICIO AGUDELO AGUDELO Desayunos y almuerzos, Tuluá, Valle del Cauca. </t>
  </si>
  <si>
    <t xml:space="preserve">Retencion fte 3,5% EYDER MAURICIO AGUDELO AGUDELO Desayunos y almuerzos, Tuluá, Valle del Cauca. </t>
  </si>
  <si>
    <t>Pago a LEGOPSTECH S.A.S. FE 8034 firmas electronicas</t>
  </si>
  <si>
    <t>Pago servicio de pubicidad TIANSHI SAS FETA 464</t>
  </si>
  <si>
    <t>Pago a MILTON SANTIAGO RIVERA BENAVIDES KOKORO JUGOS NATURALES</t>
  </si>
  <si>
    <t>Pago a SEGURIDAD DEL SUR FEVP-8758</t>
  </si>
  <si>
    <t>Pago a SEGURIDAD DEL SUR FEVP-8760</t>
  </si>
  <si>
    <t>Pago a SEGURIDAD DEL SUR FEVP-8827</t>
  </si>
  <si>
    <t>Pago a SEGURIDAD DEL SUR FEVP-8828</t>
  </si>
  <si>
    <t>Pago a SEGURIDAD DEL SUR FEVP-8878</t>
  </si>
  <si>
    <t>Pago a SEGURIDAD DEL SUR FEVP-8759</t>
  </si>
  <si>
    <t>Pago a SEGURIDAD DEL SUR FEMP-57927</t>
  </si>
  <si>
    <t>Pago a  CARLOS ALBERTO GONZALES HERRERA - ALKITODO MAQUINARIA TULUÁ CUENTA DE COBRO 002 ALQUILER</t>
  </si>
  <si>
    <t>Pago liquidacion laboral CRISTIAN FERNANDO PASTAS CUESTA</t>
  </si>
  <si>
    <t>Pago a SOLAIRE OFERTA 3267</t>
  </si>
  <si>
    <t>Pago a SOLAIRE PEDIDO DE VENTA 51673</t>
  </si>
  <si>
    <t>Pago a SOLAIRE PEDIDO DE VENTA 51539</t>
  </si>
  <si>
    <t>Retencion fte 2,5 % SOLAIRE PEDIDO DE VENTA 51539</t>
  </si>
  <si>
    <t>Pago a TABLESA TA162A-25 ANTICIPO 50%</t>
  </si>
  <si>
    <t>Pago a COLOMBIA OUTDOORS SAS 900.461.555-8</t>
  </si>
  <si>
    <t>Pago a ELECTRICOS DEL VALLE COT  SO-725799</t>
  </si>
  <si>
    <t>Pago a ELECTRICOS DEL VALLE COT  SO-725991</t>
  </si>
  <si>
    <t>Pago cuenta de cobro YULY ROCIO MUÑOZ</t>
  </si>
  <si>
    <t>Pago saldo final CARLOS ALBERTO ARBOLEDA LASCARRO comision predio orion</t>
  </si>
  <si>
    <t>Pago a MELBA LIGIA MONCAYO LA FERRO RM 4240</t>
  </si>
  <si>
    <t>Retencion fte 2,5% MELBA LIGIA MONCAYO LA FERRO RM 4240</t>
  </si>
  <si>
    <t>Retencion ica 6*1000 MELBA LIGIA MONCAYO LA FERRO RM 4240</t>
  </si>
  <si>
    <t>Pago a MELBA LIGIA MONCAYO LA FERRO RM 4242</t>
  </si>
  <si>
    <t>Retencion fte 2,5% MELBA LIGIA MONCAYO LA FERRO RM 4242</t>
  </si>
  <si>
    <t>Retencion ica 6*1000 MELBA LIGIA MONCAYO LA FERRO RM 4242</t>
  </si>
  <si>
    <t>Pago a MARCOS DANIEL OJEDA ALIMENTACION 83*10,000=830,000/3,5% COMIDAS</t>
  </si>
  <si>
    <t>Retencion fte 3,5% MARCOS DANIEL OJEDA ALIMENTACION 83*10,000=830,000/3,5% COMIDAS</t>
  </si>
  <si>
    <t>Pago a PROTECTO 4555</t>
  </si>
  <si>
    <t>Retencion ica 6*100 PROTECTO 4555</t>
  </si>
  <si>
    <t>Pago a PROTECTO 4562</t>
  </si>
  <si>
    <t>Pago a PROTECTO 4563</t>
  </si>
  <si>
    <t>Pago a EVA ENVIRONMENT ADVISORS SAS FVE 6 PREDIO NOVA</t>
  </si>
  <si>
    <t>Anticipo minigranja Polaris 2</t>
  </si>
  <si>
    <t>Pago a JOHNNY MAURICIO CEBALLOS BASTIDAS JMCB 65</t>
  </si>
  <si>
    <t>Retencion fte 1%  JOHNNY MAURICIO CEBALLOS BASTIDAS JMCB 65</t>
  </si>
  <si>
    <t>Retencion ica 6*1000  JOHNNY MAURICIO CEBALLOS BASTIDAS JMCB 65</t>
  </si>
  <si>
    <t>Pago a JOHNNY MAURICIO CEBALLOS BASTIDAS JMCB 64</t>
  </si>
  <si>
    <t>Retencion fte 1%  JOHNNY MAURICIO CEBALLOS BASTIDAS JMCB 64</t>
  </si>
  <si>
    <t>Retencion ica 6*1000  JOHNNY MAURICIO CEBALLOS BASTIDAS JMCB 64</t>
  </si>
  <si>
    <t>Pago a JOHNNY MAURICIO CEBALLOS BASTIDAS JMCB 63</t>
  </si>
  <si>
    <t>Retencion fte 1%  JOHNNY MAURICIO CEBALLOS BASTIDAS JMCB 63</t>
  </si>
  <si>
    <t>Retencion ica 6*1000  JOHNNY MAURICIO CEBALLOS BASTIDAS JMCB 63</t>
  </si>
  <si>
    <t>Pago a JOHNNY MAURICIO CEBALLOS BASTIDAS JMCB 62</t>
  </si>
  <si>
    <t>Retencion fte 1%  JOHNNY MAURICIO CEBALLOS BASTIDAS JMCB 62</t>
  </si>
  <si>
    <t>Retencion ica 6*1000  JOHNNY MAURICIO CEBALLOS BASTIDAS JMCB 62</t>
  </si>
  <si>
    <t xml:space="preserve">Retencion fte 3,5%  MARIANA ESCOBAR SANCHEZ 1.088.024.068 HOTEL BRISAS DEL RIO HOSPÉDAJE  </t>
  </si>
  <si>
    <t>Pago a AGRICO DISTRIBUIDORA Y CONSTRUCTORA SAS CT2-1439</t>
  </si>
  <si>
    <t>Retencion fte 2,5% AGRICO DISTRIBUIDORA Y CONSTRUCTORA SAS CT2-1439</t>
  </si>
  <si>
    <t>Retencion ica 6*1000 AGRICO DISTRIBUIDORA Y CONSTRUCTORA SAS CT2-1439</t>
  </si>
  <si>
    <t>Pago a AGRICO DISTRIBUIDORA Y CONSTRUCTORA SAS CT2-1438</t>
  </si>
  <si>
    <t>Retencion fte 1% AGRICO DISTRIBUIDORA Y CONSTRUCTORA SAS CT2-1438</t>
  </si>
  <si>
    <t>Retencion ica 6*1000 AGRICO DISTRIBUIDORA Y CONSTRUCTORA SAS CT2-1438</t>
  </si>
  <si>
    <t>Pago a Vanesa Muñoz    PAGO HOTEL EN REMOLINO MES DE 15 DE MARZO AL 15 DE ABRIL</t>
  </si>
  <si>
    <t>Retencin fte 3,5% Vanesa Muñoz    PAGO HOTEL EN REMOLINO MES DE 15 DE MARZO AL 15 DE ABRIL</t>
  </si>
  <si>
    <t>Pago fac FAINCO SAS FE 442</t>
  </si>
  <si>
    <t>Retencion fte 1% FAINCO SAS FE 442</t>
  </si>
  <si>
    <t>Retencion ica 6*1000 FAINCO SAS FE 442</t>
  </si>
  <si>
    <t>Pago a FAINCO SAS FE 442</t>
  </si>
  <si>
    <t>Pago comision a GILBERTO LOPEZ PASTEZ 10.593.210</t>
  </si>
  <si>
    <t>Pago a FERRESOL SAS COT Z-001-5554 dotacion</t>
  </si>
  <si>
    <t>Pago a PROTECTO FED 4541</t>
  </si>
  <si>
    <t>Retencion fte 2,5 PROTECTO FED 4541</t>
  </si>
  <si>
    <t>Retencion ica 6*1000 PROTECTO FED 4541</t>
  </si>
  <si>
    <t xml:space="preserve">Pago servicio de publicidad JUAN SEBASTIAN RODRIGUEZ SEVILLA </t>
  </si>
  <si>
    <t>Pago realizado a ECTRICOL  IE 14427</t>
  </si>
  <si>
    <t>Retencion fte 2,5%  ECTRICOL  IE 14427</t>
  </si>
  <si>
    <t>Pago liquidacion laboral JHONY FERNANDO RIASCOS CEBALLOS</t>
  </si>
  <si>
    <t>Pago realizado a ROSAURA ERAZO ROSERO alimentacion mercaderes</t>
  </si>
  <si>
    <t>Retencion fte 3,5% ROSAURA ERAZO ROSERO alimentacion mercaderes</t>
  </si>
  <si>
    <t>Pago a GRUPO DEFA SAS FEDP 76821</t>
  </si>
  <si>
    <t>Pago a GRUPO DEFA SAS FEDP 76901</t>
  </si>
  <si>
    <t>COMPRA DE COMBUSTIBLE PARA CAMIONETA PLACA KYY983</t>
  </si>
  <si>
    <t>PAGO ASEO HABITACIONES SEMANA 17 MARZO - 31 MARZO</t>
  </si>
  <si>
    <t>Combustible camioneta LHR 730</t>
  </si>
  <si>
    <t>Compra de 2 botellones de agua</t>
  </si>
  <si>
    <t>Compra de 3 botellones de agua</t>
  </si>
  <si>
    <t>Compra combustible para mezcladora</t>
  </si>
  <si>
    <t>Compra de 15 tablas, 20 listones 4*4, disco pulidora 7", brocas, manila, etc</t>
  </si>
  <si>
    <t>Compra de combustible saltarín</t>
  </si>
  <si>
    <t>Compra de alambre de puas cerramiento perimetral</t>
  </si>
  <si>
    <t xml:space="preserve">Compra de combustible apisonador </t>
  </si>
  <si>
    <t>Compra de tornillos para reparación  de palas draga</t>
  </si>
  <si>
    <t>Compra de superboard, estructura y otros elementos para recubrimiento de cuarto eléctrico</t>
  </si>
  <si>
    <t>Compra de varillas, cajas 10*10,  terminales 1", alambre de amarre para estructura inversores</t>
  </si>
  <si>
    <t>COMPRA DE CABOS DE BUGUIES</t>
  </si>
  <si>
    <t>COMPRA DE BANDA PARA MEZCLADORA</t>
  </si>
  <si>
    <t xml:space="preserve">PAGO POR ARREGLO DE TANQUE DE MEZCLADORA, BROCA DE HOYADORA </t>
  </si>
  <si>
    <t>PAGO ASEO HABITACIONES SEMANA 1 - 5 de ABRIL</t>
  </si>
  <si>
    <t>COMPRA DE ACEITE Y CABLE PARA GUADAÑA,NIVEL, CANDADO, SACAS, BOLSA DE BASURA,DECAMETRO, TORNILLOS Y GUANTES</t>
  </si>
  <si>
    <t>COMPRA DE ELEMENTOS DE ASEO</t>
  </si>
  <si>
    <t>PAGO ASEO HABITACIONES SEMANA 7 - 12 de ABRIL</t>
  </si>
  <si>
    <t>COMPRA DE ACEITE PARA MEZCLADORA, AMARRAS, PUNTILLAS, PLASTICO NEGRO, GAFAS, SACAS, DISCO DE CORTE, CANDADO, BROCA PARA TALADRO, CINTA AISLANTE, PALENDRA Y CABO</t>
  </si>
  <si>
    <t xml:space="preserve">RECARGA DE EXTINTOR </t>
  </si>
  <si>
    <t>VIATICOS EDERSON MERCADERES-REMOLINO</t>
  </si>
  <si>
    <t>ACPM CAMIONETA JLS546</t>
  </si>
  <si>
    <t>ACCESORIOS GUADAÑA</t>
  </si>
  <si>
    <t>ADECUACIÓN CAMPAMENTO</t>
  </si>
  <si>
    <t>MEMORIA MICRO SD PARA DRONE</t>
  </si>
  <si>
    <t>CUCHILLAS PARA GUADAÑA Y ACEITE</t>
  </si>
  <si>
    <t>TRANSPORTE DE GUADAÑA REMOLINO-MERCADERES</t>
  </si>
  <si>
    <t>VIATICOS MERCADERES-PASTO-MERCADERES</t>
  </si>
  <si>
    <t>LLAVE PARA GUADAÑA</t>
  </si>
  <si>
    <t>TUERCA PARA GUADAÑA</t>
  </si>
  <si>
    <t>PROTECTOR DE CUCHILLA GUADAÑA</t>
  </si>
  <si>
    <t>MATERIALES Y ACCESORIOS PARA BODEGA</t>
  </si>
  <si>
    <t xml:space="preserve">ZAPATAS Y BALINERAS PARA GUADAÑA STHIL 230 </t>
  </si>
  <si>
    <t>ACPM DE RESERVA EN GARRAFA PLASTICA PARA PLANTA ELECTRICA</t>
  </si>
  <si>
    <t>ACPM DE RESERVA EN GARRAFA PLASTICA</t>
  </si>
  <si>
    <t xml:space="preserve">GASOLINA PARA PODA DE MATERIAL VEGETAL </t>
  </si>
  <si>
    <t xml:space="preserve">ACPM DE RESERVA EN GARRAFA PLASTICA </t>
  </si>
  <si>
    <t>CHAVETAS PARA CABEZOTE GUADAÑA</t>
  </si>
  <si>
    <t>ACPM CAMIONETA JLS 546</t>
  </si>
  <si>
    <t>PAPELERIA 66 IMPRESIONES + 1 AZ + 1 LAPICERO + TALONARIO CAJA MENOR</t>
  </si>
  <si>
    <t>ADECUACIÓN TECHO DE CAMPAMENTO</t>
  </si>
  <si>
    <t>Carolina</t>
  </si>
  <si>
    <t xml:space="preserve">Tornillos para aislador escalonado </t>
  </si>
  <si>
    <t>2 Pares aisladores escalonados, aisladores tipo yoyo</t>
  </si>
  <si>
    <t>Disco corte metal</t>
  </si>
  <si>
    <t>Duelas y bocel</t>
  </si>
  <si>
    <t>Piola</t>
  </si>
  <si>
    <t>Sika boom</t>
  </si>
  <si>
    <t>Clavos y colbón</t>
  </si>
  <si>
    <t>Laca y sellador</t>
  </si>
  <si>
    <t>Lápiz color rojo</t>
  </si>
  <si>
    <t>Amarra plástica 10cm, broca metal 5/16", bisturí metálico</t>
  </si>
  <si>
    <t>Envío materiales eléctricos, matariales para montaje eléctrico y botas pantaneras. Trayecto: Pasto - Remolino</t>
  </si>
  <si>
    <t>Unión EMT 3/4"</t>
  </si>
  <si>
    <t>Ponchado cable UTP con conector RJ45</t>
  </si>
  <si>
    <t>Coraza americana 1/2"</t>
  </si>
  <si>
    <t>Envío cable UTP ponchado y documentación, trayecto: Pasto - Remolino</t>
  </si>
  <si>
    <t>Envío de cámara termográfica y herramienta, trayecto: Pasto - Remolino</t>
  </si>
  <si>
    <t>Patch cord Cat. 6 10m</t>
  </si>
  <si>
    <t>Envío de semilas de pasto y rastrillos. Trayecto: Pasto - Remolino</t>
  </si>
  <si>
    <t>Brocas taladro plus 1/2"</t>
  </si>
  <si>
    <t>Envío material para montaje eléctrico y dotación. Trayecto: Pasto - Remolino</t>
  </si>
  <si>
    <t>Tranporte pasto-remolino</t>
  </si>
  <si>
    <t xml:space="preserve">Detalles actividad co intsladores </t>
  </si>
  <si>
    <t>2 pasajes (Pasto-Cali) Alveiro Cusis y Mario Cusis</t>
  </si>
  <si>
    <t>Pasaje Pasto ipiales</t>
  </si>
  <si>
    <t>Taxi proyecto ipiales</t>
  </si>
  <si>
    <t>Taxi terminal ipiales</t>
  </si>
  <si>
    <t>Pasaje Ipiales-pasto</t>
  </si>
  <si>
    <t>Compra frutas para actividad semana de la salud evolti en alkosto</t>
  </si>
  <si>
    <t>Prestamo a Polaris 1 tramites cambio de capital gobernacion de nariño</t>
  </si>
  <si>
    <t>Prestamo a Polaris 1 tramites cambio de capital camara de comercio</t>
  </si>
  <si>
    <t>Prestamo a Polaris 2 tramites cambio de capital gobernacion de nariño</t>
  </si>
  <si>
    <t>Prestamo a Polaris 2 tramites cambio de capital camara de comercio</t>
  </si>
  <si>
    <t>abono factura naos 3</t>
  </si>
  <si>
    <t>anticipo minigranja Delta2</t>
  </si>
  <si>
    <t xml:space="preserve">Anticipo 50% proyecto Bas ingenieria </t>
  </si>
  <si>
    <t xml:space="preserve">Recepcion pago Dispropan </t>
  </si>
  <si>
    <t>Recepcion pago Acuagen</t>
  </si>
  <si>
    <t>Recepcion pago factura Balcones de Pubenza</t>
  </si>
  <si>
    <t xml:space="preserve">Recepcion pago SANITAS INCAPACIDAD 72052501 DANILO JAVIER OJEDA NARVAEZ </t>
  </si>
  <si>
    <t>Recepcion pago factura la cali</t>
  </si>
  <si>
    <t>Servicio de tansporte en Asotaba Juan manuel</t>
  </si>
  <si>
    <t>Servicio alimentacion Juan Manuel en Carulla</t>
  </si>
  <si>
    <t>Servicio alimentacion Juan Manuel en la barra</t>
  </si>
  <si>
    <t>Servicio alimentacion Juan Manuel en restaurante el pardor</t>
  </si>
  <si>
    <t>Recepcion pago factura V1501</t>
  </si>
  <si>
    <t>Transporte colectivo Pasto - Aeropuerto</t>
  </si>
  <si>
    <t>Transporte aeropuerto - Medellín</t>
  </si>
  <si>
    <t>Transporte terminal norte - hotel</t>
  </si>
  <si>
    <t>Transporte hotel - We work Palmas</t>
  </si>
  <si>
    <t>Almuerzo - We work Palmas</t>
  </si>
  <si>
    <t>Almuezo</t>
  </si>
  <si>
    <t>Taxi - Hotel -San Diego</t>
  </si>
  <si>
    <t>Transporte InDrive</t>
  </si>
  <si>
    <t>Taxi Hotel</t>
  </si>
  <si>
    <t>Transporte hotel - terminal taxis aeropuerto</t>
  </si>
  <si>
    <t>Transporte Medellín - Aeropuerto Rio Negro</t>
  </si>
  <si>
    <t>Hidratación - Avión</t>
  </si>
  <si>
    <t>Transporte Aeropuerto - Pasto</t>
  </si>
  <si>
    <t>Hasta aquí se usaron conceptos viejos</t>
  </si>
  <si>
    <t>Pago Arrendamiento lyra DIEGO ALEJANDRO FUENTES OJEDA</t>
  </si>
  <si>
    <t>Desde aquí para flujo de caja</t>
  </si>
  <si>
    <t>Retencion fte 3,5% DIEGO ALEJANDRO FUENTES OJEDA</t>
  </si>
  <si>
    <t xml:space="preserve">Combustible para moto KNB78E viaje desde medellin a bucaramanga </t>
  </si>
  <si>
    <t>Moises</t>
  </si>
  <si>
    <t>Servicio de (alimentacion Desayuno-Hidratacion)</t>
  </si>
  <si>
    <t>Combustuble vehiculo - CWG 953 - (Visita a Sabana de torres, predio la Guacamaya y la Fortuna)</t>
  </si>
  <si>
    <t>Servicio de Alimentación (Almuerzo) - (Visita a Sabana de torres, predio la Guacamaya y la Fortuna</t>
  </si>
  <si>
    <t>Cobro de peaje - Lebrija - (Visita a Sabana de torres, predio la Guacamaya y la Fortuna)</t>
  </si>
  <si>
    <t>Combustuble vehiculo - CWG 953 - (Visita a San martin)</t>
  </si>
  <si>
    <t>Sin facturas Hidratación: $15.000 - (Visita a San Martin)</t>
  </si>
  <si>
    <t>Cobro de peaje - Rio Blanco - (Visita a San Martin)</t>
  </si>
  <si>
    <t>Servicio de Alimentación (Almuerzo+Hidratación): $70.000 - (Visita a San Martin)</t>
  </si>
  <si>
    <t>Servicio de Alimentación (Desayuno+Hidratación): $15.000 - Visita a Berlin</t>
  </si>
  <si>
    <t>Cobro de peaje - Lebrija - (Regreso de aeropuerto para dejar a Kelly, despues de visita a Charala</t>
  </si>
  <si>
    <t>Cobro de peaje - Lebrija - (Visita a Sabana de torres, predio la Guacamaya - Recorrido poligono)</t>
  </si>
  <si>
    <t>Combustuble vehiculo - CWG 953 - (Visita a Sabana de torres, predio la Guacamaya - Recorrido poligono)</t>
  </si>
  <si>
    <t>Servicio de Alimentación (Desayuno+Hidratación): $15.000 - (Visita a Sabana de torres, predio la Guacamaya - Recorrido poligono</t>
  </si>
  <si>
    <t>Combustuble vehiculo - KNB78E - (Regreso a Medellin desde Bucaramanga)</t>
  </si>
  <si>
    <t>Servicio de Alimentación (Almuerzo+Hidratación): $50.000 - (Regreso a Medellin)</t>
  </si>
  <si>
    <t>Giro anticipo a melba ligia Burbano daza</t>
  </si>
  <si>
    <t>Pago a PROTECTO FED 4557</t>
  </si>
  <si>
    <t>Pago a DISTRIBUCIONES ELECTRICAS AC PF 76812</t>
  </si>
  <si>
    <t>Electricos</t>
  </si>
  <si>
    <t>Pago UPME proyecto Apartamento Tatiana Jimenez</t>
  </si>
  <si>
    <t>Pago a INGENIERIA Y SOLUCIONES DE NARIÑO SAS FED 60</t>
  </si>
  <si>
    <t>Retencion fte 4% INGENIERIA Y SOLUCIONES DE NARIÑO SAS FED 60</t>
  </si>
  <si>
    <t>Retencion ica 6*1000 INGENIERIA Y SOLUCIONES DE NARIÑO SAS FED 60</t>
  </si>
  <si>
    <t>Pago a DOTASOL Cotización V - 001 - 6688</t>
  </si>
  <si>
    <t>Pago a CONSTRU ENERGY 901383424-0</t>
  </si>
  <si>
    <t>Pago a DERLINK ESTEBAN MANZACO BALANTA COT N. 11</t>
  </si>
  <si>
    <t>Ferreteria</t>
  </si>
  <si>
    <t>Pago a PROTECTO COTIZACION C-3-1502</t>
  </si>
  <si>
    <t>Pago a CAMARA DE COMERCIO PASTO CERTIFICADO DE PROPONENTES</t>
  </si>
  <si>
    <t>Pago final ascenso campaña 2 2024</t>
  </si>
  <si>
    <t>Pago a JAIRO ALFREDO LOPEZ BENAVIDES ELECTRICOS BOYACA</t>
  </si>
  <si>
    <t>Tableros</t>
  </si>
  <si>
    <t>Retencion fte 2,5% JAIRO ALFREDO LOPEZ BENAVIDES ELECTRICOS BOYACA</t>
  </si>
  <si>
    <t>Retencion ica 3*1000 JAIRO ALFREDO LOPEZ BENAVIDES ELECTRICOS BOYACA</t>
  </si>
  <si>
    <t>Pago a ELECTRICOS DEL VALLE COT  SO-726149</t>
  </si>
  <si>
    <t>Pago a CARLOS ALIRIO CADENA TECNIAGRO</t>
  </si>
  <si>
    <t>Pago a MELBA LIGIA MONCAYO LA FERRO RM 4259</t>
  </si>
  <si>
    <t>Retencion fte 2,5% MELBA LIGIA MONCAYO LA FERRO RM 4259</t>
  </si>
  <si>
    <t>Retencion ica 6*1000 MELBA LIGIA MONCAYO LA FERRO RM 4259</t>
  </si>
  <si>
    <t>Pago a MELBA LIGIA MONCAYO LA FERRO RM 4266</t>
  </si>
  <si>
    <t>Retencion fte 2,5% MELBA LIGIA MONCAYO LA FERRO RM 4266</t>
  </si>
  <si>
    <t>Retencion ica 6*1000 MELBA LIGIA MONCAYO LA FERRO RM 4266</t>
  </si>
  <si>
    <t>Pago a MELBA LIGIA MONCAYO LA FERRO RM 4260</t>
  </si>
  <si>
    <t>Retencion fte 2,5% MELBA LIGIA MONCAYO LA FERRO RM 4260</t>
  </si>
  <si>
    <t>Retencion ica 6*1000 MELBA LIGIA MONCAYO LA FERRO RM 4260</t>
  </si>
  <si>
    <t>Pago a SOLAIRE OFERTA N. 3465</t>
  </si>
  <si>
    <t>Sotavento torres 4 y 5 zonas comunes</t>
  </si>
  <si>
    <t>Pago a HAIDER ALEXIS ARANA ZUÑIGA</t>
  </si>
  <si>
    <t>Retencion fte 4% HAIDER ALEXIS ARANA ZUÑIGA</t>
  </si>
  <si>
    <t>Pago a MARCOS DANIEL OJEDA ALIMENTACION 199 COMIDAS</t>
  </si>
  <si>
    <t>Retencion fte 3,5% MARCOS DANIEL OJEDA ALIMENTACION 199 COMIDAS</t>
  </si>
  <si>
    <t>Pago fac ENERTOTAL ET996923 contrato 100012</t>
  </si>
  <si>
    <t>Pago a INVERSIONES RECREAR FE 42 arriendo</t>
  </si>
  <si>
    <t>Pago a NATALIA SEGURA INTERESES</t>
  </si>
  <si>
    <t>Pago a JUAN PABLO SUMARRAGA</t>
  </si>
  <si>
    <t>Pago a ELECTRICOS DEL VALLE COT SO-727405</t>
  </si>
  <si>
    <t>Pago cuenta de cobro ALEJANDRA GAVIRIA GOMEZ direccion de contenido</t>
  </si>
  <si>
    <t>Pago a EVA ENVIRONMENT ADVISORS S.A.S FC 2</t>
  </si>
  <si>
    <t>Pago a EVA ENVIRONMENT ADVISORS S.A.S FC 1</t>
  </si>
  <si>
    <t>Pago impuesto ALCALDIA DE PASTO ICA AÑO 2024</t>
  </si>
  <si>
    <t>Pago a FERREMALLAS ANTICIPO 30% FVFM-560</t>
  </si>
  <si>
    <t>PAGO A SEGUROS MUNDIAL 100001555-1</t>
  </si>
  <si>
    <t>PAGO A SEGUROS MUNDIAL 100001559-0</t>
  </si>
  <si>
    <t>PAGO A SEGUROS MUNDIAL 100001560-0</t>
  </si>
  <si>
    <t xml:space="preserve">Santa clara casa </t>
  </si>
  <si>
    <t>PAGO A SEGUROS MUNDIAL 1000010574-0</t>
  </si>
  <si>
    <t>Santa clara - negocio</t>
  </si>
  <si>
    <t>PAGO A SEGUROS MUNDIAL 1000010581-0</t>
  </si>
  <si>
    <t>PAGO A SEGUROS MUNDIAL 1000010582-0</t>
  </si>
  <si>
    <t>Pago liquidacion laboral RUBEN DARIO SILVA RODRIGUEZ</t>
  </si>
  <si>
    <t>Pago a ANDRES FELIPE VELASQUEZ ACEVEDO integracion pasto</t>
  </si>
  <si>
    <t>Retencion fte 6%  ANDRES FELIPE VELASQUEZ ACEVEDO integracion pasto</t>
  </si>
  <si>
    <t>Pago a EL SUR ES MI NORTE CWFE-803 MEMBRESIA VISIONARIOS 2037 FEBERERO -MARZO - ABRIL
2037</t>
  </si>
  <si>
    <t>Pago a MELBA LIGIA MONCAYO LA FERRO RM 4276</t>
  </si>
  <si>
    <t>Pago a MELBA LIGIA MONCAYO LA FERRO RM 4275</t>
  </si>
  <si>
    <t>Pago a MERCATOR TECNOLOGIA COT 2596</t>
  </si>
  <si>
    <t>Pago a MILTON SANTIAGO RIVERA BENAVIDES KOKORO PLACA UNICENTRO</t>
  </si>
  <si>
    <t>Pago a PEDRO DANIEL RIASCOS RIASCOS VIDEOS NOVACENTRO</t>
  </si>
  <si>
    <t>Pago a JOHNNY MAURICIO CEBALLOS BASTIDAS JMCB 66</t>
  </si>
  <si>
    <t>PAGO NOMINA 2DA QUINCENA ABRIL JHOANA MARCELA GERMAN REYES</t>
  </si>
  <si>
    <t>PAGO NOMINA 2DA QUINCENA ABRIL JUAN MANUEL ESPAÑA FORERO</t>
  </si>
  <si>
    <t>PAGO NOMINA 2DA QUINCENA ABRIL HERMANN SOUZA CUBIDES</t>
  </si>
  <si>
    <t>PAGO NOMINA 2DA QUINCENA ABRIL SANDRA CAROLINA PATASCOY BOTINA</t>
  </si>
  <si>
    <t>PAGO NOMINA 2DA QUINCENA ABRIL YULY ANDREA JARAMILLO GUERRERO</t>
  </si>
  <si>
    <t>PAGO NOMINA 2DA QUINCENA ABRIL LOREN ALEJANDRA DIAZ YAMPUEZAN</t>
  </si>
  <si>
    <t xml:space="preserve">PAGO NOMINA 2DA QUINCENA ABRIL MARIA FERNANDA CHAMORRO </t>
  </si>
  <si>
    <t>PAGO NOMINA 2DA QUINCENA ABRIL CRISTINA LASSO</t>
  </si>
  <si>
    <t>PAGO NOMINA 2DA QUINCENA ABRIL JUAN CARLOS CAÑAR POTOSI</t>
  </si>
  <si>
    <t>PAGO NOMINA 2DA QUINCENA ABRIL RUBIELA DEL SOCORRO RAMOS PARRA</t>
  </si>
  <si>
    <t>PAGO NOMINA 2DA QUINCENA ABRIL JUAN JOSE NARVEAEZ</t>
  </si>
  <si>
    <t>PAGO NOMINA 2DA QUINCENA ABRIL JUAN CAMILO GARCIA SOUZA</t>
  </si>
  <si>
    <t>PAGO NOMINA 2DA QUINCENA ABRIL CINDY JOHANA CARLOSAMA HERNANDEZ</t>
  </si>
  <si>
    <t>PAGO NOMINA 2DA QUINCENA ABRIL JUAN ESTEBAN IBARRA CAMUES</t>
  </si>
  <si>
    <t>PAGO NOMINA 2DA QUINCENA ABRIL LUISA FERNANDA OBANDO VITAR</t>
  </si>
  <si>
    <t xml:space="preserve">PAGO NOMINA 2DA QUINCENA ABRIL SARA LUCIA DAZA LOPEZ </t>
  </si>
  <si>
    <t>PAGO NOMINA 2DA QUINCENA ABRIL CLAUDIA STELLA CORAL ERASO</t>
  </si>
  <si>
    <t>PAGO NOMINA 2DA QUINCENA ABRIL JULLY PAOLA AGUDELO BAEZ</t>
  </si>
  <si>
    <t>PAGO NOMINA 2DA QUINCENA ABRIL PAOLA ANDREA ARENAS MARTINEZ</t>
  </si>
  <si>
    <t>PAGO NOMINA 2DA QUINCENA ABRIL ASTRID CAROLINA DIAZ LOPEZ</t>
  </si>
  <si>
    <t>PAGO NOMINA 2DA QUINCENA ABRIL VERONICA LILIANA SANTACRUZ MENZA</t>
  </si>
  <si>
    <t>PAGO COMISION VERONICA LILIANA SANTACRUZ</t>
  </si>
  <si>
    <t>PAGO NOMINA 2DA QUINCENA ABRIL JULIO BELALCAZAR MURILLO</t>
  </si>
  <si>
    <t>PAGO COMISION JULIO BELARCAZAR MURILLO</t>
  </si>
  <si>
    <t>PAGO NOMINA 2DA QUINCENA ABRIL DIANA ALEJANDRA MERA MUÑOZ</t>
  </si>
  <si>
    <t>PAGO NOMINA 2DA QUINCENA ABRIL IVAN DANIEL MONTILLA CORAL</t>
  </si>
  <si>
    <t xml:space="preserve">PAGO NOMINA 2DA QUINCENA ABRIL CAROLINA CARDONA PAREJA </t>
  </si>
  <si>
    <t>PAGO NOMINA 2DA QUINCENA ABRIL PAOLA ANDREA SEGURA MARTINEZ</t>
  </si>
  <si>
    <t>PAGO COMISION PAOLA ANDREA SEGURA</t>
  </si>
  <si>
    <t>Cementos cauca</t>
  </si>
  <si>
    <t>PAGO NOMINA 2DA QUINCENA ABRIL NESTOR ANDRES ARCINIEGAS VILLAMARIN</t>
  </si>
  <si>
    <t>PAGO NOMINA 2DA QUINCENA ABRIL JHON EDINSON SANCHEZ CAMACHO</t>
  </si>
  <si>
    <t>PAGO NOMINA 2DA QUINCENA ABRIL SEGUNDO MARCIAL GELPUD BOTINA</t>
  </si>
  <si>
    <t>PAGO NOMINA 2DA QUINCENA ABRIL ALBEIRO ORLANDO ESPAÑA HERNANDEZ</t>
  </si>
  <si>
    <t>PAGO NOMINA 2DA QUINCENA ABRIL EDILFONSO ROSERO CASTILLO</t>
  </si>
  <si>
    <t>PAGO NOMINA 2DA QUINCENA ABRIL JEFERSON VERGARA MUÑOZ</t>
  </si>
  <si>
    <t>PAGO NOMINA 2DA QUINCENA ABRIL YALINER ILVIRA FIGUEROA</t>
  </si>
  <si>
    <t>PAGO NOMINA 2DA QUINCENA ABRIL ALBERT FIGUEROA</t>
  </si>
  <si>
    <t xml:space="preserve">PAGO NOMINA 2DA QUINCENA ABRIL DILBER  MAURICIO PAZ ALMEIDA </t>
  </si>
  <si>
    <t>PAGO NOMINA 2DA QUINCENA ABRIL WILLIAMS ALFREDO VILLAR MORA</t>
  </si>
  <si>
    <t>PAGO NOMINA 2DA QUINCENA ABRIL YOHN JAIRO BENAVIDES CHAMORRO</t>
  </si>
  <si>
    <t>PAGO NOMINA 2DA QUINCENA ABRIL VIVIANA ANDREA AYALA PICHINA</t>
  </si>
  <si>
    <t>PAGO NOMINA 2DA QUINCENA ABRIL JAVIER ANDRES RODRIGUEZ SANTIUSTY</t>
  </si>
  <si>
    <t>PAGO NOMINA 2DA QUINCENA ABRIL AURO EDILSON ARTEAGA MEZA</t>
  </si>
  <si>
    <t>PAGO NOMINA 2DA QUINCENA ABRIL LEIDER LUVER LOPEZ DIAZ</t>
  </si>
  <si>
    <t>PAGO NOMINA 2DA QUINCENA ABRIL WILLIAM HERNANDO CASTRO RODRIGUEZ</t>
  </si>
  <si>
    <t>PAGO NOMINA 2DA QUINCENA ABRIL HOLMES GALINDEZ VALDEZ</t>
  </si>
  <si>
    <t>PAGO NOMINA 2DA QUINCENA ABRIL ALEXANDER MUÑOZ DIAZ</t>
  </si>
  <si>
    <t>PAGO NOMINA 2DA QUINCENA ABRIL JOSE DELIO ALMEIDA ALMEIDA</t>
  </si>
  <si>
    <t>PAGO NOMINA 2DA QUINCENA ABRIL BRAYAN STIVEN PEREZ QUAQUEZ</t>
  </si>
  <si>
    <t>PAGO NOMINA 2DA QUINCENA ABRIL JESUS ALBERTO DIAZ PALACIOS</t>
  </si>
  <si>
    <t>PAGO NOMINA 2DA QUINCENA ABRIL LUIS FERNANDO RODRIGUEZ MUÑOZ</t>
  </si>
  <si>
    <t>PAGO NOMINA 2DA QUINCENA ABRIL JORGE LUIS LIZCANO NIÑO</t>
  </si>
  <si>
    <t>PAGO NOMINA 2DA QUINCENA ABRIL CARLOS HERNANDO ENRIQUEZ DIAZ</t>
  </si>
  <si>
    <t>PAGO NOMINA 2DA QUINCENA ABRIL FABIAN OJEDA RODRIGUEZ</t>
  </si>
  <si>
    <t>PAGO NOMINA 2DA QUINCENA ABRIL ASTRID VEIDUD LOPEZ NARVAEZ</t>
  </si>
  <si>
    <t>PAGO NOMINA 2DA QUINCENA ABRIL ANDI NEISER GALINDEZ DELGADO</t>
  </si>
  <si>
    <t>PAGO NOMINA 2DA QUINCENA ABRIL ODELMER DAZA PEREZ</t>
  </si>
  <si>
    <t>PAGO NOMINA 2DA QUINCENA ABRIL LUZ IRMA ORTEGA CIFUENTES</t>
  </si>
  <si>
    <t xml:space="preserve">PAGO NOMINA 2DA QUINCENA ABRIL DIEGO ANDRES ARAUJO NARVAEZ </t>
  </si>
  <si>
    <t>PAGO NOMINA 2DA QUINCENA ABRIL EDERSON DAZA ARTEAGA</t>
  </si>
  <si>
    <t>PAGO NOMINA 2DA QUINCENA ABRIL ALVARO HERNAN MONTILLA GONZALEZ</t>
  </si>
  <si>
    <t>PAGO NOMINA 2DA QUINCENA ABRIL JUAN GABRIEL TUTISTAR NARVAEZ</t>
  </si>
  <si>
    <t>PAGO NOMINA 2DA QUINCENA ABRIL LIBERIO IPIALES ROSERO</t>
  </si>
  <si>
    <t>PAGO NOMINA 2DA QUINCENA ABRIL ROMEL MARTINEZ GRIJALBA</t>
  </si>
  <si>
    <t>PAGO NOMINA 2DA QUINCENA ABRIL JORGE AURELIO GOMEZ BENAVIDES</t>
  </si>
  <si>
    <t>PAGO NOMINA 2DA QUINCENA ABRIL ASTRID CAROLINA RODRIGUEZ RODRIGUEZ</t>
  </si>
  <si>
    <t>PAGO NOMINA 2DA QUINCENA ABRIL JAIR ALEXANDER BOLAÑOS CHAVEZ</t>
  </si>
  <si>
    <t>PAGO NOMINA 2DA QUINCENA ABRIL MIGUEL ANGEL RAMOS BURGOS</t>
  </si>
  <si>
    <t>PAGO NOMINA 2DA QUINCENA ABRIL ESNEIDER ALBERTO VALENCIA GOMEZ</t>
  </si>
  <si>
    <t>PAGO NOMINA 2DA QUINCENA ABRIL DUBAN ANDRES CIFUENTES MARTINEZ</t>
  </si>
  <si>
    <t>PAGO NOMINA 2DA QUINCENA ABRIL JENER AFRANIO CABRERA DAVID</t>
  </si>
  <si>
    <t>PAGO NOMINA 2DA QUINCENA ABRIL MARLON FABIAN BONILLA BOLAÑOS</t>
  </si>
  <si>
    <t xml:space="preserve">PAGO NOMINA 2DA QUINCENA ABRIL GERARDO SILVA JANSASOY </t>
  </si>
  <si>
    <t>PAGO NOMINA 2DA QUINCENA ABRIL CARLOS ANDRES DAZA BURBANO</t>
  </si>
  <si>
    <t>PAGO NOMINA 2DA QUINCENA ABRIL EDWAR FERNANDEZ ORDOÑEZ</t>
  </si>
  <si>
    <t>PAGO NOMINA 2DA QUINCENA ABRIL WILMAN MESA ERAZO</t>
  </si>
  <si>
    <t>PAGO NOMINA 2DA QUINCENA ABRIL MARIO CHAYANNE RIVERA ARAUJO</t>
  </si>
  <si>
    <t>PAGO NOMINA 2DA QUINCENA ABRIL EYDER QUINTERO DIAZ</t>
  </si>
  <si>
    <t>PAGO NOMINA 2DA QUINCENA ABRIL ANDERSON MARTINEZ GRIJALBA</t>
  </si>
  <si>
    <t xml:space="preserve">PAGO NOMINA 2DA QUINCENA ABRIL GLORIA DANIELA TIMARAN CABRERA </t>
  </si>
  <si>
    <t>PAGO NOMINA 2DA QUINCENA ABRIL JHONSIN ARLEY ARIAS CEBALLOS</t>
  </si>
  <si>
    <t>PAGO NOMINA 2DA QUINCENA ABRIL JIMMI ALEXANDER BURGOS GUERRERO</t>
  </si>
  <si>
    <t>PAGO NOMINA 2DA QUINCENA ABRIL IVAN CAMILO MENESES ORDOÑEZ</t>
  </si>
  <si>
    <t xml:space="preserve">PAGO NOMINA 2DA QUINCENA ABRIL JUAN ESTEBAN BLANCO QUIROGA </t>
  </si>
  <si>
    <t>PAGO NOMINA 2DA QUINCENA ABRIL RODRIGO QUINTERO DIAZ</t>
  </si>
  <si>
    <t>PAGO NOMINA 2DA QUINCENA ABRIL ANDRES WILFREDY BASTIDAS GALINDEZ</t>
  </si>
  <si>
    <t>PAGO NOMINA 2DA QUINCENA ABRIL LUIS ALBERTO ALMEIDA MATABAJOY</t>
  </si>
  <si>
    <t>PAGO NOMINA 2DA QUINCENA ABRIL RUBEN LOPEZ MUÑOZ</t>
  </si>
  <si>
    <t>PAGO NOMINA 2DA QUINCENA ABRIL ROYER IDELVER LOPEZ SOLARTE</t>
  </si>
  <si>
    <t xml:space="preserve">PAGO NOMINA 2DA QUINCENA ABRIL JOSE MANUEL LOPEZ OBANDO </t>
  </si>
  <si>
    <t xml:space="preserve">PAGO NOMINA 2DA QUINCENA ABRIL EDISON ENRIQUE CANTILLO CORONADO </t>
  </si>
  <si>
    <t>PAGO NOMINA 2DA QUINCENA ABRIL DEIMAN JARINSON DAVID MUÑOZ</t>
  </si>
  <si>
    <t>PAGO NOMINA 2DA QUINCENA ABRIL DEIBER QUINTERO DIAZ</t>
  </si>
  <si>
    <t>PAGO NOMINA 2DA QUINCENA ABRIL JOSE DEL CARMEN GUERRERO BERDUGO</t>
  </si>
  <si>
    <t>PAGO NOMINA 2DA QUINCENA ABRIL ALEX DUVAN CIFUENTES PAZ</t>
  </si>
  <si>
    <t>PAGO NOMINA 2DA QUINCENA ABRIL BRANDON GUAQUEZ TITISTAR</t>
  </si>
  <si>
    <t>PAGO NOMINA 2DA QUINCENA ABRIL DANGER ESTIVENSON BENAVIDES ORTEGA</t>
  </si>
  <si>
    <t xml:space="preserve">PAGO NOMINA 2DA QUINCENA ABRIL DANILO JAVIER OJEDA RODRIGUEZ </t>
  </si>
  <si>
    <t xml:space="preserve">PAGO NOMINA 2DA QUINCENA ABRIL NORELI SELENA DIAZ JURADO </t>
  </si>
  <si>
    <t>PAGO NOMINA 2DA QUINCENA ABRIL ORLANDO DIAZ LOPEZ</t>
  </si>
  <si>
    <t>PAGO NOMINA 2DA QUINCENA ABRIL RICARDO HERNAN ORTIZ</t>
  </si>
  <si>
    <t>PAGO NOMINA 2DA QUINCENA ABRIL YEINSON ANDRES GUAQUEZ JURADO</t>
  </si>
  <si>
    <t xml:space="preserve">PAGO NOMINA 2DA QUINCENA ABRIL KEVIN JONATHAN MONTILLA RIASCOS </t>
  </si>
  <si>
    <t>PAGO NOMINA 2DA QUINCENA ABRIL OSCAR IVAN MELENDEZ GARCIA</t>
  </si>
  <si>
    <t>PAGO NOMINA 2DA QUINCENA ABRIL SANDRO ALBEIRO DELGADO MARTINEZ</t>
  </si>
  <si>
    <t xml:space="preserve">PAGO NOMINA 2DA QUINCENA ABRIL ALEXANDER DAVID BETANCOURT CARVAJAL </t>
  </si>
  <si>
    <t>PAGO NOMINA 2DA QUINCENA ABRIL JASON STEVEN DIAZ GUEVARA </t>
  </si>
  <si>
    <t>PAGO NOMINA 2DA QUINCENA ABRIL OSCAR ANDRES CASTRO BOTINA</t>
  </si>
  <si>
    <t>PAGO NOMINA 2DA QUINCENA ABRIL EDWIN LEONARDO MARTINEZ YAQUENO</t>
  </si>
  <si>
    <t>PAGO NOMINA 2DA QUINCENA ABRIL ANDRES FERNANDO ESPINOSA GUACALES</t>
  </si>
  <si>
    <t xml:space="preserve">PAGO NOMINA 2DA QUINCENA ABRIL JOHAN SEBASTIAN OVIEDO NIÑAN </t>
  </si>
  <si>
    <t>PAGO NOMINA 2DA QUINCENA ABRIL KELLY TATIANA ALVAREZ GARCIA</t>
  </si>
  <si>
    <t>PAGO NOMINA 2DA QUINCENA ABRIL ANA MILENA HENAO GONZALEZ</t>
  </si>
  <si>
    <t xml:space="preserve">PAGO NOMINA 2DA QUINCENA ABRIL JOSE ESTEBAN RODRIGUEZ QUINTERO </t>
  </si>
  <si>
    <t>PAGO NOMINA 2DA QUINCENA ABRIL MOISES RUIZ AYALA</t>
  </si>
  <si>
    <t>PAGO NOMINA 2DA QUINCENA ABRIL MARIANA SALDARRIAGA CADAVID</t>
  </si>
  <si>
    <t>PAGO NOMINA 2DA QUINCENA ABRIL MARIA ELENA RIVERA SOTO</t>
  </si>
  <si>
    <t>PAGO NOMINA 2DA QUINCENA ABRIL JEANCARLO GUILLERMO MONCAYO ANDRADE</t>
  </si>
  <si>
    <t xml:space="preserve">PAGO NOMINA 2DA QUINCENA ABRIL CRISTIAN ANDRES CHITAN </t>
  </si>
  <si>
    <t xml:space="preserve">PAGO NOMINA 2DA QUINCENA ABRIL JAVIER GIOVANI YANDUN INAGAN </t>
  </si>
  <si>
    <t xml:space="preserve">PAGO NOMINA 2DA QUINCENA ABRIL JHON ALEXANDER GELPUD ZAMORA </t>
  </si>
  <si>
    <t xml:space="preserve">PAGO NOMINA 2DA QUINCENA ABRIL RUBEN DARIO ESPINOSA PARRA </t>
  </si>
  <si>
    <t>PAGO NOMINA 2DA QUINCENA ABRIL JORGE ANDRES BARRERA YANDAR</t>
  </si>
  <si>
    <t>PAGO NOMINA 2DA QUINCENA ABRIL JOY JAMIT MOSQUERA ORDOÑEZ</t>
  </si>
  <si>
    <t>PAGO NOMINA 2DA QUINCENA ABRIL WIILLIAM ALBERTO AZA CRIOLLO</t>
  </si>
  <si>
    <t>PAGO NOMINA 2DA QUINCENA ABRIL JOSE RAFAEL RUEDA HERRERA</t>
  </si>
  <si>
    <t>PAGO NOMINA 2DA QUINCENA ABRIL JERSON ALEXIS GOMEZ ACOSTA</t>
  </si>
  <si>
    <t xml:space="preserve">PAGO NOMINA 2DA QUINCENA ABRIL MARTIN ALONSO SOSSA AGUIRRE </t>
  </si>
  <si>
    <t xml:space="preserve">PAGO NOMINA 2DA QUINCENA ABRIL JOSE JULIAN OCAMPO URIBE </t>
  </si>
  <si>
    <t>PAGO NOMINA 2DA QUINCENA ABRIL IVAN DARIO CAICEDO CALVACHE</t>
  </si>
  <si>
    <t>PAGO NOMINA 2DA QUINCENA ABRIL JOSE ALVEIRO CUSIS HERNANDEZ</t>
  </si>
  <si>
    <t>PAGO NOMINA 2DA QUINCENA ABRIL MARIO ALEXANDER CUSIS HERNANDEZ</t>
  </si>
  <si>
    <t>PAGO NOMINA 2DA QUINCENA ABRIL JHORDY STEVEN TRUJILLO GALEANDO</t>
  </si>
  <si>
    <t>PAGO NOMINA 2DA QUINCENA ABRIL JUAN FERNANDO PANIAGUA OSORIO</t>
  </si>
  <si>
    <t>PAGO NOMINA 2DA QUINCENA ABRIL LEIBNITZ EDUARDO CHANA CALDERON</t>
  </si>
  <si>
    <t>PAGO NOMINA 2DA QUINCENA ABRIL MIGUEL ALEJANDRO ENRIQUEZ CHAMORRO</t>
  </si>
  <si>
    <t>PAGO NOMINA 2DA QUINCENA ABRIL DANNA STEFANYA LASSO GUERRA</t>
  </si>
  <si>
    <t>PAGO NOMINA 2DA QUINCENA ABRIL JAVIER SEBASTIÁN LUCENA VILLARREAL</t>
  </si>
  <si>
    <t>PAGO NOMINA 2DA QUINCENA ABRIL JORGE ANDRES MUÑOZ MARTINEZ</t>
  </si>
  <si>
    <t>PAGO NOMINA 2DA QUINCENA ABRIL HERNAN DARIO CABRERA QUITIAQUEZ</t>
  </si>
  <si>
    <t>PAGO NOMINA 2DA QUINCENA ABRIL DANNA EVELYN ARMERO ROSERO</t>
  </si>
  <si>
    <t>PAGO NOMINA 2DA QUINCENA ABRIL JUAN SEBASTIAN GOMEZ LEAL</t>
  </si>
  <si>
    <t xml:space="preserve">PAGO NOMINA 2DA QUINCENA ABRIL WILSON ALEJANDRO MORA ERAZO </t>
  </si>
  <si>
    <t>PAGO NOMINA 2DA QUINCENA ABRIL CRISTHIAN CAMILO ROSERO ALVAREZ</t>
  </si>
  <si>
    <t xml:space="preserve">PAGO NOMINA 2DA QUINCENA ABRIL SERGIO DAVID ZAMBRANO ESCOBAR </t>
  </si>
  <si>
    <t>PAGO NOMINA 2DA QUINCENA ABRIL DANIELA ARBOLEDA RODRIGUEZ</t>
  </si>
  <si>
    <t>PAGO NOMINA 2DA QUINCENA ABRIL NICOLAS LOPEZ DULCE</t>
  </si>
  <si>
    <t>PAGO NOMINA 2DA QUINCENA ABRIL ANDRES FELIPE DELGADO ZUTTA</t>
  </si>
  <si>
    <t>Transporte Juan camilo a proyectos</t>
  </si>
  <si>
    <t>Almuerzo viaje trayecto ida Pasto - Cali (14/04/2025) Alveiro, Mario</t>
  </si>
  <si>
    <t>stefania lasso</t>
  </si>
  <si>
    <t>Almuerzo viaje trayecto regreso Cali - Pasto  (16/04/2025) Alveiro, Mario</t>
  </si>
  <si>
    <t>Cena viaje trayecto regreso Cali - Pasto  (16/04/2025) Alveiro, Mario</t>
  </si>
  <si>
    <t>Pasaje Ipiales - Pasto (Cristian Chitan)</t>
  </si>
  <si>
    <t>Pasaje Ipiales - Pasto (Javier  Yandun)</t>
  </si>
  <si>
    <t>Refrigerio 5 (Mario, Alveiro, Cristian, Jhordi, Javier)</t>
  </si>
  <si>
    <t>Pasaje Pasto - Cali (Alveiro, Mario, Cristian, Javier, Jhordi)</t>
  </si>
  <si>
    <t>Retencion fte 6*1000 Transporte personal Oscar Mauricio Morales Torres</t>
  </si>
  <si>
    <t>Pago transporte personal viaje a Remolino polaris 6 personas</t>
  </si>
  <si>
    <t xml:space="preserve">TRANSPORTES - POLARIS -DELTA </t>
  </si>
  <si>
    <t>semana de la seguridad y salud en el trabajo cali</t>
  </si>
  <si>
    <t>semana de la seguridad y salud en el trabajo</t>
  </si>
  <si>
    <t xml:space="preserve">Uber </t>
  </si>
  <si>
    <t>Compra datos Naos1</t>
  </si>
  <si>
    <t>Pago a SUPERINTENDECIA DE NOTARIADO Y REGISTRO 373-4765</t>
  </si>
  <si>
    <t>Pago a SUPERINTENDECIA DE NOTARIADO Y REGISTRO 373-145716</t>
  </si>
  <si>
    <t>Pago a SUPERINTENDECIA DE NOTARIADO Y REGISTRO 373-12983</t>
  </si>
  <si>
    <t>Pago a SUPERINTENDECIA DE NOTARIADO Y REGISTRO 074-22801</t>
  </si>
  <si>
    <t>Pago a SUPERINTENDECIA DE NOTARIADO Y REGISTRO 060-120680</t>
  </si>
  <si>
    <t>Pago a JOHNNY MAURICIO CEBALLOS BASTIDAS JMCB 68</t>
  </si>
  <si>
    <t>Retencion fte 1% JOHNNY MAURICIO CEBALLOS BASTIDAS JMCB 68</t>
  </si>
  <si>
    <t>Retencion fte 6*1000 JOHNNY MAURICIO CEBALLOS BASTIDAS JMCB 68</t>
  </si>
  <si>
    <t>Pago a JOHNNY MAURICIO CEBALLOS BASTIDAS COTIZACION</t>
  </si>
  <si>
    <t>Retencion fte 1% JOHNNY MAURICIO CEBALLOS BASTIDAS COTIZACION</t>
  </si>
  <si>
    <t>Retencion ica 6*1000 JOHNNY MAURICIO CEBALLOS BASTIDAS COTIZACION</t>
  </si>
  <si>
    <t>Pago UPME EMPRESA DE AGUAS DE CIUDAD DEL SUR SURAGUAS S.A. E.S.P</t>
  </si>
  <si>
    <t>Pago a MELBA LIGIA MONCAYO LA FERRO RM-4272</t>
  </si>
  <si>
    <t>Pago a LUIS CAMILO PATIÑO ALPALA COT 01 ANTICIPO 30%</t>
  </si>
  <si>
    <t xml:space="preserve">Línea MT aérea servicio </t>
  </si>
  <si>
    <t xml:space="preserve">Julio </t>
  </si>
  <si>
    <t>Peaje Palmira - Cali</t>
  </si>
  <si>
    <t>Peaje  Cali - Palmira</t>
  </si>
  <si>
    <t>Peaje   - Palmira - Buga</t>
  </si>
  <si>
    <t>Peaje - Buga - Tulua</t>
  </si>
  <si>
    <t>Peaje - Tulua - Buga</t>
  </si>
  <si>
    <t>Peaje - Buga - Cali</t>
  </si>
  <si>
    <t>Paequeadero</t>
  </si>
  <si>
    <t>Alimentacion Juan manuel en Chef burguer</t>
  </si>
  <si>
    <t>Compra intl facebk bahaepyne</t>
  </si>
  <si>
    <t>Compra intl facebk 54f9dpqne</t>
  </si>
  <si>
    <t>PAGO AVIANCADESDE TARJETA DE CREDITO CAMBIO VUELO ANDREA JARAMILLO PASTO-MEDELLIN</t>
  </si>
  <si>
    <t>PAGO MICROSOFT DESDE TARJETA DE CREDITO</t>
  </si>
  <si>
    <t>PAGO DESDE TARJETA DE CREDITO OPENIA</t>
  </si>
  <si>
    <t>PAGO ALMUERZO CONTABILIDAD EN NOPAL PAGADO DESDE TARJETA DE CREDITO</t>
  </si>
  <si>
    <t>PAGO SMART DIGITAL MARZO DESDE TARJETA DE CREDITO</t>
  </si>
  <si>
    <t>Pago anticipo proyecto cementos cauca</t>
  </si>
  <si>
    <t>LEGALIZACION INGENIERO SERGIO LACTEOS TULUA</t>
  </si>
  <si>
    <t>Sergio</t>
  </si>
  <si>
    <t>PAGO DEVUELTO  LEGALIZACION INGENIERO SERGIO LACTEOS TULUA</t>
  </si>
  <si>
    <t>Recepcion pago hotel cuellar fac marzo</t>
  </si>
  <si>
    <t>Recepcion pago factura Vivarium</t>
  </si>
  <si>
    <t xml:space="preserve">Recepcion pago factura Hito </t>
  </si>
  <si>
    <t>Recepcion pago clinica pabon</t>
  </si>
  <si>
    <t>Recepcion pago arboleda</t>
  </si>
  <si>
    <t xml:space="preserve">Pago cartera vencida FitFor all </t>
  </si>
  <si>
    <t>Pequeño material electrico</t>
  </si>
  <si>
    <t>Transporte Juan Sebastian, Teminal Cali</t>
  </si>
  <si>
    <t>Transporte Juan Sebastian, Cali - Tulua</t>
  </si>
  <si>
    <t>Transporte Juan Sebastian, Terminal Tulua a Lacteos</t>
  </si>
  <si>
    <t>Plano red comunicaciones BAS</t>
  </si>
  <si>
    <t>Transporte desde lacteos Tulua hasta BAS</t>
  </si>
  <si>
    <t>Transporte Juan Sebastian BAS-LACTEOS</t>
  </si>
  <si>
    <t>Transporte Juan Sebastian Bodega uda y regreso</t>
  </si>
  <si>
    <t>Transporte de herramienta desde Tulua a SURAGUAS</t>
  </si>
  <si>
    <t>Pequeño material (aerosol negro, barsol)</t>
  </si>
  <si>
    <t>Transporte Juan Sebastian, Terminal - SURAGUAS</t>
  </si>
  <si>
    <t>Tiquete Cali - Pasto Alveiro</t>
  </si>
  <si>
    <t>Tiquete Cali - Pasto Mario</t>
  </si>
  <si>
    <t>Transporte de personal técnico hasta Yumbo</t>
  </si>
  <si>
    <t>Transporte Juan Sebastian SURAGUAS-CALI</t>
  </si>
  <si>
    <t>Tanqueo visita Lunes, martes y miercoles SURAGUAS</t>
  </si>
  <si>
    <t>Cable ethernet para red LAN</t>
  </si>
  <si>
    <t>Canaleta para cable LAN y adhesivos amarres</t>
  </si>
  <si>
    <t>Nevera tipo hielera para hidratación</t>
  </si>
  <si>
    <t>Hidratación-repelente-bloqueador</t>
  </si>
  <si>
    <t>Recogida personal en panamericana hasta hospedaje</t>
  </si>
  <si>
    <t>Impresión planos SURGUAS</t>
  </si>
  <si>
    <t>Aceite dos tiempo para barreno</t>
  </si>
  <si>
    <t>1,5g gasolina para barreno</t>
  </si>
  <si>
    <t>Cuartones de madera</t>
  </si>
  <si>
    <t>Tanqueo visita SURAGUAS, Nicolás</t>
  </si>
  <si>
    <t>Pasaje Pasto-Remolino</t>
  </si>
  <si>
    <t>Pasaje Remolino-Pasto</t>
  </si>
  <si>
    <t>Taxi Terminal Casa</t>
  </si>
  <si>
    <t>Taxi Casa</t>
  </si>
  <si>
    <t>Trasporte Ipiales-Pasto</t>
  </si>
  <si>
    <t>ALIMENTACION</t>
  </si>
  <si>
    <t>Paola Arenas</t>
  </si>
  <si>
    <t>SERVICIO ALIMENTACION</t>
  </si>
  <si>
    <t xml:space="preserve">PAGO ADICIONAL MALETAS </t>
  </si>
  <si>
    <t xml:space="preserve">TRANSPORTE YUMBO AEROPUERTO IDA </t>
  </si>
  <si>
    <t xml:space="preserve">TRANSPORTE YUMBO AEROPUERTO REGRESO </t>
  </si>
  <si>
    <t>TAXI AEROPUERTO A EVOLTI</t>
  </si>
  <si>
    <t>TAXI EVOLTI A AEROPUERTO</t>
  </si>
  <si>
    <t>Recepcion pago anticipo proyecto Panificadora la villa</t>
  </si>
  <si>
    <t>Gasolina Diana</t>
  </si>
  <si>
    <t>UBER JHON HASTA ESTRUNAR</t>
  </si>
  <si>
    <t>UBER ESTRUNAR HASTA DIANA</t>
  </si>
  <si>
    <t>UBER DIANA HASTA JHON</t>
  </si>
  <si>
    <t>Pago asesoria ESCUELA COLOMBOAMERICANA licencia dron</t>
  </si>
  <si>
    <t>Pago asesoria ESCUELA COLOMBOAMERICANA licencia dron (reintegro Nestor)</t>
  </si>
  <si>
    <t>Pago tiquete aereo Latam Herman Zousa Pasto-Medellin</t>
  </si>
  <si>
    <t>Pago arrendamiento oficina a Wework</t>
  </si>
  <si>
    <t>Pago tiquete aereo Carolina Cardona AVIANCA PASTO - CALI</t>
  </si>
  <si>
    <t>Pago tiquete aereo Carolina Cardona AVIANCA CALI-MEDELLIN</t>
  </si>
  <si>
    <t>Pago tiquete aereo Latam Carolina Cardona MEDELLIN-PASTO</t>
  </si>
  <si>
    <t>Pago transporte taxis personal pasto-chachagui integracion dia del trabajo (Jun camilo Garcia)</t>
  </si>
  <si>
    <t>Pago CAMARA DE COMERCIO DE MEDELLIN delta</t>
  </si>
  <si>
    <t>Pago poliza Sura POLIZAS 04253244</t>
  </si>
  <si>
    <t>Pago poliza Sura POLIZAS 04254195</t>
  </si>
  <si>
    <t>Pago poliza Sura POLIZAS 01011843</t>
  </si>
  <si>
    <t>Pago poliza Sura POLIZAS 01011594</t>
  </si>
  <si>
    <t>Pago poliza Sura POLIZAS 01012485</t>
  </si>
  <si>
    <t>Pago poliza Sura POLIZAS 04257306</t>
  </si>
  <si>
    <t>Pago cta de cobro Janelly Ayadid Márquez Orozco CONSULTORIA IMPLEMENTACION ANTE SSPD.</t>
  </si>
  <si>
    <t>Pago liquidacion laboral Miguel Alejandro Enriquez Chamorro</t>
  </si>
  <si>
    <t>Pago dev dinero Carolina Cardona semana de la salud</t>
  </si>
  <si>
    <t>Reintegro dinero Alveiro Cusis viaje Suraguas PTAP</t>
  </si>
  <si>
    <t>Pago a MARTIN FELIPE GOMAJOA BOTINA SALDO FINAL</t>
  </si>
  <si>
    <t>Retencion fte 2%  MARTIN FELIPE GOMAJOA BOTINA SALDO FINAL</t>
  </si>
  <si>
    <t>Retencion ica 6*1000 MARTIN FELIPE GOMAJOA BOTINA SALDO FINAL</t>
  </si>
  <si>
    <t>Pago examenes medicos IPS BIENESTAR LABORAL FC 3256</t>
  </si>
  <si>
    <t>Retencion fte 2%  IPS BIENESTAR LABORAL FC 3256</t>
  </si>
  <si>
    <t>Retencion ica 6*1000 IPS BIENESTAR LABORAL FC 3256</t>
  </si>
  <si>
    <t>Pago a EMERGENTE ENERGÍA SOSTENIBLE S.A.S. FAC 2425</t>
  </si>
  <si>
    <t>Pago a EMERGENTE ENERGÍA SOSTENIBLE S.A.S. FAC 2426</t>
  </si>
  <si>
    <t xml:space="preserve">Pago a JOHNNY MAURICIO CEBALLOS BASTIDAS COT </t>
  </si>
  <si>
    <t xml:space="preserve">Retencion fte 2%  JOHNNY MAURICIO CEBALLOS BASTIDAS COT </t>
  </si>
  <si>
    <t xml:space="preserve">Retencion ica 6*1000 JOHNNY MAURICIO CEBALLOS BASTIDAS COT </t>
  </si>
  <si>
    <t>Pago a CAMARA DE COMERCIO MEDELLIN (la vega)</t>
  </si>
  <si>
    <t>Pago a MC4 SOLAR SAS ANTICIPO MC4-123</t>
  </si>
  <si>
    <t>Pago a CAMARA DE COMERCIO PASTO</t>
  </si>
  <si>
    <t>Pago a EMPRESAS MUNICIPALES DE CALI</t>
  </si>
  <si>
    <t>Pago cuota A2CENSO campaña: Un futuro Brillante con Evolti</t>
  </si>
  <si>
    <t>Pago a CRISTHIAN DAVID IBARRA CABRERA HOTEL LOTO LOT 341</t>
  </si>
  <si>
    <t>Pago a MARCOS DANIEL OJEDA ALIMENTACION 225 COMIDAS</t>
  </si>
  <si>
    <t>Retencion fte 3,5% MARCOS DANIEL OJEDA ALIMENTACION 225 COMIDAS</t>
  </si>
  <si>
    <t>Pago a AYM GROUP FEAY-32 (REVISORIA FISCAL) FEAY32</t>
  </si>
  <si>
    <t>Pago publicidad a TIANSHI SAS FETA 468</t>
  </si>
  <si>
    <t>Pago a MELBA LIGIA MONCAYO LA FERRO RM 4274</t>
  </si>
  <si>
    <t>Retencion fte 2,5% MELBA LIGIA MONCAYO LA FERRO RM 4274</t>
  </si>
  <si>
    <t>Retencon ica 6*1000 MELBA LIGIA MONCAYO LA FERRO RM 4274</t>
  </si>
  <si>
    <t>Pago a MELBA LIGIA MONCAYO LA FERRO RM 5789</t>
  </si>
  <si>
    <t>Retencion fte 2,5% MELBA LIGIA MONCAYO LA FERRO RM 5789</t>
  </si>
  <si>
    <t>Retencon ica 6*1000 MELBA LIGIA MONCAYO LA FERRO RM 5789</t>
  </si>
  <si>
    <t>Pago a MELBA LIGIA MONCAYO LA FERRO RM 4280</t>
  </si>
  <si>
    <t>Retencion fte 2,5% MELBA LIGIA MONCAYO LA FERRO RM 4280</t>
  </si>
  <si>
    <t>Retencon ica 6*1000 MELBA LIGIA MONCAYO LA FERRO RM 4280</t>
  </si>
  <si>
    <t>Pago a MELBA LIGIA MONCAYO LA FERRO RM 4277</t>
  </si>
  <si>
    <t>Retencion fte 2,5% MELBA LIGIA MONCAYO LA FERRO RM 4277</t>
  </si>
  <si>
    <t>Retencon ica 6*1000 MELBA LIGIA MONCAYO LA FERRO RM 4277</t>
  </si>
  <si>
    <t>Pago a mauricio Rosero compras Piloto de sistema agrovoltaico Naos 1</t>
  </si>
  <si>
    <t xml:space="preserve">Pago a CARLOS ALIRIO CADENA BURBANO TECNIAGRO COT 978 </t>
  </si>
  <si>
    <t xml:space="preserve">Retencion fte 2,5% CARLOS ALIRIO CADENA BURBANO TECNIAGRO COT 978 </t>
  </si>
  <si>
    <t xml:space="preserve">Retencon ica 6*1000 CARLOS ALIRIO CADENA BURBANO TECNIAGRO COT 978 </t>
  </si>
  <si>
    <t>Pago a GRUPO DEFA SAS FEDP 77707</t>
  </si>
  <si>
    <t>suministro</t>
  </si>
  <si>
    <t>Pago estudios tecnicos ALEXANDER AGUDELO VELASQUEZ</t>
  </si>
  <si>
    <t>estudios tecnicos</t>
  </si>
  <si>
    <t>Pago a PROTECTO SAS FED 4595</t>
  </si>
  <si>
    <t>Pago a AYC DOTACIONES INDUSTRIALES COT 3001</t>
  </si>
  <si>
    <t>Pago a EMSI TECHNOLOGIES COLOMBIA SAS COT C022 1928</t>
  </si>
  <si>
    <t>Retencion fte 2,5% EMSI TECHNOLOGIES COLOMBIA SAS COT C022 1928</t>
  </si>
  <si>
    <t>Pago a EMSI TECHNOLOGIES COLOMBIA SAS COT C022 1933</t>
  </si>
  <si>
    <t>Retencion fte 2,5% EMSI TECHNOLOGIES COLOMBIA SAS COT C022 1933</t>
  </si>
  <si>
    <t>Pago a ELECTRICOS DEL VALLE COT SO-731637</t>
  </si>
  <si>
    <t>Pago a CONSTRU ENERGY R.C. S.A.S ANTICIPO 50%</t>
  </si>
  <si>
    <t>Pago a VIVIANA ENRIQUEZ TRAMITS CON INVIAS</t>
  </si>
  <si>
    <t>Noche hotel</t>
  </si>
  <si>
    <t>Peaje Bucaramanga - Charalá</t>
  </si>
  <si>
    <t>Peajre curití</t>
  </si>
  <si>
    <t>Almuerzo comercial</t>
  </si>
  <si>
    <t>Pago a AVIA LEGAL  FC-10144</t>
  </si>
  <si>
    <t>Retencion 11% AVIA LEGAL FC 10144</t>
  </si>
  <si>
    <t>Pago comision a CARLOS ARBOLEDA</t>
  </si>
  <si>
    <t>Pago anticipo AURA MIREY BURBANO DAZA FERROMAC</t>
  </si>
  <si>
    <t>Pago servicio de alimentacion CARLOS ALBERTO MUÑOZ ORTIZ</t>
  </si>
  <si>
    <t>Retencion fte 3,5% CARLOS ALBERTO MUÑOZ ORTIZ</t>
  </si>
  <si>
    <t xml:space="preserve">Pago a AGENCIA DE ADUANAS TIBA SAS </t>
  </si>
  <si>
    <t xml:space="preserve">Pago a CONSTRU ENERGY R.C. S.A.S PAGO FINAL </t>
  </si>
  <si>
    <t>Pago a ADILA BAYUDAS DIAGNOSTICAS Y LABORATORIO</t>
  </si>
  <si>
    <t>Pago a Hotel Brisas del Rio MARIANA ESCOBAR SANCHEZ</t>
  </si>
  <si>
    <t>Retencion fte 3,5 % Hotel Brisas del Rio MARIANA ESCOBAR SANCHEZ</t>
  </si>
  <si>
    <t>Pago comision MOISES RUIZ RIVERO</t>
  </si>
  <si>
    <t>Pago a GILBERTO LOPEZ PASTEZ</t>
  </si>
  <si>
    <t>Pago a IT CERTIFICA  COT-RETIE-0932-25</t>
  </si>
  <si>
    <t>Retencion fte 11% IT CERTIFICA  COT-RETIE-0932-25</t>
  </si>
  <si>
    <t>Pago a EMSI TECHNOLOGIES COLOMBIA SAS COT C022 1963</t>
  </si>
  <si>
    <t>Pago a INPEL SA COT-540-2025</t>
  </si>
  <si>
    <t>Pago aIT CERTIFICA  COT-RETIE-0694-25</t>
  </si>
  <si>
    <t>Retencion fte 11% IT CERTIFICA  COT-RETIE-0694-25</t>
  </si>
  <si>
    <t>Pago a INPEL SA COT-545-2025</t>
  </si>
  <si>
    <t>Pago a SOCIEDAD SERVICIOS ELECTRICOS Y ELECTRONICA DE POTENCIA SAS</t>
  </si>
  <si>
    <t>pago a INNOVA GROUP INE 84 vallas</t>
  </si>
  <si>
    <t>Retencion fte 4%  INNOVA GROUP INE 84 vallas</t>
  </si>
  <si>
    <t>Retencion ica 6*1000 % INNOVA GROUP INE 84 vallas</t>
  </si>
  <si>
    <t>Pago alimentacion personal a ROSAURA ERAZO ROSERO</t>
  </si>
  <si>
    <t>Retencion fte 3,5% alimentacion personal a ROSAURA ERAZO ROSERO</t>
  </si>
  <si>
    <t>Pago factura de servicio telefonico Tigo</t>
  </si>
  <si>
    <t>Pago a DERLINK ESTEBAN MANZANO BALANTA POSB 883</t>
  </si>
  <si>
    <t xml:space="preserve">Retencin ica 6*1000 Acarreos y transporte personal Wilian Basante </t>
  </si>
  <si>
    <t>Pago a FERREMALLAS CALI SALDO FINAL FVFM 552</t>
  </si>
  <si>
    <t>Pago a CARLOS ALIRIO CADENA BURBANO TECNIAGRO COT materiales</t>
  </si>
  <si>
    <t>Retencion ica 6*1000 CARLOS ALIRIO CADENA BURBANO TECNIAGRO COT</t>
  </si>
  <si>
    <t>Pago a DERLINK ESTEBAN MANZANO BALANTA POSB 903</t>
  </si>
  <si>
    <t>Conduleta LB 1/2" Roscada</t>
  </si>
  <si>
    <t>Carrera piaggio, trayecto: La Ferro - Oficina</t>
  </si>
  <si>
    <t>Carreras piaggio, trayectos: La Ferro - Oficina, La Ferro - Oficina</t>
  </si>
  <si>
    <t>Carrera piaggio, Oficna - Unicentro</t>
  </si>
  <si>
    <t>Galón de agua x 6l</t>
  </si>
  <si>
    <t>Clavija caucho, polo a tierra</t>
  </si>
  <si>
    <t>Maceta almadana 4lb</t>
  </si>
  <si>
    <t>Envío valaclavas, trayecto: Pasto - Puerto Tejada</t>
  </si>
  <si>
    <t>Discos corte metal</t>
  </si>
  <si>
    <t>Envío marquillas para tableros eléctricos, trayecto: Pasto - Cali</t>
  </si>
  <si>
    <t>Minibreaker 3x2 CHINT</t>
  </si>
  <si>
    <t>Envío botas, valaclava y flejadora, trayecto: Pasto - Puerto Tejada</t>
  </si>
  <si>
    <t>Caja de distribución protección para riel</t>
  </si>
  <si>
    <t>Crema lavaplatos</t>
  </si>
  <si>
    <t>Juego de cuchillas para barreno</t>
  </si>
  <si>
    <t>Envío planta eléctrica para reparación, trayecto: Remolino  - Pasto</t>
  </si>
  <si>
    <t>Envío botas y valaclava para cambio, trayecto: Remolino - Pasto</t>
  </si>
  <si>
    <t>Envío planta eléctrica alquilada, trayecto: Pasto - Remolino</t>
  </si>
  <si>
    <t>Espátula mango de madera 6"</t>
  </si>
  <si>
    <t>Envío dotación y punto ecológico, trayecto: Pasto - Remolino</t>
  </si>
  <si>
    <t>Gasolina para transporte Juan camilo</t>
  </si>
  <si>
    <t xml:space="preserve">Juan camilo </t>
  </si>
  <si>
    <t>Refrigerio</t>
  </si>
  <si>
    <t>Peaje ida</t>
  </si>
  <si>
    <t>Peaje regreso</t>
  </si>
  <si>
    <t>Tranporte 4 personas Remolino-pasto (Molecula Jason)</t>
  </si>
  <si>
    <t>Transporte terminal mixto</t>
  </si>
  <si>
    <t>Peaje remo - pasto</t>
  </si>
  <si>
    <t xml:space="preserve">desayuno </t>
  </si>
  <si>
    <t>Desayuno y almuerzo We Work palmas</t>
  </si>
  <si>
    <t>desayuno aeropuerto</t>
  </si>
  <si>
    <t>Transportes toda la semana, aeropuertos.</t>
  </si>
  <si>
    <t>Transporte Pasto aeropuerto Chachagui</t>
  </si>
  <si>
    <t>Transporte aeropuerto Cartagena -Hotel</t>
  </si>
  <si>
    <t>Almuerzo 1 persona</t>
  </si>
  <si>
    <t>cena 1 persona</t>
  </si>
  <si>
    <t>Desayuno 1 persona</t>
  </si>
  <si>
    <t>Transporte Hotel aeropuerto Cartagena</t>
  </si>
  <si>
    <t>Transporte aeropuerto Chachagui-Pasto</t>
  </si>
  <si>
    <t>Pago Cancelacion situacion de control Evolti Goberncion de Nariño</t>
  </si>
  <si>
    <t>Pago Cancelacion situacion de control Evolti Camara de Comercio</t>
  </si>
  <si>
    <t>Prestamo Pago Cancelacion situacion de control Orbis Goberncion de Nariño</t>
  </si>
  <si>
    <t>Pago Cancelacion situacion de control Orbis Camara de Comercio</t>
  </si>
  <si>
    <t>Prestamo Pago Cancelacion situacion de control Polaris Goberncion de Nariño</t>
  </si>
  <si>
    <t>Pago Cancelacion situacion de control Polaris Camara de Comercio</t>
  </si>
  <si>
    <t xml:space="preserve">Ingreso dinero dotacion camiseta </t>
  </si>
  <si>
    <t>Devolucion dinero 1 noche de hotel Medellin Danna</t>
  </si>
  <si>
    <t>COMPRA DE TABLAS, CINTA PELIGRO, LLAVE EXAGONAL, VARILLAS Y DISCO DE CORTE DE CONCRETO</t>
  </si>
  <si>
    <t>COMPRA DE COMBUSTIBLE PARA MEZCLADORA  (ACPM)</t>
  </si>
  <si>
    <t>COMPRA DE LLAVES, GUANTES DE NITRILO Y CARNAZA</t>
  </si>
  <si>
    <t>PAGO ASEO HABITACIONES SEMANA 14 - 20 de ABRIL</t>
  </si>
  <si>
    <t>PAGO ASEO HABITACIONES SEMANA 21 - 27 de ABRIL</t>
  </si>
  <si>
    <t>Suministro de ACPM camioneta LHR730</t>
  </si>
  <si>
    <t>Compra de aceite, grasa para mezcladora</t>
  </si>
  <si>
    <t>Compra de viguetas y tornillos estructura superboard inversores</t>
  </si>
  <si>
    <t>Compra de varillas 1/2" y 3/8", discos de corte lamina, puntillas, etc  inversores DELTA 2</t>
  </si>
  <si>
    <t>Compra de 5 botellones de agua</t>
  </si>
  <si>
    <t>TRANSPORTE DOTACION BOTAS REMOLINO-MERCADERES</t>
  </si>
  <si>
    <t xml:space="preserve">COMPRA MATERIALES </t>
  </si>
  <si>
    <t>GASOLINA EN GARRAFA PARA AHOYADORA MECANICA</t>
  </si>
  <si>
    <t>GASOLINA CAMIONETA KHB931</t>
  </si>
  <si>
    <t>CALIBRADO DE LLANTAS CAMIONETA KHB931</t>
  </si>
  <si>
    <t>PEAJE CANO (MANTENIMIENTO DE VEHICULO JLS546)</t>
  </si>
  <si>
    <t>ACPM (MANTENIMIENTO DE VEHICULO JLS546)</t>
  </si>
  <si>
    <t>PLASTICO NEGRO Y ACCESORIOS PARA ACOMETIDA DE AGUA</t>
  </si>
  <si>
    <t>VIATICOS IDA MERCADERES-PASTO</t>
  </si>
  <si>
    <t>ACEITE QUEMADO EN POMA</t>
  </si>
  <si>
    <t>Anticipo minigranja Orbis</t>
  </si>
  <si>
    <t>Pago a ANGELICA MARIA AGREDA AGREDA INDIGO FE 795</t>
  </si>
  <si>
    <t>ANGELICA MARIA AGREDA AGREDA INDIGO FE 794</t>
  </si>
  <si>
    <t>Recepcion subsidio Nuevos empleos</t>
  </si>
  <si>
    <t xml:space="preserve">Consignacion pago fac Campos de Aragon </t>
  </si>
  <si>
    <t>TRANSPORTE CALI - TULUA SERGIO</t>
  </si>
  <si>
    <t>DESAYUNOS SERGIO Y DANIELA</t>
  </si>
  <si>
    <t>TRANSPORTE ANDALUCIA TERMINAL</t>
  </si>
  <si>
    <t>TRANSPORTE TULUA -CALI SERGIO</t>
  </si>
  <si>
    <t>TRANSPORTE CALI-POPAYAN</t>
  </si>
  <si>
    <t>DESAYUNO</t>
  </si>
  <si>
    <t>ALMUERZO</t>
  </si>
  <si>
    <t>INDRIVE CAMPANARIO - CEMENTOS CAUCA</t>
  </si>
  <si>
    <t>TAXI CEMENTOS CAUCA - OFICINA EVOLTI</t>
  </si>
  <si>
    <t>INDRIVE OFICINA EVOLTI - CONDOMINIO SAN NICOLAS</t>
  </si>
  <si>
    <t>TAXI SAN NICOLAS - TERMINAL</t>
  </si>
  <si>
    <t>TRANSPORTE POPAYAN-CALI</t>
  </si>
  <si>
    <t>TAXI LLEGADA AL HOTEL</t>
  </si>
  <si>
    <t>TAXI SALIDA DEL HOTEL</t>
  </si>
  <si>
    <t>TANQUEO GASOLINA</t>
  </si>
  <si>
    <t>PANADERIA LA TRIGALIA</t>
  </si>
  <si>
    <t>TRANSPORTE TERMINAL - HOTEL BRISAS</t>
  </si>
  <si>
    <t>TIENDAS D1  - HIDRATACION</t>
  </si>
  <si>
    <t xml:space="preserve">TIENDAS ARA - HIDRATACION </t>
  </si>
  <si>
    <t>CEMENTO Y FLEJES</t>
  </si>
  <si>
    <t>BOTELLAS DE AGUA</t>
  </si>
  <si>
    <t>CLAVIJAS</t>
  </si>
  <si>
    <t>COMPRA DE HIELO</t>
  </si>
  <si>
    <t>TIENDAS ARA - HIDRATACION</t>
  </si>
  <si>
    <t>TRANSPORTE LACTEOS - TERMINAL</t>
  </si>
  <si>
    <t>TRANSPORTE TULUA - CALI DANIELA</t>
  </si>
  <si>
    <t>TRANSPORTE AGUACLARA - TERMINAL</t>
  </si>
  <si>
    <t>TRANSPORTE TULUA - CALI SERGIO</t>
  </si>
  <si>
    <t xml:space="preserve">TRANSPORTE TERMINAL CALI </t>
  </si>
  <si>
    <t xml:space="preserve">TRANSPORTE AFILIADOS PALMIRA </t>
  </si>
  <si>
    <t>DESAYUNO INSTALADORES</t>
  </si>
  <si>
    <t>RESTAURANTE INSTALADORES</t>
  </si>
  <si>
    <t>ADAPTADOR, CURVA Y UNION EMT</t>
  </si>
  <si>
    <t>BUSHING TUERCA 2"</t>
  </si>
  <si>
    <t>TRANSPORTE TERMINAL CALI DANIELA</t>
  </si>
  <si>
    <t>DOMICILIOS EPP</t>
  </si>
  <si>
    <t>DOMICILIOS TODO ELECTRICO</t>
  </si>
  <si>
    <t>TRANSPORTE TRAXCENTRAL TERRESTRE</t>
  </si>
  <si>
    <t>TRANSPORTE TERMINAL TULUA - LACTEOS</t>
  </si>
  <si>
    <t>ROSCA EMT 2"</t>
  </si>
  <si>
    <t>LAMINA BOARD #8</t>
  </si>
  <si>
    <t>TORNILLOS DE 5/16 CON TUERCA Y ARANDELA</t>
  </si>
  <si>
    <t>CINTA ASFALTICA Y TORNILLOS AUTOPERFO</t>
  </si>
  <si>
    <t>CORAZA METALICA, GRAPA DOBLE, CONECTOR</t>
  </si>
  <si>
    <t xml:space="preserve">DOMICILIO TODO </t>
  </si>
  <si>
    <t>ARENA COMÚN</t>
  </si>
  <si>
    <t>TABLA 18 CM PARA ENCOFRADO</t>
  </si>
  <si>
    <t>TORNILLO HEXAGONAL 2" CON TUERCA</t>
  </si>
  <si>
    <t>CURVA CONDUIT PVC 2"</t>
  </si>
  <si>
    <t>Recepcion pago edificio Balcones de Pubenza</t>
  </si>
  <si>
    <t>Recepcion pago Ferreandina</t>
  </si>
  <si>
    <t>Recepcion pago fractura Tianshi</t>
  </si>
  <si>
    <t>Tanqueo gasolina Nicolas</t>
  </si>
  <si>
    <t>Arreglo hoyadora</t>
  </si>
  <si>
    <t>Elementos para aseo hospedaje</t>
  </si>
  <si>
    <t>Tranporte ida y regreso personal</t>
  </si>
  <si>
    <t>Transporte a terminal Cali Sebastian</t>
  </si>
  <si>
    <t>Tiquete bus terminal Sebastian</t>
  </si>
  <si>
    <t>Transporte desde terminal Tulúa a PY-Lacteos</t>
  </si>
  <si>
    <t>Transporte desde PY-Lacteos a reunion con Juan Manuel PY-SF</t>
  </si>
  <si>
    <t>Transporte desde CENTRO DE TULÚA a - PY BAS INGENIERIA</t>
  </si>
  <si>
    <t>Transporte desde PY BAS INGENIERIA a hospedaje en Tulúa</t>
  </si>
  <si>
    <t>Transporte desde PY-LACTEOS a terminal de Tulúa</t>
  </si>
  <si>
    <t>Transporte desde terminal de Cali Sebastian</t>
  </si>
  <si>
    <t>Retiro de escombros y estopas</t>
  </si>
  <si>
    <t>Nailon para marcación de mesas</t>
  </si>
  <si>
    <t>Tanqueo gasolina Nico</t>
  </si>
  <si>
    <t>Transporte personal Yordi a terminal de Cali</t>
  </si>
  <si>
    <t>Tiquete de bus Yordi desde Cali a Pasto</t>
  </si>
  <si>
    <t>Transporte terminal Tulúa - Andalucia</t>
  </si>
  <si>
    <t>Transporte Andalucia - Terminal de Tulúa</t>
  </si>
  <si>
    <t>Transporte desde terminal Cali Sebastian</t>
  </si>
  <si>
    <t>Tanqueo gasolina nico</t>
  </si>
  <si>
    <t>Transporte sebastian hasta surguas ida y regreso</t>
  </si>
  <si>
    <t>Contact naranja para marcación eléctrica</t>
  </si>
  <si>
    <t>Transporte terminal Tulúa - PY LACTEOS</t>
  </si>
  <si>
    <t>Transporte terminal PY LACTEOS - PY BAS INGENIERIA</t>
  </si>
  <si>
    <t>Transporte terminal PY BAS INGENIERIA - PY LACTEOS</t>
  </si>
  <si>
    <t>Transporte PY LACTEOS - IPS COMFANDI (JORNADA VACUNACIÓN)</t>
  </si>
  <si>
    <t>Tiquete bus terminal Daniela</t>
  </si>
  <si>
    <t>Pago dia personal apoyo para descargue de paneles</t>
  </si>
  <si>
    <t>Transporte terminal Tulúa - PY BAS INGENIERIA</t>
  </si>
  <si>
    <t>Almuerzo Ing Sebastian</t>
  </si>
  <si>
    <t xml:space="preserve">Transporte PY BAS INGENIERIA - terminal Tulúa </t>
  </si>
  <si>
    <t>Comida (1 cena)</t>
  </si>
  <si>
    <t>Pago a EQUIRENT VEHICULOS Y MAQUINARIA SAS BIC 	
BG01-115163</t>
  </si>
  <si>
    <t>Pago a EQUIRENT VEHICULOS Y MAQUINARIA SAS BIC BG01-115167</t>
  </si>
  <si>
    <t>Pago a EQUIRENT VEHICULOS Y MAQUINARIA SAS BIC BG01-115164</t>
  </si>
  <si>
    <t xml:space="preserve">Pago a SURA 033000014683-10331004402 </t>
  </si>
  <si>
    <t>Pago a SURA 033000014689-10331004409</t>
  </si>
  <si>
    <t>Pago a SURA 033000014688-10331004408</t>
  </si>
  <si>
    <t>Pago a MILENION G-78346</t>
  </si>
  <si>
    <t>Pago a AGENCIA DE ADUANAS TIBA SAS 39216</t>
  </si>
  <si>
    <t xml:space="preserve">Pago a JUNTA DE ACCION COMUNAL EL VADO </t>
  </si>
  <si>
    <t>Pago a MARTIN FELIPE GOMAJOA BOTINA ANTICIPO N. 3</t>
  </si>
  <si>
    <t>Pago a FERREMALLAS ANTICIPO 30% COT 316-03-2025 	
FVFM-553</t>
  </si>
  <si>
    <t>Pago a MEICO COT 36610012216</t>
  </si>
  <si>
    <t>Casa Evolti</t>
  </si>
  <si>
    <t>Retencion fte 2,5%  MEICO COT 36610012216</t>
  </si>
  <si>
    <t>Pago Solaire fac 21913</t>
  </si>
  <si>
    <t>C. Inversores</t>
  </si>
  <si>
    <t>Pago Solaire fac 21680</t>
  </si>
  <si>
    <t>Pago Solaire fac 21718</t>
  </si>
  <si>
    <t xml:space="preserve">Paneles </t>
  </si>
  <si>
    <t>Pago Solaire fac 21722</t>
  </si>
  <si>
    <t>Pago Solaire fac 21747</t>
  </si>
  <si>
    <t>Pago Solaire fac 21787</t>
  </si>
  <si>
    <t>Pago Solaire fac 21863</t>
  </si>
  <si>
    <t>Pago Solaire fac 21931</t>
  </si>
  <si>
    <t>Pago Solaire fac 22047</t>
  </si>
  <si>
    <t>Pago Solaire fac 22105</t>
  </si>
  <si>
    <t>Pago Solaire fac 22189</t>
  </si>
  <si>
    <t>Pago arriendo WEWORK WC 109816</t>
  </si>
  <si>
    <t>Conector LT recto</t>
  </si>
  <si>
    <t>Transporte Ida y vuelta retiro Caja menor daviplata</t>
  </si>
  <si>
    <t>Transporte terminal Aguaclara</t>
  </si>
  <si>
    <t xml:space="preserve">Pintura aerosol naranja y azul </t>
  </si>
  <si>
    <t>adaptador EMT 2"</t>
  </si>
  <si>
    <t>Hielo</t>
  </si>
  <si>
    <t>Adaptador, curva y bornas</t>
  </si>
  <si>
    <t>Estuco Tradicional</t>
  </si>
  <si>
    <t>Paral  Galbanizado</t>
  </si>
  <si>
    <t>Lamina Board, Masilla, Cinta</t>
  </si>
  <si>
    <t>Transporte Drywall y compras Pared</t>
  </si>
  <si>
    <t>Tornillos y chazos</t>
  </si>
  <si>
    <t xml:space="preserve">Grapa Galvanizada </t>
  </si>
  <si>
    <t>Torno rosca 1/2</t>
  </si>
  <si>
    <t>Transporte Cali-Tulua</t>
  </si>
  <si>
    <t>Transporte Lacteos Centro Comprar material</t>
  </si>
  <si>
    <t>Transporte Lacteos Centro levar material</t>
  </si>
  <si>
    <t>Canal 90 galvanizada</t>
  </si>
  <si>
    <t>Lija, Cinta y Vinilo</t>
  </si>
  <si>
    <t>Venta de adhesivo</t>
  </si>
  <si>
    <t>Bushing; Caja Radwellt y tornillos</t>
  </si>
  <si>
    <t>Tapa empaque Radwelt</t>
  </si>
  <si>
    <t>Borna Terminal</t>
  </si>
  <si>
    <t>Rosca 2"</t>
  </si>
  <si>
    <t>Adaptador y prensaestopa</t>
  </si>
  <si>
    <t xml:space="preserve">Aerosol, conector recto y coraza americana </t>
  </si>
  <si>
    <t xml:space="preserve">Transporte tula primeros auxilios </t>
  </si>
  <si>
    <t>Abrazadera ajustable</t>
  </si>
  <si>
    <t xml:space="preserve">Cortes tubos </t>
  </si>
  <si>
    <t>Conduletas, tubos y curvas</t>
  </si>
  <si>
    <t>transporte aguaclara terminal</t>
  </si>
  <si>
    <t>Bolsas basura</t>
  </si>
  <si>
    <t xml:space="preserve">Pago a GRUPO RECORDAR </t>
  </si>
  <si>
    <t>Pago cartera Leasing cuota 9/36</t>
  </si>
  <si>
    <t xml:space="preserve">Pago tiquete avianca Juan Manuel </t>
  </si>
  <si>
    <t>Pago firma biometrica y autenticcion juan manuel</t>
  </si>
  <si>
    <t>Pago tiquete Latam pasto medellin</t>
  </si>
  <si>
    <t xml:space="preserve">Hasta aquí presupuesto </t>
  </si>
  <si>
    <t xml:space="preserve">Compra en mercpago*jetsmart tiquetes aereos </t>
  </si>
  <si>
    <t>Ingreso mantenimiento Cinar sistemas</t>
  </si>
  <si>
    <t>Pago anticipo a programa de Fundacion Bancolombia "Fortalecimiento empresarial"</t>
  </si>
  <si>
    <t>Pago a CONSTRU ENERGY R.C. S.A.S FVE 9</t>
  </si>
  <si>
    <t>Retencion fte 4% CONSTRU ENERGY R.C. S.A.S FVE 9</t>
  </si>
  <si>
    <t>Pago a FERRIOBRAS EGT43641</t>
  </si>
  <si>
    <t>Pago a MELBA LIGIA MONCAYO LA FERRO RM 4287</t>
  </si>
  <si>
    <t>Pago a SURA 033000014698 - 10331004426</t>
  </si>
  <si>
    <t>Pago a SURA 13001015224-10131559983</t>
  </si>
  <si>
    <t>Pago a SURA 12004269791-10121793103</t>
  </si>
  <si>
    <t>Pago a SURA 13001015569-14120674</t>
  </si>
  <si>
    <t>Granja Evolti 1</t>
  </si>
  <si>
    <t>Pago a SURA 12004271195-16559411</t>
  </si>
  <si>
    <t>Pago a FREDY ALEXANDER LOPEZ MONDRAGON HABITAT  FECO 486</t>
  </si>
  <si>
    <t>Pago a FREDY ALEXANDER LOPEZ MONDRAGON HABITAT  FECO 487 VALLAS</t>
  </si>
  <si>
    <t>Pago a ADILAB IPS FEML 21429</t>
  </si>
  <si>
    <t>Pago a TABLEROS ELECTRICOS TABLESA  TA264-25 ANTICIPO 50%</t>
  </si>
  <si>
    <t>Pago a LUZ ADRIANA FERNANDEZ MONDRAGON FEHA-5076 POPAYAN</t>
  </si>
  <si>
    <t>Pago UPME proyecto Turin</t>
  </si>
  <si>
    <t>Pago a WEG COLOMBIA S.A.S. OFERTA 1092</t>
  </si>
  <si>
    <t xml:space="preserve">Pago a Jerfeson Daza </t>
  </si>
  <si>
    <t>Pago a TIGO Plan celular</t>
  </si>
  <si>
    <t xml:space="preserve">Pago servicio de energia Cedenar </t>
  </si>
  <si>
    <t>Pago servicio de agua y acueducto Empopasto/Emas</t>
  </si>
  <si>
    <t>Pago a DIANA PATRICIA LOPEZ JURADO CUANTA DE COBRO N. 2 ANTICIPO</t>
  </si>
  <si>
    <t>Pago a MALLIESA FVE 462</t>
  </si>
  <si>
    <t>Retencion fte 3,5% MALLIESA FVE 462</t>
  </si>
  <si>
    <t>Retencion ica 6*1000 MALLIESA FVE 462</t>
  </si>
  <si>
    <t>Pago fac IMPECOL FC 2192</t>
  </si>
  <si>
    <t>Pago a SOCIEDAD SERVICIOS ELECTRICOS Y ELECTRONICA DE POTENCIA SAS 250310-0301</t>
  </si>
  <si>
    <t>Retencion 11% SOCIEDAD SERVICIOS ELECTRICOS Y ELECTRONICA DE POTENCIA SAS 250310-0301</t>
  </si>
  <si>
    <t>Pago  PROTECTO FED 4652</t>
  </si>
  <si>
    <t>Pago a JOHNNY MAURICIO CEBALLOS BASTIDAS  JMCB 69</t>
  </si>
  <si>
    <t>Retencion ica 6*1000 JOHNNY MAURICIO CEBALLOS BASTIDAS  JMCB 69</t>
  </si>
  <si>
    <t>Pago a BERNANDO MIGUEL BASTIDAS BASTIDAS COT SEÑAL GRAFICA</t>
  </si>
  <si>
    <t>Retencion ica 6*1000 BERNANDO MIGUEL BASTIDAS BASTIDAS COT SEÑAL GRAFICA</t>
  </si>
  <si>
    <t>Pago a BERNANDO MIGUEL BASTIDAS BASTIDAS COT SEÑAL GRAFICA SERVICIO DE CORTE</t>
  </si>
  <si>
    <t>Retencion ica 6*1000 BERNANDO MIGUEL BASTIDAS BASTIDAS COT SEÑAL GRAFICA SERVICIO DE CORTE</t>
  </si>
  <si>
    <t>Pago a CAMARA DE COMERCIO MEDELLIN</t>
  </si>
  <si>
    <t>Pago alimentacion personal MARCOS DANIEL OJEDA ALIMENTACION 234 COMIDAS</t>
  </si>
  <si>
    <t>Retencion fte 3,5% MARCOS DANIEL OJEDA ALIMENTACION 234 COMIDAS</t>
  </si>
  <si>
    <t xml:space="preserve">Pago a ULDARICO NARVAEZ GOMEZ COMPLEJO TURISTICO TIERRA DEL SOL PAGO FINAL 50% </t>
  </si>
  <si>
    <t xml:space="preserve">Retencion fte 3,5% ULDARICO NARVAEZ GOMEZ COMPLEJO TURISTICO TIERRA DEL SOL PAGO FINAL 50% </t>
  </si>
  <si>
    <t>Pago DIAN RETEFUENTE ABRIL 2025</t>
  </si>
  <si>
    <t>Pago a DIAN RETE IVA ABRIL 2025</t>
  </si>
  <si>
    <t>Pago a URBAN-ARQ S.A.S COMPRA COT 251543</t>
  </si>
  <si>
    <t>Retencion al iva URBAN-ARQ S.A.S COMPRA COT 251543</t>
  </si>
  <si>
    <t>Pago a URBAN-ARQ S.A.S TRANSPORTE COT 251543</t>
  </si>
  <si>
    <t>Pago a AVIA LEGAL  FC-10145</t>
  </si>
  <si>
    <t>Pago a TAG MARKETING DIGITAL S.A.S. FEM 1118</t>
  </si>
  <si>
    <t>Pago a CORPORACION CLUB CAMPESTRE DE POPAYAN EVEN 1269 (evento ventas)</t>
  </si>
  <si>
    <t>Pago cuenta de cobro WILIAN ANDRES BASANTE</t>
  </si>
  <si>
    <t>Pago a SURTIEQUIPOS FEV 4388</t>
  </si>
  <si>
    <t>Pago a SERVIMETERS INSP-RET-182581-2025 SM 58671</t>
  </si>
  <si>
    <t>Pago cuenta de cobro BRAJAN STEVE MORALES HERNANDEZ</t>
  </si>
  <si>
    <t>Pago tiquete Avianca Pasto-Medellin Marcela Reyes</t>
  </si>
  <si>
    <t>Pago Comision y saldo Daniel Fernando Medina</t>
  </si>
  <si>
    <t xml:space="preserve">Pago a SEGURIDAD DEL SUR COT CM-016715 </t>
  </si>
  <si>
    <t>Pago a SERVIMETERS INSP-RET-182584-2025 SM-58672</t>
  </si>
  <si>
    <t>Pago upme proyecto Lyra</t>
  </si>
  <si>
    <t>Pago upme proyecto Orbis</t>
  </si>
  <si>
    <t xml:space="preserve">Pago arriendo oficina Cali JUAN DE LA ROSA MUÑOZ </t>
  </si>
  <si>
    <t>Pago a AMARA NET ZERO SALDO FECA 3416</t>
  </si>
  <si>
    <t>Pago liquidacio laboral YEINSON ANDRES GUAQUEZ JURADO</t>
  </si>
  <si>
    <t xml:space="preserve">Pago a SEGURIDAD DEL SUR COT CM-016720 </t>
  </si>
  <si>
    <t xml:space="preserve">Pago a SUPERINTENDENCIA DE NOTARIADO Y REGISTRO </t>
  </si>
  <si>
    <t>Retencion fte 11%  SOCIEDAD SERVICIOS ELECTRICOS Y ELECTRONICA DE POTENCIA SAS</t>
  </si>
  <si>
    <t>Pago cuenta de cobro Wilian Andres Basante</t>
  </si>
  <si>
    <t>Pago a LUIS CAMILO PATIÑO ALPALA ANTICIPO 50%</t>
  </si>
  <si>
    <t>Pago a MAQUINARIA Y CONSTRUCCIONES PASTO SAS FEVM 24</t>
  </si>
  <si>
    <t>Pago a MARIANA ESCOBAR SANCHEZ HOTEL BRISAS DEL RIO</t>
  </si>
  <si>
    <t>Retencion fte 3,5% MARIANA ESCOBAR SANCHEZ HOTEL BRISAS DEL RIO</t>
  </si>
  <si>
    <t>Pago arrendamiento bodega a JAIME ABELARDO DORADO DELGADO</t>
  </si>
  <si>
    <t>Retencion fte 3,5% JAIME ABELARDO DORADO DELGADO</t>
  </si>
  <si>
    <t>Retencion ica 6*1000 JAIME ABELARDO DORADO DELGADO</t>
  </si>
  <si>
    <t>Danna Armero</t>
  </si>
  <si>
    <t>Transporte retorno a la</t>
  </si>
  <si>
    <t>Union Nariño Jairo Cañizares</t>
  </si>
  <si>
    <t>Transporte hacia terminal mixto</t>
  </si>
  <si>
    <t>Transporte Pasto - Remolino</t>
  </si>
  <si>
    <t>Refrigerio personal - capacitación</t>
  </si>
  <si>
    <t>Alimentacion Veronica y Daniel</t>
  </si>
  <si>
    <t>Pago combustible Daniel visita a ipiales</t>
  </si>
  <si>
    <t xml:space="preserve">Peaje el placer </t>
  </si>
  <si>
    <t xml:space="preserve">Transporte visita a Delta </t>
  </si>
  <si>
    <t>Transporte visita a Polaris</t>
  </si>
  <si>
    <t>Hidratacion visita Minigranjas</t>
  </si>
  <si>
    <t xml:space="preserve">Refrgeirio Capacitacion ambiental personal </t>
  </si>
  <si>
    <t>Compra materiales para actividad ludica</t>
  </si>
  <si>
    <t>ACPM PARA PLANTA ELECTRICA</t>
  </si>
  <si>
    <t>GASOLINA PARA AHOYADORA MECANICA</t>
  </si>
  <si>
    <t>3 BOTELLONES NUEVOS + RECARGA</t>
  </si>
  <si>
    <t>ALQUILER MOTOBOMBA X 2 DIAS</t>
  </si>
  <si>
    <t>ACCESORIOS DE INSTALACION INTERNA PARA CAJA DC</t>
  </si>
  <si>
    <t>TRANSPORTE DETALLES DIA DE LA MADRE REMOLINO-MERCADERES</t>
  </si>
  <si>
    <t>Pago guia de servientrega Documentos sst</t>
  </si>
  <si>
    <t>Pago alimentacion En el Nopal Carolina Cardona</t>
  </si>
  <si>
    <t>Pago transporte Jorge Luis Niño curso de alturas pasto</t>
  </si>
  <si>
    <t>Pago alimentacion Albeiro España curso de alturas pasto</t>
  </si>
  <si>
    <t>Pago Alimentacion Jorge Luis Niño curso de alturas pasto</t>
  </si>
  <si>
    <t>Pago a INGENIERIA Y SOLUCIONES (materiales)</t>
  </si>
  <si>
    <t>Recepcion pago final Unicentro</t>
  </si>
  <si>
    <t>Recepcion pago V1501 propiedad horizontal</t>
  </si>
  <si>
    <t>Recepcion pago Edificio Novacentro</t>
  </si>
  <si>
    <t>Recepcion pago El Troje</t>
  </si>
  <si>
    <t>Recepcion pago final Asociacion para el desarrollo campesino</t>
  </si>
  <si>
    <t xml:space="preserve">Recepcion Pago fac Happina </t>
  </si>
  <si>
    <t>Recepcion pago fac edificio gran avenida</t>
  </si>
  <si>
    <t>Transporte nico</t>
  </si>
  <si>
    <t>Tanqueo transporte sebas</t>
  </si>
  <si>
    <t>Transporte sebas</t>
  </si>
  <si>
    <t>Transporte material Tulúa - Puerto Tejada</t>
  </si>
  <si>
    <t>Transporte desde terminal de cali</t>
  </si>
  <si>
    <t>Transporte tanqueo nicolas</t>
  </si>
  <si>
    <t>Tanqueo gasolina nico visita palmira</t>
  </si>
  <si>
    <t>inversión Evolti en NAOS GENERACION SAS</t>
  </si>
  <si>
    <t>inversión Evolti en GRANJA SOLAR DELTA SAS ESP</t>
  </si>
  <si>
    <t>inversión Evolti en LYRA GENERACION SAS ESP</t>
  </si>
  <si>
    <t>inversión Evolti en GRANJAS SOLARES VEGA SAS ESP</t>
  </si>
  <si>
    <t>Vega</t>
  </si>
  <si>
    <t>inversion VEGA</t>
  </si>
  <si>
    <t>inversión Evolti en GRANJA SOLAR POLARIS 2 SAS</t>
  </si>
  <si>
    <t>inversión Evolti en GRANJA SOLARIS POLARIS 3 SAS</t>
  </si>
  <si>
    <t>Rosca 1/2"</t>
  </si>
  <si>
    <t xml:space="preserve">Tornillos y grapas </t>
  </si>
  <si>
    <t>Hidratación y bolsas</t>
  </si>
  <si>
    <t>Tornillos y canaleta</t>
  </si>
  <si>
    <t>Transporte Tulua - Cali</t>
  </si>
  <si>
    <t>Bisagra 2"</t>
  </si>
  <si>
    <t>Transporte sergio Zambrano</t>
  </si>
  <si>
    <t>Transporte IPS tulúa-terminal tulúa</t>
  </si>
  <si>
    <t>Alimentación cena</t>
  </si>
  <si>
    <t xml:space="preserve">Hielo e Hidratación </t>
  </si>
  <si>
    <t>Brocha 4"</t>
  </si>
  <si>
    <t>Servicio taxí</t>
  </si>
  <si>
    <t>Casco de seguridad</t>
  </si>
  <si>
    <t>Domicilio Casco de seguridad</t>
  </si>
  <si>
    <t>Transporte taxi</t>
  </si>
  <si>
    <t xml:space="preserve">Vinilo, varsol y trafico amarillo </t>
  </si>
  <si>
    <t xml:space="preserve">Perfil metálico </t>
  </si>
  <si>
    <t>Casco y guantes de seguridad</t>
  </si>
  <si>
    <t>Pintura verde bosque</t>
  </si>
  <si>
    <t>Cable # 12</t>
  </si>
  <si>
    <t>Transporte hotel-terminal</t>
  </si>
  <si>
    <t>Transporte jardin plaza</t>
  </si>
  <si>
    <t>Transporte oficina Evolti Popayán</t>
  </si>
  <si>
    <t>Transporte cali-popayan</t>
  </si>
  <si>
    <t>Recepcion pago la Cali</t>
  </si>
  <si>
    <t>Recepcion pago Estructuras de Nariño</t>
  </si>
  <si>
    <t>Recepcion incpacidad Orlando Diaz Lopez</t>
  </si>
  <si>
    <t>Recepcion desembolso credito evolti</t>
  </si>
  <si>
    <t>PAGO 1ERA QUINCENA MAYO  SANDRA CAROLINA PATASCOY BOTINA</t>
  </si>
  <si>
    <t>PAGO 1ERA QUINCENA MAYO  YULY ANDREA JARAMILLO GUERRERO</t>
  </si>
  <si>
    <t>PAGO 1ERA QUINCENA MAYO  LOREN ALEJANDRA DIAZ YAMPUEZAN</t>
  </si>
  <si>
    <t xml:space="preserve">PAGO 1ERA QUINCENA MAYO  MARIA FERNANDA CHAMORRO </t>
  </si>
  <si>
    <t>PAGO 1ERA QUINCENA MAYO  JUAN CARLOS CAÑAR POTOSI</t>
  </si>
  <si>
    <t>PAGO 1ERA QUINCENA MAYO  JUAN JOSE NARVEAEZ</t>
  </si>
  <si>
    <t>PAGO 1ERA QUINCENA MAYO  JUAN CAMILO GARCIA SOUZA</t>
  </si>
  <si>
    <t>PAGO 1ERA QUINCENA MAYO  CINDY JOHANA CARLOSAMA HERNANDEZ</t>
  </si>
  <si>
    <t>PAGO 1ERA QUINCENA MAYO  JUAN ESTEBAN IBARRA CAMUES</t>
  </si>
  <si>
    <t xml:space="preserve">PAGO 1ERA QUINCENA MAYO  SARA LUCIA DAZA LOPEZ </t>
  </si>
  <si>
    <t>PAGO 1ERA QUINCENA MAYO  JULLY PAOLA AGUDELO BAEZ</t>
  </si>
  <si>
    <t>PAGO 1ERA QUINCENA MAYO  ASTRID CAROLINA DIAZ LOPEZ</t>
  </si>
  <si>
    <t xml:space="preserve">PAGO 1ERA QUINCENA MAYO  CAROLINA CARDONA PAREJA </t>
  </si>
  <si>
    <t>PAGO 1ERA QUINCENA MAYO  ANDRES FELIPE DELGADO ZUTTA</t>
  </si>
  <si>
    <t>PAGO 1ERA QUINCENA MAYO  LEIBNITZ EDUARDO CHANA CALDERON</t>
  </si>
  <si>
    <t xml:space="preserve">PAGO 1ERA QUINCENA MAYO  WILSON ALEJANDRO MORA ERAZO </t>
  </si>
  <si>
    <t xml:space="preserve">PAGO 1ERA QUINCENA MAYO  JHON ALEXANDER GELPUD ZAMORA </t>
  </si>
  <si>
    <t xml:space="preserve">PAGO 1ERA QUINCENA MAYO  RUBEN DARIO ESPINOSA PARRA </t>
  </si>
  <si>
    <t>PAGO 1ERA QUINCENA MAYO  JORGE ANDRES BARRERA YANDAR</t>
  </si>
  <si>
    <t>PAGO 1ERA QUINCENA MAYO  JOY JAMIT MOSQUERA ORDOÑEZ</t>
  </si>
  <si>
    <t>PAGO 1ERA QUINCENA MAYO  WIILLIAM ALBERTO AZA CRIOLLO</t>
  </si>
  <si>
    <t>PAGO 1ERA QUINCENA MAYO  IVAN DARIO CAICEDO CALVACHE</t>
  </si>
  <si>
    <t>PAGO 1ERA QUINCENA MAYO  JERSON ALEXIS GOMEZ ACOSTA</t>
  </si>
  <si>
    <t xml:space="preserve">PAGO 1ERA QUINCENA MAYO  MARTIN ALONSO SOSSA AGUIRRE </t>
  </si>
  <si>
    <t xml:space="preserve">PAGO 1ERA QUINCENA MAYO  JOSE JULIAN OCAMPO URIBE </t>
  </si>
  <si>
    <t>PAGO 1ERA QUINCENA MAYO  JOSE ALVEIRO CUSIS HERNANDEZ</t>
  </si>
  <si>
    <t>PAGO 1ERA QUINCENA MAYO  MARIO ALEXANDER CUSIS HERNANDEZ</t>
  </si>
  <si>
    <t xml:space="preserve">PAGO 1ERA QUINCENA MAYO  CRISTIAN ANDRES CHITAN </t>
  </si>
  <si>
    <t xml:space="preserve">PAGO 1ERA QUINCENA MAYO  JAVIER GIOVANI YANDUN INAGAN </t>
  </si>
  <si>
    <t>PAGO 1ERA QUINCENA MAYO  JOSE RAFAEL RUEDA HERRERA</t>
  </si>
  <si>
    <t xml:space="preserve">PAGO 1ERA QUINCENA MAYO  JUAN ESTEBAN BLANCO QUIROGA </t>
  </si>
  <si>
    <t>PAGO 1ERA QUINCENA MAYO  LUIS ALBERTO ALMEIDA MATABAJOY</t>
  </si>
  <si>
    <t>PAGO 1ERA QUINCENA MAYO  DANGER ESTIVENSON BENAVIDES ORTEGA</t>
  </si>
  <si>
    <t>PAGO 1ERA QUINCENA MAYO  SANDRO ALBEIRO DELGADO MARTINEZ</t>
  </si>
  <si>
    <t>PAGO 1ERA QUINCENA MAYO  HEIMER FAVIAN DAZA DIAZ</t>
  </si>
  <si>
    <t>PAGO 1ERA QUINCENA MAYO  YEFERSON ORLANDO ORTEGA VALLEJO</t>
  </si>
  <si>
    <t>PAGO 1ERA QUINCENA MAYO  BRIAN ALEXANDER PALACIOS ROSERO</t>
  </si>
  <si>
    <t>PAGO 1ERA QUINCENA MAYO  JHONSIN ARLEY ARIAS CEBALLOS</t>
  </si>
  <si>
    <t>PAGO 1ERA QUINCENA MAYO  IVAN CAMILO MENESES ORDOÑEZ</t>
  </si>
  <si>
    <t>PAGO 1ERA QUINCENA MAYO  RODRIGO QUINTERO DIAZ</t>
  </si>
  <si>
    <t>PAGO 1ERA QUINCENA MAYO  ANDRES WILFREDY BASTIDAS GALINDEZ</t>
  </si>
  <si>
    <t>PAGO 1ERA QUINCENA MAYO  RUBEN LOPEZ MUÑOZ</t>
  </si>
  <si>
    <t>PAGO 1ERA QUINCENA MAYO  ROYER IDELVER LOPEZ SOLARTE</t>
  </si>
  <si>
    <t xml:space="preserve">PAGO 1ERA QUINCENA MAYO  JOSE MANUEL LOPEZ OBANDO </t>
  </si>
  <si>
    <t xml:space="preserve">PAGO 1ERA QUINCENA MAYO  EDISON ENRIQUE CANTILLO CORONADO </t>
  </si>
  <si>
    <t>PAGO 1ERA QUINCENA MAYO  DEIMAN JARINSON DAVID MUÑOZ</t>
  </si>
  <si>
    <t>PAGO 1ERA QUINCENA MAYO  DEIBER QUINTERO DIAZ</t>
  </si>
  <si>
    <t>PAGO 1ERA QUINCENA MAYO  JOSE DEL CARMEN GUERRERO BERDUGO</t>
  </si>
  <si>
    <t>PAGO 1ERA QUINCENA MAYO  ALEX DUVAN CIFUENTES PAZ</t>
  </si>
  <si>
    <t>PAGO 1ERA QUINCENA MAYO  BRANDON GUAQUEZ TITISTAR</t>
  </si>
  <si>
    <t xml:space="preserve">PAGO 1ERA QUINCENA MAYO  DANILO JAVIER OJEDA RODRIGUEZ </t>
  </si>
  <si>
    <t xml:space="preserve">PAGO 1ERA QUINCENA MAYO  NORELI SELENA DIAZ JURADO </t>
  </si>
  <si>
    <t>PAGO 1ERA QUINCENA MAYO  ORLANDO DIAZ LOPEZ</t>
  </si>
  <si>
    <t>PAGO 1ERA QUINCENA MAYO  RICARDO HERNAN ORTIZ</t>
  </si>
  <si>
    <t xml:space="preserve">PAGO 1ERA QUINCENA MAYO  KEVIN JONATHAN MONTILLA RIASCOS </t>
  </si>
  <si>
    <t>PAGO 1ERA QUINCENA MAYO  OSCAR IVAN MELENDEZ GARCIA</t>
  </si>
  <si>
    <t>PAGO 1ERA QUINCENA MAYO  DARWIN ANDRES QUINTERO QUINTERO</t>
  </si>
  <si>
    <t>PAGO 1ERA QUINCENA MAYO  JOSE FERNANDO DELGADO GONZALEZ</t>
  </si>
  <si>
    <t>PAGO 1ERA QUINCENA MAYO  JUAN CAMILO BASTIDAS NARVAEZ</t>
  </si>
  <si>
    <t>PAGO 1ERA QUINCENA MAYO  FREDY ALEXANDER RUALES QUIÑOÑEZ</t>
  </si>
  <si>
    <t>PAGO 1ERA QUINCENA MAYO  FRANCISCO LIDER PORTILLA</t>
  </si>
  <si>
    <t>PAGO 1ERA QUINCENA MAYO  SEGUNDO MARCIAL GELPUD BOTINA</t>
  </si>
  <si>
    <t>PAGO 1ERA QUINCENA MAYO  JEFERSON VERGARA MUÑOZ</t>
  </si>
  <si>
    <t>PAGO 1ERA QUINCENA MAYO  YALINER ILVIRA FIGUEROA</t>
  </si>
  <si>
    <t xml:space="preserve">PAGO 1ERA QUINCENA MAYO  DILBER  MAURICIO PAZ ALMEIDA </t>
  </si>
  <si>
    <t>PAGO 1ERA QUINCENA MAYO  WILLIAMS ALFREDO VILLAR MORA</t>
  </si>
  <si>
    <t>PAGO 1ERA QUINCENA MAYO  CARLOS HERNANDO ENRIQUEZ DIAZ</t>
  </si>
  <si>
    <t>PAGO 1ERA QUINCENA MAYO  JIMMI ALEXANDER BURGOS GUERRERO</t>
  </si>
  <si>
    <t>PAGO 1ERA QUINCENA MAYO  ALBEIRO ORLANDO ESPAÑA HERNANDEZ</t>
  </si>
  <si>
    <t>PAGO 1ERA QUINCENA MAYO  EDILFONSO ROSERO CASTILLO</t>
  </si>
  <si>
    <t>PAGO 1ERA QUINCENA MAYO  ALBERT FIGUEROA</t>
  </si>
  <si>
    <t>PAGO 1ERA QUINCENA MAYO  VIVIANA ANDREA AYALA PICHINA</t>
  </si>
  <si>
    <t>PAGO 1ERA QUINCENA MAYO  JAVIER ANDRES RODRIGUEZ SANTIUSTY</t>
  </si>
  <si>
    <t>PAGO 1ERA QUINCENA MAYO  AURO EDILSON ARTEAGA MEZA</t>
  </si>
  <si>
    <t>PAGO 1ERA QUINCENA MAYO  LEIDER LUVER LOPEZ DIAZ</t>
  </si>
  <si>
    <t>PAGO 1ERA QUINCENA MAYO  WILLIAM HERNANDO CASTRO RODRIGUEZ</t>
  </si>
  <si>
    <t>PAGO 1ERA QUINCENA MAYO  HOLMES GALINDEZ VALDEZ</t>
  </si>
  <si>
    <t>PAGO 1ERA QUINCENA MAYO  ALEXANDER MUÑOZ DIAZ</t>
  </si>
  <si>
    <t>PAGO 1ERA QUINCENA MAYO  JOSE DELIO ALMEIDA ALMEIDA</t>
  </si>
  <si>
    <t>PAGO 1ERA QUINCENA MAYO  BRAYAN STIVEN PEREZ QUAQUEZ</t>
  </si>
  <si>
    <t>PAGO 1ERA QUINCENA MAYO  JESUS ALBERTO DIAZ PALACIOS</t>
  </si>
  <si>
    <t>PAGO 1ERA QUINCENA MAYO  LUIS FERNANDO RODRIGUEZ MUÑOZ</t>
  </si>
  <si>
    <t>PAGO 1ERA QUINCENA MAYO  JORGE LUIS LIZCANO NIÑO</t>
  </si>
  <si>
    <t>PAGO 1ERA QUINCENA MAYO  FABIAN OJEDA RODRIGUEZ</t>
  </si>
  <si>
    <t>PAGO 1ERA QUINCENA MAYO  ASTRID VEIDUD LOPEZ NARVAEZ</t>
  </si>
  <si>
    <t>PAGO 1ERA QUINCENA MAYO  ANDI NEISER GALINDEZ DELGADO</t>
  </si>
  <si>
    <t>PAGO 1ERA QUINCENA MAYO  ODELMER DAZA PEREZ</t>
  </si>
  <si>
    <t>PAGO 1ERA QUINCENA MAYO  JUNIOR FEDERICK OCAMPO ESPAÑA</t>
  </si>
  <si>
    <t>PAGO 1ERA QUINCENA MAYO  LUZ IRMA ORTEGA CIFUENTES</t>
  </si>
  <si>
    <t xml:space="preserve">PAGO 1ERA QUINCENA MAYO  DIEGO ANDRES ARAUJO NARVAEZ </t>
  </si>
  <si>
    <t>PAGO 1ERA QUINCENA MAYO  ALVARO HERNAN MONTILLA GONZALEZ</t>
  </si>
  <si>
    <t>PAGO 1ERA QUINCENA MAYO  JUAN GABRIEL TUTISTAR NARVAEZ</t>
  </si>
  <si>
    <t>PAGO 1ERA QUINCENA MAYO  LIBERIO IPIALES ROSERO</t>
  </si>
  <si>
    <t>PAGO 1ERA QUINCENA MAYO  ROMEL MARTINEZ GRIJALBA</t>
  </si>
  <si>
    <t>PAGO 1ERA QUINCENA MAYO  JORGE AURELIO GOMEZ BENAVIDES</t>
  </si>
  <si>
    <t>PAGO 1ERA QUINCENA MAYO  ASTRID CAROLINA RODRIGUEZ RODRIGUEZ</t>
  </si>
  <si>
    <t>PAGO 1ERA QUINCENA MAYO  JAIR ALEXANDER BOLAÑOS CHAVEZ</t>
  </si>
  <si>
    <t>PAGO 1ERA QUINCENA MAYO  MIGUEL ANGEL RAMOS BURGOS</t>
  </si>
  <si>
    <t>PAGO 1ERA QUINCENA MAYO  ESNEIDER ALBERTO VALENCIA GOMEZ</t>
  </si>
  <si>
    <t>PAGO 1ERA QUINCENA MAYO  DUBAN ANDRES CIFUENTES MARTINEZ</t>
  </si>
  <si>
    <t>PAGO 1ERA QUINCENA MAYO  JENER AFRANIO CABRERA DAVID</t>
  </si>
  <si>
    <t>PAGO 1ERA QUINCENA MAYO  MARLON FABIAN BONILLA BOLAÑOS</t>
  </si>
  <si>
    <t xml:space="preserve">PAGO 1ERA QUINCENA MAYO  GERARDO SILVA JANSASOY </t>
  </si>
  <si>
    <t>PAGO 1ERA QUINCENA MAYO  CARLOS ANDRES DAZA BURBANO</t>
  </si>
  <si>
    <t>PAGO 1ERA QUINCENA MAYO  EDWAR FERNANDEZ ORDOÑEZ</t>
  </si>
  <si>
    <t>PAGO 1ERA QUINCENA MAYO  WILMAN MESA ERAZO</t>
  </si>
  <si>
    <t>PAGO 1ERA QUINCENA MAYO  EYDER QUINTERO DIAZ</t>
  </si>
  <si>
    <t>PAGO 1ERA QUINCENA MAYO  ANDERSON MARTINEZ GRIJALBA</t>
  </si>
  <si>
    <t>PAGO 1ERA QUINCENA MAYO  EDINSON JAVIER ORTIZ TORRES</t>
  </si>
  <si>
    <t>PAGO 1ERA QUINCENA MAYO  DANIEL OJEDA FIGUEROA</t>
  </si>
  <si>
    <t>PAGO 1ERA QUINCENA MAYO  JORGE ANDRES HOYOS MARTINEZ</t>
  </si>
  <si>
    <t>PAGO 1ERA QUINCENA MAYO  MAICOL YORDAN RODRIGUEZ OBANDO</t>
  </si>
  <si>
    <t>PAGO 1ERA QUINCENA MAYO  IVAN VILLADA GIL</t>
  </si>
  <si>
    <t>PAGO 1ERA QUINCENA MAYO  MARIO CHAYANNE RIVERA ARAUJO</t>
  </si>
  <si>
    <t>PAGO 1ERA QUINCENA MAYO  WILBER CALDERON FIGUEROA</t>
  </si>
  <si>
    <t>PAGO 1ERA QUINCENA MAYO  STIVEN ANDRES HOYOS CAMPOS</t>
  </si>
  <si>
    <t>PAGO 1ERA QUINCENA MAYO  JULIAN DAVID MARTINEZ RODRIGUEZ</t>
  </si>
  <si>
    <t xml:space="preserve">PAGO 1ERA QUINCENA MAYO  DIEGO FERNANDO TENORIO NUPAN </t>
  </si>
  <si>
    <t>PAGO 1ERA QUINCENA MAYO  CESAR IGNACIO CHACHINOY CRIOLLO</t>
  </si>
  <si>
    <t>PAGO 1ERA QUINCENA MAYO  JESUS HELIER PATIÑO GALLARDO</t>
  </si>
  <si>
    <t>PAGO 1ERA QUINCENA MAYO  MANUEL ALEXANDER ESPINOSA DOMINGUEZ</t>
  </si>
  <si>
    <t>PAGO 1ERA QUINCENA MAYO  JASON STEVEN DIAZ GUEVARA </t>
  </si>
  <si>
    <t>PAGO 1ERA QUINCENA MAYO  OSCAR ANDRES CASTRO BOTINA</t>
  </si>
  <si>
    <t>PAGO 1ERA QUINCENA MAYO  EDWIN LEONARDO MARTINEZ YAQUENO</t>
  </si>
  <si>
    <t>PAGO 1ERA QUINCENA MAYO  ANDRES FERNANDO ESPINOSA GUACALES</t>
  </si>
  <si>
    <t>PAGO 1ERA QUINCENA MAYO  JHORDY STEVEN TRUJILLO GALEANDO</t>
  </si>
  <si>
    <t xml:space="preserve">PAGO 1ERA QUINCENA MAYO  JOHAN SEBASTIAN OVIEDO NIÑAN </t>
  </si>
  <si>
    <t>Pago tiquetes Juan manuel</t>
  </si>
  <si>
    <t xml:space="preserve">Pago alimentacion Juan Manuel visita </t>
  </si>
  <si>
    <t xml:space="preserve">Pago Alojamiento Hotel Guaduas  Juan Manuel visita </t>
  </si>
  <si>
    <t>Alimentacion Juan Manuel en Donkin Donas</t>
  </si>
  <si>
    <t>Compra en tostao café</t>
  </si>
  <si>
    <t>Recepcion pago fac Hotel V1501</t>
  </si>
  <si>
    <t>Pago complementos pasaje Jetsmart</t>
  </si>
  <si>
    <t>Transporte desde remolino-pasto</t>
  </si>
  <si>
    <t>Tiquetes aereos Latam para Moises Ayala Barranquilla-Pasto</t>
  </si>
  <si>
    <t>Tiquetes aereos Latam para Moises Ayala Pasto-Medellin (Integracion)</t>
  </si>
  <si>
    <t>Tiquetes aereos Latam para Moises Ayala Medellin Bucaramanga</t>
  </si>
  <si>
    <t>Tiquete aereo Latam Juan Fernando Paniagua</t>
  </si>
  <si>
    <t xml:space="preserve">Pago a SUPERINTENDENCIA DE NOTARIADO Y REGISTRO 240-203115 </t>
  </si>
  <si>
    <t>Pago a CORPORACION CLUB CAMPESTRE</t>
  </si>
  <si>
    <t>Tiquete aereo Aviana Medellin-Pasto Kelly Alvarez</t>
  </si>
  <si>
    <t>Tiquete aereo Aviana Pasto-Medellin Kelly Alvarez</t>
  </si>
  <si>
    <t>Pago a SODIMAC COLOMBIA SA (Materiales)</t>
  </si>
  <si>
    <t>PAGO TIQUETES CALI-PASTO-PAOLA ARENAS Y JULIO DEAVILA</t>
  </si>
  <si>
    <t>Pago a GRUPO DEFA FEDP 78642 12-05-2025</t>
  </si>
  <si>
    <t>Pago a GRUPO DEFA FEDP 78927 15-05-2025</t>
  </si>
  <si>
    <t>Retencin ica 3*1000  GRUPO DEFA FEDP 78927 15-05-2025</t>
  </si>
  <si>
    <t>Pago a GRUPO DEFA FEDP 79033 16-05-2025</t>
  </si>
  <si>
    <t>Pago a GRUPO DEFA FEDP 78926 15-05-2025</t>
  </si>
  <si>
    <t>Retencion fte 3*1000 GRUPO DEFA FEDP 78926 15-05-2025</t>
  </si>
  <si>
    <t>Pago a GRUPO DEFA FEDP 78382 16-05-2025</t>
  </si>
  <si>
    <t xml:space="preserve">Pago a JORGE HERNAN ATEHORTUA RAMIREZ estudio de Diagnóstico del Potencial </t>
  </si>
  <si>
    <t>Pago a VICTOR HUGO SANCHEZ SUELO Y DISEÑOS FVEP 371</t>
  </si>
  <si>
    <t>Retencion fte 4% VICTOR HUGO SANCHEZ SUELO Y DISEÑOS FVEP 371</t>
  </si>
  <si>
    <t>Retencion ica 6*1000 VICTOR HUGO SANCHEZ SUELO Y DISEÑOS FVEP 371</t>
  </si>
  <si>
    <t>Pago a MAQUITODO SAS 805.012.376-6 FE 162672</t>
  </si>
  <si>
    <t>Pago a TABLESA TA162A-25 SALDO FINAL</t>
  </si>
  <si>
    <t>Retencion fte 2,5% TABLESA TA162A-25 SALDO FINAL</t>
  </si>
  <si>
    <t>Pago a GRUPO DEFA FEDP 78362 07-05-2025</t>
  </si>
  <si>
    <t>Retencion fte 3*1000 GRUPO DEFA FEDP 78362 07-05-2025</t>
  </si>
  <si>
    <t>Pago a MELBA LIGIA MONCAYO LA FERRO RM 4322</t>
  </si>
  <si>
    <t>Retencion fte 6*1000 MELBA LIGIA MONCAYO LA FERRO RM 4322</t>
  </si>
  <si>
    <t>Retencion ica 6*1000 MELBA LIGIA MONCAYO LA FERRO RM 4322</t>
  </si>
  <si>
    <t>Pago a TABLESA TA215-25</t>
  </si>
  <si>
    <t>Retencion fte 2,5% TABLESA TA215-25</t>
  </si>
  <si>
    <t>Pago a BIBIAM PADILLA ZEQUERIA tramites</t>
  </si>
  <si>
    <t>Reintegro a Herman compra en COMPAÑIA DE ALIMENTOS COLOMBIANOS CALCO S.A..</t>
  </si>
  <si>
    <t>Devolucion viaticos Herman Souza</t>
  </si>
  <si>
    <t>Devolucion a Herman compra tiquetes Bogota-Shangai-Pekin-Bogota</t>
  </si>
  <si>
    <t>Pago a CRISTHIAN DAVID IBARRA CABRERA HOTEL LOTO LOT 356 Jorge Lizcano curso de alturas</t>
  </si>
  <si>
    <t>Retencion fte 3,5% CRISTHIAN DAVID IBARRA CABRERA HOTEL LOTO LOT 356 Jorge Lizcano curso de alturas</t>
  </si>
  <si>
    <t>Retencion ica 6*1000 CRISTHIAN DAVID IBARRA CABRERA HOTEL LOTO LOT 356 Jorge Lizcano curso de alturas</t>
  </si>
  <si>
    <t>Pago a CRISTHIAN DAVID IBARRA CABRERA HOTEL LOTO LOT 357 Carolina cardona</t>
  </si>
  <si>
    <t>Retencion fte 3,5% CRISTHIAN DAVID IBARRA CABRERA HOTEL LOTO LOT 357 Carolina cardona</t>
  </si>
  <si>
    <t>Retencion ica 6*1000 CRISTHIAN DAVID IBARRA CABRERA HOTEL LOTO LOT 357 Carolina cardona</t>
  </si>
  <si>
    <t>Pago a ANGELICA MARIA AGREDA AGREDA INDIGO COT 249 servicio de corte</t>
  </si>
  <si>
    <t xml:space="preserve">Pago a INGENIERIA Y SOLUCIONES DE NARIÑO SAS FED 62 </t>
  </si>
  <si>
    <t xml:space="preserve">Retencion fte 4% INGENIERIA Y SOLUCIONES DE NARIÑO SAS FED 62 </t>
  </si>
  <si>
    <t>Pago realizado a CEO ENERGIA oficina popayan</t>
  </si>
  <si>
    <t>Pago a EMERSON RENE CERON ORTEGA ANTICIPO N. 1</t>
  </si>
  <si>
    <t>Pago a MAURICIO ROSERO MATERON Salario</t>
  </si>
  <si>
    <t>Pago a COMPAÑÍA DE ELECTRICIDAD DE TULUA SA ESP CTA DE COBRO- Apertura Y Cierre Cortacircuitos Lácteos Tulua Trafo 65721729</t>
  </si>
  <si>
    <t>Servicios</t>
  </si>
  <si>
    <t>Pago a INGENIERIA Y SOLUCIONES DE NARIÑO SAS FED 59</t>
  </si>
  <si>
    <t>Pago anicipo a AURA MIREY BURBANO DAZA FERROMAC</t>
  </si>
  <si>
    <t>Pago tienda servicio tecnologico EDGAR GIOVANI GELVES PARADA compra dron</t>
  </si>
  <si>
    <t xml:space="preserve">Pago cuenta de cobro a WILIAN ANDRES BASANTE </t>
  </si>
  <si>
    <t xml:space="preserve">Retencion fte 6% WILIAN ANDRES BASANTE </t>
  </si>
  <si>
    <t xml:space="preserve">Retencion ica 6*1000 WILIAN ANDRES BASANTE </t>
  </si>
  <si>
    <t>Pago a ALIA HOSNI VITERI Entrevistas 29 personas</t>
  </si>
  <si>
    <t>PAGO PLANILLA SEGURIDAD SOCIAL ABRIL  JUAN CARLOS CAÑAR POTOSI</t>
  </si>
  <si>
    <t>PAGO PLANILLA SEGURIDAD SOCIAL ABRIL  SARA LUCIA DAZA LOPEZ</t>
  </si>
  <si>
    <t>PAGO PLANILLA SEGURIDAD SOCIAL ABRIL  JULLY PAOLA AGUDELO BAEZ</t>
  </si>
  <si>
    <t>PAGO PLANILLA SEGURIDAD SOCIAL ABRIL  RUBIELA DEL SOCORRO RAMOS PARRA</t>
  </si>
  <si>
    <t>PAGO PLANILLA SEGURIDAD SOCIAL ABRIL  JUAN JOSE NARVAEZ IBARRA</t>
  </si>
  <si>
    <t>PAGO PLANILLA SEGURIDAD SOCIAL ABRIL  HERMANN DAVID SOUZA CUBIDES</t>
  </si>
  <si>
    <t xml:space="preserve">PAGO PLANILLA SEGURIDAD SOCIAL ABRIL  CRISTINA  LASSO </t>
  </si>
  <si>
    <t>PAGO PLANILLA SEGURIDAD SOCIAL ABRIL  YULY ANDREA JARAMILLO GUERRERO</t>
  </si>
  <si>
    <t>PAGO PLANILLA SEGURIDAD SOCIAL ABRIL  PAOLA ANDREA ARENAS MARTINEZ</t>
  </si>
  <si>
    <t>PAGO PLANILLA SEGURIDAD SOCIAL ABRIL  JUAN ESTEBAN IBARRA CAMUES</t>
  </si>
  <si>
    <t>PAGO PLANILLA SEGURIDAD SOCIAL ABRIL  MARIA FERNANDA CHAMORRO CARLOSAMA</t>
  </si>
  <si>
    <t>PAGO PLANILLA SEGURIDAD SOCIAL ABRIL  CINDY JOHANA CARLOSAMA HERNANDEZ</t>
  </si>
  <si>
    <t>PAGO PLANILLA SEGURIDAD SOCIAL ABRIL  CLAUDIA STELLA CORAL ERASO</t>
  </si>
  <si>
    <t>PAGO PLANILLA SEGURIDAD SOCIAL ABRIL  JHOANA MARCELA GERMAN REYES</t>
  </si>
  <si>
    <t>PAGO PLANILLA SEGURIDAD SOCIAL ABRIL  LOREN ALEJANDRA DIAZ YAMPUEZAN</t>
  </si>
  <si>
    <t>PAGO PLANILLA SEGURIDAD SOCIAL ABRIL  LUISA FERNANDA OBANDO VITAR</t>
  </si>
  <si>
    <t>PAGO PLANILLA SEGURIDAD SOCIAL ABRIL  ASTRID CAROLINA DIAZ LOPEZ</t>
  </si>
  <si>
    <t>PAGO PLANILLA SEGURIDAD SOCIAL ABRIL  JUAN MANUEL ESPAÑA FORERO</t>
  </si>
  <si>
    <t>PAGO PLANILLA SEGURIDAD SOCIAL ABRIL  JUAN CAMILO GARCIA SOUZA</t>
  </si>
  <si>
    <t>PAGO PLANILLA SEGURIDAD SOCIAL ABRIL  SANDRA CAROLINA PATASCOY BOTINA</t>
  </si>
  <si>
    <t>PAGO PLANILLA SEGURIDAD SOCIAL ABRIL  JHON EDINSON SANCHEZ CAMACHO</t>
  </si>
  <si>
    <t>PAGO PLANILLA SEGURIDAD SOCIAL ABRIL  CAROLINA  CARDONA PAREJA</t>
  </si>
  <si>
    <t>PAGO PLANILLA SEGURIDAD SOCIAL ABRIL  JULIO HERNANDO BELALCAZAR MURILLO</t>
  </si>
  <si>
    <t>PAGO PLANILLA SEGURIDAD SOCIAL ABRIL  PAOLA ANDREA SEGURA MARTINEZ</t>
  </si>
  <si>
    <t>PAGO PLANILLA SEGURIDAD SOCIAL ABRIL  NESTOR ANDRES ARCINIEGAS VILLAMARIN</t>
  </si>
  <si>
    <t>PAGO PLANILLA SEGURIDAD SOCIAL ABRIL  VERONICA LILIANA SANTACRUZ MENZA</t>
  </si>
  <si>
    <t>PAGO PLANILLA SEGURIDAD SOCIAL ABRIL  WILSON ALEJANDRO MORA ERAZO</t>
  </si>
  <si>
    <t>PAGO PLANILLA SEGURIDAD SOCIAL ABRIL  ANDRES FELIPE DELGADO ZUTTA</t>
  </si>
  <si>
    <t>PAGO PLANILLA SEGURIDAD SOCIAL ABRIL  DIANA ALEJANDRA MERA MUÑOZ</t>
  </si>
  <si>
    <t>PAGO PLANILLA SEGURIDAD SOCIAL ABRIL  IVAN DANIEL MONTILLA CORAL</t>
  </si>
  <si>
    <t>PAGO PLANILLA SEGURIDAD SOCIAL ABRIL  MARIANA  SALDARRIAGA CADAVID</t>
  </si>
  <si>
    <t>PAGO PLANILLA SEGURIDAD SOCIAL ABRIL  MARIA ELENA RIVERA SOTO</t>
  </si>
  <si>
    <t>PAGO PLANILLA SEGURIDAD SOCIAL ABRIL  JOSE ESTEBAN RODRIGUEZ QUINTERO</t>
  </si>
  <si>
    <t>PAGO PLANILLA SEGURIDAD SOCIAL ABRIL  KELLY TATIANA ALVAREZ GARCIA</t>
  </si>
  <si>
    <t>PAGO PLANILLA SEGURIDAD SOCIAL ABRIL  ANA MILENA HENAO GONZALEZ</t>
  </si>
  <si>
    <t>PAGO PLANILLA SEGURIDAD SOCIAL ABRIL  MOISES  RUIZ AYALA</t>
  </si>
  <si>
    <t>PAGO PLANILLA SEGURIDAD SOCIAL ABRIL  GLORIA DANIELA TIMARAN CABRERA</t>
  </si>
  <si>
    <t>PAGO PLANILLA SEGURIDAD SOCIAL ABRIL  ASTRID VEIDUD LOPEZ NARVAEZ</t>
  </si>
  <si>
    <t xml:space="preserve">PAGO PLANILLA SEGURIDAD SOCIAL ABRIL  ALBERT  FIGUEROA </t>
  </si>
  <si>
    <t>PAGO PLANILLA SEGURIDAD SOCIAL ABRIL  JEANCARLO GUILLERMO MONCAYO ANDRADE</t>
  </si>
  <si>
    <t>PAGO PLANILLA SEGURIDAD SOCIAL ABRIL  DILBER MAURICIO PAZ ALMEIDA</t>
  </si>
  <si>
    <t>PAGO PLANILLA SEGURIDAD SOCIAL ABRIL  WILLIAMS ALFREDO VILLAR MORA</t>
  </si>
  <si>
    <t>PAGO PLANILLA SEGURIDAD SOCIAL ABRIL  CARLOS HERNANDO ENRIQUEZ DIAZ</t>
  </si>
  <si>
    <t>PAGO PLANILLA SEGURIDAD SOCIAL ABRIL  JEFERSON  VERGARA MUÑOZ</t>
  </si>
  <si>
    <t>PAGO PLANILLA SEGURIDAD SOCIAL ABRIL  SEGUNDO MARCIAL GELPUD BOTINA</t>
  </si>
  <si>
    <t>PAGO PLANILLA SEGURIDAD SOCIAL ABRIL  JUAN DAVID GRANADA ALVAREZ</t>
  </si>
  <si>
    <t>PAGO PLANILLA SEGURIDAD SOCIAL ABRIL  YALINER  ILVIRA FIGUEROA</t>
  </si>
  <si>
    <t>PAGO PLANILLA SEGURIDAD SOCIAL ABRIL  BRAYAN STIVEN PEREZ GUAQUEZ</t>
  </si>
  <si>
    <t>PAGO PLANILLA SEGURIDAD SOCIAL ABRIL  WILLMAN HERNANDO CASTRO RODRIGUEZ</t>
  </si>
  <si>
    <t>PAGO PLANILLA SEGURIDAD SOCIAL ABRIL  LUIS FERNANDO RODRIGUEZ MUÑOZ</t>
  </si>
  <si>
    <t>PAGO PLANILLA SEGURIDAD SOCIAL ABRIL  VIVIANA ANDREA AYALA PICHINA</t>
  </si>
  <si>
    <t>PAGO PLANILLA SEGURIDAD SOCIAL ABRIL  YOHN JAIRO BENAVIDES CHAMORRO</t>
  </si>
  <si>
    <t>PAGO PLANILLA SEGURIDAD SOCIAL ABRIL  JORGE LUIS LIZCANO NIÑO</t>
  </si>
  <si>
    <t>PAGO PLANILLA SEGURIDAD SOCIAL ABRIL  ODELMER  DAZA PEREZ</t>
  </si>
  <si>
    <t>PAGO PLANILLA SEGURIDAD SOCIAL ABRIL  EDILFONSO  ROSERO CASTILLO</t>
  </si>
  <si>
    <t>PAGO PLANILLA SEGURIDAD SOCIAL ABRIL  LEIDER LUVER LOPEZ DIAZ</t>
  </si>
  <si>
    <t>PAGO PLANILLA SEGURIDAD SOCIAL ABRIL  JAVIER ANDRES RODRIGUEZ SANTIUSTY</t>
  </si>
  <si>
    <t>PAGO PLANILLA SEGURIDAD SOCIAL ABRIL  JOSE DELIO ALMEIDA ALMEIDA</t>
  </si>
  <si>
    <t>PAGO PLANILLA SEGURIDAD SOCIAL ABRIL  ANDI NEISER GALINDEZ DELGADO</t>
  </si>
  <si>
    <t>PAGO PLANILLA SEGURIDAD SOCIAL ABRIL  JESUS ALBERTO DIAZ PALACIOS</t>
  </si>
  <si>
    <t>PAGO PLANILLA SEGURIDAD SOCIAL ABRIL  ALEXANDER  MUÑOZ DIAZ</t>
  </si>
  <si>
    <t>PAGO PLANILLA SEGURIDAD SOCIAL ABRIL  HOLMES  GALINDEZ VALDEZ</t>
  </si>
  <si>
    <t>PAGO PLANILLA SEGURIDAD SOCIAL ABRIL  FABIAN  OJEDA RODRIGUEZ</t>
  </si>
  <si>
    <t>PAGO PLANILLA SEGURIDAD SOCIAL ABRIL  AURO EDILSON ARTEAGA MEZA</t>
  </si>
  <si>
    <t>PAGO PLANILLA SEGURIDAD SOCIAL ABRIL  ALBEIRO ORLANDO ESPAÑA HERNANDEZ</t>
  </si>
  <si>
    <t>PAGO PLANILLA SEGURIDAD SOCIAL ABRIL  CRISTIAN FERNANDO PASTAS CUESTA</t>
  </si>
  <si>
    <t>PAGO PLANILLA SEGURIDAD SOCIAL ABRIL  DIEGO ANDRES ARAUJO NARVAEZ</t>
  </si>
  <si>
    <t>PAGO PLANILLA SEGURIDAD SOCIAL ABRIL  LUZ IRMA ORTEGA CIFUENTES</t>
  </si>
  <si>
    <t>PAGO PLANILLA SEGURIDAD SOCIAL ABRIL  EDERSON  DAZA ARTEAGA</t>
  </si>
  <si>
    <t>PAGO PLANILLA SEGURIDAD SOCIAL ABRIL  MIGUEL ANGEL RAMOS BURGOS</t>
  </si>
  <si>
    <t>PAGO PLANILLA SEGURIDAD SOCIAL ABRIL  ORLANDO  LOPEZ DIAZ</t>
  </si>
  <si>
    <t>PAGO PLANILLA SEGURIDAD SOCIAL ABRIL  SANDRO ALBEIRO DELGADO MARTINEZ</t>
  </si>
  <si>
    <t>PAGO PLANILLA SEGURIDAD SOCIAL ABRIL  RODRIGO  QUINTERO DIAZ</t>
  </si>
  <si>
    <t>PAGO PLANILLA SEGURIDAD SOCIAL ABRIL  JIMMI ALEXANDER BURGOS GUERRERO</t>
  </si>
  <si>
    <t>PAGO PLANILLA SEGURIDAD SOCIAL ABRIL  RUBEN  LOPEZ MUÑOZ</t>
  </si>
  <si>
    <t>PAGO PLANILLA SEGURIDAD SOCIAL ABRIL  OSCAR IVAN MELENDEZ GARCIA</t>
  </si>
  <si>
    <t>PAGO PLANILLA SEGURIDAD SOCIAL ABRIL  JHONSIN ARLEY ARIAS CEBALLOS</t>
  </si>
  <si>
    <t>PAGO PLANILLA SEGURIDAD SOCIAL ABRIL  DANGER ESTIVENSON BENAVIDES ORTEGA</t>
  </si>
  <si>
    <t>PAGO PLANILLA SEGURIDAD SOCIAL ABRIL  ANDRES WILFREDY BASTIDAS GALINDEZ</t>
  </si>
  <si>
    <t>PAGO PLANILLA SEGURIDAD SOCIAL ABRIL  BRANDON  GUAQUEZ TITISTAR</t>
  </si>
  <si>
    <t>PAGO PLANILLA SEGURIDAD SOCIAL ABRIL  DANILO JAVIER OJEDA RODRIGUEZ</t>
  </si>
  <si>
    <t>PAGO PLANILLA SEGURIDAD SOCIAL ABRIL  JOSE DEL CARMEN GUERRERO BERDUGO</t>
  </si>
  <si>
    <t>PAGO PLANILLA SEGURIDAD SOCIAL ABRIL  YEINSON ANDRES GUAQUEZ JURADO</t>
  </si>
  <si>
    <t>PAGO PLANILLA SEGURIDAD SOCIAL ABRIL  LUIS ALBERTO ALMEIDA MATABAJOY</t>
  </si>
  <si>
    <t>PAGO PLANILLA SEGURIDAD SOCIAL ABRIL  JUAN ESTEBAN BLANCO QUIROGA</t>
  </si>
  <si>
    <t>PAGO PLANILLA SEGURIDAD SOCIAL ABRIL  KEVIN JONATAN MONTILLA RIAZCO</t>
  </si>
  <si>
    <t>PAGO PLANILLA SEGURIDAD SOCIAL ABRIL  RUBEN DARIO SILVA RODRIGUEZ</t>
  </si>
  <si>
    <t>PAGO PLANILLA SEGURIDAD SOCIAL ABRIL  ALEX DUVAN CIFUENTES PAZ</t>
  </si>
  <si>
    <t>PAGO PLANILLA SEGURIDAD SOCIAL ABRIL  DEIMAN JARINSON DAVID MUÑOZ</t>
  </si>
  <si>
    <t>PAGO PLANILLA SEGURIDAD SOCIAL ABRIL  IVAN CAMILO MENESES ORDOÑEZ</t>
  </si>
  <si>
    <t>PAGO PLANILLA SEGURIDAD SOCIAL ABRIL  NORELI SELENA DIAZ JURADO</t>
  </si>
  <si>
    <t>PAGO PLANILLA SEGURIDAD SOCIAL ABRIL  EDINSON ENRIQUE CANTILLO CORONADO</t>
  </si>
  <si>
    <t xml:space="preserve">PAGO PLANILLA SEGURIDAD SOCIAL ABRIL  RICARDO HERNAN ORTIZ </t>
  </si>
  <si>
    <t>PAGO PLANILLA SEGURIDAD SOCIAL ABRIL  ALEXANDER DAVID BETANCOURT CARVAJAL</t>
  </si>
  <si>
    <t>PAGO PLANILLA SEGURIDAD SOCIAL ABRIL  ROYER IDELVER LOPEZ SOLARTE</t>
  </si>
  <si>
    <t>PAGO PLANILLA SEGURIDAD SOCIAL ABRIL  DEIBER  QUINTERO DIAZ</t>
  </si>
  <si>
    <t>PAGO PLANILLA SEGURIDAD SOCIAL ABRIL  JOSE MANUEL LOPEZ OBANDO</t>
  </si>
  <si>
    <t>PAGO PLANILLA SEGURIDAD SOCIAL ABRIL  RUBEN DARIO ESPINOSA PARRA</t>
  </si>
  <si>
    <t>PAGO PLANILLA SEGURIDAD SOCIAL ABRIL  JORGE ANDRES BARRERA YANDAR</t>
  </si>
  <si>
    <t>PAGO PLANILLA SEGURIDAD SOCIAL ABRIL  JHON ALEXANDER GELPUD ZAMORA</t>
  </si>
  <si>
    <t>PAGO PLANILLA SEGURIDAD SOCIAL ABRIL  JOY JAMIT MOSQUERA ORDOÑEZ</t>
  </si>
  <si>
    <t>PAGO PLANILLA SEGURIDAD SOCIAL ABRIL  WILLIAM ALBERTO AZA CRIOLLO</t>
  </si>
  <si>
    <t>PAGO PLANILLA SEGURIDAD SOCIAL ABRIL  IVAN DARIO CAICEDO CALVACHE</t>
  </si>
  <si>
    <t>PAGO PLANILLA SEGURIDAD SOCIAL ABRIL  JOSE ALVEIRO CUSIS HERNANDEZ</t>
  </si>
  <si>
    <t>PAGO PLANILLA SEGURIDAD SOCIAL ABRIL  MARIO ALEXANDER CUSIS HERNANDEZ</t>
  </si>
  <si>
    <t>PAGO PLANILLA SEGURIDAD SOCIAL ABRIL  JHORDY STEVEN TRUJILLO GALEANO</t>
  </si>
  <si>
    <t>PAGO PLANILLA SEGURIDAD SOCIAL ABRIL  JASON STEVEN DIAZ GUEVARA</t>
  </si>
  <si>
    <t>PAGO PLANILLA SEGURIDAD SOCIAL ABRIL  ANDRES FERNANDO ESPINOSA GUACALES</t>
  </si>
  <si>
    <t>PAGO PLANILLA SEGURIDAD SOCIAL ABRIL  JOHAN SEBASTIAN OVIEDO NIÑAN</t>
  </si>
  <si>
    <t>PAGO PLANILLA SEGURIDAD SOCIAL ABRIL  OSCAR ANDRES CASTRO BOTINA</t>
  </si>
  <si>
    <t>PAGO PLANILLA SEGURIDAD SOCIAL ABRIL  EDWIN LEONARDO MARTINEZ YAQUENO</t>
  </si>
  <si>
    <t>PAGO PLANILLA SEGURIDAD SOCIAL ABRIL  JOSE RAFAEL RUEDA HERRERA</t>
  </si>
  <si>
    <t>PAGO PLANILLA SEGURIDAD SOCIAL ABRIL  MARTIN ALONSO SOSSA AGUIRRE</t>
  </si>
  <si>
    <t>PAGO PLANILLA SEGURIDAD SOCIAL ABRIL  JOSE JULIAN OCAMPO URIBE</t>
  </si>
  <si>
    <t>PAGO PLANILLA SEGURIDAD SOCIAL ABRIL  JERSON ALEXIS GOMEZ ACOSTA</t>
  </si>
  <si>
    <t xml:space="preserve">PAGO PLANILLA SEGURIDAD SOCIAL ABRIL  CRISTIAN ANDRES CHITAN </t>
  </si>
  <si>
    <t>PAGO PLANILLA SEGURIDAD SOCIAL ABRIL  JAVIER GIOVANI YANDUN INAGAN</t>
  </si>
  <si>
    <t>PAGO PLANILLA SEGURIDAD SOCIAL ABRIL  JHONY FERNANDO RIASCOS CEBALLOS</t>
  </si>
  <si>
    <t>PAGO PLANILLA SEGURIDAD SOCIAL ABRIL  ALVARO HERNAN MONTILLA GONZALEZ</t>
  </si>
  <si>
    <t>PAGO PLANILLA SEGURIDAD SOCIAL ABRIL  JUAN GABRIEL TUTISTAR NARVAEZ</t>
  </si>
  <si>
    <t>PAGO PLANILLA SEGURIDAD SOCIAL ABRIL  LIBERIO  IPIALES ROSERO</t>
  </si>
  <si>
    <t>PAGO PLANILLA SEGURIDAD SOCIAL ABRIL  ROMEL  MARTINEZ GRIJALBA</t>
  </si>
  <si>
    <t>PAGO PLANILLA SEGURIDAD SOCIAL ABRIL  JORGE AURELIO GOMEZ BENAVIDES</t>
  </si>
  <si>
    <t>PAGO PLANILLA SEGURIDAD SOCIAL ABRIL  ASTRID CAROLINA RODRIGUEZ RODRIGUEZ</t>
  </si>
  <si>
    <t>PAGO PLANILLA SEGURIDAD SOCIAL ABRIL  JAIR ALEXANDER BOLAÑOS CHAVEZ</t>
  </si>
  <si>
    <t>PAGO PLANILLA SEGURIDAD SOCIAL ABRIL  ESNEIDER ALBERTO VALENCIA GOMEZ</t>
  </si>
  <si>
    <t>PAGO PLANILLA SEGURIDAD SOCIAL ABRIL  DUBAN ANDRES CIFUENTES MARTINEZ</t>
  </si>
  <si>
    <t>PAGO PLANILLA SEGURIDAD SOCIAL ABRIL  JENER AFRANIO CABRERA DAVID</t>
  </si>
  <si>
    <t>PAGO PLANILLA SEGURIDAD SOCIAL ABRIL  MARLON FABIAN BONILLA BOLAÑOS</t>
  </si>
  <si>
    <t>PAGO PLANILLA SEGURIDAD SOCIAL ABRIL  GERARDO  SILVA JANSASOY</t>
  </si>
  <si>
    <t>PAGO PLANILLA SEGURIDAD SOCIAL ABRIL  CARLOS ANDRES DAZA BURBANO</t>
  </si>
  <si>
    <t>PAGO PLANILLA SEGURIDAD SOCIAL ABRIL  EDWAR  FERNANDEZ ORDOÑEZ</t>
  </si>
  <si>
    <t>PAGO PLANILLA SEGURIDAD SOCIAL ABRIL  WILMAN  MESA ERAZO</t>
  </si>
  <si>
    <t>PAGO PLANILLA SEGURIDAD SOCIAL ABRIL  MARIO CHAYANNE RIVERA ARAUJO</t>
  </si>
  <si>
    <t>PAGO PLANILLA SEGURIDAD SOCIAL ABRIL  EYDER  QUINTERO DIAZ</t>
  </si>
  <si>
    <t>PAGO PLANILLA SEGURIDAD SOCIAL ABRIL  ANDERSON  MARTINEZ GRIJALBA</t>
  </si>
  <si>
    <t>PAGO PLANILLA SEGURIDAD SOCIAL ABRIL  JAVIER SEBASTIAN LUCENA VILLARREAL</t>
  </si>
  <si>
    <t>PAGO PLANILLA SEGURIDAD SOCIAL ABRIL  DANNA EVELYN ARMERO ROSERO</t>
  </si>
  <si>
    <t>PAGO PLANILLA SEGURIDAD SOCIAL ABRIL  DANIELA  ARBOLEDA RODRIGUEZ</t>
  </si>
  <si>
    <t>PAGO PLANILLA SEGURIDAD SOCIAL ABRIL  NICOLAS  LOPEZ DULCE</t>
  </si>
  <si>
    <t>PAGO PLANILLA SEGURIDAD SOCIAL ABRIL  DANNA STEFANYA LASSO GUERRA</t>
  </si>
  <si>
    <t>PAGO PLANILLA SEGURIDAD SOCIAL ABRIL  JUAN FERNANDO PANIAGUA OSORIO</t>
  </si>
  <si>
    <t>PAGO PLANILLA SEGURIDAD SOCIAL ABRIL  JORGE ANDRES MUÑOZ MARTINEZ</t>
  </si>
  <si>
    <t>PAGO PLANILLA SEGURIDAD SOCIAL ABRIL  CRISTHIAN CAMILO ROSERO ALVAREZ</t>
  </si>
  <si>
    <t>PAGO PLANILLA SEGURIDAD SOCIAL ABRIL  JUAN SEBASTIAN GOMEZ LEAL</t>
  </si>
  <si>
    <t>PAGO PLANILLA SEGURIDAD SOCIAL ABRIL  HERNAN DARIO CABRERA QUITIAQUEZ</t>
  </si>
  <si>
    <t>PAGO PLANILLA SEGURIDAD SOCIAL ABRIL  SERGIO DAVID ZAMBRANO ESCOBAR</t>
  </si>
  <si>
    <t>PAGO PLANILLA SEGURIDAD SOCIAL ABRIL  LEIBNITZ EDUARDO CHANA CALDERON</t>
  </si>
  <si>
    <t>PAGO PLANILLA SEGURIDAD SOCIAL ABRIL  MIGUEL ALEJANDRO ENRIQUEZ CHAMORRO</t>
  </si>
  <si>
    <t>Pago a NEGAWATT SAS COT-261 SERVICIO (CERTIFICACION DE FRONTERA COMERCIAL)</t>
  </si>
  <si>
    <t xml:space="preserve">Retencion fte 11% NEGAWATT SAS COT-261 </t>
  </si>
  <si>
    <t>Pago a NEGAWATT SAS COT-260 SERVICIO (CERTIFICACION DE FRONTERA COMERCIAL)</t>
  </si>
  <si>
    <t>Retencion fte 11% NEGAWATT SAS COT-260</t>
  </si>
  <si>
    <t>Pago a MARCOS DANIEL OJEDA ALIMENTACION 234 COMIDAS</t>
  </si>
  <si>
    <t>Pago a INGENIERIA EN GALVANIZADOS DE OCCIDENTE SAS INGAL COT  069 - 2025 ANTICIPO 30%</t>
  </si>
  <si>
    <t>Pago cta de cobro DIANA PATRICIA LOPEZ JURADO Alimentacion</t>
  </si>
  <si>
    <t>Retencion fte 4% DIANA PATRICIA LOPEZ JURADO Alimentacion</t>
  </si>
  <si>
    <t>Pago a TABLEROS ELECTRICOS TABLESA TA271-25</t>
  </si>
  <si>
    <t>Retencion fte 1%  TABLEROS ELECTRICOS TABLESA TA271-25</t>
  </si>
  <si>
    <t>Pago a SUAD SAMAAN YOUSEF IBRAHIM NAFI SN 110 alquiler deposito</t>
  </si>
  <si>
    <t>Retencion fte 3,5% SUAD SAMAAN YOUSEF IBRAHIM NAFI SN 110</t>
  </si>
  <si>
    <t>Pago a SUAD SAMAAN YOUSEF IBRAHIM NAFI SN 110 deposito arrendamiento</t>
  </si>
  <si>
    <t>Pago realizado a MAURICIO ROSAERO MATERON Alquiler equipo de fumigación x 2 días (Bomba estacionaria)</t>
  </si>
  <si>
    <t>Retencion fte 4% MAURICIO ROSAERO MATERON</t>
  </si>
  <si>
    <t>Retencion ica 6*1000 MAURICIO ROSAERO MATERON</t>
  </si>
  <si>
    <t xml:space="preserve">Pago realizado a MAURICIO ROSAERO MATERON Honorarios profesionales acompañamiento 
3 días </t>
  </si>
  <si>
    <t>Pago a Mauricio Rosero Compra herbicida Estelar x 4L</t>
  </si>
  <si>
    <t>Pago a Agrico SAS Fact. Electrónica No FVE1 24093</t>
  </si>
  <si>
    <t>Pago a MELBA LIGIA MONCAYO LA FERRO RM 4293</t>
  </si>
  <si>
    <t>Retencion fte 2,5% MELBA LIGIA MONCAYO LA FERRO RM 4293</t>
  </si>
  <si>
    <t>Retencion ica 6*1000 MELBA LIGIA MONCAYO LA FERRO RM 4293</t>
  </si>
  <si>
    <t>Pago a MELBA LIGIA MONCAYO LA FERRO RM 4295</t>
  </si>
  <si>
    <t>Retencion fte 2,5% MELBA LIGIA MONCAYO LA FERRO RM 4295</t>
  </si>
  <si>
    <t>Retencion ica 6*1000 MELBA LIGIA MONCAYO LA FERRO RM 4295</t>
  </si>
  <si>
    <t>Pago a MELBA LIGIA MONCAYO LA FERRO RM 4288</t>
  </si>
  <si>
    <t>Retencion fte 2,5% MELBA LIGIA MONCAYO LA FERRO RM 4288</t>
  </si>
  <si>
    <t>Retencion ica 6*1000 MELBA LIGIA MONCAYO LA FERRO RM 4288</t>
  </si>
  <si>
    <t>Pago a MELBA LIGIA MONCAYO LA FERRO RM 4305</t>
  </si>
  <si>
    <t>Retencion fte 2,5% MELBA LIGIA MONCAYO LA FERRO RM 4305</t>
  </si>
  <si>
    <t>Retencion ica 6*1000 MELBA LIGIA MONCAYO LA FERRO RM 4305</t>
  </si>
  <si>
    <t>Pago a MELBA LIGIA MONCAYO LA FERRO RM 4339</t>
  </si>
  <si>
    <t>Retencion fte 2,5% MELBA LIGIA MONCAYO LA FERRO RM 4339</t>
  </si>
  <si>
    <t>Retencion ica 6*1000 MELBA LIGIA MONCAYO LA FERRO RM 4339</t>
  </si>
  <si>
    <t>Pago a MELBA LIGIA MONCAYO LA FERRO RM 4332</t>
  </si>
  <si>
    <t>Retencion fte 2,5% MELBA LIGIA MONCAYO LA FERRO RM 4332</t>
  </si>
  <si>
    <t>Retencion ica 6*1000 MELBA LIGIA MONCAYO LA FERRO RM 4332</t>
  </si>
  <si>
    <t>Pago a TABLESA TA184-25 progrmacion pruebas electricas</t>
  </si>
  <si>
    <t>Retencion fte 4% TABLESA TA184-25 progrmacion pruebas electricas</t>
  </si>
  <si>
    <t>Pago elaboracion carntes MILTON SANTIAGO RIVERA</t>
  </si>
  <si>
    <t>Pago servicio transporte a TABLESA TA272-25</t>
  </si>
  <si>
    <t>Retencion fte 1% TABLESA TA272-25</t>
  </si>
  <si>
    <t>Pago a TORNIRAP SAS COT 021317</t>
  </si>
  <si>
    <t>Retencion fta 2,5% TORNIRAP SAS COT 021317</t>
  </si>
  <si>
    <t>Pago a SANTIAGO CRISTANCHO VILLEGAS Producción de vídeo vertical Splendor + 6 fotos aéreas y entrevista gerente para Splendor, Cali</t>
  </si>
  <si>
    <t>Pago a PEDRO DANIEL RIASCOS Video Unicentro Pasto</t>
  </si>
  <si>
    <t>Pago a ROSAURA ERAZO ROSERO Alimentacion personal</t>
  </si>
  <si>
    <t>Retencion fte 3,5% ROSAURA ERAZO ROSERO Alimentacion personal</t>
  </si>
  <si>
    <t xml:space="preserve">Pago a MARIANA ESCOBAR SÁNCHEZ - HOTEL BRISAS DEL RIO alimentacion </t>
  </si>
  <si>
    <t xml:space="preserve">Retencion fte 3,5% MARIANA ESCOBAR SÁNCHEZ - HOTEL BRISAS DEL RIO alimentacion </t>
  </si>
  <si>
    <t>Pago a SUPERINTENDENCIA DE NOTARIADO Y REGISTRO 128-11642</t>
  </si>
  <si>
    <t xml:space="preserve">Pago a SUPERINTENDENCIA DE NOTARIADO Y REGISTRO 140-31068 </t>
  </si>
  <si>
    <t>Alimentación visitas Ana Henao Crepes y Wafles SA</t>
  </si>
  <si>
    <t>Transporte visita Ana Henao ASOINTAX</t>
  </si>
  <si>
    <t>Alimentación visitas Ana Henao Organización La Merced SAS</t>
  </si>
  <si>
    <t xml:space="preserve">Alimentación visitas Ana Henao Cristhian David Ibarra </t>
  </si>
  <si>
    <t>Transporte visita Ana Henao COOCHACHAGUI LTDA</t>
  </si>
  <si>
    <t xml:space="preserve">Alimentación visitas Ana Henao Jose Luis Valverde </t>
  </si>
  <si>
    <t xml:space="preserve">Transporte visita Ana Henao ESTACION SERVICIO TERPEL RIO MAYO </t>
  </si>
  <si>
    <t xml:space="preserve">Transporte visita Ana Henao ESTACION DE SERVICIO CORPORACION REMOLINO </t>
  </si>
  <si>
    <t>Alimentación visitas Ana Henao Restaurante sabor con tradición</t>
  </si>
  <si>
    <t>Transporte visita Ana Henao ESTACION DE SERVICIO CORPORACION REMOLINO</t>
  </si>
  <si>
    <t>Alimentación visitas Ana Henao Sabor llanero</t>
  </si>
  <si>
    <t>Alimentación visitas Ana Henao Jose Albeiro Morales</t>
  </si>
  <si>
    <t>Transporte visita Ana Henao Instituto Nacional de Vias</t>
  </si>
  <si>
    <t xml:space="preserve">Transporte visita Ana Henao EDS SERVIAUTOS DEL SUR </t>
  </si>
  <si>
    <t>Alimentación visitas Ana Henao Restaurante Aquí es Quilichao</t>
  </si>
  <si>
    <t xml:space="preserve">Alimentación visitas Ana Henao Andres Urbano Salazar </t>
  </si>
  <si>
    <t>Alimentación visitas Ana Henao Gloria Elena Zutiga</t>
  </si>
  <si>
    <t>Alimentación visitas Ana Henao Argensola Tabares Sanchez</t>
  </si>
  <si>
    <t>Hospedaje Hotel Casa Blanca</t>
  </si>
  <si>
    <t>Hospedaje MIOS SPORT LOS SAMANES</t>
  </si>
  <si>
    <t>Alimentación visitas Ana Henao Elvis Jaramillo</t>
  </si>
  <si>
    <t xml:space="preserve">Transporte visita Ana Henao EDS PINAR DEL RIO </t>
  </si>
  <si>
    <t xml:space="preserve">Transporte visita Ana Henao Instituto Nacional de Vias </t>
  </si>
  <si>
    <t>Alimentación visitas Ana Henao Restaurante Lopez Melendez</t>
  </si>
  <si>
    <t>Alimentación, transporte, hidrataciones, etc sin facturas Ana Milena Henao Gonzalez</t>
  </si>
  <si>
    <t>Pago a SISTEMAS INDUSTRIALES Y SEGURIDAD OCUPACIONAL S.A.S COT 20432 dotacion</t>
  </si>
  <si>
    <t>Pago a SISTEMAS INDUSTRIALES Y SEGURIDAD OCUPACIONAL S.A.S COT 20432 epp</t>
  </si>
  <si>
    <t xml:space="preserve">Pago a FERREMALLAS CALI 380-04-2025 FVFM 561 ANTICIPO 30% </t>
  </si>
  <si>
    <t>Pago a CARLOS ARTEMIO GUERRA SANCHEZ EL DORADO COT-papeleria</t>
  </si>
  <si>
    <t>Pago a EDUARDO ALBEIRO ARTEAGA LOPEZ Busos dotacion</t>
  </si>
  <si>
    <t>Retencion fte 6*1000 EDUARDO ALBEIRO ARTEAGA LOPEZ</t>
  </si>
  <si>
    <t xml:space="preserve">Pago a SURA 33000014710 - 10331004436 </t>
  </si>
  <si>
    <t>Pago a SURA 900000826839-10303269982</t>
  </si>
  <si>
    <t>Pago a SURA 33000014715-10331004444</t>
  </si>
  <si>
    <t xml:space="preserve">Pago a cuenta de cobro JEISON JULIAN IPIALES BENAVIDES </t>
  </si>
  <si>
    <t xml:space="preserve">Pago a Seguros Mundial </t>
  </si>
  <si>
    <t>Pago almuerzos 4 personas visita predio Curiquique remolino</t>
  </si>
  <si>
    <t xml:space="preserve">Pago notaria primera de pasto escritura  </t>
  </si>
  <si>
    <t>Pago transporte Herman Souza visita a Medellin</t>
  </si>
  <si>
    <t xml:space="preserve">Compras elementos de cafeteria e Alkosto </t>
  </si>
  <si>
    <t>Compra Bolsas regalo para el dia de la Madre</t>
  </si>
  <si>
    <t>Cindy</t>
  </si>
  <si>
    <t>Compra detalles a Blanca Ofelia Hernandez</t>
  </si>
  <si>
    <t>Cristhian</t>
  </si>
  <si>
    <t xml:space="preserve">Transporte Terminal de Ipiales - Nava </t>
  </si>
  <si>
    <t>Transporte Nava - Bodega</t>
  </si>
  <si>
    <t>Transporte Bodega - Terminal de Ipiales</t>
  </si>
  <si>
    <t>Transporte Ipiales - Pasto (Cristian Rosero)</t>
  </si>
  <si>
    <t>Hidratadación</t>
  </si>
  <si>
    <t>Transporte Pasto - Remolino - Pasto</t>
  </si>
  <si>
    <t>Caja Dexson 2x4</t>
  </si>
  <si>
    <t>Canaleta plástica</t>
  </si>
  <si>
    <t>Disposición de residuos</t>
  </si>
  <si>
    <t>Aceite quemado</t>
  </si>
  <si>
    <t>Envío regalo día de la madre, trayecto: Pasto - Popayán</t>
  </si>
  <si>
    <t>Envío regalo día de la madre, trayecto: Pasto - Yumbo</t>
  </si>
  <si>
    <t>Recibos de caja menor</t>
  </si>
  <si>
    <t>Envío de guantes para cambio, trayecto: Pasto - Remolino</t>
  </si>
  <si>
    <t>Envío cinta reflectiva, trayecto: Pasto - Cali</t>
  </si>
  <si>
    <t>Toma 15 amp</t>
  </si>
  <si>
    <t>Terminal amarillo tipo pin</t>
  </si>
  <si>
    <t>Envío herramientas y materiales, trayecto: Pasto - Remolino</t>
  </si>
  <si>
    <t>Envío bornas #2, trayecto: Cali - Pasto</t>
  </si>
  <si>
    <t>Envío de herramienta y material para Polaris 1, trayecto: Pasto - Remolino</t>
  </si>
  <si>
    <t>Prensaestopas, 1/2", 11/2"</t>
  </si>
  <si>
    <t>Tornillos tropicalizados</t>
  </si>
  <si>
    <t>Caja octogonal plástica</t>
  </si>
  <si>
    <t>Envío planta eléctrica nueva, trayecto: Pasto - Remolino</t>
  </si>
  <si>
    <t>Envío planta eléctrica y dotación, trayecto: Pasto - Remolino</t>
  </si>
  <si>
    <t>Envío dotación, trayecto: Pasto  - Remolino</t>
  </si>
  <si>
    <t>Prensaestopas 1/2", caja octogonal</t>
  </si>
  <si>
    <t>Envío inversor, EPM y transformador, trayecto: Pasto - Remolino</t>
  </si>
  <si>
    <t>Envío planta eléctrica, trayecto: Remolino - Pasto</t>
  </si>
  <si>
    <t>Envío elementos eléctricos y materiales, trayecto: Pasto - Remolino</t>
  </si>
  <si>
    <t>Envío herramientas desde Polaris 1. Trayecto: Remolino - Pasto</t>
  </si>
  <si>
    <t>Recepcion pago incapacidad Sura</t>
  </si>
  <si>
    <t>Recepcion factura Acuagen</t>
  </si>
  <si>
    <t>Recepcion pago cartera vencidad V1501</t>
  </si>
  <si>
    <t>Recepcion factura Hotel cuellar</t>
  </si>
  <si>
    <t>Recepcion Pago factura Platinum</t>
  </si>
  <si>
    <t>Recepcion pago final proyecto Agropecuaria san Rafael</t>
  </si>
  <si>
    <t>Compra en dunkin don</t>
  </si>
  <si>
    <t>Compra en v1501 sas</t>
  </si>
  <si>
    <t>Alimentacion Juan Manuel Compra en beef maste</t>
  </si>
  <si>
    <t>Pago a dotacion LEIDY DUFRANY LOPEZ ROSERO</t>
  </si>
  <si>
    <t>Pago a FERRESOL COT 5843 EPP</t>
  </si>
  <si>
    <t>Retencion fte 2,5% FERRESOL COT 5843</t>
  </si>
  <si>
    <t>Pago a JMENDOZA EQUIPOS SAS</t>
  </si>
  <si>
    <t>Pago a CANEL ENTRETENIMIENTO FE 39 pago boletas patrocinio evento humor</t>
  </si>
  <si>
    <t>Pago a SUNEO ENERGY SAS COT 19965 ERROR EN PAGO NO SE DEBIO PAGAR SE SOLICITO LA DEVOLUCION CEMENTOS CAUCA</t>
  </si>
  <si>
    <t>Retencion fte 2,5% SUNEO ENERGY SAS COT 19965  SOLICITO LA DEVOLUCION CEMENTOS CAUDA</t>
  </si>
  <si>
    <t>Pago anticipo a EDGAR MONTAÑO GARCIA hotel Fabian Andres Florez</t>
  </si>
  <si>
    <t>Pago a GILBERTO LOPEZ PASTEZ visita predios y prospección predios Nariño-Cauca </t>
  </si>
  <si>
    <t xml:space="preserve">Retencion fte 1% GILBERTO LOPEZ PASTEZ </t>
  </si>
  <si>
    <t>Pago alimentacion y hospedaje MARIANA ESCOBAR SÁNCHEZ - HOTEL BRISAS DEL RIO</t>
  </si>
  <si>
    <t>Pago a MAQUINARIA Y CONSTRUCCIONES PASTO SAS Alquiler Mazcladora Electrica</t>
  </si>
  <si>
    <t>Retencion fte 4% MAQUINARIA Y CONSTRUCCIONES PASTO SAS Alquiler Mazcladora Electrica</t>
  </si>
  <si>
    <t>Pago alimentacion personal DIANA PATRICIA LOPEZ JURADO</t>
  </si>
  <si>
    <t>Retencion fte 3,5% DIANA PATRICIA LOPEZ JURADO</t>
  </si>
  <si>
    <t>Pago a SURELIS TORRES hotel Juanfer Paniagua 21-23 mayo</t>
  </si>
  <si>
    <t>Pago a ALCALDIA DE PASTO impuesto Ica</t>
  </si>
  <si>
    <t>20/05/2025</t>
  </si>
  <si>
    <t>Sin facturas Servicio de desayuno $10.000 Hidratación $5.000</t>
  </si>
  <si>
    <t>Combustuble vehiculo - CWG 953 - (Visita a predios de
Charalá)</t>
  </si>
  <si>
    <t>Cobro de peaje - Los Curos - (Visita a predios Charalá)</t>
  </si>
  <si>
    <t>Cobro de peaje - Curiti - (Visita a predios Charalá)</t>
  </si>
  <si>
    <t>21/05/2025</t>
  </si>
  <si>
    <t>Servicio de habitación - Hotel Liderato
1 Habitación (Noche)</t>
  </si>
  <si>
    <t>Sin facturas Servicio de Cena: $12.000 de la noche del 20 de Mayo
Servicio de desayuno $12.000 del dia 21 de Mayo</t>
  </si>
  <si>
    <t>Servicio de lavado de vehiculo - CWG 953</t>
  </si>
  <si>
    <t>Pago saldo final FERREMALLAS FVFM 560</t>
  </si>
  <si>
    <t>Pago direccion de contenido redes sociales a ALEJANDRA GAVIRIA GOMEZ</t>
  </si>
  <si>
    <t>Pago a SEGURIDAD DEL SUR FEVP-8926</t>
  </si>
  <si>
    <t>Pago a SEGURIDAD DEL SUR FEVP-8927</t>
  </si>
  <si>
    <t>Pago a SEGURIDAD DEL SUR FEMP-58960</t>
  </si>
  <si>
    <t>Pago a DISTRITO E SAS FC 861</t>
  </si>
  <si>
    <t>Retencion iva 15% DISTRITO E SAS FC 861</t>
  </si>
  <si>
    <t>Pago a DISTRITO E SAS FC 862</t>
  </si>
  <si>
    <t>Retencion iva 15% DISTRITO E SAS FC 862</t>
  </si>
  <si>
    <t>Pago a DISTRITO E SAS FC 863</t>
  </si>
  <si>
    <t>Retencion iva 15% DISTRITO E SAS FC 863</t>
  </si>
  <si>
    <t>Pago a DISTRITO E SAS FC 342</t>
  </si>
  <si>
    <t>Retencion iva 15% DISTRITO E SAS FC 342</t>
  </si>
  <si>
    <t>Pago a MARTIN FELIPE GOMAJOA BOTINA</t>
  </si>
  <si>
    <t>Retencion fte 2% MARTIN FELIPE GOMAJOA BOTINA</t>
  </si>
  <si>
    <t>Retencion ica 6*1000 MARTIN FELIPE GOMAJOA BOTINA</t>
  </si>
  <si>
    <t>Pago a HOTEL ALEJANDRO (EVER ENRIQUEZ) hotel personal</t>
  </si>
  <si>
    <t>Retencion fte 3,5% HOTEL ALEJANDRO (EVER ENRIQUEZ)</t>
  </si>
  <si>
    <t xml:space="preserve">Pago a HARRISON STIVEN LOPEZ TENORIO Transporte personal LYRA/ORBIS  (Salida de camioneta Toyoya a 
mantenimiento por KM a la ciudad de Pasto.) </t>
  </si>
  <si>
    <t>Retencion fte 1% HARRISON STIVEN LOPEZ TENORIO Transporte personal</t>
  </si>
  <si>
    <t>Pago a DEFA FEDP 79436</t>
  </si>
  <si>
    <t>Pago a DISTRIBUCIONES ELECTRICAS AC SPA-4000270</t>
  </si>
  <si>
    <t>Pago a MELBA LIGIA MONCAYO LA FERRO RM 4355 MUEBLES Y ENSERES LAMINA MDF</t>
  </si>
  <si>
    <t>Retencion ica 6*1000 MELBA LIGIA MONCAYO LA FERRO RM 4355 MUEBLES Y ENSERES LAMINA MDF</t>
  </si>
  <si>
    <t>Pago a PROTECTO FED 4677</t>
  </si>
  <si>
    <t>Pago a CONSTRU ENERGY PAGO SALDO FINAL</t>
  </si>
  <si>
    <t>Retencion fte 2% al AIU CONSTRU ENERGY PAGO SALDO FINAL</t>
  </si>
  <si>
    <t>Pago a CONSTRU ENERGY PAGO SALDO FINAL FVE 10</t>
  </si>
  <si>
    <t xml:space="preserve">Pago a PROTECTO COT C-3-1616 </t>
  </si>
  <si>
    <t>Pago a HUMBERTO JAVIER ROSERO POTOSI</t>
  </si>
  <si>
    <t>Retencion fte 2% HUMBERTO JAVIER ROSERO POTOSI</t>
  </si>
  <si>
    <t>Retencion ica 6*1000 HUMBERTO JAVIER ROSERO POTOSI</t>
  </si>
  <si>
    <t>Pago a GRUPO SST ARO SOCIEDAD FEVN 1171</t>
  </si>
  <si>
    <t>Pago a ELECTRICOS DEL VALLE COT  SO-737793</t>
  </si>
  <si>
    <t>Pago a DISTRIBUCIONES ELECTRICAS AC PA-00000549</t>
  </si>
  <si>
    <t>Pago a SEBASTIAN GAVIRIA GOMEZ hospedaje Herman</t>
  </si>
  <si>
    <t>Retencion fte 3,5% SEBASTIAN GAVIRIA GOMEZ hospedaje Herman</t>
  </si>
  <si>
    <t>Pago a MELBA LIGIA MONCAYO LA FERRO RM 4347</t>
  </si>
  <si>
    <t>Pago a MELBA LIGIA MONCAYO LA FERRO RM 4312</t>
  </si>
  <si>
    <t>Pago a VICTOR HUGO SANCHEZ SUELOS Y DISEÑOS FVEP 372</t>
  </si>
  <si>
    <t>Pago a ANDRES HILLON 5.268.884 FE 493</t>
  </si>
  <si>
    <t>Pago tiquete Avianca Mariana Saldarriaga Cali-Pasto-Cali</t>
  </si>
  <si>
    <t>Pago a SUPERINTENDENCIA DE NOTARIADO Y REGISTRO 306-19855</t>
  </si>
  <si>
    <t>Pago a SUPERINTENDENCIA DE NOTARIADO Y REGISTRO 306-10031</t>
  </si>
  <si>
    <t>Pago a CORPORACION PARQUE ARVI integracion Medellin</t>
  </si>
  <si>
    <t>Pago a CORPORACION PARQUE ARVI Integracion Medellin</t>
  </si>
  <si>
    <t>Pago a DERLINK ESTEBAN MANZANO POSB 942</t>
  </si>
  <si>
    <t>Pago a MARIA CRISTINA PIEDRAHITA RESTREPO ANTICIPO 50% 6 sesiones de coaching ejecutivo a Marcela Germán.</t>
  </si>
  <si>
    <t>Pago licencia Siggo</t>
  </si>
  <si>
    <t>Pago a INVERSIONES LEEI SAS ASADERO KIKOS</t>
  </si>
  <si>
    <t>Pago a PROTECTO FED 4726</t>
  </si>
  <si>
    <t xml:space="preserve">Pago UPME proyecto Sotavento Torres 4 y 5 </t>
  </si>
  <si>
    <t>Pago UPME proyecto Hspital Infantil</t>
  </si>
  <si>
    <t>Pago a MELBA LIGIA MONCAYO LA FERRO RM 4358</t>
  </si>
  <si>
    <t>Pago a DISTRIBUCIONES ELECTRICAS AC PEDIDO DE VENTA PA00000471</t>
  </si>
  <si>
    <t>Retencion fte 2,5% DISTRIBUCIONES ELECTRICAS AC PEDIDO DE VENTA PA00000471</t>
  </si>
  <si>
    <t>Retencion 5*1000 DISTRIBUCIONES ELECTRICAS AC PEDIDO DE VENTA PA00000471</t>
  </si>
  <si>
    <t>Pago a IT CERTIFICA COT-RETIE-1325A-25</t>
  </si>
  <si>
    <t>Retencion fte 11% IT CERTIFICA COT-RETIE-1325A-25</t>
  </si>
  <si>
    <t>Pago a KAROL SOFIA FIGUEROA MEJIA SOLUCIONES ELECTEICAS TYC COT 0948</t>
  </si>
  <si>
    <t>Pago a PROTECTO FED 4673</t>
  </si>
  <si>
    <t>Pago a DISTRIBUCIONES ELECTRICAS AC PEDIDO DE VENTA PA00000548</t>
  </si>
  <si>
    <t>Pago a FERREMALLAS Cali</t>
  </si>
  <si>
    <t>Pago a DISTRIBUCIONES ELECTRICAS AC PEDIDO DE VENTA PA00000918</t>
  </si>
  <si>
    <t>Pago liquidacion laboral IVAN DARIO CAICEDO CALVACHE</t>
  </si>
  <si>
    <t>Pago compra sillas para oficina a IKSO</t>
  </si>
  <si>
    <t>Pago compra MESA para oficina a IKSO</t>
  </si>
  <si>
    <t>PAGO NOMINA 2DA QUINCENA MAYO A JHOANA MARCELA GERMAN REYES</t>
  </si>
  <si>
    <t>PAGO NOMINA 2DA QUINCENA MAYO A JUAN MANUEL ESPAÑA FORERO</t>
  </si>
  <si>
    <t>PAGO NOMINA 2DA QUINCENA MAYO A HERMANN SOUZA CUBIDES</t>
  </si>
  <si>
    <t>PAGO NOMINA 2DA QUINCENA MAYO A SANDRA CAROLINA PATASCOY BOTINA</t>
  </si>
  <si>
    <t>PAGO NOMINA 2DA QUINCENA MAYO A YULY ANDREA JARAMILLO GUERRERO</t>
  </si>
  <si>
    <t>PAGO NOMINA 2DA QUINCENA MAYO A LOREN ALEJANDRA DIAZ YAMPUEZAN</t>
  </si>
  <si>
    <t xml:space="preserve">PAGO NOMINA 2DA QUINCENA MAYO A MARIA FERNANDA CHAMORRO </t>
  </si>
  <si>
    <t>PAGO NOMINA 2DA QUINCENA MAYO A CRISTINA LASSO</t>
  </si>
  <si>
    <t>PAGO NOMINA 2DA QUINCENA MAYO A JUAN CARLOS CAÑAR POTOSI</t>
  </si>
  <si>
    <t>PAGO NOMINA 2DA QUINCENA MAYO A RUBIELA DEL SOCORRO RAMOS PARRA</t>
  </si>
  <si>
    <t>PAGO NOMINA 2DA QUINCENA MAYO A JUAN CAMILO GARCIA SOUZA</t>
  </si>
  <si>
    <t>PAGO NOMINA 2DA QUINCENA MAYO A CINDY JOHANA CARLOSAMA HERNANDEZ</t>
  </si>
  <si>
    <t>PAGO NOMINA 2DA QUINCENA MAYO A JUAN ESTEBAN IBARRA CAMUES</t>
  </si>
  <si>
    <t>PAGO NOMINA 2DA QUINCENA MAYO A LUISA FERNANDA OBANDO VITAR</t>
  </si>
  <si>
    <t xml:space="preserve">PAGO NOMINA 2DA QUINCENA MAYO A SARA LUCIA DAZA LOPEZ </t>
  </si>
  <si>
    <t>PAGO NOMINA 2DA QUINCENA MAYO A CLAUDIA STELLA CORAL ERASO</t>
  </si>
  <si>
    <t>PAGO NOMINA 2DA QUINCENA MAYO A JULLY PAOLA AGUDELO BAEZ</t>
  </si>
  <si>
    <t>PAGO NOMINA 2DA QUINCENA MAYO A PAOLA ANDREA ARENAS MARTINEZ</t>
  </si>
  <si>
    <t>PAGO NOMINA 2DA QUINCENA MAYO A ASTRID CAROLINA DIAZ LOPEZ</t>
  </si>
  <si>
    <t>PAGO NOMINA 2DA QUINCENA MAYO A JULIO CESAR DEAVILA MARTINEZ</t>
  </si>
  <si>
    <t>PAGO NOMINA 2DA QUINCENA MAYO A DORIS VEGA TORRES</t>
  </si>
  <si>
    <t>PAGO NOMINA 2DA QUINCENA MAYO A VERONICA LILIANA SANTACRUZ MENZA</t>
  </si>
  <si>
    <t>PAGO NOMINA 2DA QUINCENA MAYO A ANDRES FELIPE DELGADO ZUTTA</t>
  </si>
  <si>
    <t>PAGO NOMINA 2DA QUINCENA MAYO A JULIO BELALCAZAR MURILLO</t>
  </si>
  <si>
    <t>PAGO COMISION JULIO BELALCAZAR MURILLO</t>
  </si>
  <si>
    <t>PAGO NOMINA 2DA QUINCENA MAYO A DIANA ALEJANDRA MERA MUÑOZ</t>
  </si>
  <si>
    <t>PAGO NOMINA 2DA QUINCENA MAYO A IVAN DANIEL MONTILLA CORAL</t>
  </si>
  <si>
    <t xml:space="preserve">PAGO NOMINA 2DA QUINCENA MAYO A CAROLINA CARDONA PAREJA </t>
  </si>
  <si>
    <t xml:space="preserve">PAGO NOMINA 2DA QUINCENA MAYO A WILSON ALEJANDRO MORA ERAZO </t>
  </si>
  <si>
    <t>PAGO NOMINA 2DA QUINCENA MAYO A PAOLA ANDREA SEGURA MARTINEZ</t>
  </si>
  <si>
    <t>PAGO NOMINA 2DA QUINCENA MAYO A NESTOR ANDRES ARCINIEGAS VILLAMARIN</t>
  </si>
  <si>
    <t>PAGO NOMINA 2DA QUINCENA MAYO A JHON EDINSON SANCHEZ CAMACHO</t>
  </si>
  <si>
    <t xml:space="preserve">PAGO NOMINA 2DA QUINCENA MAYO A LAURA MARIA  ROSAS CORDOBA </t>
  </si>
  <si>
    <t>PAGO NOMINA 2DA QUINCENA MAYO A INGRID JULIANA LOPEZ RIVADENEIRA</t>
  </si>
  <si>
    <t>PAGO NOMINA 2DA QUINCENA MAYO A DIDIER SMITH LIMAS GUTIERREZ</t>
  </si>
  <si>
    <t>PAGO NOMINA 2DA QUINCENA MAYO A DILAN SEBASTIAN CASTRO PERENGUEZ</t>
  </si>
  <si>
    <t>PAGO NOMINA 2DA QUINCENA MAYO A EDWIN ENRIQUE MORENO ALVIAR</t>
  </si>
  <si>
    <t>PAGO NOMINA 2DA QUINCENA MAYO A KELLY TATIANA ALVAREZ GARCIA</t>
  </si>
  <si>
    <t>PAGO NOMINA 2DA QUINCENA MAYO A ANA MILENA HENAO GONZALEZ</t>
  </si>
  <si>
    <t xml:space="preserve">PAGO NOMINA 2DA QUINCENA MAYO A JOSE ESTEBAN RODRIGUEZ QUINTERO </t>
  </si>
  <si>
    <t>PAGO NOMINA 2DA QUINCENA MAYO A MOISES RUIZ AYALA</t>
  </si>
  <si>
    <t>PAGO NOMINA 2DA QUINCENA MAYO A MARIANA SALDARRIAGA CADAVID</t>
  </si>
  <si>
    <t>PAGO NOMINA 2DA QUINCENA MAYO A MARIA ELENA RIVERA SOTO</t>
  </si>
  <si>
    <t xml:space="preserve">PAGO NOMINA 2DA QUINCENA MAYO A GLORIA DANIELA TIMARAN CABRERA </t>
  </si>
  <si>
    <t>PAGO NOMINA 2DA QUINCENA MAYO A JULIAN RICARDO GOMEZ GUERRERO</t>
  </si>
  <si>
    <t>PAGO NOMINA 2DA QUINCENA MAYO A CARLOS FERNANDO CABRERA VELASCO</t>
  </si>
  <si>
    <t>PAGO NOMINA 2DA QUINCENA MAYO A FABIAN ANDRES FLOREZ BETANCOURT</t>
  </si>
  <si>
    <t>PAGO NOMINA 2DA QUINCENA MAYO A JEANCARLO GUILLERMO MONCAYO ANDRADE</t>
  </si>
  <si>
    <t>PAGO NOMINA 2DA QUINCENA MAYO A JUAN FERNANDO PANIAGUA OSORIO</t>
  </si>
  <si>
    <t>PAGO NOMINA 2DA QUINCENA MAYO A LEIBNITZ EDUARDO CHANA CALDERON</t>
  </si>
  <si>
    <t>PAGO NOMINA 2DA QUINCENA MAYO A DANNA STEFANYA LASSO GUERRA</t>
  </si>
  <si>
    <t>PAGO NOMINA 2DA QUINCENA MAYO A JAVIER SEBASTIÁN LUCENA VILLARREAL</t>
  </si>
  <si>
    <t>PAGO NOMINA 2DA QUINCENA MAYO A JORGE ANDRES MUÑOZ MARTINEZ</t>
  </si>
  <si>
    <t>PAGO NOMINA 2DA QUINCENA MAYO A HERNAN DARIO CABRERA QUITIAQUEZ</t>
  </si>
  <si>
    <t>PAGO NOMINA 2DA QUINCENA MAYO A YOHN JAIRO BENAVIDES CHAMORRO</t>
  </si>
  <si>
    <t>PAGO NOMINA 2DA QUINCENA MAYO A DANNA EVELYN ARMERO ROSERO</t>
  </si>
  <si>
    <t>PAGO NOMINA 2DA QUINCENA MAYO A JUAN SEBASTIAN GOMEZ LEAL</t>
  </si>
  <si>
    <t>PAGO NOMINA 2DA QUINCENA MAYO A JAVIER ANDRES RODRIGUEZ SANTIUSTY</t>
  </si>
  <si>
    <t>PAGO NOMINA 2DA QUINCENA MAYO A CRISTHIAN CAMILO ROSERO ALVAREZ</t>
  </si>
  <si>
    <t xml:space="preserve">PAGO NOMINA 2DA QUINCENA MAYO A ALEXANDER DAVID BETANCOURT CARVAJAL </t>
  </si>
  <si>
    <t>PAGO NOMINA 2DA QUINCENA MAYO A EDERSON DAZA ARTEAGA</t>
  </si>
  <si>
    <t xml:space="preserve">PAGO NOMINA 2DA QUINCENA MAYO A SERGIO DAVID ZAMBRANO ESCOBAR </t>
  </si>
  <si>
    <t>PAGO NOMINA 2DA QUINCENA MAYO A DANIELA ARBOLEDA RODRIGUEZ</t>
  </si>
  <si>
    <t>PAGO NOMINA 2DA QUINCENA MAYO A NICOLAS LOPEZ DULCE</t>
  </si>
  <si>
    <t>PAGO NOMINA 2DA QUINCENA MAYO A SEGUNDO MARCIAL GELPUD BOTINA</t>
  </si>
  <si>
    <t>PAGO NOMINA 2DA QUINCENA MAYO A JEFERSON VERGARA MUÑOZ</t>
  </si>
  <si>
    <t>PAGO NOMINA 2DA QUINCENA MAYO A YALINER ILVIRA FIGUEROA</t>
  </si>
  <si>
    <t xml:space="preserve">PAGO NOMINA 2DA QUINCENA MAYO A DILBER  MAURICIO PAZ ALMEIDA </t>
  </si>
  <si>
    <t>PAGO NOMINA 2DA QUINCENA MAYO A WILLIAMS ALFREDO VILLAR MORA</t>
  </si>
  <si>
    <t>PAGO NOMINA 2DA QUINCENA MAYO A CARLOS HERNANDO ENRIQUEZ DIAZ</t>
  </si>
  <si>
    <t>PAGO NOMINA 2DA QUINCENA MAYO A ALBEIRO ORLANDO ESPAÑA HERNANDEZ</t>
  </si>
  <si>
    <t>PAGO NOMINA 2DA QUINCENA MAYO A EDILFONSO ROSERO CASTILLO</t>
  </si>
  <si>
    <t>PAGO NOMINA 2DA QUINCENA MAYO A ALBERT FIGUEROA</t>
  </si>
  <si>
    <t>PAGO NOMINA 2DA QUINCENA MAYO A VIVIANA ANDREA AYALA PICHINA</t>
  </si>
  <si>
    <t>PAGO NOMINA 2DA QUINCENA MAYO A AURO EDILSON ARTEAGA MEZA</t>
  </si>
  <si>
    <t>PAGO NOMINA 2DA QUINCENA MAYO A LEIDER LUVER LOPEZ DIAZ</t>
  </si>
  <si>
    <t>PAGO NOMINA 2DA QUINCENA MAYO A WILLIAM HERNANDO CASTRO RODRIGUEZ</t>
  </si>
  <si>
    <t>PAGO NOMINA 2DA QUINCENA MAYO A HOLMES GALINDEZ VALDEZ</t>
  </si>
  <si>
    <t>PAGO NOMINA 2DA QUINCENA MAYO A ALEXANDER MUÑOZ DIAZ</t>
  </si>
  <si>
    <t>PAGO NOMINA 2DA QUINCENA MAYO A JOSE DELIO ALMEIDA ALMEIDA</t>
  </si>
  <si>
    <t>PAGO NOMINA 2DA QUINCENA MAYO A BRAYAN STIVEN PEREZ QUAQUEZ</t>
  </si>
  <si>
    <t>PAGO NOMINA 2DA QUINCENA MAYO A JESUS ALBERTO DIAZ PALACIOS</t>
  </si>
  <si>
    <t>PAGO NOMINA 2DA QUINCENA MAYO A LUIS FERNANDO RODRIGUEZ MUÑOZ</t>
  </si>
  <si>
    <t>PAGO NOMINA 2DA QUINCENA MAYO A JORGE LUIS LIZCANO NIÑO</t>
  </si>
  <si>
    <t>PAGO NOMINA 2DA QUINCENA MAYO A FABIAN OJEDA RODRIGUEZ</t>
  </si>
  <si>
    <t>PAGO NOMINA 2DA QUINCENA MAYO A ASTRID VEIDUD LOPEZ NARVAEZ</t>
  </si>
  <si>
    <t>PAGO NOMINA 2DA QUINCENA MAYO A ANDI NEISER GALINDEZ DELGADO</t>
  </si>
  <si>
    <t>PAGO NOMINA 2DA QUINCENA MAYO A ODELMER DAZA PEREZ</t>
  </si>
  <si>
    <t>PAGO NOMINA 2DA QUINCENA MAYO A JUNIOR FEDERICK OCAMPO ESPAÑA</t>
  </si>
  <si>
    <t>PAGO NOMINA 2DA QUINCENA MAYO A JASON STEVEN DIAZ GUEVARA </t>
  </si>
  <si>
    <t>PAGO NOMINA 2DA QUINCENA MAYO A OSCAR ANDRES CASTRO BOTINA</t>
  </si>
  <si>
    <t>PAGO NOMINA 2DA QUINCENA MAYO A JIMMI ALEXANDER BURGOS GUERRERO</t>
  </si>
  <si>
    <t xml:space="preserve">PAGO NOMINA 2DA QUINCENA MAYO A JUAN ESTEBAN BLANCO QUIROGA </t>
  </si>
  <si>
    <t>PAGO NOMINA 2DA QUINCENA MAYO A EDWIN LEONARDO MARTINEZ YAQUENO</t>
  </si>
  <si>
    <t>PAGO NOMINA 2DA QUINCENA MAYO A LUIS ALBERTO ALMEIDA MATABAJOY</t>
  </si>
  <si>
    <t>PAGO NOMINA 2DA QUINCENA MAYO A ANDRES FERNANDO ESPINOSA GUACALES</t>
  </si>
  <si>
    <t xml:space="preserve">PAGO NOMINA 2DA QUINCENA MAYO A JOHAN SEBASTIAN OVIEDO NIÑAN </t>
  </si>
  <si>
    <t>PAGO NOMINA 2DA QUINCENA MAYO A DANGER ESTIVENSON BENAVIDES ORTEGA</t>
  </si>
  <si>
    <t>PAGO NOMINA 2DA QUINCENA MAYO A SANDRO ALBEIRO DELGADO MARTINEZ</t>
  </si>
  <si>
    <t>PAGO NOMINA 2DA QUINCENA MAYO A HEIMER FAVIAN DAZA DIAZ</t>
  </si>
  <si>
    <t>PAGO NOMINA 2DA QUINCENA MAYO A YEFERSON ORLANDO ORTEGA VALLEJO</t>
  </si>
  <si>
    <t>PAGO NOMINA 2DA QUINCENA MAYO A BRIAN ALEXANDER PALACIOS ROSERO</t>
  </si>
  <si>
    <t>PAGO NOMINA 2DA QUINCENA MAYO A LUZ IRMA ORTEGA CIFUENTES</t>
  </si>
  <si>
    <t xml:space="preserve">PAGO NOMINA 2DA QUINCENA MAYO A DIEGO ANDRES ARAUJO NARVAEZ </t>
  </si>
  <si>
    <t>PAGO NOMINA 2DA QUINCENA MAYO A ALVARO HERNAN MONTILLA GONZALEZ</t>
  </si>
  <si>
    <t>PAGO NOMINA 2DA QUINCENA MAYO A JUAN GABRIEL TUTISTAR NARVAEZ</t>
  </si>
  <si>
    <t>PAGO NOMINA 2DA QUINCENA MAYO A LIBERIO IPIALES ROSERO</t>
  </si>
  <si>
    <t>PAGO NOMINA 2DA QUINCENA MAYO A ROMEL MARTINEZ GRIJALBA</t>
  </si>
  <si>
    <t>PAGO NOMINA 2DA QUINCENA MAYO A JORGE AURELIO GOMEZ BENAVIDES</t>
  </si>
  <si>
    <t>PAGO NOMINA 2DA QUINCENA MAYO A ASTRID CAROLINA RODRIGUEZ RODRIGUEZ</t>
  </si>
  <si>
    <t>PAGO NOMINA 2DA QUINCENA MAYO A JAIR ALEXANDER BOLAÑOS CHAVEZ</t>
  </si>
  <si>
    <t>PAGO NOMINA 2DA QUINCENA MAYO A MIGUEL ANGEL RAMOS BURGOS</t>
  </si>
  <si>
    <t>PAGO NOMINA 2DA QUINCENA MAYO A ESNEIDER ALBERTO VALENCIA GOMEZ</t>
  </si>
  <si>
    <t>PAGO NOMINA 2DA QUINCENA MAYO A DUBAN ANDRES CIFUENTES MARTINEZ</t>
  </si>
  <si>
    <t>PAGO NOMINA 2DA QUINCENA MAYO A JENER AFRANIO CABRERA DAVID</t>
  </si>
  <si>
    <t>PAGO NOMINA 2DA QUINCENA MAYO A MARLON FABIAN BONILLA BOLAÑOS</t>
  </si>
  <si>
    <t xml:space="preserve">PAGO NOMINA 2DA QUINCENA MAYO A GERARDO SILVA JANSASOY </t>
  </si>
  <si>
    <t>PAGO NOMINA 2DA QUINCENA MAYO A CARLOS ANDRES DAZA BURBANO</t>
  </si>
  <si>
    <t>PAGO NOMINA 2DA QUINCENA MAYO A EDWAR FERNANDEZ ORDOÑEZ</t>
  </si>
  <si>
    <t>PAGO NOMINA 2DA QUINCENA MAYO A WILMAN MESA ERAZO</t>
  </si>
  <si>
    <t>PAGO NOMINA 2DA QUINCENA MAYO A EYDER QUINTERO DIAZ</t>
  </si>
  <si>
    <t>PAGO NOMINA 2DA QUINCENA MAYO A ANDERSON MARTINEZ GRIJALBA</t>
  </si>
  <si>
    <t>PAGO NOMINA 2DA QUINCENA MAYO A EDINSON JAVIER ORTIZ TORRES</t>
  </si>
  <si>
    <t>PAGO NOMINA 2DA QUINCENA MAYO A DANIEL OJEDA FIGUEROA</t>
  </si>
  <si>
    <t>PAGO NOMINA 2DA QUINCENA MAYO A JORGE ANDRES HOYOS MARTINEZ</t>
  </si>
  <si>
    <t>PAGO NOMINA 2DA QUINCENA MAYO A MAICOL YORDAN RODRIGUEZ OBANDO</t>
  </si>
  <si>
    <t>PAGO NOMINA 2DA QUINCENA MAYO A IVAN VILLADA GIL</t>
  </si>
  <si>
    <t>PAGO NOMINA 2DA QUINCENA MAYO A MARIO CHAYANNE RIVERA ARAUJO</t>
  </si>
  <si>
    <t>PAGO NOMINA 2DA QUINCENA MAYO A WILBER CALDERON FIGUEROA</t>
  </si>
  <si>
    <t>PAGO NOMINA 2DA QUINCENA MAYO A STIVEN ANDRES HOYOS CAMPOS</t>
  </si>
  <si>
    <t>PAGO NOMINA 2DA QUINCENA MAYO A JULIAN DAVID MARTINEZ RODRIGUEZ</t>
  </si>
  <si>
    <t xml:space="preserve">PAGO NOMINA 2DA QUINCENA MAYO A DIEGO FERNANDO TENORIO NUPAN </t>
  </si>
  <si>
    <t>PAGO NOMINA 2DA QUINCENA MAYO A CESAR IGNACIO CHACHINOY CRIOLLO</t>
  </si>
  <si>
    <t>PAGO NOMINA 2DA QUINCENA MAYO A JESUS HELIER PATIÑO GALLARDO</t>
  </si>
  <si>
    <t>PAGO NOMINA 2DA QUINCENA MAYO A MANUEL ALEXANDER ESPINOSA DOMINGUEZ</t>
  </si>
  <si>
    <t>PAGO NOMINA 2DA QUINCENA MAYO A JHONSIN ARLEY ARIAS CEBALLOS</t>
  </si>
  <si>
    <t>PAGO NOMINA 2DA QUINCENA MAYO A IVAN CAMILO MENESES ORDOÑEZ</t>
  </si>
  <si>
    <t>PAGO NOMINA 2DA QUINCENA MAYO A RODRIGO QUINTERO DIAZ</t>
  </si>
  <si>
    <t>PAGO NOMINA 2DA QUINCENA MAYO A ANDRES WILFREDY BASTIDAS GALINDEZ</t>
  </si>
  <si>
    <t>PAGO NOMINA 2DA QUINCENA MAYO A RUBEN LOPEZ MUÑOZ</t>
  </si>
  <si>
    <t>PAGO NOMINA 2DA QUINCENA MAYO A ROYER IDELVER LOPEZ SOLARTE</t>
  </si>
  <si>
    <t xml:space="preserve">PAGO NOMINA 2DA QUINCENA MAYO A JOSE MANUEL LOPEZ OBANDO </t>
  </si>
  <si>
    <t xml:space="preserve">PAGO NOMINA 2DA QUINCENA MAYO A EDISON ENRIQUE CANTILLO CORONADO </t>
  </si>
  <si>
    <t>PAGO NOMINA 2DA QUINCENA MAYO A DEIMAN JARINSON DAVID MUÑOZ</t>
  </si>
  <si>
    <t>PAGO NOMINA 2DA QUINCENA MAYO A DEIBER QUINTERO DIAZ</t>
  </si>
  <si>
    <t>PAGO NOMINA 2DA QUINCENA MAYO A JOSE DEL CARMEN GUERRERO BERDUGO</t>
  </si>
  <si>
    <t>PAGO NOMINA 2DA QUINCENA MAYO A ALEX DUVAN CIFUENTES PAZ</t>
  </si>
  <si>
    <t>PAGO NOMINA 2DA QUINCENA MAYO A BRANDON GUAQUEZ TITISTAR</t>
  </si>
  <si>
    <t xml:space="preserve">PAGO NOMINA 2DA QUINCENA MAYO A DANILO JAVIER OJEDA RODRIGUEZ </t>
  </si>
  <si>
    <t xml:space="preserve">PAGO NOMINA 2DA QUINCENA MAYO A NORELI SELENA DIAZ JURADO </t>
  </si>
  <si>
    <t>PAGO NOMINA 2DA QUINCENA MAYO A ORLANDO DIAZ LOPEZ</t>
  </si>
  <si>
    <t>PAGO NOMINA 2DA QUINCENA MAYO A RICARDO HERNAN ORTIZ</t>
  </si>
  <si>
    <t xml:space="preserve">PAGO NOMINA 2DA QUINCENA MAYO A KEVIN JONATHAN MONTILLA RIASCOS </t>
  </si>
  <si>
    <t>PAGO NOMINA 2DA QUINCENA MAYO A OSCAR IVAN MELENDEZ GARCIA</t>
  </si>
  <si>
    <t>PAGO NOMINA 2DA QUINCENA MAYO A DARWIN ANDRES QUINTERO QUINTERO</t>
  </si>
  <si>
    <t>PAGO NOMINA 2DA QUINCENA MAYO A JOSE FERNANDO DELGADO GONZALEZ</t>
  </si>
  <si>
    <t>PAGO NOMINA 2DA QUINCENA MAYO A JUAN CAMILO BASTIDAS NARVAEZ</t>
  </si>
  <si>
    <t>PAGO NOMINA 2DA QUINCENA MAYO A FREDY ALEXANDER RUALES QUIÑOÑEZ</t>
  </si>
  <si>
    <t>PAGO NOMINA 2DA QUINCENA MAYO A FRANCISCO LIDER PORTILLA</t>
  </si>
  <si>
    <t>PAGO NOMINA 2DA QUINCENA MAYO A JOSE ALVEIRO CUSIS HERNANDEZ</t>
  </si>
  <si>
    <t>PAGO NOMINA 2DA QUINCENA MAYO A MARIO ALEXANDER CUSIS HERNANDEZ</t>
  </si>
  <si>
    <t>PAGO NOMINA 2DA QUINCENA MAYO A JOSE RAFAEL RUEDA HERRERA</t>
  </si>
  <si>
    <t xml:space="preserve">PAGO NOMINA 2DA QUINCENA MAYO A CRISTIAN ANDRES CHITAN </t>
  </si>
  <si>
    <t xml:space="preserve">PAGO NOMINA 2DA QUINCENA MAYO A JAVIER GIOVANI YANDUN INAGAN </t>
  </si>
  <si>
    <t xml:space="preserve">PAGO NOMINA 2DA QUINCENA MAYO A JOSE JULIAN OCAMPO URIBE </t>
  </si>
  <si>
    <t xml:space="preserve">PAGO NOMINA 2DA QUINCENA MAYO A JHON ALEXANDER GELPUD ZAMORA </t>
  </si>
  <si>
    <t xml:space="preserve">PAGO NOMINA 2DA QUINCENA MAYO A RUBEN DARIO ESPINOSA PARRA </t>
  </si>
  <si>
    <t>PAGO NOMINA 2DA QUINCENA MAYO A JORGE ANDRES BARRERA YANDAR</t>
  </si>
  <si>
    <t>PAGO NOMINA 2DA QUINCENA MAYO A JOY JAMIT MOSQUERA ORDOÑEZ</t>
  </si>
  <si>
    <t>PAGO NOMINA 2DA QUINCENA MAYO A WIILLIAM ALBERTO AZA CRIOLLO</t>
  </si>
  <si>
    <t>PAGO NOMINA 2DA QUINCENA MAYO A JHORDY STEVEN TRUJILLO GALEANDO</t>
  </si>
  <si>
    <t>PAGO NOMINA 2DA QUINCENA MAYO A JERSON ALEXIS GOMEZ ACOSTA</t>
  </si>
  <si>
    <t xml:space="preserve">PAGO NOMINA 2DA QUINCENA MAYO A MARTIN ALONSO SOSSA AGUIRRE </t>
  </si>
  <si>
    <t>Pago a EMSI TECHNOLOGIES COLOMBIA S.A.S E 2915</t>
  </si>
  <si>
    <t>Pago a EMSI TECHNOLOGIES COLOMBIA S.A.S E 2916</t>
  </si>
  <si>
    <t>Pago a DIEGO ALEJANDRO FUENTES OJEDA arrendamiento mercaderes</t>
  </si>
  <si>
    <t>Retencion fte 3,5% DIEGO ALEJANDRO FUENTES OJEDA arrendamiento mercaderes</t>
  </si>
  <si>
    <t>Pago a YULY ROCIO MUÑOZ arrendamiento mercaderes</t>
  </si>
  <si>
    <t>Retencion fte 3,5% YULY ROCIO MUÑOZ arrendamiento mercaderes</t>
  </si>
  <si>
    <t>Pago a VICTOR HUGO SANCHEZ SUELOS Y DISEÑOS FVEP 375</t>
  </si>
  <si>
    <t>Pago a AMARA NET ZERO FECA 3707</t>
  </si>
  <si>
    <t>Pago a CABILDO VERDE S/T FE 601</t>
  </si>
  <si>
    <t>Pago a DISTRIBUCIONES ELECTRICAS AC PA00000476</t>
  </si>
  <si>
    <t>Pago a IT CERTIFICA COT-RETIE-0981-25</t>
  </si>
  <si>
    <t>Retencion fte 11% IT CERTIFICA COT-RETIE-0981-25</t>
  </si>
  <si>
    <t>Pago a DISTRIBUCIONES ELECTRICAS AC PA0000055</t>
  </si>
  <si>
    <t xml:space="preserve">Pago a Gladis Silva Servicio alquiler herramienta </t>
  </si>
  <si>
    <t>Retencion fte 4%  Gladis Silva Servicio alquiler</t>
  </si>
  <si>
    <t>Pago a Gladis Silva Servicio Transporte</t>
  </si>
  <si>
    <t>Pago a Gladis Silva Servicio Deposito herramienta</t>
  </si>
  <si>
    <t>Pago a SOLAR-TEK COT 0170 alquiler herramienta</t>
  </si>
  <si>
    <t>Retencion fte 4% SOLAR-TEK COT 0170 alquiler herramienta</t>
  </si>
  <si>
    <t>Pago a SOLAR-TEK COT 0170 transporte herramienta</t>
  </si>
  <si>
    <t>Retencion fte 1% SOLAR-TEK COT 0170 transporte herramienta</t>
  </si>
  <si>
    <t>Pago a CARLOS ALBERTO MUÑOZ CM 10 alimentacion</t>
  </si>
  <si>
    <t>Pago a CARLOS ARBOLEDA sercicios de transporte visitas estructuracion</t>
  </si>
  <si>
    <t>Retencion fte 1% CARLOS ARBOLEDA sercicios de transporte visitas estructuracion</t>
  </si>
  <si>
    <t>Pago a DANIEL ESTEBAN  ORTEGA FIGUEROA  7728</t>
  </si>
  <si>
    <t>Retencion fte 2,5%  DANIEL ESTEBAN  ORTEGA FIGUEROA  7728</t>
  </si>
  <si>
    <t>Pago a DANIEL ESTEBAN  ORTEGA FIGUEROA  7725</t>
  </si>
  <si>
    <t>Retencion fte 2,5%  DANIEL ESTEBAN  ORTEGA FIGUEROA  7725</t>
  </si>
  <si>
    <t>Pago a NOTARIADO Y REGISTRO 128-22204</t>
  </si>
  <si>
    <t>Pago intereses NATALIA SEGURA INTERESES</t>
  </si>
  <si>
    <t>Pago intereses JUAN PABLO SUMARRAGA</t>
  </si>
  <si>
    <t>Pago a ENERIETH MONTENEGRO BOLAÑOS hospedade y alimentacion</t>
  </si>
  <si>
    <t xml:space="preserve">Pago compra Galletas para detalle director SENA </t>
  </si>
  <si>
    <t>Pago transports abril y mayo auxiliar sst viajes a lyra</t>
  </si>
  <si>
    <t xml:space="preserve">cristhian </t>
  </si>
  <si>
    <t xml:space="preserve">Transporte Nava - Inmobiliaria </t>
  </si>
  <si>
    <t>Transporte Inmobiliaria - Nava</t>
  </si>
  <si>
    <t>Transporte Nava - Terminal de Ipiales</t>
  </si>
  <si>
    <t>Transporte Terminal de Ipiales - Pasto</t>
  </si>
  <si>
    <t xml:space="preserve">Transporte para visita OR desde pasto hasta ipiales </t>
  </si>
  <si>
    <t>Transporte desde terminal ipiales hasta edificio IPK</t>
  </si>
  <si>
    <t>Transporte desde edificio IPK hasta terminal ipiales</t>
  </si>
  <si>
    <t>Transporte desde ipiales hasta pasto</t>
  </si>
  <si>
    <t>transporte pasto sandona ida y vuelta</t>
  </si>
  <si>
    <t>Gasolina viaje pasto - bordo - estrecho - remolino</t>
  </si>
  <si>
    <t>jean carlo</t>
  </si>
  <si>
    <t>Peaje cano bajo</t>
  </si>
  <si>
    <t>Almuerzo x 3 personas (Marcela, Gilberto, Jeancarlo)</t>
  </si>
  <si>
    <t>Hidratacion x 3 personas</t>
  </si>
  <si>
    <t>Gasolina viaje remolino - mercaderes - remolino</t>
  </si>
  <si>
    <t>Pago a Marcela German Oficina-cinar sistemas</t>
  </si>
  <si>
    <t>Compra cinta de enbalaje</t>
  </si>
  <si>
    <t>Juan camilo</t>
  </si>
  <si>
    <t xml:space="preserve">Transporte a remolino </t>
  </si>
  <si>
    <t>Transporte hacia terminal municipal Pasto</t>
  </si>
  <si>
    <t>Transporte Pasto - La Unión Nariño</t>
  </si>
  <si>
    <t>Refrigerio Capacitación Lyra</t>
  </si>
  <si>
    <t>Transporte desde terminal municipal Pasto -Domicilio</t>
  </si>
  <si>
    <t>Compra de clavos y discos de corte metal</t>
  </si>
  <si>
    <t>Jhon Jairo</t>
  </si>
  <si>
    <t>Transporte de postes desde NAOS</t>
  </si>
  <si>
    <t xml:space="preserve">Llaves mixtas, decámetros </t>
  </si>
  <si>
    <t xml:space="preserve">parales super board, anticorrosivo, brochas, cinta malla </t>
  </si>
  <si>
    <t>Combustible camioneta LHR730</t>
  </si>
  <si>
    <t>Combustible mezcladora</t>
  </si>
  <si>
    <t>Peaje Pasto IDA</t>
  </si>
  <si>
    <t>Peaje Pasto Vuelta</t>
  </si>
  <si>
    <t>Planta eléctrica</t>
  </si>
  <si>
    <t>Compra de 3 bolsas de agua</t>
  </si>
  <si>
    <t xml:space="preserve">Recepcion cartera vencida Fit fot all </t>
  </si>
  <si>
    <t>Recepcion pago edificio la arboleda</t>
  </si>
  <si>
    <t>Recepcion pafo factura Dispropan</t>
  </si>
  <si>
    <t>Pago legalizacion y ajuste caja lyra</t>
  </si>
  <si>
    <t>Pago devuelto por el banco  Pago legalizacion y ajuste caja lyra</t>
  </si>
  <si>
    <t>FLETE DE TRANSPORTE POSTES</t>
  </si>
  <si>
    <t>PAGO ASEO HABITACIONES SEMANA 28 de ABRIL - 3 DE MAYO 2025</t>
  </si>
  <si>
    <t>IMPRESIONES Y CINTA</t>
  </si>
  <si>
    <t>TRANSPORTE PASTO-REMOLINO</t>
  </si>
  <si>
    <t>TRANSPORTE PASTO-REMOLINO (CURSO EN ALTURAS)</t>
  </si>
  <si>
    <t>PAGO ASEO HABITACIONES SEMANA 5 de MAYO - 10 DE MAYO 2025</t>
  </si>
  <si>
    <t>COMPRA DE LADRILLOS, GALON DE ACEITE, LLAVE N°13, CINTA, UNION 1/2" Y TUBO DE PRESIÓN.</t>
  </si>
  <si>
    <t>ARREGLO DE CUCHILLAS DE BROCA</t>
  </si>
  <si>
    <t>TRANSPORTE PASTO - REMOLINO</t>
  </si>
  <si>
    <t>TALONARIO DE RECIBO - LAPICEROS</t>
  </si>
  <si>
    <t>VIATICOS  MERCADERES-PASTO-MERCADERES</t>
  </si>
  <si>
    <t>VIATICOS  MERCADERES-PASTO</t>
  </si>
  <si>
    <t xml:space="preserve">ACPM PLANTA ELECTRICA </t>
  </si>
  <si>
    <t>ACPM MEZCLADORA</t>
  </si>
  <si>
    <t>PAPELERIA (SEPARADORES AZ, 15 IMPRESIONES)</t>
  </si>
  <si>
    <t>TRANSPORTE DOTACIÓN (BOTAS) REMOLINO-MERCADERES</t>
  </si>
  <si>
    <t>VIATICOS MERCADERES-REMOLINO-MERCADERES</t>
  </si>
  <si>
    <t xml:space="preserve">RECIBO DE ENERGIA CAMPAMENTO </t>
  </si>
  <si>
    <t>ACCESORIOS DE INSTALACION INTERNA PARA CAJA AC</t>
  </si>
  <si>
    <t>RECIBO ENERGIA CAMPAMENTO</t>
  </si>
  <si>
    <t>TRANSPORTE MATERIAL REMOLINO-MERCADERES</t>
  </si>
  <si>
    <t>Ingreso pagoa administracion naos 1,2,3 mayo</t>
  </si>
  <si>
    <t>Recepcion pago factura Club Colombia</t>
  </si>
  <si>
    <t>Recepcion factura vivarium</t>
  </si>
  <si>
    <t>Guantes EPP</t>
  </si>
  <si>
    <t>Tanqueo transporte nico</t>
  </si>
  <si>
    <t>Transporte a terminal de Cali (Visita PQRS)</t>
  </si>
  <si>
    <t>Transporte PY-EDS LOS ALPES ANDALUCIA</t>
  </si>
  <si>
    <t>2 desayunos</t>
  </si>
  <si>
    <t>Transporte desde PY-EDS LOS ALPES a PY-BAS ING</t>
  </si>
  <si>
    <t>Transporte terminal PY BAS INGENIERIA a terminal de Tulua</t>
  </si>
  <si>
    <t>2 Almuerzos</t>
  </si>
  <si>
    <t xml:space="preserve">Transporte desde terminal de Cali </t>
  </si>
  <si>
    <t>Accesorios Motobomba</t>
  </si>
  <si>
    <t>Stciker marquilla RETIE</t>
  </si>
  <si>
    <t>Repelentes y bloqueadores</t>
  </si>
  <si>
    <t>Tanqueo Martin</t>
  </si>
  <si>
    <t>Transporte para recoger ACPM</t>
  </si>
  <si>
    <t>Compra elementos de aseo</t>
  </si>
  <si>
    <t>Transporte compra elementos de aseo</t>
  </si>
  <si>
    <t>Recepcion intereses Naos mayo</t>
  </si>
  <si>
    <t>anticipo minigranja delta 2</t>
  </si>
  <si>
    <t>Factura cobutible Premium Energy sal hospedaje</t>
  </si>
  <si>
    <t>Ajuste Mafe</t>
  </si>
  <si>
    <t xml:space="preserve">Factura sandra quintero hidratacion </t>
  </si>
  <si>
    <t>Andres zuta</t>
  </si>
  <si>
    <t xml:space="preserve">hidratación </t>
  </si>
  <si>
    <t>Combustible estacion de servicio galeras</t>
  </si>
  <si>
    <t>Combustible eds el placer</t>
  </si>
  <si>
    <t xml:space="preserve">almuerzo </t>
  </si>
  <si>
    <t>combustible</t>
  </si>
  <si>
    <t xml:space="preserve">combustible </t>
  </si>
  <si>
    <t>Transporte aeropuerto MED</t>
  </si>
  <si>
    <t>Carolina Cardona</t>
  </si>
  <si>
    <t>Compra de desayuno - Aeropuerto</t>
  </si>
  <si>
    <t>Transporte aeropuerto - Oficina</t>
  </si>
  <si>
    <t>Compra comida</t>
  </si>
  <si>
    <t>Compra de desayuno</t>
  </si>
  <si>
    <t>Compra de almuerzo</t>
  </si>
  <si>
    <t>Transporte Oficina - Hito</t>
  </si>
  <si>
    <t>Trasnporte Hito - Oficina</t>
  </si>
  <si>
    <t>Compra de comida</t>
  </si>
  <si>
    <t>Transporte oficina - V15</t>
  </si>
  <si>
    <t>Transporte aeropuerto - PST</t>
  </si>
  <si>
    <t>Transporte aeropierto - terminal</t>
  </si>
  <si>
    <t>Transporte terminal - Hotel</t>
  </si>
  <si>
    <t xml:space="preserve">Pago Hotel (2 Noches) </t>
  </si>
  <si>
    <t>Transporte Hotel - Oficina</t>
  </si>
  <si>
    <t>Compra de desayuno (arepa - jugo de naranja)</t>
  </si>
  <si>
    <t>Transporte locacion - Oficina</t>
  </si>
  <si>
    <t>Transporte Oficina - Hotel</t>
  </si>
  <si>
    <t>Compra de Comida</t>
  </si>
  <si>
    <t>Transporte Oficina - Lugar de grabación</t>
  </si>
  <si>
    <t xml:space="preserve">Compra de desayuno </t>
  </si>
  <si>
    <t>Transporte lugar de grabación</t>
  </si>
  <si>
    <t>Transporte lugar de grabación - Hotel</t>
  </si>
  <si>
    <t>Trasnporte aeropuerto - Casa</t>
  </si>
  <si>
    <t>Viaje Medellín - Tulua</t>
  </si>
  <si>
    <t>Juan Fernando</t>
  </si>
  <si>
    <t>Uber casa - Terminal</t>
  </si>
  <si>
    <t>Taxi terminal tulua - hotel</t>
  </si>
  <si>
    <t>Hotel Mansión del sol</t>
  </si>
  <si>
    <t>Bornas cable 4 AWG</t>
  </si>
  <si>
    <t>Taxi hotel - Lacteos</t>
  </si>
  <si>
    <t>Taxi hotel - Terminal tulua</t>
  </si>
  <si>
    <t>Viaje Tulua -Cali Daniela</t>
  </si>
  <si>
    <t>Viaje Tulua -Cali Juan Fernando</t>
  </si>
  <si>
    <t>Taxi Terminal Cali - Jardin plaza</t>
  </si>
  <si>
    <t>Almuerzo x2 (Daniela y Juan Fernando)</t>
  </si>
  <si>
    <t>Taxi Jardin Plaza Hotel Cali</t>
  </si>
  <si>
    <t>Uber Hotel Cali - Oficina evolti Cali</t>
  </si>
  <si>
    <t>Uber Oficina evolti cali - Hotel Cali</t>
  </si>
  <si>
    <t>Uber Oficina evolti cali - Terminal cali</t>
  </si>
  <si>
    <t>Bus terminal cali - Aeropuerto Cali</t>
  </si>
  <si>
    <t>compra jetsmar Juan Manuel</t>
  </si>
  <si>
    <t>Transferencia cta suc virtual</t>
  </si>
  <si>
    <t>Compra intl facebk wnbzqvlne</t>
  </si>
  <si>
    <t>Compra en notaria 26</t>
  </si>
  <si>
    <t>Pago a LUIS CAMILO PATIÑO ANTICIPO 10%</t>
  </si>
  <si>
    <t>Pago a NOTARIADO Y REGISTRO 306-14331</t>
  </si>
  <si>
    <t>Pago a NOTARIADO Y REGISTRO 306-7553</t>
  </si>
  <si>
    <t>Pago a NOTARIADO Y REGISTRO 230-117809</t>
  </si>
  <si>
    <t>Pago a NOTARIADO Y REGISTRO 160-45453</t>
  </si>
  <si>
    <t>Pago a NOTARIADO Y REGISTRO 230-138490</t>
  </si>
  <si>
    <t>Pago a AYC DOTACIONES INDUSTRIALES FVE 1606</t>
  </si>
  <si>
    <t>Pago a AYC DOTACIONES INDUSTRIALES FVE 1613</t>
  </si>
  <si>
    <t>Pago a AYC DOTACIONES INDUSTRIALES FVE 1603</t>
  </si>
  <si>
    <t>Pago a FUNDACION ECOSOCIAL CTA DE COBRO 02</t>
  </si>
  <si>
    <t>Pago a JOHNNY MAURICIO CEBALLOS BASTIDAS JMCB 72</t>
  </si>
  <si>
    <t>Pago a JOHNNY MAURICIO CEBALLOS BASTIDAS JMCB 73</t>
  </si>
  <si>
    <t>Pago a JOHNNY MAURICIO CEBALLOS BASTIDAS JMCB 71</t>
  </si>
  <si>
    <t>Pago a JOHNNY MAURICIO CEBALLOS BASTIDAS JMCB 74</t>
  </si>
  <si>
    <t>Pago a JOHNNY MAURICIO CEBALLOS BASTIDAS JMCB 75</t>
  </si>
  <si>
    <t>Pago a AGENCIA DE ADUANAS TIBA SAS  Anticipo</t>
  </si>
  <si>
    <t>Pago a ALEXANDER ANTONIO AGUDELO VELASQUEZ</t>
  </si>
  <si>
    <t>Pago a KAROL SOFIA FIGUEROA MEJIA SOLUCIONES TYC 349</t>
  </si>
  <si>
    <t>Pago a MELBA LIGIA MONCAYO LA FERRO RM 4352</t>
  </si>
  <si>
    <t>Retencion ica 6*1000 MELBA LIGIA MONCAYO LA FERRO RM 4352</t>
  </si>
  <si>
    <t>Pago a MELBA LIGIA MONCAYO LA FERRO RM 4327</t>
  </si>
  <si>
    <t>Retencion ica 6*1000 MELBA LIGIA MONCAYO LA FERRO RM 4327</t>
  </si>
  <si>
    <t>Pago a MELBA LIGIA MONCAYO LA FERRO RM 4333</t>
  </si>
  <si>
    <t>Retencion ica 6*1000 MELBA LIGIA MONCAYO LA FERRO RM 4333</t>
  </si>
  <si>
    <t>Pago a MELBA LIGIA MONCAYO LA FERRO RM 4344</t>
  </si>
  <si>
    <t>Retencion ica 6*1000 MELBA LIGIA MONCAYO LA FERRO RM 4344</t>
  </si>
  <si>
    <t>Pago a MELBA LIGIA MONCAYO LA FERRO RM 4311</t>
  </si>
  <si>
    <t>Retencion ica 6*1000 MELBA LIGIA MONCAYO LA FERRO RM 4311</t>
  </si>
  <si>
    <t>Pago a MELBA LIGIA MONCAYO LA FERRO RM 4328</t>
  </si>
  <si>
    <t>Retencion ica 6*1000 MELBA LIGIA MONCAYO LA FERRO RM 4328</t>
  </si>
  <si>
    <t>Pago a TECNOLOGIA HOY</t>
  </si>
  <si>
    <t>Pago a ELMER SCHNEIDER CASA ANDINA COT 5217501</t>
  </si>
  <si>
    <t>Recepcion Reintegro planilla Cristhian Rosero</t>
  </si>
  <si>
    <t>Pago a ANDRES FELIPE VARGAS ANTICIPO 60%</t>
  </si>
  <si>
    <t xml:space="preserve">Pago alquiler Herramienta WILIAN ANDRES BASANTE </t>
  </si>
  <si>
    <t>Pago asesoria Juridica a MARIA AMALIA CARDENAS LUNA MAYO 2025</t>
  </si>
  <si>
    <t>Pago a MAGDALY MAYORGA FE 1374 compra plantas actividad dia del medio ambiente</t>
  </si>
  <si>
    <t>Pago a CRISTHIAN DAVID IBARRA HOTEL LOTO LOT 393</t>
  </si>
  <si>
    <t>Pago a CRISTHIAN DAVID IBARRA HOTEL LOTO LOT 394</t>
  </si>
  <si>
    <t>Pago a CRISTHIAN DAVID IBARRA HOTEL LOTO LOT 395</t>
  </si>
  <si>
    <t>Pago alimntacion a ROSAURA ERAZO ROSERO</t>
  </si>
  <si>
    <t>Retencion fte 3,5% ROSAURA ERAZO ROSERO</t>
  </si>
  <si>
    <t>Pago alimentacion a ROSAURA ERAZO ROSERO</t>
  </si>
  <si>
    <t>Pago a CAMARA DE COMERCIO BOGOTA BLOOM CROWDFUNDING S.A.</t>
  </si>
  <si>
    <t>Pago a SEBASTIAN CARABALI VASQUEZ programa ventas</t>
  </si>
  <si>
    <t>Pago a JOSE CEIN VILLEGAS QUINTERO COT  compra mug dia del padre</t>
  </si>
  <si>
    <t>Retencio fte 3,5% JOSE CEIN VILLEGAS QUINTERO COT compra mug dia del padre</t>
  </si>
  <si>
    <t>Pago a LUIS CAMILO PATIÑO ALPALA COT</t>
  </si>
  <si>
    <t>Retencion fte 2% LUIS CAMILO PATIÑO ALPALA COT</t>
  </si>
  <si>
    <t>Retencion ica 6*1000 LUIS CAMILO PATIÑO ALPALA COT</t>
  </si>
  <si>
    <t>Pago a IT CERTIFICA COT-RETIE-0761-25</t>
  </si>
  <si>
    <t xml:space="preserve">Reintegro a mauricio rosero combustible en CH -z SAS </t>
  </si>
  <si>
    <t xml:space="preserve">Reintegro a mauricio rosero Transporte Conartax </t>
  </si>
  <si>
    <t xml:space="preserve">Coraza metalica 1 1/2" , borna terminal, conector recto, adaptador conduit EMT 3", Adaptador conduit EMT 4" </t>
  </si>
  <si>
    <t xml:space="preserve">Grapa de sujección </t>
  </si>
  <si>
    <t xml:space="preserve">Tornillo tropicalizado, doble arandela y wasa zinc </t>
  </si>
  <si>
    <t xml:space="preserve">Pago comision a GILBERTO LOPEZ </t>
  </si>
  <si>
    <t>Pago comision a MOISES RUIZ RIVERO</t>
  </si>
  <si>
    <t>Pago comision a CARLOS ARBOLEDA FE 12</t>
  </si>
  <si>
    <t>Pago a Servientrega flete paneles (20 paneles)</t>
  </si>
  <si>
    <t>Pago a Servientrega flete paneles (1 panel)</t>
  </si>
  <si>
    <t>Pago a SURA 12004281731- 10121805359</t>
  </si>
  <si>
    <t>Pago a SURA 13001017966-10131565294</t>
  </si>
  <si>
    <t>Pago a SURA 33000014411-10331004448</t>
  </si>
  <si>
    <t>Pago a WEWORK WC-1099825</t>
  </si>
  <si>
    <t xml:space="preserve">Pago renovacion siigo </t>
  </si>
  <si>
    <t>Pago a ECTRICOL COT 43307</t>
  </si>
  <si>
    <t>Retencion fte 2,5% ECTRICOL COT 43307</t>
  </si>
  <si>
    <t>Pago a AGRICO COT 1523</t>
  </si>
  <si>
    <t>Retencion fte 2,5 AGRICO COT 1523</t>
  </si>
  <si>
    <t>Retencion ica 6*1000AGRICO COT 1523</t>
  </si>
  <si>
    <t>Pago a AYM GROUP FEAY-39 (REVISORIA FISCAL) FEAY32</t>
  </si>
  <si>
    <t>Retencion fte 11% AYM GROUP FEAY-39 (REVISORIA FISCAL) FEAY32</t>
  </si>
  <si>
    <t>Retencion ica 6*1000 AYM GROUP FEAY-39 (REVISORIA FISCAL) FEAY32</t>
  </si>
  <si>
    <t>Pago a Seguros Mundial</t>
  </si>
  <si>
    <t xml:space="preserve">Pago a INNOVA GROUP INE 95 Vallas </t>
  </si>
  <si>
    <t xml:space="preserve">Retencion fte 11% INNOVA GROUP INE 95 Vallas </t>
  </si>
  <si>
    <t xml:space="preserve">Retencion ica 6*1000 INNOVA GROUP INE 95 Vallas </t>
  </si>
  <si>
    <t>Pago a EDGAR MONTAÑO GARCIA ANTICIPO Alojamiento</t>
  </si>
  <si>
    <t>Pago a RONALD EDINSON CERON ANTICIPO 40%</t>
  </si>
  <si>
    <t>Pago a HUMBERTO JAVIER ROSERO POTOSI ANTICIPO 50%</t>
  </si>
  <si>
    <t>Pago a ANDREA ESTEFANI DIAZ ERAZO</t>
  </si>
  <si>
    <t>Retencion fte 1% ANDREA ESTEFANI DIAZ ERAZO</t>
  </si>
  <si>
    <t>Retencion ica  6*1000 ANDREA ESTEFANI DIAZ ERAZO</t>
  </si>
  <si>
    <t>Pago a DERLINK ESTEBAN MANZANO BALANTA POSB 885</t>
  </si>
  <si>
    <t>Pago a SEGUROS MUNDIAL</t>
  </si>
  <si>
    <t>Pago a ANGIE VALENCIA ROSERO FVE 943</t>
  </si>
  <si>
    <t>Pago a DIXENT SAS</t>
  </si>
  <si>
    <t>Retencion fta 2,5% DIXENT SAS</t>
  </si>
  <si>
    <t>Pago a RENASCI SAS FE-313 Consultoria eleccion ERP</t>
  </si>
  <si>
    <t>Pago a SEGURIDAD DEL SUR 8954</t>
  </si>
  <si>
    <t>Pago a SEGURIDAD DEL SUR 8955</t>
  </si>
  <si>
    <t>Pago a SEGURIDAD DEL SUR 8956</t>
  </si>
  <si>
    <t>Pago a SEGURIDAD DEL SUR 8957</t>
  </si>
  <si>
    <t>Pago a SEGURIDAD DEL SUR 9048</t>
  </si>
  <si>
    <t>Pago a SEGURIDAD DEL SUR 9049</t>
  </si>
  <si>
    <t>Pago a SEGURIDAD DEL SUR 9089</t>
  </si>
  <si>
    <t>Pago a SEGURIDAD DEL SUR 9091</t>
  </si>
  <si>
    <t>Pago a A2CENSO Bolsa de Valores</t>
  </si>
  <si>
    <t>Pago a JOSE ARBEY AGUIRRE ANTICIPO 50% realizacion videos publicitarios</t>
  </si>
  <si>
    <t>Pago a ELECTRICOS DEL VALLE  EPE 14135</t>
  </si>
  <si>
    <t>Pago a ELECTRICOS DEL VALLE  EPE 13521</t>
  </si>
  <si>
    <t>Pago a MELBA LIGIA MONCAYO LA FERRO RM 4371</t>
  </si>
  <si>
    <t>Pago a MELBA LIGIA MONCAYO LA FERRO RM 4341</t>
  </si>
  <si>
    <t>Pago a SOCIEDAD SERVICIOS ELECTRICOS Y ELECTRONICA DE POTENCIA SAS FV 5</t>
  </si>
  <si>
    <t>Pago a SOCIEDAD SERVICIOS ELECTRICOS Y ELECTRONICA DE POTENCIA SAS FV 6</t>
  </si>
  <si>
    <t xml:space="preserve">Pago a JOHNNY MAURICIO CEBALLOS JMBC 76 </t>
  </si>
  <si>
    <t xml:space="preserve">Transporte pasto - remolino (Oscar castro-Edwin Martinez-Andres Espinoza-Johan Oviedo-Jordy Trujillo-Jason Diaz) </t>
  </si>
  <si>
    <t>Jason Diaz</t>
  </si>
  <si>
    <t xml:space="preserve">Transporte remolino - pasto (Oscar castro-Edwin Martinez-Andres Espinoza-Johan Oviedo-Jordy Trujillo-Jason Diaz)  </t>
  </si>
  <si>
    <t xml:space="preserve">Transporte pasto - remolino (Oscar castro-Edwin Martinez-Andres Espinoza-Johan Oviedo-Jason Diaz)  </t>
  </si>
  <si>
    <t xml:space="preserve">Transporte remolino - pasto </t>
  </si>
  <si>
    <t xml:space="preserve">Transporte pasto - remolino (Oscar castro-Edwin Martinez-Andres Espinoza-Johan Oviedo-Jason Diaz) </t>
  </si>
  <si>
    <t xml:space="preserve">Transporte remolino - pasto (Oscar castro-Edwin Martinez-Andres Espinoza-Johan Oviedo-Jason Diaz) </t>
  </si>
  <si>
    <t xml:space="preserve">Transporte pasto - remolino (Oscar castro-Edwin Martinez-Andres Espinoza-Jason Diaz) </t>
  </si>
  <si>
    <t xml:space="preserve">Transporte remolino - pasto (Oscar castro-Edwin Martinez-Andres Espinoza-Jason Diaz) </t>
  </si>
  <si>
    <t xml:space="preserve">Pago tiquete Avianca Herman Souza </t>
  </si>
  <si>
    <t xml:space="preserve">Pago Tiquete Avianca Ana Henao </t>
  </si>
  <si>
    <t>Pago tiquete JetsMart Ana Henao</t>
  </si>
  <si>
    <t>Tornillos</t>
  </si>
  <si>
    <t xml:space="preserve">Gasolina Martin </t>
  </si>
  <si>
    <t>Desayunos</t>
  </si>
  <si>
    <t>Almuerzos</t>
  </si>
  <si>
    <t>Transporte Oficina Evolti - Cementos Cauca</t>
  </si>
  <si>
    <t>Transporte Cementos Cauca - Terminal</t>
  </si>
  <si>
    <t xml:space="preserve">Transporte Popayán - Cali </t>
  </si>
  <si>
    <t>Almuerzo Martín</t>
  </si>
  <si>
    <t>Pasaje Cali Popayan</t>
  </si>
  <si>
    <t>Pasaje Popayan Cali</t>
  </si>
  <si>
    <t>Pasaje Cali Tuluá</t>
  </si>
  <si>
    <t>Aerosol negro mate y lija</t>
  </si>
  <si>
    <t>Cable THHL No. 12 Centelsa negro</t>
  </si>
  <si>
    <t>Vinilo Tipo 1, Cinta enmasc, Rodillo</t>
  </si>
  <si>
    <t>Metro Plastico Negro</t>
  </si>
  <si>
    <t>Impresión Planos</t>
  </si>
  <si>
    <t>Domicilio Planos</t>
  </si>
  <si>
    <t>Pago Raul por prestarnos la escalera</t>
  </si>
  <si>
    <t>Gasolina Juan David</t>
  </si>
  <si>
    <t xml:space="preserve">Gasolina Jerson </t>
  </si>
  <si>
    <t>Gasolina Martín</t>
  </si>
  <si>
    <t>terminal tulua-lacteos</t>
  </si>
  <si>
    <t>Fotocopias ATS</t>
  </si>
  <si>
    <t>Cable 8 AWG y bornas 8 AWG</t>
  </si>
  <si>
    <t>Amplificador Wifi</t>
  </si>
  <si>
    <t>Transporte terminal</t>
  </si>
  <si>
    <t>Transporte terminal-lacteos</t>
  </si>
  <si>
    <t>Transporte terminal tulua</t>
  </si>
  <si>
    <t>Gasolina Jerson</t>
  </si>
  <si>
    <t>Pilotos verde y rojo 220v</t>
  </si>
  <si>
    <t>Copias de llave entrada principal oficina</t>
  </si>
  <si>
    <t>Unión EMT 3/4", Adaptador EMT 3/4", Adaptador SCH-40 3/4"</t>
  </si>
  <si>
    <t>Adaptador EMT 11/2", Unión EMT 11/2", Curva EMT 11/2"</t>
  </si>
  <si>
    <t>65 Logos Evolti</t>
  </si>
  <si>
    <t>Compra lapiceros + Logo en DTF+Domicilio Evento clinica pabon</t>
  </si>
  <si>
    <t>Tranporte Dann compra Cbina de audio para capacitaciones</t>
  </si>
  <si>
    <t>Compra Cabina de audio en Casa Electrica para capacitaciones</t>
  </si>
  <si>
    <t>Domicilio transporte sululentas evento Clinic Pabon</t>
  </si>
  <si>
    <t>Transporte Rubiela visita proyectos</t>
  </si>
  <si>
    <t>Pago cartera Leasing cuota 10/36</t>
  </si>
  <si>
    <t>anticipo minigranjas</t>
  </si>
  <si>
    <t>Impresión planos proyecto</t>
  </si>
  <si>
    <t>Tiquete bus terminal</t>
  </si>
  <si>
    <t>Material para motaje cofre y pase de cable señal</t>
  </si>
  <si>
    <t>Lata gas propano</t>
  </si>
  <si>
    <t>Transporte terminal de tulua andalucia</t>
  </si>
  <si>
    <t>Transporte andalucia  a terminal de tulua</t>
  </si>
  <si>
    <t>Transporte nicolas</t>
  </si>
  <si>
    <t>Tanqueo Jersson Gomez</t>
  </si>
  <si>
    <t>Transporte nicolas a visita comercial</t>
  </si>
  <si>
    <t>Tanqueo Martin Sossa</t>
  </si>
  <si>
    <t>Tanqueo Nicolas</t>
  </si>
  <si>
    <t>Transporte lacteos túlua a terminal</t>
  </si>
  <si>
    <t>Tanqueo nico</t>
  </si>
  <si>
    <t>Varilla roscada</t>
  </si>
  <si>
    <t>Transporte Cali -  Tulua</t>
  </si>
  <si>
    <t>Decuento credito fondo nacional de garantias</t>
  </si>
  <si>
    <t>Pago alimentacion Juan Manuel</t>
  </si>
  <si>
    <t>Alimentacion Juan Manuel Compra en Simons Pizzandbeer</t>
  </si>
  <si>
    <t>Alimentacion personal admin herman y marcela Compra en Simons Pizzandbeer</t>
  </si>
  <si>
    <t xml:space="preserve">Pago alimentacion Juan manuel </t>
  </si>
  <si>
    <t xml:space="preserve">Pago a Neftali Ceron "CONALUM" Elaboración e instalación de 2 puertas para CUARTOS ELÉCTRICOS en sistema tubular aluminio color negro, con 
persiana en la parte superior e inferior y sus respectivos 
accesorios para instalacion (bisagras omegas, chapa antipático 
marca Yale). </t>
  </si>
  <si>
    <t>Pago a ELECTRICOS DEL VALLE EPE 14133</t>
  </si>
  <si>
    <t>Pago a TABLEROS ELECTRICOS TABLESA TA218-25 ANTICIPO 50%</t>
  </si>
  <si>
    <t>Pago a GRUPO SOLAIRE OFERTA 3309</t>
  </si>
  <si>
    <t>Pago a MELBA LIGIA MONCAYO LA FERRO RM 4369</t>
  </si>
  <si>
    <t>Retencion fte 2,5% MELBA LIGIA MONCAYO LA FERRO RM 4369</t>
  </si>
  <si>
    <t>Retencion ica 6*1000 MELBA LIGIA MONCAYO LA FERRO RM 4369</t>
  </si>
  <si>
    <t>Pago a MELBA LIGIA MONCAYO LA FERRO RM 4373</t>
  </si>
  <si>
    <t>Retencion fte 2,5% MELBA LIGIA MONCAYO LA FERRO RM 4373</t>
  </si>
  <si>
    <t>Retencion ica 6*1000 MELBA LIGIA MONCAYO LA FERRO RM 4373</t>
  </si>
  <si>
    <t>Pago a MELBA LIGIA MONCAYO LA FERRO RM 4370</t>
  </si>
  <si>
    <t>Retencion fte 2,5% MELBA LIGIA MONCAYO LA FERRO RM 4370</t>
  </si>
  <si>
    <t>Retencion ica 6*1000 MELBA LIGIA MONCAYO LA FERRO RM 4370</t>
  </si>
  <si>
    <t>Pago a MELBA LIGIA MONCAYO LA FERRO RM 4384</t>
  </si>
  <si>
    <t>Retencion fte 2,5% MELBA LIGIA MONCAYO LA FERRO RM 4384</t>
  </si>
  <si>
    <t>Retencion ica 6*1000 MELBA LIGIA MONCAYO LA FERRO RM 4384</t>
  </si>
  <si>
    <t>Pago a MELBA LIGIA MONCAYO LA FERRO RM 4385</t>
  </si>
  <si>
    <t>Retencion fte 2,5% MELBA LIGIA MONCAYO LA FERRO RM 4385</t>
  </si>
  <si>
    <t>Retencion ica 6*1000 MELBA LIGIA MONCAYO LA FERRO RM 4385</t>
  </si>
  <si>
    <t>Pago a MELBA LIGIA MONCAYO LA FERRO RM 4386</t>
  </si>
  <si>
    <t>Retencion fte 2,5% MELBA LIGIA MONCAYO LA FERRO RM 4386</t>
  </si>
  <si>
    <t>Retencion ica 6*1000 MELBA LIGIA MONCAYO LA FERRO RM 4386</t>
  </si>
  <si>
    <t>Pago a MELBA LIGIA MONCAYO LA FERRO RM 4329</t>
  </si>
  <si>
    <t>Retencion fte 2,5% MELBA LIGIA MONCAYO LA FERRO RM 4329</t>
  </si>
  <si>
    <t>Retencion ica 6*1000 MELBA LIGIA MONCAYO LA FERRO RM 4329</t>
  </si>
  <si>
    <t>Pago a MELBA LIGIA MONCAYO LA FERRO RM 4282</t>
  </si>
  <si>
    <t>Retencion fte 2,5% MELBA LIGIA MONCAYO LA FERRO RM 4282</t>
  </si>
  <si>
    <t>Retencion ica 6*1000 MELBA LIGIA MONCAYO LA FERRO RM 4282</t>
  </si>
  <si>
    <t>Pago a MELBA LIGIA MONCAYO LA FERRO RM 4357</t>
  </si>
  <si>
    <t>Retencion fte 2,5% MELBA LIGIA MONCAYO LA FERRO RM 4357</t>
  </si>
  <si>
    <t>Retencion ica 6*1000 MELBA LIGIA MONCAYO LA FERRO RM 4357</t>
  </si>
  <si>
    <t>Pago a MELBA LIGIA MONCAYO LA FERRO RM 4382</t>
  </si>
  <si>
    <t>Retencion fte 2,5% MELBA LIGIA MONCAYO LA FERRO RM 4382</t>
  </si>
  <si>
    <t>Retencion ica 6*1000 MELBA LIGIA MONCAYO LA FERRO RM 4382</t>
  </si>
  <si>
    <t>Pago a MELBA LIGIA MONCAYO LA FERRO RM 4364</t>
  </si>
  <si>
    <t>Retencion fte 2,5% MELBA LIGIA MONCAYO LA FERRO RM 4364</t>
  </si>
  <si>
    <t>Retencion ica 6*1000 MELBA LIGIA MONCAYO LA FERRO RM 4364</t>
  </si>
  <si>
    <t>Pago a ELECTRICOS DEL VALLE COT SO-741365</t>
  </si>
  <si>
    <t>Pago a TABLESA COT TA182-25 VR COT 11-2025</t>
  </si>
  <si>
    <t>Retencion fte 2,5% TABLESA COT TA182-25 VR COT 11-2025</t>
  </si>
  <si>
    <t>Pago a OBBRO COT 833 Transformador</t>
  </si>
  <si>
    <t>Retencion fte 2,5% OBBRO COT 833</t>
  </si>
  <si>
    <t xml:space="preserve">Pago a BRAJAN STEVE MORALES </t>
  </si>
  <si>
    <t>Pago a ELECTRICOS DEL VALLE EPE 13967</t>
  </si>
  <si>
    <t>Pago a CHRISTIAN KENNEDY MONCAYO ANDRADE PLANOS ARQUITECTONICOS</t>
  </si>
  <si>
    <t xml:space="preserve">Pago compra CAMARA DE COMERCIO PASTO </t>
  </si>
  <si>
    <t>Pago compra CAMARA DE COMERCIO MEDELLIN</t>
  </si>
  <si>
    <t xml:space="preserve">Pago alquiler Computadores a milenio </t>
  </si>
  <si>
    <t xml:space="preserve">Pago cuenta de cobro a HUMBERTO ROSERO </t>
  </si>
  <si>
    <t xml:space="preserve">Pago a Cedenar servicio de energia </t>
  </si>
  <si>
    <t>Pago examenes medicos mayo IPS BIENESTAR LABORAL </t>
  </si>
  <si>
    <t>Retencion fte 2% IPS BIENESTAR LABORAL</t>
  </si>
  <si>
    <t>Retencion ica 6*1000 IPS BIENESTAR LABORAL </t>
  </si>
  <si>
    <t>Pago a TABLESA tableros de distribucion</t>
  </si>
  <si>
    <t>Retencion fta 2,5% TABLESA tableros de distribucion</t>
  </si>
  <si>
    <t>Pago a REGISTRO Y NOTARIADO</t>
  </si>
  <si>
    <t>Pago a TABLESA TA326-26 Flete estructura</t>
  </si>
  <si>
    <t>Retencion fte 1% TABLESA TA326-26 Flete estructura</t>
  </si>
  <si>
    <t>Compra en REGISTRO Y NOTARIADO 070-222919</t>
  </si>
  <si>
    <t>Compra en REGISTRO Y NOTARIADO 306-10849</t>
  </si>
  <si>
    <t>Compra en REGISTRO Y NOTARIADO 074-77009</t>
  </si>
  <si>
    <t>Compra en REGISTRO Y NOTARIADO 070-158650</t>
  </si>
  <si>
    <t>Pago a MARCOS DANIEL OJEDA ALIMENTACION 126 COMIDAS</t>
  </si>
  <si>
    <t>Retencion fte 3,5% MARCOS DANIEL OJEDA ALIMENTACION 126 COMIDAS</t>
  </si>
  <si>
    <t>Pago a SURA 033000014422 - 10331004410</t>
  </si>
  <si>
    <t>Pago a SURA 033000014742 - 10331004528</t>
  </si>
  <si>
    <t>Peaje Lebrija - (hacia Aeropuerto de Bucaramanga)</t>
  </si>
  <si>
    <t>Sin facturas Servicio de desayuno: $12.000</t>
  </si>
  <si>
    <t>Servicio de Almuerzo</t>
  </si>
  <si>
    <t>Servicio de Cena</t>
  </si>
  <si>
    <t xml:space="preserve">Servicio de cena </t>
  </si>
  <si>
    <t xml:space="preserve"> Sin facturas
 Hidratación (Remolino): $5000 </t>
  </si>
  <si>
    <t>Servicio de Hospedaje - 50 mil pesos cada noche</t>
  </si>
  <si>
    <t>Sin facturas Hidratación (Remolino): $5000</t>
  </si>
  <si>
    <t>Servicio de restaurante - Cena del viernes 30 de mayo Desayuno y Almuerzo del Sabado 31 de Mayo</t>
  </si>
  <si>
    <t>Sin Factura - Servicio de transporte desde Aeropuerto Pasto, hasta Hotel Vymar: 25,000 [Desde remolino viajamos junto con Kelly hasta el Aeropuerto, ella se quedo ahí pues tenia viaje, yo tome un colectivo para llegar al Hotel]- Servicio de Hidratación: 5,000- Servicio de alimentación Cena: 15,000</t>
  </si>
  <si>
    <t>Servicio de Desayuno</t>
  </si>
  <si>
    <t>Sin Factura - Servicio de cena: 15,000- Hidratación: 5,000</t>
  </si>
  <si>
    <t>Sin Factura - Servicio de almuerzo: 22,000 Vedido por parte del hotel Vymar, sin embargo no hubo tiempo para generar la factura - Servicio de transporte desde el paradero "San Diego" en Medellin, hasta el Hotel "Balcones de la 70": 15,000</t>
  </si>
  <si>
    <t>Servicio de Hospedaje - Balcones de la 70 - 2 Noches 150 mil + Iva : 178,500</t>
  </si>
  <si>
    <t xml:space="preserve"> Sin Factura - Servicio de desayuno: 10,000</t>
  </si>
  <si>
    <t>Sin Factura - Servicio de transporte de Hotel "Balcones de la 70" hasta ofinica Sede Palmas: 13,000- Servicio de Almuerzo: 19,000-Hidratación: 5000</t>
  </si>
  <si>
    <t>Servicio de transporte
 Desde Ofinia Sede Palmas, hasta Aeropuerto (Medellin)</t>
  </si>
  <si>
    <t>Desayuno aeropueto</t>
  </si>
  <si>
    <t>Uber aeropuerto - Pasto (compartido Moisés)</t>
  </si>
  <si>
    <t xml:space="preserve">Cena </t>
  </si>
  <si>
    <t>Taxi hotel - punto de encuentro para ir a El Remolino</t>
  </si>
  <si>
    <t xml:space="preserve">Cena El Remolino </t>
  </si>
  <si>
    <t xml:space="preserve">Desayuno - Cena El Remolino </t>
  </si>
  <si>
    <t>Almuerzo comercial con CRC</t>
  </si>
  <si>
    <t>Peaje Remolino - Aeropuerto</t>
  </si>
  <si>
    <t>Pago a PROTECTO FED 4756</t>
  </si>
  <si>
    <t>Pago a SURTIEQUIPOS DEL SUR MD SAS FEV 4436</t>
  </si>
  <si>
    <t>Retencion fte 4% SURTIEQUIPOS DEL SUR MD SAS FEV 4436</t>
  </si>
  <si>
    <t>Retencion ica 6*1000 SURTIEQUIPOS DEL SUR MD SAS FEV 4436</t>
  </si>
  <si>
    <t>Pago realizado a GEOSOIL EL PRADO EL BORODO</t>
  </si>
  <si>
    <t>Reteiva 15% GEOSOIL</t>
  </si>
  <si>
    <t>Pago realizado a GEOSOIL EL PREDIO CHINOS</t>
  </si>
  <si>
    <t>Pago realizado a GEOSOIL</t>
  </si>
  <si>
    <t>Pago realizado a GEOSOIL BEERSEBA S ESTRECHO</t>
  </si>
  <si>
    <t>Pago realizado a GEOSOIL  EL RECREO</t>
  </si>
  <si>
    <t>Pago a EVA ENVIRONMENT ADVISORS SAS FVE 10</t>
  </si>
  <si>
    <t>Pago a LEIDY DUFRANY LOPEZ ROSERO SST</t>
  </si>
  <si>
    <t>Pago a DANIELA MUNOZ CHAMORRO</t>
  </si>
  <si>
    <t>Retencion fte 2,5% DANIELA MUNOZ CHAMORRO</t>
  </si>
  <si>
    <t>Pago a ICOTALLA SAS COT 43-2025 ANTICIPO 25%</t>
  </si>
  <si>
    <t>Pago a WILMER PAREDES</t>
  </si>
  <si>
    <t>Retencion fte 2,5%  WILMER PAREDES</t>
  </si>
  <si>
    <t>Pago a NESTOR ALBERTO RODRIGUEZ MARTINEZ FENIX TEC COT 902</t>
  </si>
  <si>
    <t>Retencion fte 2,5% NESTOR ALBERTO RODRIGUEZ MARTINEZ FENIX TEC COT 902</t>
  </si>
  <si>
    <t>Pago a NESTOR ALBERTO RODRIGUEZ MARTINEZ FENIX TEC COT 900</t>
  </si>
  <si>
    <t>Retencion fte 2,5% NESTOR ALBERTO RODRIGUEZ MARTINEZ FENIX TEC COT 900</t>
  </si>
  <si>
    <t>Pago a NESTOR ALBERTO RODRIGUEZ MARTINEZ FENIX TEC COT 901</t>
  </si>
  <si>
    <t>Retencion fte 2,5% NESTOR ALBERTO RODRIGUEZ MARTINEZ FENIX TEC COT 901</t>
  </si>
  <si>
    <t>Pago a CALIDAD DE ENERGIA SAS Cotización No 20709</t>
  </si>
  <si>
    <t>Retencion fte 11%  CALIDAD DE ENERGIA SAS Cotización No 20709</t>
  </si>
  <si>
    <t>Pago a FERROMAC AURA MIREY BURBANO 0399</t>
  </si>
  <si>
    <t>Retencion fte 2,5% FERROMAC AURA MIREY BURBANO 0399</t>
  </si>
  <si>
    <t>Pago a FERROMAC AURA MIREY BURBANO 0400</t>
  </si>
  <si>
    <t>Retencion fte 2,5% FERROMAC AURA MIREY BURBANO 0400</t>
  </si>
  <si>
    <t>Pago a HUMBERTO JAVIER ROSERO ANTICIPO 50% montaje estructura para cuarto electrico</t>
  </si>
  <si>
    <t>Pago a DERLINK ESTEBAN MANZANO POSB 982</t>
  </si>
  <si>
    <t>Retencion fte 4% DERLINK ESTEBAN MANZANO POSB 982</t>
  </si>
  <si>
    <t>Pago a EVA ENVIRONMENT ADVISORS SAS FVE 8</t>
  </si>
  <si>
    <t>Pago a ELECTRICOS DEL VALLE EPE 13615</t>
  </si>
  <si>
    <t>Pago a DISTRITO E SAS FE 923</t>
  </si>
  <si>
    <t>Pago a DISTRITO E SAS FE 922</t>
  </si>
  <si>
    <t>Pago a DISTRITO E SAS FE 950</t>
  </si>
  <si>
    <t>Pago a DISTRITO E SAS FE 924</t>
  </si>
  <si>
    <t>Pago a EMERSON RENE CERON ORTEGA dotacion</t>
  </si>
  <si>
    <t>Retencion fte 2,5% EMERSON RENE CERON ORTEGA</t>
  </si>
  <si>
    <t>Retencion ica 6*1000 EMERSON RENE CERON ORTEGA</t>
  </si>
  <si>
    <t>Pago a ANGELICA MARIA AGREDA AGREDA FE 810 señales en acrilico</t>
  </si>
  <si>
    <t>Pago a ANGELICA MARIA AGREDA AGREDA FE 816 señales en acrilico</t>
  </si>
  <si>
    <t>Pago a MELBA LIGIA MONCAYO LA FERRO RM 4272</t>
  </si>
  <si>
    <t>Retencion fte 2,5% MELBA LIGIA MONCAYO LA FERRO RM 4272</t>
  </si>
  <si>
    <t>Retencion ica 6*1000 MELBA LIGIA MONCAYO LA FERRO RM 4272</t>
  </si>
  <si>
    <t>Pago a MELBA LIGIA MONCAYO LA FERRO RM 4393</t>
  </si>
  <si>
    <t>Retencion fte 2,5% MELBA LIGIA MONCAYO LA FERRO RM 4393</t>
  </si>
  <si>
    <t>Retencion ica 6*1000 MELBA LIGIA MONCAYO LA FERRO RM 4393</t>
  </si>
  <si>
    <t>Pago a MELBA LIGIA MONCAYO LA FERRO RM 4392</t>
  </si>
  <si>
    <t>Retencion fte 2,5% MELBA LIGIA MONCAYO LA FERRO RM 4392</t>
  </si>
  <si>
    <t>Retencion ica 6*1000 MELBA LIGIA MONCAYO LA FERRO RM 4392</t>
  </si>
  <si>
    <t>Pago a MELBA LIGIA MONCAYO LA FERRO RM 4397</t>
  </si>
  <si>
    <t>Retencion fte 2,5% MELBA LIGIA MONCAYO LA FERRO RM 4397</t>
  </si>
  <si>
    <t>Retencion ica 6*1000 MELBA LIGIA MONCAYO LA FERRO RM 4397</t>
  </si>
  <si>
    <t>Pago a MELBA LIGIA MONCAYO LA FERRO RM 4406</t>
  </si>
  <si>
    <t>Retencion fte 2,5% MELBA LIGIA MONCAYO LA FERRO RM 4406</t>
  </si>
  <si>
    <t>Retencion ica 6*1000 MELBA LIGIA MONCAYO LA FERRO RM 4406</t>
  </si>
  <si>
    <t>Pago a EVA ENVIRONMENT ADVISORS SAS FVE 9 consula mininterior</t>
  </si>
  <si>
    <t>Reteica 15% EVA EVIROMENT</t>
  </si>
  <si>
    <t>Pago a JOHNNY CEBALLOS JMCB-80</t>
  </si>
  <si>
    <t>Retencion fte 1% JOHNNY CEBALLOS JMCB-80</t>
  </si>
  <si>
    <t>Retencion ica 6*1000 JOHNNY CEBALLOS JMCB-80</t>
  </si>
  <si>
    <t>Pago a JOHNNY CEBALLOS JMCB 77</t>
  </si>
  <si>
    <t>Pago a JOHNNY CEBALLOS JMCB 78</t>
  </si>
  <si>
    <t xml:space="preserve">Pago a FERREMALLAS COT 601-05-2025 anticipo 50% </t>
  </si>
  <si>
    <t>Pago impuesto retencion fte Evolti</t>
  </si>
  <si>
    <t>Pago impuesto retencion iva Evolti</t>
  </si>
  <si>
    <t>Pago a SOLAIRE FC 122462</t>
  </si>
  <si>
    <t>Pago a SOLAIRE FC 122463</t>
  </si>
  <si>
    <t>Pago a SOLAIRE FC 122388</t>
  </si>
  <si>
    <t>Pago a SOLAIRE ANTICIPO</t>
  </si>
  <si>
    <t xml:space="preserve">Pago a MILTON SANTIAGO RIVERA </t>
  </si>
  <si>
    <t xml:space="preserve">Retencion fte 4% MILTON SANTIAGO RIVERA </t>
  </si>
  <si>
    <t xml:space="preserve">Retencion ica 6*1000 MILTON SANTIAGO RIVERA </t>
  </si>
  <si>
    <t>Pago a VICTOR HUGO MAYA TORRES</t>
  </si>
  <si>
    <t>Pago Liquidacion laboral KEVIN JONATAN MONTILLA RIAZCO</t>
  </si>
  <si>
    <t>Pago liquidacion laboral ASTRD RODRIGUEZ</t>
  </si>
  <si>
    <t>Pago liquidacion laboral CESAR IGNACIO CHACHINOY CRIOLLO</t>
  </si>
  <si>
    <t>Pago a DINAMICA LOGISTICA DL 72323</t>
  </si>
  <si>
    <t>PAGO PRIMA SE SERVICIOS JUNIO A  JHOANA MARCELA GERMAN REYES</t>
  </si>
  <si>
    <t>PAGO PRIMA SE SERVICIOS JUNIO A  JUAN MANUEL ESPAÑA FORERO</t>
  </si>
  <si>
    <t>PAGO PRIMA SE SERVICIOS JUNIO A  HERMANN SOUZA CUBIDES</t>
  </si>
  <si>
    <t>PAGO PRIMA SE SERVICIOS JUNIO A  SANDRA CAROLINA PATASCOY BOTINA</t>
  </si>
  <si>
    <t>PAGO PRIMA SE SERVICIOS JUNIO A  YULY ANDREA JARAMILLO GUERRERO</t>
  </si>
  <si>
    <t>PAGO PRIMA SE SERVICIOS JUNIO A  LOREN ALEJANDRA DIAZ YAMPUEZAN</t>
  </si>
  <si>
    <t>PAGO PRIMA SE SERVICIOS JUNIO A  MARIA FERNANDA CHAMORRO CARLOSAMA</t>
  </si>
  <si>
    <t>PAGO PRIMA SE SERVICIOS JUNIO A  CRISTINA LASSO</t>
  </si>
  <si>
    <t>PAGO PRIMA SE SERVICIOS JUNIO A  JUAN CARLOS CAÑAR POTOSI</t>
  </si>
  <si>
    <t>PAGO PRIMA SE SERVICIOS JUNIO A  RUBIELA DEL SOCORRO RAMOS PARRA</t>
  </si>
  <si>
    <t>PAGO PRIMA SE SERVICIOS JUNIO A  JUAN CAMILO GARCIA SOUZA</t>
  </si>
  <si>
    <t>PAGO PRIMA SE SERVICIOS JUNIO A  CINDY JOHANA CARLOSAMA HERNANDEZ</t>
  </si>
  <si>
    <t>PAGO PRIMA SE SERVICIOS JUNIO A  JUAN ESTEBAN IBARRA CAMUES</t>
  </si>
  <si>
    <t>PAGO PRIMA SE SERVICIOS JUNIO A  PAOLA ANDREA SEGURA MARTINEZ</t>
  </si>
  <si>
    <t>PAGO PRIMA SE SERVICIOS JUNIO A  LUISA FERNANDA OBANDO VITAR</t>
  </si>
  <si>
    <t xml:space="preserve">PAGO PRIMA SE SERVICIOS JUNIO A  SARA LUCIA DAZA LOPEZ </t>
  </si>
  <si>
    <t>PAGO PRIMA SE SERVICIOS JUNIO A  CLAUDIA STELLA CORAL ERASO</t>
  </si>
  <si>
    <t>PAGO PRIMA SE SERVICIOS JUNIO A  JULLY PAOLA AGUDELO BAEZ</t>
  </si>
  <si>
    <t>PAGO PRIMA SE SERVICIOS JUNIO A  PAOLA ANDREA ARENAS MARTINEZ</t>
  </si>
  <si>
    <t>PAGO PRIMA SE SERVICIOS JUNIO A  ASTRID CAROLINA DIAZ LOPEZ</t>
  </si>
  <si>
    <t>PAGO PRIMA SE SERVICIOS JUNIO A  JULIO CESAR DEAVILA MARTINEZ</t>
  </si>
  <si>
    <t>PAGO PRIMA SE SERVICIOS JUNIO A  DORIS VEGA TORRES</t>
  </si>
  <si>
    <t>PAGO PRIMA SE SERVICIOS JUNIO A  CAROLINA CARDONA PAREJA</t>
  </si>
  <si>
    <t>PAGO PRIMA SE SERVICIOS JUNIO A  VERONICA LILIANA SANTACRUZ MENZA</t>
  </si>
  <si>
    <t>PAGO PRIMA SE SERVICIOS JUNIO A  JULIO HERNANDO BELALCAZAR MURILLO</t>
  </si>
  <si>
    <t>PAGO PRIMA SE SERVICIOS JUNIO A  DIANA ALEJANDRA MERA MUÑOZ</t>
  </si>
  <si>
    <t xml:space="preserve">PAGO PRIMA SE SERVICIOS JUNIO A  WILSON ALEJANDRO MORA ERAZO </t>
  </si>
  <si>
    <t>PAGO PRIMA SE SERVICIOS JUNIO A  NESTOR ANDRES ARCINIEGAS VILLAMARIN</t>
  </si>
  <si>
    <t>PAGO PRIMA SE SERVICIOS JUNIO A  JHON EDINSON SANCHEZ CAMACHO</t>
  </si>
  <si>
    <t xml:space="preserve">PAGO PRIMA SE SERVICIOS JUNIO A  LAURA MARIA  ROSAS CORDOBA </t>
  </si>
  <si>
    <t>PAGO PRIMA SE SERVICIOS JUNIO A  KELLY TATIANA ALVAREZ GARCIA</t>
  </si>
  <si>
    <t>PAGO PRIMA SE SERVICIOS JUNIO A  ANA MILENA HENAO GONZALEZ</t>
  </si>
  <si>
    <t xml:space="preserve">PAGO PRIMA SE SERVICIOS JUNIO A  JOSE ESTEBAN RODRIGUEZ QUINTERO </t>
  </si>
  <si>
    <t>PAGO PRIMA SE SERVICIOS JUNIO A  MOISES RUIZ AYALA</t>
  </si>
  <si>
    <t>PAGO PRIMA SE SERVICIOS JUNIO A  MARIANA SALDARRIAGA CADAVID</t>
  </si>
  <si>
    <t>PAGO PRIMA SE SERVICIOS JUNIO A  MARIA ELENA RIVERA SOTO</t>
  </si>
  <si>
    <t xml:space="preserve">PAGO PRIMA SE SERVICIOS JUNIO A  GLORIA DANIELA TIMARAN CABRERA </t>
  </si>
  <si>
    <t>PAGO PRIMA SE SERVICIOS JUNIO A  JULIAN RICARDO GOMEZ GUERRERO</t>
  </si>
  <si>
    <t>PAGO PRIMA SE SERVICIOS JUNIO A  CARLOS FERNANDO CABRERA VELASCO</t>
  </si>
  <si>
    <t>PAGO PRIMA SE SERVICIOS JUNIO A  FABIAN ANDRES FLOREZ BETANCOURT</t>
  </si>
  <si>
    <t>PAGO PRIMA SE SERVICIOS JUNIO A  ANDRES FELIPE DELGADO ZUTTA</t>
  </si>
  <si>
    <t>PAGO PRIMA SE SERVICIOS JUNIO A  JEANCARLO GUILLERMO MONCAYO ANDRADE</t>
  </si>
  <si>
    <t>PAGO PRIMA SE SERVICIOS JUNIO A  JUAN FERNANDO PANIAGUA OSORIO</t>
  </si>
  <si>
    <t>PAGO PRIMA SE SERVICIOS JUNIO A  LEIBNITZ EDUARDO CHANA CALDERON</t>
  </si>
  <si>
    <t>PAGO PRIMA SE SERVICIOS JUNIO A  DANNA STEFANYA LASSO GUERRA</t>
  </si>
  <si>
    <t>PAGO PRIMA SE SERVICIOS JUNIO A  JAVIER SEBASTIÁN LUCENA VILLARREAL</t>
  </si>
  <si>
    <t>PAGO PRIMA SE SERVICIOS JUNIO A  JORGE ANDRES MUÑOZ MARTINEZ</t>
  </si>
  <si>
    <t>PAGO PRIMA SE SERVICIOS JUNIO A  HERNAN DARIO CABRERA QUITIAQUEZ</t>
  </si>
  <si>
    <t>PAGO PRIMA SE SERVICIOS JUNIO A  YOHN JAIRO BENAVIDES CHAMORRO</t>
  </si>
  <si>
    <t>PAGO PRIMA SE SERVICIOS JUNIO A  DANNA EVELYN ARMERO ROSERO</t>
  </si>
  <si>
    <t>PAGO PRIMA SE SERVICIOS JUNIO A  IVAN DANIEL MONTILLA CORAL</t>
  </si>
  <si>
    <t>PAGO PRIMA SE SERVICIOS JUNIO A  JUAN SEBASTIAN GOMEZ LEAL</t>
  </si>
  <si>
    <t>PAGO PRIMA SE SERVICIOS JUNIO A  CRISTHIAN CAMILO ROSERO ALVAREZ</t>
  </si>
  <si>
    <t>PAGO PRIMA SE SERVICIOS JUNIO A  EDERSON DAZA ARTEAGA</t>
  </si>
  <si>
    <t xml:space="preserve">PAGO PRIMA SE SERVICIOS JUNIO A  SERGIO DAVID ZAMBRANO ESCOBAR </t>
  </si>
  <si>
    <t>PAGO PRIMA SE SERVICIOS JUNIO A  DANIELA ARBOLEDA RODRIGUEZ</t>
  </si>
  <si>
    <t>PAGO PRIMA SE SERVICIOS JUNIO A  NICOLAS LOPEZ DULCE</t>
  </si>
  <si>
    <t>PAGO PRIMA SE SERVICIOS JUNIO A  JOSE ALVEIRO CUSIS HERNANDEZ</t>
  </si>
  <si>
    <t>PAGO PRIMA SE SERVICIOS JUNIO A  JASON STEVEN DIAZ GUEVARA </t>
  </si>
  <si>
    <t>PAGO PRIMA SE SERVICIOS JUNIO A  OSCAR ANDRES CASTRO BOTINA</t>
  </si>
  <si>
    <t xml:space="preserve">PAGO PRIMA SE SERVICIOS JUNIO A  RUBEN DARIO ESPINOSA PARRA </t>
  </si>
  <si>
    <t xml:space="preserve">PAGO PRIMA SE SERVICIOS JUNIO A  JHON ALEXANDER GELPUD ZAMORA </t>
  </si>
  <si>
    <t>PAGO PRIMA SE SERVICIOS JUNIO A  MARIO ALEXANDER CUSIS HERNANDEZ</t>
  </si>
  <si>
    <t>PAGO PRIMA SE SERVICIOS JUNIO A  JOY JAMIT MOSQUERA ORDOÑEZ</t>
  </si>
  <si>
    <t>PAGO PRIMA SE SERVICIOS JUNIO A  JORGE ANDRES BARRERA YANDAR</t>
  </si>
  <si>
    <t>PAGO PRIMA SE SERVICIOS JUNIO A  EDWIN LEONARDO MARTINEZ YAQUENO</t>
  </si>
  <si>
    <t>PAGO PRIMA SE SERVICIOS JUNIO A  WIILLIAM ALBERTO AZA CRIOLLO</t>
  </si>
  <si>
    <t>PAGO PRIMA SE SERVICIOS JUNIO A  ANDRES FERNANDO ESPINOSA GUACALES</t>
  </si>
  <si>
    <t xml:space="preserve">PAGO PRIMA SE SERVICIOS JUNIO A  JHORDY STEVEN TRUJILLO GALEANO </t>
  </si>
  <si>
    <t>PAGO PRIMA SE SERVICIOS JUNIO A  JOHAN SEBASTIAN OVIEDO NIÑAN</t>
  </si>
  <si>
    <t xml:space="preserve">PAGO PRIMA SE SERVICIOS JUNIO A  JAVIER GIOVANI YANDUN INAGAN </t>
  </si>
  <si>
    <t xml:space="preserve">PAGO PRIMA SE SERVICIOS JUNIO A  CRISTIAN ANDRES CHITAN </t>
  </si>
  <si>
    <t>PAGO PRIMA SE SERVICIOS JUNIO A  JOSE RAFAEL RUEDA  HERRERA</t>
  </si>
  <si>
    <t>PAGO PRIMA SE SERVICIOS JUNIO A  JERSON ALEXIS GOMEZ ACOSTA</t>
  </si>
  <si>
    <t>PAGO PRIMA SE SERVICIOS JUNIO A  MARTIN ALONSO SOSSA AGUIRRE</t>
  </si>
  <si>
    <t>PAGO PRIMA SE SERVICIOS JUNIO A  JOSE JULIAN OCAMPO URIBE</t>
  </si>
  <si>
    <t>PAGO PRIMA SE SERVICIOS JUNIO A  JHONSIN ARLEY ARIAS CEBALLOS</t>
  </si>
  <si>
    <t>PAGO PRIMA SE SERVICIOS JUNIO A  JIMMI ALEXANDER BURGOS GUERRERO</t>
  </si>
  <si>
    <t>PAGO PRIMA SE SERVICIOS JUNIO A  IVAN CAMILO MENESES ORDOÑEZ</t>
  </si>
  <si>
    <t xml:space="preserve">PAGO PRIMA SE SERVICIOS JUNIO A  JUAN ESTEBAN BLANCO QUIROGA </t>
  </si>
  <si>
    <t>PAGO PRIMA SE SERVICIOS JUNIO A  RODRIGO QUINTERO DIAZ</t>
  </si>
  <si>
    <t>PAGO PRIMA SE SERVICIOS JUNIO A  ANDRES WILFREDY BASTIDAS GALINDEZ</t>
  </si>
  <si>
    <t>PAGO PRIMA SE SERVICIOS JUNIO A  LUIS ALBERTO ALMEIDA MATABAJOY</t>
  </si>
  <si>
    <t>PAGO PRIMA SE SERVICIOS JUNIO A  RUBEN LOPEZ MUÑOZ</t>
  </si>
  <si>
    <t>PAGO PRIMA SE SERVICIOS JUNIO A  ROYER IDELVER LOPEZ SOLARTE</t>
  </si>
  <si>
    <t>PAGO PRIMA SE SERVICIOS JUNIO A  JOSE MANUEL LOPEZ OBANDO</t>
  </si>
  <si>
    <t xml:space="preserve">PAGO PRIMA SE SERVICIOS JUNIO A  EDINSON ENRIQUE CANTILLO CORONADO </t>
  </si>
  <si>
    <t>PAGO PRIMA SE SERVICIOS JUNIO A  DEIMAN JARINSON DAVID MUÑOZ</t>
  </si>
  <si>
    <t>PAGO PRIMA SE SERVICIOS JUNIO A  DEIBER QUINTERO DIAZ</t>
  </si>
  <si>
    <t>PAGO PRIMA SE SERVICIOS JUNIO A  JOSE DEL CARMEN GUERRERO BERDUGO</t>
  </si>
  <si>
    <t>PAGO PRIMA SE SERVICIOS JUNIO A  BRANDON GUAQUEZ TITISTAR</t>
  </si>
  <si>
    <t>PAGO PRIMA SE SERVICIOS JUNIO A  DANGER ESTIVENSON BENAVIDES ORTEGA</t>
  </si>
  <si>
    <t>PAGO PRIMA SE SERVICIOS JUNIO A  DANILO JAVIER OJEDA NARVAEZ</t>
  </si>
  <si>
    <t xml:space="preserve">PAGO PRIMA SE SERVICIOS JUNIO A  NORELI SELENA DIAZ JURADO </t>
  </si>
  <si>
    <t>PAGO PRIMA SE SERVICIOS JUNIO A  OSCAR IVAN MELENDEZ GARCIA</t>
  </si>
  <si>
    <t>PAGO PRIMA SE SERVICIOS JUNIO A  SANDRO ALBEIRO DELGADO MARTINEZ</t>
  </si>
  <si>
    <t>PAGO PRIMA SE SERVICIOS JUNIO A  RICARDO HERNAN ORTIZ</t>
  </si>
  <si>
    <t>PAGO PRIMA SE SERVICIOS JUNIO A  DARWIN ANDRES QUINTERO QUINTERO</t>
  </si>
  <si>
    <t>PAGO PRIMA SE SERVICIOS JUNIO A  HEIMER FAVIAN DAZA DIAZ</t>
  </si>
  <si>
    <t>PAGO PRIMA SE SERVICIOS JUNIO A  YEFERSON ORLANDO ORTEGA VALLEJO</t>
  </si>
  <si>
    <t>PAGO PRIMA SE SERVICIOS JUNIO A  BRIAN ALEXANDER PALACIOS ROSERO</t>
  </si>
  <si>
    <t>PAGO PRIMA SE SERVICIOS JUNIO A  JOSE FERNANDO DELGADO GONZALEZ</t>
  </si>
  <si>
    <t>PAGO PRIMA SE SERVICIOS JUNIO A  JUAN CAMILO BASTIDAS NARVAEZ</t>
  </si>
  <si>
    <t>PAGO PRIMA SE SERVICIOS JUNIO A  FREDY ALEXANDER RUALES QUIÑOÑEZ</t>
  </si>
  <si>
    <t>PAGO PRIMA SE SERVICIOS JUNIO A  FRANCISCO LIDER PORTILLA</t>
  </si>
  <si>
    <t xml:space="preserve">PAGO PRIMA SE SERVICIOS JUNIO A  ALEXANDER DAVID BETANCOURT CARVAJAL </t>
  </si>
  <si>
    <t>PAGO PRIMA SE SERVICIOS JUNIO A  SEGUNDO MARCIAL GELPUD BOTINA</t>
  </si>
  <si>
    <t>PAGO PRIMA SE SERVICIOS JUNIO A  ALBEIRO ORLANDO ESPAÑA HERNANDEZ</t>
  </si>
  <si>
    <t>PAGO PRIMA SE SERVICIOS JUNIO A  EDILFONSO ROSERO CASTILLO</t>
  </si>
  <si>
    <t>PAGO PRIMA SE SERVICIOS JUNIO A  JEFERSON VERGARA MUÑOZ</t>
  </si>
  <si>
    <t>PAGO PRIMA SE SERVICIOS JUNIO A  YALINER ILVIRA FIGUEROA</t>
  </si>
  <si>
    <t xml:space="preserve">PAGO PRIMA SE SERVICIOS JUNIO A  DILBER  MAURICIO PAZ ALMEIDA </t>
  </si>
  <si>
    <t>PAGO PRIMA SE SERVICIOS JUNIO A  WILLIAMS ALFREDO VILLAR MORA</t>
  </si>
  <si>
    <t>PAGO PRIMA SE SERVICIOS JUNIO A  VIVIANA ANDREA AYALA PICHINA</t>
  </si>
  <si>
    <t>PAGO PRIMA SE SERVICIOS JUNIO A  AURO EDILSON ARTEAGA MEZA</t>
  </si>
  <si>
    <t>PAGO PRIMA SE SERVICIOS JUNIO A  WILLIAM HERNANDO CASTRO RODRIGUEZ</t>
  </si>
  <si>
    <t>PAGO PRIMA SE SERVICIOS JUNIO A  HOLMES GALINDEZ VALDEZ</t>
  </si>
  <si>
    <t>PAGO PRIMA SE SERVICIOS JUNIO A  ALEXANDER MUÑOZ DIAZ</t>
  </si>
  <si>
    <t>PAGO PRIMA SE SERVICIOS JUNIO A  JOSE DELIO ALMEIDA ALMEIDA</t>
  </si>
  <si>
    <t>PAGO PRIMA SE SERVICIOS JUNIO A  JESUS ALBERTO DIAZ PALACIOS</t>
  </si>
  <si>
    <t>PAGO PRIMA SE SERVICIOS JUNIO A  LUIS FERNANDO RODRIGUEZ MUÑOZ</t>
  </si>
  <si>
    <t>PAGO PRIMA SE SERVICIOS JUNIO A  JORGE LUIS LIZCANO NIÑO</t>
  </si>
  <si>
    <t>PAGO PRIMA SE SERVICIOS JUNIO A  CARLOS HERNANDO ENRIQUEZ DIAZ</t>
  </si>
  <si>
    <t>PAGO PRIMA SE SERVICIOS JUNIO A  FABIAN OJEDA RODRIGUEZ</t>
  </si>
  <si>
    <t>PAGO PRIMA SE SERVICIOS JUNIO A  ASTRID VEIDUD LOPEZ NARVAEZ</t>
  </si>
  <si>
    <t>PAGO PRIMA SE SERVICIOS JUNIO A  ALEX DUVAN CIFUENTES PAZ</t>
  </si>
  <si>
    <t>PAGO PRIMA SE SERVICIOS JUNIO A  ODELMER DAZA PEREZ</t>
  </si>
  <si>
    <t>PAGO PRIMA SE SERVICIOS JUNIO A  JUNIOR FEDERICK OCAMPO ESPAÑA</t>
  </si>
  <si>
    <t>PAGO PRIMA SE SERVICIOS JUNIO A  LUZ IRMA ORTEGA CIFUENTES</t>
  </si>
  <si>
    <t xml:space="preserve">PAGO PRIMA SE SERVICIOS JUNIO A  DIEGO ANDRES ARAUJO NARVAEZ </t>
  </si>
  <si>
    <t>PAGO PRIMA SE SERVICIOS JUNIO A  ALVARO HERNAN MONTILLA GONZALEZ</t>
  </si>
  <si>
    <t>PAGO PRIMA SE SERVICIOS JUNIO A  JUAN GABRIEL TUTISTAR NARVAEZ</t>
  </si>
  <si>
    <t>PAGO PRIMA SE SERVICIOS JUNIO A  LIBERIO IPIALES ROSERO</t>
  </si>
  <si>
    <t>PAGO PRIMA SE SERVICIOS JUNIO A  ROMEL MARTINEZ GRIJALBA</t>
  </si>
  <si>
    <t>PAGO PRIMA SE SERVICIOS JUNIO A  JORGE AURELIO GOMEZ BENAVIDES</t>
  </si>
  <si>
    <t>PAGO PRIMA SE SERVICIOS JUNIO A  JAIR ALEXANDER BOLAÑOS CHAVEZ</t>
  </si>
  <si>
    <t>PAGO PRIMA SE SERVICIOS JUNIO A  MIGUEL ANGEL RAMOS BURGOS</t>
  </si>
  <si>
    <t>PAGO PRIMA SE SERVICIOS JUNIO A  ESNEIDER ALBERTO VALENCIA GOMEZ</t>
  </si>
  <si>
    <t>PAGO PRIMA SE SERVICIOS JUNIO A  DUBAN ANDRES CIFUENTES MARTINEZ</t>
  </si>
  <si>
    <t>PAGO PRIMA SE SERVICIOS JUNIO A  JENER AFRANIO CABRERA DAVID</t>
  </si>
  <si>
    <t>PAGO PRIMA SE SERVICIOS JUNIO A  MARLON FABIAN BONILLA BOLAÑOS</t>
  </si>
  <si>
    <t xml:space="preserve">PAGO PRIMA SE SERVICIOS JUNIO A  GERARDO SILVA JANSASOY </t>
  </si>
  <si>
    <t>PAGO PRIMA SE SERVICIOS JUNIO A  CARLOS ANDRES DAZA BURBANO</t>
  </si>
  <si>
    <t>PAGO PRIMA SE SERVICIOS JUNIO A  EDWAR FERNANDEZ ORDOÑEZ</t>
  </si>
  <si>
    <t>PAGO PRIMA SE SERVICIOS JUNIO A  WILMAN MESA ERAZO</t>
  </si>
  <si>
    <t>PAGO PRIMA SE SERVICIOS JUNIO A  MARIO CHAYANNE RIVERA ARAUJO</t>
  </si>
  <si>
    <t>PAGO PRIMA SE SERVICIOS JUNIO A  EYDER QUINTERO DIAZ</t>
  </si>
  <si>
    <t>PAGO PRIMA SE SERVICIOS JUNIO A  ANDERSON MARTINEZ GRIJALBA</t>
  </si>
  <si>
    <t>PAGO PRIMA SE SERVICIOS JUNIO A  EDINSON JAVIER ORTIZ TORRES</t>
  </si>
  <si>
    <t>PAGO PRIMA SE SERVICIOS JUNIO A  DANIEL OJEDA FIGUEROA</t>
  </si>
  <si>
    <t>PAGO PRIMA SE SERVICIOS JUNIO A  JORGE ANDRES HOYOS MARTINEZ</t>
  </si>
  <si>
    <t>PAGO PRIMA SE SERVICIOS JUNIO A  MAICOL YORDAN RODRIGUEZ OBANDO</t>
  </si>
  <si>
    <t>PAGO PRIMA SE SERVICIOS JUNIO A  IVAN VILLADA GIL</t>
  </si>
  <si>
    <t>PAGO PRIMA SE SERVICIOS JUNIO A  WILBER CALDERON FIGUEROA</t>
  </si>
  <si>
    <t>PAGO PRIMA SE SERVICIOS JUNIO A  STIVEN ANDRES HOYOS CAMPOS</t>
  </si>
  <si>
    <t>PAGO PRIMA SE SERVICIOS JUNIO A  JULIAN DAVID MARTINEZ RODRIGUEZ</t>
  </si>
  <si>
    <t xml:space="preserve">PAGO PRIMA SE SERVICIOS JUNIO A  DIEGO FERNANDO TENORIO NUPAN </t>
  </si>
  <si>
    <t>PAGO PRIMA SE SERVICIOS JUNIO A  JESUS HELIER PATIÑO GALLARDO</t>
  </si>
  <si>
    <t>PAGO PRIMA SE SERVICIOS JUNIO A  MANUEL ALEXANDER ESPINOSA DOMINGUEZ</t>
  </si>
  <si>
    <t>PAGO PRIMA SE SERVICIOS JUNIO A  JAVIER ANDRES RODRIGUEZ SANTIUSTY</t>
  </si>
  <si>
    <t>PAGO PRIMA SE SERVICIOS JUNIO A  INGRID JULIANA LOPEZ RIVADENEIRA</t>
  </si>
  <si>
    <t xml:space="preserve">Pago servicio publico de acueducto y alcantarillado </t>
  </si>
  <si>
    <t>Pago servicio publico de alcantarillado</t>
  </si>
  <si>
    <t>Pago factura UNE TIGO ADMON</t>
  </si>
  <si>
    <t>Silicona Loctite gris</t>
  </si>
  <si>
    <t>Paraguas</t>
  </si>
  <si>
    <t>Envío dotación y PC, trayecto: Pasto - Remolino</t>
  </si>
  <si>
    <t>Correas B-62 para mezcladora</t>
  </si>
  <si>
    <t>Envío de dotación y correas para mezcladora, trayecto: Pasto - Remolino</t>
  </si>
  <si>
    <t>Envío dotación y papelería, trayecto: Pasto - Remolino</t>
  </si>
  <si>
    <t>Pasaje inspector RETIE, trayecto: Chachagüí - Remolino</t>
  </si>
  <si>
    <t>Transporte Evolti - Clínica Pabón</t>
  </si>
  <si>
    <t>Dulces para participantes actividad</t>
  </si>
  <si>
    <t>Hidratación x2</t>
  </si>
  <si>
    <t>Desayuno x2</t>
  </si>
  <si>
    <t>Transporte Clínica Pabón - Evolti</t>
  </si>
  <si>
    <t>Transporte Nava - Bodega Paneles</t>
  </si>
  <si>
    <t>Transporte Bodega Paneles - Nava</t>
  </si>
  <si>
    <t>Transporte a terminal de Pasto</t>
  </si>
  <si>
    <t>Transporte terminal de Pasto - Terminal de Ipiales</t>
  </si>
  <si>
    <t>Transporte terminal de Ipiales - Mister Pollo Ipiales</t>
  </si>
  <si>
    <t>Transporte Mister Pollo - Hotel Adamo</t>
  </si>
  <si>
    <t>Transporte Hotel Adamo - Mister Pollo</t>
  </si>
  <si>
    <t>Almuerzo (CRISTIAN ROSERO - JEISON DIAZ - OSCAR CASTRO)</t>
  </si>
  <si>
    <t>HIDRATACIÓN (CRISTIAN ROSERO - JEISON DIAZ - OSCAR CASTRO)</t>
  </si>
  <si>
    <t>TRANSPORTE MISTER POLLO - NAVA DEL SUR</t>
  </si>
  <si>
    <t>TRANSPORTE NAVA DEL SUR - TERMINAL DE IPIALES</t>
  </si>
  <si>
    <t>TRANSPORTE TERMINAL DE IPIALES - TERMINAL DE PASTO</t>
  </si>
  <si>
    <t>TRANSPORTE TERMINAL DE IPIALES - OFICINA</t>
  </si>
  <si>
    <t xml:space="preserve">Servicio de restaurante - Informacion exogena Cristina Lasso - Claudia Coral </t>
  </si>
  <si>
    <t xml:space="preserve">Transporte oficina - casa - jornada nocturna Informacion exogena </t>
  </si>
  <si>
    <t>Compra Gasolina</t>
  </si>
  <si>
    <t>Envío dotación, trayecto: Cali - Pasto</t>
  </si>
  <si>
    <t>Caja Dexson, Toma doble</t>
  </si>
  <si>
    <t>Adaptador 1/2" SCH-40</t>
  </si>
  <si>
    <t xml:space="preserve">Compra Candados </t>
  </si>
  <si>
    <t xml:space="preserve">Candados </t>
  </si>
  <si>
    <t xml:space="preserve">Canaleta plástica </t>
  </si>
  <si>
    <t>Envío herramientas y materiales eléctricos, trayecto: Pasto - Cali</t>
  </si>
  <si>
    <t>Adapatador SCH-40 11/2"</t>
  </si>
  <si>
    <t>Cinta de empaque</t>
  </si>
  <si>
    <t>1/4 Pintura coraza vinilo Pintuco</t>
  </si>
  <si>
    <t>Lapiceros, lápices rojos, marcadores</t>
  </si>
  <si>
    <t>Envío marquillas, trayecto: Pasto - Cali</t>
  </si>
  <si>
    <t>Prestamo a polaris pago a gobernacion de nariño, cambio razon social Polaris</t>
  </si>
  <si>
    <t>Dev combustible a Cindy viaje en carro propio integracion chachagui</t>
  </si>
  <si>
    <t>Pago a EQUIRENT VEHICULOS Y MAQUINARIA SAS BIC BG01-117327</t>
  </si>
  <si>
    <t>Pago a EQUIRENT VEHICULOS Y MAQUINARIA SAS BIC BG01-117329</t>
  </si>
  <si>
    <t>Pago a EQUIRENT VEHICULOS Y MAQUINARIA SAS BIC BG01-117328</t>
  </si>
  <si>
    <t>Pago a LUZ ADRIANA FERNANDEZ MONDRAGON FEHA-5171 oficina</t>
  </si>
  <si>
    <t>Pago a DATA FACTUM SAS COMPRA DE SISTEMA DE SARLAFT</t>
  </si>
  <si>
    <t>Retencion fte 4% DATA FACTUM SAS COMPRA DE SISTEMA DE SARLAFT</t>
  </si>
  <si>
    <t>Pago a JOHNNY MAURICIO CEBALLOS JMCB 81</t>
  </si>
  <si>
    <t>Pago estudios ambientales RONALD EDINSON CERON</t>
  </si>
  <si>
    <t>Pago a HUMBERTO JAVIER ROSERO ANTICIPO 50%</t>
  </si>
  <si>
    <t>Pago a INGENIERIA EN GALVANIZADOS DE OCCIDENTE INGAL ANTICIPO 50% COT 202-2025</t>
  </si>
  <si>
    <t>Pago servicio alimentacion a ENERIETH MONTENEGRO BOLAÑOS</t>
  </si>
  <si>
    <t>Retencion fte 3,5% ENERIETH MONTENEGRO BOLAÑOS</t>
  </si>
  <si>
    <t>Pago servicio de alquiler WILIAN ANDRES BASANTE</t>
  </si>
  <si>
    <t>Retencion fte 4% alquiler WILIAN ANDRES BASANTE</t>
  </si>
  <si>
    <t xml:space="preserve">Pago a CRISTHIAN DAVID IBARRA CABRERA LOT 410 Y 409 Juio y paola </t>
  </si>
  <si>
    <t>Pago nuevo leasing evolti generacion</t>
  </si>
  <si>
    <t>Intereses</t>
  </si>
  <si>
    <t>Receocion anticipo cementos cauca</t>
  </si>
  <si>
    <t>Recepcion pago incapacidad sanitas Maria fernanda chamorro</t>
  </si>
  <si>
    <t>Tiquete transporte personal pasto</t>
  </si>
  <si>
    <t>Transporte compra hidratación</t>
  </si>
  <si>
    <t>Tanqueo transporte Martin Sossa</t>
  </si>
  <si>
    <t>Transporte reunion equipo de ingenieria Cali</t>
  </si>
  <si>
    <t>Tanqueo transporte personal</t>
  </si>
  <si>
    <t>Transporte (Peajes)</t>
  </si>
  <si>
    <t>4 Desayunos</t>
  </si>
  <si>
    <t>4 Almuerzos</t>
  </si>
  <si>
    <t>Transporte sebas a Cali</t>
  </si>
  <si>
    <t>Transporte terminal a lacteos túlua</t>
  </si>
  <si>
    <t>Tanqueo nicolas</t>
  </si>
  <si>
    <t>Sara Daza</t>
  </si>
  <si>
    <t>TRANSPORTE</t>
  </si>
  <si>
    <t>Compra en prime video</t>
  </si>
  <si>
    <t>Compra tiquete latam Juan Manuel</t>
  </si>
  <si>
    <t>Compra tiquete Jetsmart Juan Manuel</t>
  </si>
  <si>
    <t xml:space="preserve">Pago guia de servientrega </t>
  </si>
  <si>
    <t>Giro anticipo Lyra a Evolti</t>
  </si>
  <si>
    <t>PAGO NOMINA 1ERA QUINCENA JUNIO A  SANDRA CAROLINA PATASCOY BOTINA</t>
  </si>
  <si>
    <t>PAGO NOMINA 1ERA QUINCENA JUNIO A  YULY ANDREA JARAMILLO GUERRERO</t>
  </si>
  <si>
    <t>PAGO NOMINA 1ERA QUINCENA JUNIO A  LOREN ALEJANDRA DIAZ YAMPUEZAN</t>
  </si>
  <si>
    <t xml:space="preserve">PAGO NOMINA 1ERA QUINCENA JUNIO A  MARIA FERNANDA CHAMORRO </t>
  </si>
  <si>
    <t>PAGO NOMINA 1ERA QUINCENA JUNIO A  JUAN CARLOS CAÑAR POTOSI</t>
  </si>
  <si>
    <t>PAGO NOMINA 1ERA QUINCENA JUNIO A  JUAN CAMILO GARCIA SOUZA</t>
  </si>
  <si>
    <t>PAGO NOMINA 1ERA QUINCENA JUNIO A  CINDY JOHANA CARLOSAMA HERNANDEZ</t>
  </si>
  <si>
    <t>PAGO NOMINA 1ERA QUINCENA JUNIO A  JUAN ESTEBAN IBARRA CAMUES</t>
  </si>
  <si>
    <t xml:space="preserve">PAGO NOMINA 1ERA QUINCENA JUNIO A  SARA LUCIA DAZA LOPEZ </t>
  </si>
  <si>
    <t>PAGO NOMINA 1ERA QUINCENA JUNIO A  JULLY PAOLA AGUDELO BAEZ</t>
  </si>
  <si>
    <t>PAGO NOMINA 1ERA QUINCENA JUNIO A  ASTRID CAROLINA DIAZ LOPEZ</t>
  </si>
  <si>
    <t>PAGO NOMINA 1ERA QUINCENA JUNIO A  DIDIER SMITH LIMAS GUTIERREZ</t>
  </si>
  <si>
    <t>PAGO NOMINA 1ERA QUINCENA JUNIO A  DILAN SEBASTIAN CASTRO PERENGUEZ</t>
  </si>
  <si>
    <t>PAGO NOMINA 1ERA QUINCENA JUNIO A  EDWIN ENRIQUE MORENO ALVIAR</t>
  </si>
  <si>
    <t>PAGO NOMINA 1ERA QUINCENA JUNIO A  DORIS VEGA TORRES</t>
  </si>
  <si>
    <t>PAGO NOMINA 1ERA QUINCENA JUNIO A  ANDRES FELIPE DELGADO ZUTTA</t>
  </si>
  <si>
    <t xml:space="preserve">PAGO NOMINA 1ERA QUINCENA JUNIO A  CAROLINA CARDONA PAREJA </t>
  </si>
  <si>
    <t xml:space="preserve">PAGO NOMINA 1ERA QUINCENA JUNIO A  WILSON ALEJANDRO MORA ERAZO </t>
  </si>
  <si>
    <t>PAGO NOMINA 1ERA QUINCENA JUNIO A  LEIBNITZ EDUARDO CHANA CALDERON</t>
  </si>
  <si>
    <t>PAGO NOMINA 1ERA QUINCENA JUNIO A  JAVIER ANDRES RODRIGUEZ SANTIUSTY</t>
  </si>
  <si>
    <t>PAGO NOMINA 1ERA QUINCENA JUNIO A  SEGUNDO MARCIAL GELPUD BOTINA</t>
  </si>
  <si>
    <t>PAGO NOMINA 1ERA QUINCENA JUNIO A  JEFERSON VERGARA MUÑOZ</t>
  </si>
  <si>
    <t>PAGO NOMINA 1ERA QUINCENA JUNIO A  YALINER ILVIRA FIGUEROA</t>
  </si>
  <si>
    <t xml:space="preserve">PAGO NOMINA 1ERA QUINCENA JUNIO A  DILBER  MAURICIO PAZ ALMEIDA </t>
  </si>
  <si>
    <t>PAGO NOMINA 1ERA QUINCENA JUNIO A  WILLIAMS ALFREDO VILLAR MORA</t>
  </si>
  <si>
    <t>PAGO NOMINA 1ERA QUINCENA JUNIO A  CARLOS HERNANDO ENRIQUEZ DIAZ</t>
  </si>
  <si>
    <t>PAGO NOMINA 1ERA QUINCENA JUNIO A  ALBEIRO ORLANDO ESPAÑA HERNANDEZ</t>
  </si>
  <si>
    <t>PAGO NOMINA 1ERA QUINCENA JUNIO A  EDILFONSO ROSERO CASTILLO</t>
  </si>
  <si>
    <t>PAGO NOMINA 1ERA QUINCENA JUNIO A  VIVIANA ANDREA AYALA PICHINA</t>
  </si>
  <si>
    <t>PAGO NOMINA 1ERA QUINCENA JUNIO A  AURO EDILSON ARTEAGA MEZA</t>
  </si>
  <si>
    <t>PAGO NOMINA 1ERA QUINCENA JUNIO A  WILLIAM HERNANDO CASTRO RODRIGUEZ</t>
  </si>
  <si>
    <t>PAGO NOMINA 1ERA QUINCENA JUNIO A  HOLMES GALINDEZ VALDEZ</t>
  </si>
  <si>
    <t>PAGO NOMINA 1ERA QUINCENA JUNIO A  ALEXANDER MUÑOZ DIAZ</t>
  </si>
  <si>
    <t>PAGO NOMINA 1ERA QUINCENA JUNIO A  JOSE DELIO ALMEIDA ALMEIDA</t>
  </si>
  <si>
    <t>PAGO NOMINA 1ERA QUINCENA JUNIO A  JESUS ALBERTO DIAZ PALACIOS</t>
  </si>
  <si>
    <t>PAGO NOMINA 1ERA QUINCENA JUNIO A  LUIS FERNANDO RODRIGUEZ MUÑOZ</t>
  </si>
  <si>
    <t>PAGO NOMINA 1ERA QUINCENA JUNIO A  JORGE LUIS LIZCANO NIÑO</t>
  </si>
  <si>
    <t>PAGO NOMINA 1ERA QUINCENA JUNIO A  FABIAN OJEDA RODRIGUEZ</t>
  </si>
  <si>
    <t>PAGO NOMINA 1ERA QUINCENA JUNIO A  ASTRID VEIDUD LOPEZ NARVAEZ</t>
  </si>
  <si>
    <t>PAGO NOMINA 1ERA QUINCENA JUNIO A  ODELMER DAZA PEREZ</t>
  </si>
  <si>
    <t>PAGO NOMINA 1ERA QUINCENA JUNIO A  JUNIOR FEDERICK OCAMPO ESPAÑA</t>
  </si>
  <si>
    <t>PAGO NOMINA 1ERA QUINCENA JUNIO A  LUZ IRMA ORTEGA CIFUENTES</t>
  </si>
  <si>
    <t xml:space="preserve">PAGO NOMINA 1ERA QUINCENA JUNIO A  DIEGO ANDRES ARAUJO NARVAEZ </t>
  </si>
  <si>
    <t>PAGO NOMINA 1ERA QUINCENA JUNIO A  ALVARO HERNAN MONTILLA GONZALEZ</t>
  </si>
  <si>
    <t>PAGO NOMINA 1ERA QUINCENA JUNIO A  JUAN GABRIEL TUTISTAR NARVAEZ</t>
  </si>
  <si>
    <t>PAGO NOMINA 1ERA QUINCENA JUNIO A  LIBERIO IPIALES ROSERO</t>
  </si>
  <si>
    <t>PAGO NOMINA 1ERA QUINCENA JUNIO A  ROMEL MARTINEZ GRIJALBA</t>
  </si>
  <si>
    <t>PAGO NOMINA 1ERA QUINCENA JUNIO A  JORGE AURELIO GOMEZ BENAVIDES</t>
  </si>
  <si>
    <t>PAGO NOMINA 1ERA QUINCENA JUNIO A  JAIR ALEXANDER BOLAÑOS CHAVEZ</t>
  </si>
  <si>
    <t>PAGO NOMINA 1ERA QUINCENA JUNIO A  MIGUEL ANGEL RAMOS BURGOS</t>
  </si>
  <si>
    <t>PAGO NOMINA 1ERA QUINCENA JUNIO A  ESNEIDER ALBERTO VALENCIA GOMEZ</t>
  </si>
  <si>
    <t>PAGO NOMINA 1ERA QUINCENA JUNIO A  DUBAN ANDRES CIFUENTES MARTINEZ</t>
  </si>
  <si>
    <t>PAGO NOMINA 1ERA QUINCENA JUNIO A  JENER AFRANIO CABRERA DAVID</t>
  </si>
  <si>
    <t>PAGO NOMINA 1ERA QUINCENA JUNIO A  MARLON FABIAN BONILLA BOLAÑOS</t>
  </si>
  <si>
    <t xml:space="preserve">PAGO NOMINA 1ERA QUINCENA JUNIO A  GERARDO SILVA JANSASOY </t>
  </si>
  <si>
    <t>PAGO NOMINA 1ERA QUINCENA JUNIO A  CARLOS ANDRES DAZA BURBANO</t>
  </si>
  <si>
    <t>PAGO NOMINA 1ERA QUINCENA JUNIO A  EDWAR FERNANDEZ ORDOÑEZ</t>
  </si>
  <si>
    <t>PAGO NOMINA 1ERA QUINCENA JUNIO A  ANDERSON MARTINEZ GRIJALBA</t>
  </si>
  <si>
    <t>PAGO NOMINA 1ERA QUINCENA JUNIO A  WILMAN MESA ERAZO</t>
  </si>
  <si>
    <t>PAGO NOMINA 1ERA QUINCENA JUNIO A  MARIO CHAYANNE RIVERA ARAUJO</t>
  </si>
  <si>
    <t>PAGO NOMINA 1ERA QUINCENA JUNIO A  EYDER QUINTERO DIAZ</t>
  </si>
  <si>
    <t>PAGO NOMINA 1ERA QUINCENA JUNIO A  EDINSON JAVIER ORTIZ TORRES</t>
  </si>
  <si>
    <t>PAGO NOMINA 1ERA QUINCENA JUNIO A  WILBER CALDERON FIGUEROA</t>
  </si>
  <si>
    <t>PAGO NOMINA 1ERA QUINCENA JUNIO A  STIVEN ANDRES HOYOS CAMPOS</t>
  </si>
  <si>
    <t>PAGO NOMINA 1ERA QUINCENA JUNIO A  JULIAN DAVID MARTINEZ RODRIGUEZ</t>
  </si>
  <si>
    <t>PAGO NOMINA 1ERA QUINCENA JUNIO A  DANIEL OJEDA FIGUEROA</t>
  </si>
  <si>
    <t>PAGO NOMINA 1ERA QUINCENA JUNIO A  JORGE ANDRES HOYOS MARTINEZ</t>
  </si>
  <si>
    <t xml:space="preserve">PAGO NOMINA 1ERA QUINCENA JUNIO A  DIEGO FERNANDO TENORIO NUPAN </t>
  </si>
  <si>
    <t>PAGO NOMINA 1ERA QUINCENA JUNIO A  MAICOL YORDAN RODRIGUEZ OBANDO</t>
  </si>
  <si>
    <t>PAGO NOMINA 1ERA QUINCENA JUNIO A  IVAN VILLADA GIL</t>
  </si>
  <si>
    <t>PAGO NOMINA 1ERA QUINCENA JUNIO A  JESUS HELIER PATIÑO GALLARDO</t>
  </si>
  <si>
    <t>PAGO NOMINA 1ERA QUINCENA JUNIO A  MANUEL ALEXANDER ESPINOSA DOMINGUEZ</t>
  </si>
  <si>
    <t>PAGO NOMINA 1ERA QUINCENA JUNIO A  JASON STEVEN DIAZ GUEVARA </t>
  </si>
  <si>
    <t>PAGO NOMINA 1ERA QUINCENA JUNIO A  OSCAR ANDRES CASTRO BOTINA</t>
  </si>
  <si>
    <t>PAGO NOMINA 1ERA QUINCENA JUNIO A  JHONSIN ARLEY ARIAS CEBALLOS</t>
  </si>
  <si>
    <t>PAGO NOMINA 1ERA QUINCENA JUNIO A  JIMMI ALEXANDER BURGOS GUERRERO</t>
  </si>
  <si>
    <t>PAGO NOMINA 1ERA QUINCENA JUNIO A  IVAN CAMILO MENESES ORDOÑEZ</t>
  </si>
  <si>
    <t xml:space="preserve">PAGO NOMINA 1ERA QUINCENA JUNIO A  JUAN ESTEBAN BLANCO QUIROGA </t>
  </si>
  <si>
    <t>PAGO NOMINA 1ERA QUINCENA JUNIO A  RODRIGO QUINTERO DIAZ</t>
  </si>
  <si>
    <t>PAGO NOMINA 1ERA QUINCENA JUNIO A  EDWIN LEONARDO MARTINEZ YAQUENO</t>
  </si>
  <si>
    <t>PAGO NOMINA 1ERA QUINCENA JUNIO A  ANDRES WILFREDY BASTIDAS GALINDEZ</t>
  </si>
  <si>
    <t>PAGO NOMINA 1ERA QUINCENA JUNIO A  LUIS ALBERTO ALMEIDA MATABAJOY</t>
  </si>
  <si>
    <t>PAGO NOMINA 1ERA QUINCENA JUNIO A  RUBEN LOPEZ MUÑOZ</t>
  </si>
  <si>
    <t>PAGO NOMINA 1ERA QUINCENA JUNIO A  ROYER IDELVER LOPEZ SOLARTE</t>
  </si>
  <si>
    <t>PAGO NOMINA 1ERA QUINCENA JUNIO A  ANDRES FERNANDO ESPINOSA GUACALES</t>
  </si>
  <si>
    <t xml:space="preserve">PAGO NOMINA 1ERA QUINCENA JUNIO A  JOHAN SEBASTIAN OVIEDO NIÑAN </t>
  </si>
  <si>
    <t xml:space="preserve">PAGO NOMINA 1ERA QUINCENA JUNIO A  JOSE MANUEL LOPEZ OBANDO </t>
  </si>
  <si>
    <t xml:space="preserve">PAGO NOMINA 1ERA QUINCENA JUNIO A  EDISON ENRIQUE CANTILLO CORONADO </t>
  </si>
  <si>
    <t>PAGO NOMINA 1ERA QUINCENA JUNIO A  DEIMAN JARINSON DAVID MUÑOZ</t>
  </si>
  <si>
    <t>PAGO NOMINA 1ERA QUINCENA JUNIO A  DEIBER QUINTERO DIAZ</t>
  </si>
  <si>
    <t>PAGO NOMINA 1ERA QUINCENA JUNIO A  JOSE DEL CARMEN GUERRERO BERDUGO</t>
  </si>
  <si>
    <t>PAGO NOMINA 1ERA QUINCENA JUNIO A  ALEX DUVAN CIFUENTES PAZ</t>
  </si>
  <si>
    <t>PAGO NOMINA 1ERA QUINCENA JUNIO A  BRANDON GUAQUEZ TITISTAR</t>
  </si>
  <si>
    <t>PAGO NOMINA 1ERA QUINCENA JUNIO A  DANGER ESTIVENSON BENAVIDES ORTEGA</t>
  </si>
  <si>
    <t xml:space="preserve">PAGO NOMINA 1ERA QUINCENA JUNIO A  DANILO JAVIER OJEDA RODRIGUEZ </t>
  </si>
  <si>
    <t xml:space="preserve">PAGO NOMINA 1ERA QUINCENA JUNIO A  NORELI SELENA DIAZ JURADO </t>
  </si>
  <si>
    <t>PAGO NOMINA 1ERA QUINCENA JUNIO A  RICARDO HERNAN ORTIZ</t>
  </si>
  <si>
    <t>PAGO NOMINA 1ERA QUINCENA JUNIO A  OSCAR IVAN MELENDEZ GARCIA</t>
  </si>
  <si>
    <t>PAGO NOMINA 1ERA QUINCENA JUNIO A  SANDRO ALBEIRO DELGADO MARTINEZ</t>
  </si>
  <si>
    <t>PAGO NOMINA 1ERA QUINCENA JUNIO A  DARWIN ANDRES QUINTERO QUINTERO</t>
  </si>
  <si>
    <t>PAGO NOMINA 1ERA QUINCENA JUNIO A  HEIMER FAVIAN DAZA DIAZ</t>
  </si>
  <si>
    <t>PAGO NOMINA 1ERA QUINCENA JUNIO A  YEFERSON ORLANDO ORTEGA VALLEJO</t>
  </si>
  <si>
    <t>PAGO NOMINA 1ERA QUINCENA JUNIO A  BRIAN ALEXANDER PALACIOS ROSERO</t>
  </si>
  <si>
    <t>PAGO NOMINA 1ERA QUINCENA JUNIO A  JOSE FERNANDO DELGADO GONZALEZ</t>
  </si>
  <si>
    <t>PAGO NOMINA 1ERA QUINCENA JUNIO A  JUAN CAMILO BASTIDAS NARVAEZ</t>
  </si>
  <si>
    <t>PAGO NOMINA 1ERA QUINCENA JUNIO A  FREDY ALEXANDER RUALES QUIÑOÑEZ</t>
  </si>
  <si>
    <t>PAGO NOMINA 1ERA QUINCENA JUNIO A  FRANCISCO LIDER PORTILLA</t>
  </si>
  <si>
    <t>PAGO NOMINA 1ERA QUINCENA JUNIO A  JOSE ALVEIRO CUSIS HERNANDEZ</t>
  </si>
  <si>
    <t>PAGO NOMINA 1ERA QUINCENA JUNIO A  MARIO ALEXANDER CUSIS HERNANDEZ</t>
  </si>
  <si>
    <t xml:space="preserve">PAGO NOMINA 1ERA QUINCENA JUNIO A  CRISTIAN ANDRES CHITAN </t>
  </si>
  <si>
    <t xml:space="preserve">PAGO NOMINA 1ERA QUINCENA JUNIO A   JAVIER GIOVANI YANDUN INAGAN </t>
  </si>
  <si>
    <t>PAGO NOMINA 1ERA QUINCENA JUNIO A  JOSE RAFAEL RUEDA HERRERA</t>
  </si>
  <si>
    <t>PAGO NOMINA 1ERA QUINCENA JUNIO A  JERSON ALEXIS GOMEZ ACOSTA</t>
  </si>
  <si>
    <t xml:space="preserve">PAGO NOMINA 1ERA QUINCENA JUNIO A  MARTIN ALONSO SOSSA AGUIRRE </t>
  </si>
  <si>
    <t xml:space="preserve">PAGO NOMINA 1ERA QUINCENA JUNIO A  JOSE JULIAN OCAMPO URIBE </t>
  </si>
  <si>
    <t xml:space="preserve">PAGO NOMINA 1ERA QUINCENA JUNIO A  JHON ALEXANDER GELPUD ZAMORA </t>
  </si>
  <si>
    <t xml:space="preserve">PAGO NOMINA 1ERA QUINCENA JUNIO A  RUBEN DARIO ESPINOSA PARRA </t>
  </si>
  <si>
    <t>PAGO NOMINA 1ERA QUINCENA JUNIO A  JORGE ANDRES BARRERA YANDAR</t>
  </si>
  <si>
    <t>PAGO NOMINA 1ERA QUINCENA JUNIO A  JOY JAMIT MOSQUERA ORDOÑEZ</t>
  </si>
  <si>
    <t>PAGO NOMINA 1ERA QUINCENA JUNIO A  WIILLIAM ALBERTO AZA CRIOLLO</t>
  </si>
  <si>
    <t>PAGO NOMINA 1ERA QUINCENA JUNIO A  JHORDY STEVEN TRUJILLO GALEANDO</t>
  </si>
  <si>
    <t>Pago realizado a Meico</t>
  </si>
  <si>
    <t>Retencion fte 2,5%  Pago realizado a Meico</t>
  </si>
  <si>
    <t>Pago servicio energia popayan CEO ENERGIA</t>
  </si>
  <si>
    <t>Pago a IMPECOL FC 2236</t>
  </si>
  <si>
    <t>Compra tiquete Latam Luias fernanda Obando</t>
  </si>
  <si>
    <t>Pago a AVIANCA TIQUETE ANA HENAO</t>
  </si>
  <si>
    <t>Pago a IPS ADILAB FEML-21745</t>
  </si>
  <si>
    <t>Pago a SOCIEDAD SERVICIOS ELECTRICOS Y ELECTRONICA DE POTENCIAS SAS COT  250529-0502-6</t>
  </si>
  <si>
    <t>Retencion fte 11% SOCIEDAD SERVICIOS ELECTRICOS Y ELECTRONICA DE POTENCIAS SAS COT  250529-0502-6</t>
  </si>
  <si>
    <t xml:space="preserve">SOCIEDAD SERVICIOS ELECTRICOS Y ELECTRONICA DE POTENCIAS SAS COT  250529-0502-5 </t>
  </si>
  <si>
    <t>Pago a CORPORACION AUTONOMA REGIONAL DEL CAUCA CRC FE 33882</t>
  </si>
  <si>
    <t>Pago a CORPORACION AUTONOMA REGIONAL DEL CAUCA CRC FE 33883</t>
  </si>
  <si>
    <t>Pago a CORPORACION AUTONOMA REGIONAL DEL CAUCA CRC FE 33884</t>
  </si>
  <si>
    <t>Pago a SOLUBAÑOS FEV 2</t>
  </si>
  <si>
    <t>Pago a SOLUBAÑOS FEV 17</t>
  </si>
  <si>
    <t>Pago a SOLUBAÑOS FEV 3</t>
  </si>
  <si>
    <t>Pago a SOLUBAÑOS FEV 18</t>
  </si>
  <si>
    <t>Pago a SOLUBAÑOS FEV 46</t>
  </si>
  <si>
    <t>Pago a SOLUBAÑOS FEV 19</t>
  </si>
  <si>
    <t>Pago a SOLUBAÑOS FEV 5</t>
  </si>
  <si>
    <t>Pago a SOLUBAÑOS FEV 20</t>
  </si>
  <si>
    <t>Pago a SOLUBAÑOS FEV 43</t>
  </si>
  <si>
    <t>Pago a SOLUBAÑOS FEV 44</t>
  </si>
  <si>
    <t>Pago a SOLUBAÑOS FEV 45</t>
  </si>
  <si>
    <t>Pago a MARIA JOSE ARTEAGA E 1415</t>
  </si>
  <si>
    <t>Pago a MARIA JOSE ARTEAGA E 1414</t>
  </si>
  <si>
    <t>Pago a MARIA JOSE ARTEAGA E 1416</t>
  </si>
  <si>
    <t>Pago a REGISTRO Y NOTARIADO 378-27846</t>
  </si>
  <si>
    <t>Pago a REGISTRO Y NOTARIADO 128-5722</t>
  </si>
  <si>
    <t>Pago a REGISTRO Y NOTARIADO 070-35215</t>
  </si>
  <si>
    <t>Pago a FREDY ALEXANDER LOPEZ MONDRAGON HABITAT  FECO 486 vallas</t>
  </si>
  <si>
    <t>Pago a FREDY ALEXANDER LOPEZ MONDRAGON HABITAT  FECO 487 vallas</t>
  </si>
  <si>
    <t>Pago a CRISTHIAN DAVID IBARRA CABRERA LOT 421 Ana Henao</t>
  </si>
  <si>
    <t>Pago a CRISTHIAN DAVID IBARRA CABRERA LOT 421 Mariana Saldarriaga</t>
  </si>
  <si>
    <t xml:space="preserve">Pago arrendamiento oficinca cali JUAN DE LA ROSA MUÑOZ </t>
  </si>
  <si>
    <t>Pago a RAUL BARBENLEY CASTRO RIVERA</t>
  </si>
  <si>
    <t>Retencion fte 4% RAUL BARBENLEY CASTRO RIVERA</t>
  </si>
  <si>
    <t>Pago a EDGAR STEVEN CASTAÑO LENIS servicio flete</t>
  </si>
  <si>
    <t>Retencion fte 1% EDGAR STEVEN CASTAÑO LENIS servicio flete</t>
  </si>
  <si>
    <t>Pago a FUNDACIÓN COALICIÓN DE BRIGADAS cementos cauca</t>
  </si>
  <si>
    <t>Pago a PROTECTO FED 4866</t>
  </si>
  <si>
    <t>Retencion fte 2,5% PROTECTO FED 4866</t>
  </si>
  <si>
    <t>Retencion ica 6*1000 PROTECTO FED 4866</t>
  </si>
  <si>
    <t>Pago a JAIRO LOPEZ ELECTRICOS BOYACA COT 8552 ANTICIPO 50%</t>
  </si>
  <si>
    <t>Pago a MIGUEL BASTIDAS BASTIDAS SEÑAL GRAFICA</t>
  </si>
  <si>
    <t>Pago a MELBA LIGIA MONCAYO LA FERRO RM 4405</t>
  </si>
  <si>
    <t>Retencion fte 2,5% MELBA LIGIA MONCAYO LA FERRO RM 4405</t>
  </si>
  <si>
    <t>Pago a MELBA LIGIA MONCAYO LA FERRO RM 4409</t>
  </si>
  <si>
    <t>Retencion fte 2,5% MELBA LIGIA MONCAYO LA FERRO RM 4409</t>
  </si>
  <si>
    <t>Pago a MELBA LIGIA MONCAYO LA FERRO RM 4413</t>
  </si>
  <si>
    <t>Retencion fte 2,5% MELBA LIGIA MONCAYO LA FERRO RM 4413</t>
  </si>
  <si>
    <t>Pago a ALURACK 901.127.259-5 ANTICIPO 30%</t>
  </si>
  <si>
    <t xml:space="preserve">Pago a FRANCISCO JAVIER SANCHEZ FVEL-519 </t>
  </si>
  <si>
    <t>Retencion fte 11% FRANCISCO JAVIER SANCHEZ FVEL-519 tramite CRC</t>
  </si>
  <si>
    <t>Pago devolucion pago envio documentos legales Luisa fernanda Obando</t>
  </si>
  <si>
    <t>Pago a JOHN JAIRO CHAPAL ESTACIO FE 781</t>
  </si>
  <si>
    <t>Retencion fte 4% JOHN JAIRO CHAPAL ESTACIO FE 781</t>
  </si>
  <si>
    <t>Retencion ica 6*1000 JOHN JAIRO CHAPAL ESTACIO FE 781</t>
  </si>
  <si>
    <t>Pago a JAIME ABELARDO DORADO DELGADO</t>
  </si>
  <si>
    <t xml:space="preserve">Pago a SOCIEDAD SERVICIOS ELECTRICOS Y ELECTRONICA DE POTENCIAS SAS COT 250529-0502-8 </t>
  </si>
  <si>
    <t xml:space="preserve">Retencion fte 11%  SOCIEDAD SERVICIOS ELECTRICOS Y ELECTRONICA DE POTENCIAS SAS COT 250529-0502-8 </t>
  </si>
  <si>
    <t>Pago a EVER MARCIAL ENRIQUEZ BENAVIDES hotel</t>
  </si>
  <si>
    <t xml:space="preserve">Retencion fte 3,5% EVER MARCIAL ENRIQUEZ BENAVIDES </t>
  </si>
  <si>
    <t>Pago a JORLANY FIGUEROA QUINTERO FEV 276</t>
  </si>
  <si>
    <t>Retencion fte 2,5% JORLANY FIGUEROA QUINTERO FEV 276</t>
  </si>
  <si>
    <t xml:space="preserve">Pago a HARRISON STIVEN LOPEZ TENORIO  Transporte personal 
Delta 1 visita Ingenieros Cedenar Linea viva </t>
  </si>
  <si>
    <t>Pago a HARRISON STIVEN LOPEZ TENORIO  transporte de personal Lyra y orbis por salida 
a revisión tecnomecanica  de camioneta 
Toyota JLS 546)</t>
  </si>
  <si>
    <t>Pago a MARCOS DANIEL OJEDA ALIMENTACION 82 COMIDAS</t>
  </si>
  <si>
    <t>Retencion fte 3,5% MARCOS DANIEL OJEDA ALIMENTACION 82 COMIDAS</t>
  </si>
  <si>
    <t>Pago a MARCOS DANIEL OJEDA ALIMENTACION 16 COMIDAS</t>
  </si>
  <si>
    <t>Retencion fte 3,5% MARCOS DANIEL OJEDA ALIMENTACION 16 COMIDAS</t>
  </si>
  <si>
    <t>Pago a EMSI TECHNOLOGIES COLOMBIA SAS E 3063</t>
  </si>
  <si>
    <t>Retencion fte 2,5% EMSI TECHNOLOGIES COLOMBIA SAS E 3063</t>
  </si>
  <si>
    <t>Retencion fte 2%  LUIS CAMILO PATIÑO ALPALA COT</t>
  </si>
  <si>
    <t>Retencion ica 6*1000  LUIS CAMILO PATIÑO ALPALA COT</t>
  </si>
  <si>
    <t xml:space="preserve">Pago a ASYSEL SAS  CO-00276-2025 ANTICIPO 50% </t>
  </si>
  <si>
    <t>Pago liquidacion laboral BRAYAN STIVEN PEREZ GUAQUEZ</t>
  </si>
  <si>
    <t xml:space="preserve">Pago liquidacion laboral ALBERT FIGUEROA </t>
  </si>
  <si>
    <t>Pago liquidacion laboral ANDI NEISER GALINDEZ DELGADO</t>
  </si>
  <si>
    <t>Pago liquidacion laboral LEIDER LUVER LOPEZ DIAZ</t>
  </si>
  <si>
    <t>Pago liquidacion laboral ORLANDO DIAZ LOPEZ</t>
  </si>
  <si>
    <t>Pago a INVERSIONES RECREAR FE 44</t>
  </si>
  <si>
    <t>Pago a INVERSIONES RECREAR FE 43</t>
  </si>
  <si>
    <t xml:space="preserve">Pago a FRANCISCO JAVIER SANCHEZ </t>
  </si>
  <si>
    <t>Pago alimentacio personal ROSAURA ERAZO ROSERO 34.445.635-0</t>
  </si>
  <si>
    <t>Retencion fte 3,5% ROSAURA ERAZO ROSERO 34.445.635-0</t>
  </si>
  <si>
    <t>Pago a JOHNNY MAURICIO CEBALLOS BASTIDAS JMCB 83</t>
  </si>
  <si>
    <t>Retencion fte 1% JOHNNY MAURICIO CEBALLOS BASTIDAS JMCB 83</t>
  </si>
  <si>
    <t>Retencion ica 6*1000 JOHNNY MAURICIO CEBALLOS BASTIDAS JMCB 83</t>
  </si>
  <si>
    <t>Pago a JOHNNY MAURICIO CEBALLOS BASTIDAS JMCB 82</t>
  </si>
  <si>
    <t>Retencion fte 1% JOHNNY MAURICIO CEBALLOS BASTIDAS JMCB 82</t>
  </si>
  <si>
    <t>Retencion ica 6*1000 JOHNNY MAURICIO CEBALLOS BASTIDAS JMCB 82</t>
  </si>
  <si>
    <t xml:space="preserve">Retncion ica 6*1000 MILTON SANTIAGO RIVERA </t>
  </si>
  <si>
    <t>ana henao</t>
  </si>
  <si>
    <t xml:space="preserve">transporte aeropuerto Medellín, Bogotá, Pasto, hidrataciones y alimentación  sin facturas </t>
  </si>
  <si>
    <t>Pago a JORLANY FIGUEROA QUINTERO 34.435.093 FEV 277</t>
  </si>
  <si>
    <t>Retencion fte 2,5% JORLANY FIGUEROA QUINTERO 34.435.093 FEV 277</t>
  </si>
  <si>
    <t>Hotel brisas del Rio</t>
  </si>
  <si>
    <t>Transporte Cali</t>
  </si>
  <si>
    <t>Transporte Terminal Tuluá</t>
  </si>
  <si>
    <t>Transporte Lacteos</t>
  </si>
  <si>
    <t>Recibos de caja menor, lapiceros</t>
  </si>
  <si>
    <t>Transporte cementos cauca</t>
  </si>
  <si>
    <t>Pasajes Daniela y Sergio cali-popayan</t>
  </si>
  <si>
    <t>Transporte Bugalagrande-cali</t>
  </si>
  <si>
    <t>Terminal popayan-cementos cauca</t>
  </si>
  <si>
    <t>Domicilio planos</t>
  </si>
  <si>
    <t>Transporte cementos cauca-casa</t>
  </si>
  <si>
    <t>Cinta peligro</t>
  </si>
  <si>
    <t>Transporte terminal popayan</t>
  </si>
  <si>
    <t>Transporte popyan-cali</t>
  </si>
  <si>
    <t>Transporte retiro caja menor</t>
  </si>
  <si>
    <t>Teja</t>
  </si>
  <si>
    <t>Corte de teja</t>
  </si>
  <si>
    <t>Varilla y tuerca</t>
  </si>
  <si>
    <t>Transporte a interrapidisimo</t>
  </si>
  <si>
    <t>Impresiones formatos entrega dotación</t>
  </si>
  <si>
    <t>Flete Interrapidísimo</t>
  </si>
  <si>
    <t>Pago a NEFTALI CERON BOLAÑOS (CONALUM) DAFE 25</t>
  </si>
  <si>
    <t>Acarreos y transporte personal Wilian Andres basante</t>
  </si>
  <si>
    <t>Retencion fte 1% Acarreos y transporte personal Wilian Andres basante</t>
  </si>
  <si>
    <t>Retencion fte 2,5% DIXENT SAS</t>
  </si>
  <si>
    <t>Pago a INELDEC ENERGY SAS FEIN 10134 SALDO</t>
  </si>
  <si>
    <t>Pago a MILTON SANTIAGO RIVERA placas</t>
  </si>
  <si>
    <t>Retencion fte 4% MILTON SANTIAGO RIVERA placas</t>
  </si>
  <si>
    <t>Retencion ica 6*1000 MILTON SANTIAGO RIVERA placas</t>
  </si>
  <si>
    <t xml:space="preserve">Pago a GILBERTO LOPEZ PASTES Acompañamientos visitas </t>
  </si>
  <si>
    <t>Retncion fte 1% GILBERTO LOPEZ PASTES</t>
  </si>
  <si>
    <t xml:space="preserve">Impresión planos para licencia </t>
  </si>
  <si>
    <t>Jean Carlo</t>
  </si>
  <si>
    <t>Envío materiales (Tornillos, marquillas, marquilla tipo flecha y mini prisma) Trayecto: Pasto - Remolino</t>
  </si>
  <si>
    <t>Pago de pasaje para el inspector RETIE. Trayecto: Chachagüí - Remolino</t>
  </si>
  <si>
    <t>Pago de tres pasajes, trayecto: Pasto - Remolino. Visita del área de compras y abastecimiento</t>
  </si>
  <si>
    <t>Pago de tres pasajes, trayecto: Remolino - Pasto. Visita del área de compras y abastecimiento</t>
  </si>
  <si>
    <t>Adelanto de pago para la reparación de taladro inalámbrico</t>
  </si>
  <si>
    <t>Envío de pendones y regalos del día del padre</t>
  </si>
  <si>
    <t>Envío video beam y clavos, trayecto: Pasto - Remolino</t>
  </si>
  <si>
    <t>Pago restante de la reparación del taladro inalámbrico</t>
  </si>
  <si>
    <t>Transporte compra Tela en moderno</t>
  </si>
  <si>
    <t>Compra tela para proyector video bemm en el moderno</t>
  </si>
  <si>
    <t>TRANSPORTE PASTO AEROPUERTO</t>
  </si>
  <si>
    <t>ALMUERZO MARCE</t>
  </si>
  <si>
    <t>TRANSPORTE AEROPUERTO MEDELLIN</t>
  </si>
  <si>
    <t>CENA MARCE</t>
  </si>
  <si>
    <t>TRANSPORTE TERMINAL HOTEL</t>
  </si>
  <si>
    <t>ALMUERZO WEWORK</t>
  </si>
  <si>
    <t>VENA MARCE Y HERMAN</t>
  </si>
  <si>
    <t>TRANSPRTE OFICINA HOTEL</t>
  </si>
  <si>
    <t>TRANSPORTE HOTEL TERMINAL</t>
  </si>
  <si>
    <t>TRANSPORTE TERMINAL AEROPUERTO</t>
  </si>
  <si>
    <t>TRANSPORTE AEROPUERTO PASTO</t>
  </si>
  <si>
    <t>Cristhian rosero</t>
  </si>
  <si>
    <t xml:space="preserve">Transporte de paneles de Bodega a Nava </t>
  </si>
  <si>
    <t>Transporte  Ipiales - Pasto</t>
  </si>
  <si>
    <t>ARNES DE SEGURIDAD PARA PANELES</t>
  </si>
  <si>
    <t xml:space="preserve">Pago guia transporte Transprensa del valle </t>
  </si>
  <si>
    <t>LAVADO DE CAMIONETA JLS546</t>
  </si>
  <si>
    <t>POLISOMBRA</t>
  </si>
  <si>
    <t>VENENO</t>
  </si>
  <si>
    <t>CAMBIO DE LLANTAS CAMIONETA JLS546</t>
  </si>
  <si>
    <t>ACEITE PARA MOTOR DE MEZCLADORA Y PLANTA ELECTRICA</t>
  </si>
  <si>
    <t>TRANSPORTE ELEMENTOS SOCIALIZACIÓN DE PROYECTO</t>
  </si>
  <si>
    <t>PARCHADO DE LLANTA CAMIONETA LHR730</t>
  </si>
  <si>
    <t>ACERO PARA CIMENTACION CASETA DE INVERSORES</t>
  </si>
  <si>
    <t>ACPM CAMIONETA LHR 730</t>
  </si>
  <si>
    <t>6 PLATINAS DE ANCLAJE PARA ESTRUCTURA DE CASETAS DE INVERSORES</t>
  </si>
  <si>
    <t>PARQUEADERO CAMIONETA LHR730 DESDE EL 7 AL 9 DE JUNIO DE 2025</t>
  </si>
  <si>
    <t>ACPM CAMIONETA LHR730</t>
  </si>
  <si>
    <t>DESPICHANDO DE LLANTA CAMIONETA LHR730</t>
  </si>
  <si>
    <t>TRANSPORTE DOTACIÓN REMOLINO-MERCADERES</t>
  </si>
  <si>
    <t>Alexander</t>
  </si>
  <si>
    <t>PAGO ASEO HABITACIONES SEMANA 12 - 17 DE MAYO 2025</t>
  </si>
  <si>
    <t>COMPRA DE IMPLEMENTOS DE ASEO PARA HABITACIONES</t>
  </si>
  <si>
    <t>TRANSPORTE REMOLINO-PASTO</t>
  </si>
  <si>
    <t>PAGO ASEO HABITACIONES SEMANA 19 de MAYO - 24 DE MAYO 2025</t>
  </si>
  <si>
    <t>Impresión de planos Orbis</t>
  </si>
  <si>
    <t>Pago a CAMARA DE COMERCIO CALI</t>
  </si>
  <si>
    <t>LIQUIDACION PLANILLA SEGURIDAD SOCIAL MAYO DANIELA   ARBOLEDA RODRIGUEZ</t>
  </si>
  <si>
    <t>LIQUIDACION PLANILLA SEGURIDAD SOCIAL MAYO GLORIA DANIELA TIMARAN CABRERA</t>
  </si>
  <si>
    <t>LIQUIDACION PLANILLA SEGURIDAD SOCIAL MAYO JUAN SEBASTIAN GOMEZ LEAL</t>
  </si>
  <si>
    <t>LIQUIDACION PLANILLA SEGURIDAD SOCIAL MAYO CARLOS FERNANDO CABRERA VELASCO</t>
  </si>
  <si>
    <t>LIQUIDACION PLANILLA SEGURIDAD SOCIAL MAYO DANNA STEFANYA LASSO GUERRA</t>
  </si>
  <si>
    <t>LIQUIDACION PLANILLA SEGURIDAD SOCIAL MAYO JUAN FERNANDO PANIAGUA OSORIO</t>
  </si>
  <si>
    <t>LIQUIDACION PLANILLA SEGURIDAD SOCIAL MAYO HERNAN DARIO CABRERA QUITIAQUEZ</t>
  </si>
  <si>
    <t>LIQUIDACION PLANILLA SEGURIDAD SOCIAL MAYO JORGE ANDRES MUÑOZ MARTINEZ</t>
  </si>
  <si>
    <t>LIQUIDACION PLANILLA SEGURIDAD SOCIAL MAYO ANDRES FELIPE DELGADO ZUTTA</t>
  </si>
  <si>
    <t>LIQUIDACION PLANILLA SEGURIDAD SOCIAL MAYO NICOLAS   LOPEZ DULCE</t>
  </si>
  <si>
    <t>LIQUIDACION PLANILLA SEGURIDAD SOCIAL MAYO IVAN DANIEL MONTILLA CORAL</t>
  </si>
  <si>
    <t>LIQUIDACION PLANILLA SEGURIDAD SOCIAL MAYO SERGIO DAVID ZAMBRANO ESCOBAR</t>
  </si>
  <si>
    <t>LIQUIDACION PLANILLA SEGURIDAD SOCIAL MAYO FABIAN ANDRES FLOREZ BETANCOURT</t>
  </si>
  <si>
    <t>LIQUIDACION PLANILLA SEGURIDAD SOCIAL MAYO MOISES   RUIZ AYALA</t>
  </si>
  <si>
    <t>LIQUIDACION PLANILLA SEGURIDAD SOCIAL MAYO JULIAN RICARDO GOMEZ GUERRERO</t>
  </si>
  <si>
    <t>LIQUIDACION PLANILLA SEGURIDAD SOCIAL MAYO JAVIER SEBASTIAN LUCENA VILLARREAL</t>
  </si>
  <si>
    <t>LIQUIDACION PLANILLA SEGURIDAD SOCIAL MAYO DIANA ALEJANDRA MERA MUÑOZ</t>
  </si>
  <si>
    <t>LIQUIDACION PLANILLA SEGURIDAD SOCIAL MAYO CRISTHIAN CAMILO ROSERO ALVAREZ</t>
  </si>
  <si>
    <t>LIQUIDACION PLANILLA SEGURIDAD SOCIAL MAYO DANNA EVELYN ARMERO ROSERO</t>
  </si>
  <si>
    <t>LIQUIDACION PLANILLA SEGURIDAD SOCIAL MAYO LEIBNITZ EDUARDO CHANA CALDERON</t>
  </si>
  <si>
    <t>LIQUIDACION PLANILLA SEGURIDAD SOCIAL MAYO WILSON ALEJANDRO MORA ERAZO</t>
  </si>
  <si>
    <t>LIQUIDACION PLANILLA SEGURIDAD SOCIAL MAYO PAOLA ANDREA SEGURA MARTINEZ</t>
  </si>
  <si>
    <t>LIQUIDACION PLANILLA SEGURIDAD SOCIAL MAYO NESTOR ANDRES ARCINIEGAS VILLAMARIN</t>
  </si>
  <si>
    <t>LIQUIDACION PLANILLA SEGURIDAD SOCIAL MAYO DORIS   VEGA TORRES</t>
  </si>
  <si>
    <t>LIQUIDACION PLANILLA SEGURIDAD SOCIAL MAYO VERONICA LILIANA SANTACRUZ MENZA</t>
  </si>
  <si>
    <t>LIQUIDACION PLANILLA SEGURIDAD SOCIAL MAYO JULIO HERNANDO BELALCAZAR MURILLO</t>
  </si>
  <si>
    <t>LIQUIDACION PLANILLA SEGURIDAD SOCIAL MAYO MARIANA   SALDARRIAGA CADAVID</t>
  </si>
  <si>
    <t>LIQUIDACION PLANILLA SEGURIDAD SOCIAL MAYO MARIA ELENA RIVERA SOTO</t>
  </si>
  <si>
    <t>LIQUIDACION PLANILLA SEGURIDAD SOCIAL MAYO JUAN CARLOS CAÑAR POTOSI</t>
  </si>
  <si>
    <t>LIQUIDACION PLANILLA SEGURIDAD SOCIAL MAYO SARA LUCIA DAZA LOPEZ</t>
  </si>
  <si>
    <t>LIQUIDACION PLANILLA SEGURIDAD SOCIAL MAYO HERMANN DAVID SOUZA CUBIDES</t>
  </si>
  <si>
    <t>LIQUIDACION PLANILLA SEGURIDAD SOCIAL MAYO JUAN MANUEL ESPAÑA FORERO</t>
  </si>
  <si>
    <t>LIQUIDACION PLANILLA SEGURIDAD SOCIAL MAYO YULY ANDREA JARAMILLO GUERRERO</t>
  </si>
  <si>
    <t>LIQUIDACION PLANILLA SEGURIDAD SOCIAL MAYO LUISA FERNANDA OBANDO VITAR</t>
  </si>
  <si>
    <t>LIQUIDACION PLANILLA SEGURIDAD SOCIAL MAYO LAURA MARIA ROSAS CORDOBA</t>
  </si>
  <si>
    <t>LIQUIDACION PLANILLA SEGURIDAD SOCIAL MAYO CAROLINA   CARDONA PAREJA</t>
  </si>
  <si>
    <t>LIQUIDACION PLANILLA SEGURIDAD SOCIAL MAYO DIDIER SMITH LIMAS GUTIERREZ</t>
  </si>
  <si>
    <t>LIQUIDACION PLANILLA SEGURIDAD SOCIAL MAYO DILAN SEBASTIAN CASTRO PERENGUEZ</t>
  </si>
  <si>
    <t>LIQUIDACION PLANILLA SEGURIDAD SOCIAL MAYO JHOANA MARCELA GERMAN REYES</t>
  </si>
  <si>
    <t>LIQUIDACION PLANILLA SEGURIDAD SOCIAL MAYO JULLY PAOLA AGUDELO BAEZ</t>
  </si>
  <si>
    <t>LIQUIDACION PLANILLA SEGURIDAD SOCIAL MAYO INGRID JULIANA LOPEZ RIVADENEIRA</t>
  </si>
  <si>
    <t>LIQUIDACION PLANILLA SEGURIDAD SOCIAL MAYO JUAN ESTEBAN IBARRA CAMUES</t>
  </si>
  <si>
    <t>LIQUIDACION PLANILLA SEGURIDAD SOCIAL MAYO LOREN ALEJANDRA DIAZ YAMPUEZAN</t>
  </si>
  <si>
    <t>LIQUIDACION PLANILLA SEGURIDAD SOCIAL MAYO MARIA FERNANDA CHAMORRO CARLOSAMA</t>
  </si>
  <si>
    <t>LIQUIDACION PLANILLA SEGURIDAD SOCIAL MAYO CINDY JOHANA CARLOSAMA HERNANDEZ</t>
  </si>
  <si>
    <t>LIQUIDACION PLANILLA SEGURIDAD SOCIAL MAYO CLAUDIA STELLA CORAL ERASO</t>
  </si>
  <si>
    <t>LIQUIDACION PLANILLA SEGURIDAD SOCIAL MAYO RUBIELA DEL SOCORRO RAMOS PARRA</t>
  </si>
  <si>
    <t xml:space="preserve">LIQUIDACION PLANILLA SEGURIDAD SOCIAL MAYO CRISTINA   LASSO  </t>
  </si>
  <si>
    <t>LIQUIDACION PLANILLA SEGURIDAD SOCIAL MAYO PAOLA ANDREA ARENAS MARTINEZ</t>
  </si>
  <si>
    <t>LIQUIDACION PLANILLA SEGURIDAD SOCIAL MAYO JUAN JOSE NARVAEZ IBARRA</t>
  </si>
  <si>
    <t>LIQUIDACION PLANILLA SEGURIDAD SOCIAL MAYO JHON EDINSON SANCHEZ CAMACHO</t>
  </si>
  <si>
    <t>LIQUIDACION PLANILLA SEGURIDAD SOCIAL MAYO ASTRID CAROLINA DIAZ LOPEZ</t>
  </si>
  <si>
    <t>LIQUIDACION PLANILLA SEGURIDAD SOCIAL MAYO JULIO CESAR DE AVILA MARTINEZ</t>
  </si>
  <si>
    <t>LIQUIDACION PLANILLA SEGURIDAD SOCIAL MAYO EDWIN ENRIQUE MORENO ALVIAR</t>
  </si>
  <si>
    <t>LIQUIDACION PLANILLA SEGURIDAD SOCIAL MAYO KELLY TATIANA ALVAREZ GARCIA</t>
  </si>
  <si>
    <t>LIQUIDACION PLANILLA SEGURIDAD SOCIAL MAYO JOSE ESTEBAN RODRIGUEZ QUINTERO</t>
  </si>
  <si>
    <t>LIQUIDACION PLANILLA SEGURIDAD SOCIAL MAYO ANA MILENA HENAO GONZALEZ</t>
  </si>
  <si>
    <t>LIQUIDACION PLANILLA SEGURIDAD SOCIAL MAYO  JOSE MANUEL LOPEZ OBANDO</t>
  </si>
  <si>
    <t>LIQUIDACION PLANILLA SEGURIDAD SOCIAL MAYO ORLANDO   LOPEZ DIAZ</t>
  </si>
  <si>
    <t>LIQUIDACION PLANILLA SEGURIDAD SOCIAL MAYO EDINSON ENRIQUE CANTILLO CORONADO</t>
  </si>
  <si>
    <t>LIQUIDACION PLANILLA SEGURIDAD SOCIAL MAYO ALEXANDER   MUÑOZ DIAZ</t>
  </si>
  <si>
    <t>LIQUIDACION PLANILLA SEGURIDAD SOCIAL MAYO JOSE FERNANDO DELGADO GONZALEZ</t>
  </si>
  <si>
    <t>LIQUIDACION PLANILLA SEGURIDAD SOCIAL MAYO RODRIGO   QUINTERO DIAZ</t>
  </si>
  <si>
    <t>LIQUIDACION PLANILLA SEGURIDAD SOCIAL MAYO DEIMAN JARINSON DAVID MUÑOZ</t>
  </si>
  <si>
    <t>LIQUIDACION PLANILLA SEGURIDAD SOCIAL MAYO SEGUNDO MARCIAL GELPUD BOTINA</t>
  </si>
  <si>
    <t>LIQUIDACION PLANILLA SEGURIDAD SOCIAL MAYO JIMMI ALEXANDER BURGOS GUERRERO</t>
  </si>
  <si>
    <t>LIQUIDACION PLANILLA SEGURIDAD SOCIAL MAYO EDILFONSO   ROSERO CASTILLO</t>
  </si>
  <si>
    <t>LIQUIDACION PLANILLA SEGURIDAD SOCIAL MAYO JOSE DELIO ALMEIDA ALMEIDA</t>
  </si>
  <si>
    <t>LIQUIDACION PLANILLA SEGURIDAD SOCIAL MAYO AURO EDILSON ARTEAGA MEZA</t>
  </si>
  <si>
    <t>LIQUIDACION PLANILLA SEGURIDAD SOCIAL MAYO CARLOS HERNANDO ENRIQUEZ DIAZ</t>
  </si>
  <si>
    <t>LIQUIDACION PLANILLA SEGURIDAD SOCIAL MAYO HOLMES   GALINDEZ VALDEZ</t>
  </si>
  <si>
    <t xml:space="preserve">LIQUIDACION PLANILLA SEGURIDAD SOCIAL MAYO RICARDO HERNAN ORTIZ  </t>
  </si>
  <si>
    <t>LIQUIDACION PLANILLA SEGURIDAD SOCIAL MAYO LEIDER LUVER LOPEZ DIAZ</t>
  </si>
  <si>
    <t>LIQUIDACION PLANILLA SEGURIDAD SOCIAL MAYO HEIMER FAVIAN DAZA DIAZ</t>
  </si>
  <si>
    <t xml:space="preserve">LIQUIDACION PLANILLA SEGURIDAD SOCIAL MAYO FRANCISCO LIDER PORTILLA  </t>
  </si>
  <si>
    <t>LIQUIDACION PLANILLA SEGURIDAD SOCIAL MAYO ALBEIRO ORLANDO ESPAÑA HERNANDEZ</t>
  </si>
  <si>
    <t>LIQUIDACION PLANILLA SEGURIDAD SOCIAL MAYO JORGE LUIS LIZCANO NIÑO</t>
  </si>
  <si>
    <t>LIQUIDACION PLANILLA SEGURIDAD SOCIAL MAYO KEVIN JONATAN MONTILLA RIAZCO</t>
  </si>
  <si>
    <t>LIQUIDACION PLANILLA SEGURIDAD SOCIAL MAYO DIEGO ANDRES ARAUJO NARVAEZ</t>
  </si>
  <si>
    <t>LIQUIDACION PLANILLA SEGURIDAD SOCIAL MAYO FREDY ALEXANDER RUALES QUIÑONEZ</t>
  </si>
  <si>
    <t>LIQUIDACION PLANILLA SEGURIDAD SOCIAL MAYO DILBER MAURICIO PAZ ALMEIDA</t>
  </si>
  <si>
    <t>LIQUIDACION PLANILLA SEGURIDAD SOCIAL MAYO OSCAR IVAN MELENDEZ GARCIA</t>
  </si>
  <si>
    <t>LIQUIDACION PLANILLA SEGURIDAD SOCIAL MAYO ASTRID VEIDUD LOPEZ NARVAEZ</t>
  </si>
  <si>
    <t>LIQUIDACION PLANILLA SEGURIDAD SOCIAL MAYO VIVIANA ANDREA AYALA PICHINA</t>
  </si>
  <si>
    <t>LIQUIDACION PLANILLA SEGURIDAD SOCIAL MAYO DARWIN ANDRES QUINTERO QUINTERO</t>
  </si>
  <si>
    <t>LIQUIDACION PLANILLA SEGURIDAD SOCIAL MAYO JUAN ESTEBAN BLANCO QUIROGA</t>
  </si>
  <si>
    <t>LIQUIDACION PLANILLA SEGURIDAD SOCIAL MAYO JOSE DEL CARMEN GUERRERO BERDUGO</t>
  </si>
  <si>
    <t>LIQUIDACION PLANILLA SEGURIDAD SOCIAL MAYO JEFERSON   VERGARA MUÑOZ</t>
  </si>
  <si>
    <t>LIQUIDACION PLANILLA SEGURIDAD SOCIAL MAYO YALINER   ILVIRA FIGUEROA</t>
  </si>
  <si>
    <t>LIQUIDACION PLANILLA SEGURIDAD SOCIAL MAYO RUBEN   LOPEZ MUÑOZ</t>
  </si>
  <si>
    <t xml:space="preserve">LIQUIDACION PLANILLA SEGURIDAD SOCIAL MAYO ALBERT   FIGUEROA  </t>
  </si>
  <si>
    <t>LIQUIDACION PLANILLA SEGURIDAD SOCIAL MAYO DEIBER   QUINTERO DIAZ</t>
  </si>
  <si>
    <t>LIQUIDACION PLANILLA SEGURIDAD SOCIAL MAYO WILLIAMS ALFREDO VILLAR MORA</t>
  </si>
  <si>
    <t>LIQUIDACION PLANILLA SEGURIDAD SOCIAL MAYO YEINSON ANDRES GUAQUEZ JURADO</t>
  </si>
  <si>
    <t>LIQUIDACION PLANILLA SEGURIDAD SOCIAL MAYO BRIAN ALEXANDER PALACIOS ROSERO</t>
  </si>
  <si>
    <t>LIQUIDACION PLANILLA SEGURIDAD SOCIAL MAYO ALEXANDER DAVID BETANCOURT CARVAJAL</t>
  </si>
  <si>
    <t>LIQUIDACION PLANILLA SEGURIDAD SOCIAL MAYO JAVIER ANDRES RODRIGUEZ SANTIUSTY</t>
  </si>
  <si>
    <t>LIQUIDACION PLANILLA SEGURIDAD SOCIAL MAYO JEANCARLO GUILLERMO MONCAYO ANDRADE</t>
  </si>
  <si>
    <t>LIQUIDACION PLANILLA SEGURIDAD SOCIAL MAYO ROYER IDELVER LOPEZ SOLARTE</t>
  </si>
  <si>
    <t>LIQUIDACION PLANILLA SEGURIDAD SOCIAL MAYO FABIAN   OJEDA RODRIGUEZ</t>
  </si>
  <si>
    <t>LIQUIDACION PLANILLA SEGURIDAD SOCIAL MAYO SANDRO ALBEIRO DELGADO MARTINEZ</t>
  </si>
  <si>
    <t>LIQUIDACION PLANILLA SEGURIDAD SOCIAL MAYO ANDRES WILFREDY BASTIDAS GALINDEZ</t>
  </si>
  <si>
    <t>LIQUIDACION PLANILLA SEGURIDAD SOCIAL MAYO DANILO JAVIER OJEDA RODRIGUEZ</t>
  </si>
  <si>
    <t>LIQUIDACION PLANILLA SEGURIDAD SOCIAL MAYO BRANDON   GUAQUEZ TITISTAR</t>
  </si>
  <si>
    <t>LIQUIDACION PLANILLA SEGURIDAD SOCIAL MAYO ODELMER   DAZA PEREZ</t>
  </si>
  <si>
    <t>LIQUIDACION PLANILLA SEGURIDAD SOCIAL MAYO NORELI SELENA DIAZ JURADO</t>
  </si>
  <si>
    <t>LIQUIDACION PLANILLA SEGURIDAD SOCIAL MAYO LUIS ALBERTO ALMEIDA MATABAJOY</t>
  </si>
  <si>
    <t>LIQUIDACION PLANILLA SEGURIDAD SOCIAL MAYO BRAYAN STIVEN PEREZ GUAQUEZ</t>
  </si>
  <si>
    <t>LIQUIDACION PLANILLA SEGURIDAD SOCIAL MAYO IVAN CAMILO MENESES ORDOÑEZ</t>
  </si>
  <si>
    <t>LIQUIDACION PLANILLA SEGURIDAD SOCIAL MAYO WILLMAN HERNANDO CASTRO RODRIGUEZ</t>
  </si>
  <si>
    <t>LIQUIDACION PLANILLA SEGURIDAD SOCIAL MAYO EDERSON   DAZA ARTEAGA</t>
  </si>
  <si>
    <t>LIQUIDACION PLANILLA SEGURIDAD SOCIAL MAYO JUAN CAMILO BASTIDAS NARVAEZ</t>
  </si>
  <si>
    <t>LIQUIDACION PLANILLA SEGURIDAD SOCIAL MAYO YOHN JAIRO BENAVIDES CHAMORRO</t>
  </si>
  <si>
    <t>LIQUIDACION PLANILLA SEGURIDAD SOCIAL MAYO LUIS FERNANDO RODRIGUEZ MUÑOZ</t>
  </si>
  <si>
    <t>LIQUIDACION PLANILLA SEGURIDAD SOCIAL MAYO ANDI NEISER GALINDEZ DELGADO</t>
  </si>
  <si>
    <t>LIQUIDACION PLANILLA SEGURIDAD SOCIAL MAYO LUZ IRMA ORTEGA CIFUENTES</t>
  </si>
  <si>
    <t>LIQUIDACION PLANILLA SEGURIDAD SOCIAL MAYO ALEX DUVAN CIFUENTES PAZ</t>
  </si>
  <si>
    <t>LIQUIDACION PLANILLA SEGURIDAD SOCIAL MAYO DANGER ESTIVENSON BENAVIDES ORTEGA</t>
  </si>
  <si>
    <t>LIQUIDACION PLANILLA SEGURIDAD SOCIAL MAYO JESUS ALBERTO DIAZ PALACIOS</t>
  </si>
  <si>
    <t>LIQUIDACION PLANILLA SEGURIDAD SOCIAL MAYO JHONSIN ARLEY ARIAS CEBALLOS</t>
  </si>
  <si>
    <t>LIQUIDACION PLANILLA SEGURIDAD SOCIAL MAYO JUNIOR FEDERICK OCAMPO ESPAÑA</t>
  </si>
  <si>
    <t>LIQUIDACION PLANILLA SEGURIDAD SOCIAL MAYO MIGUEL ANGEL RAMOS BURGOS</t>
  </si>
  <si>
    <t>LIQUIDACION PLANILLA SEGURIDAD SOCIAL MAYO YEFERSON ORLANDO ORTEGA VALLEJO</t>
  </si>
  <si>
    <t>LIQUIDACION PLANILLA SEGURIDAD SOCIAL MAYO ALVARO HERNAN MONTILLA GONZALEZ</t>
  </si>
  <si>
    <t>LIQUIDACION PLANILLA SEGURIDAD SOCIAL MAYO JESUS HELIER PATIÑO GALLARDO</t>
  </si>
  <si>
    <t>LIQUIDACION PLANILLA SEGURIDAD SOCIAL MAYO LIBERIO   IPIALES ROSERO</t>
  </si>
  <si>
    <t>LIQUIDACION PLANILLA SEGURIDAD SOCIAL MAYO WILMAN   MESA ERAZO</t>
  </si>
  <si>
    <t>LIQUIDACION PLANILLA SEGURIDAD SOCIAL MAYO DANIEL   OJEDA FIGUEROA</t>
  </si>
  <si>
    <t>LIQUIDACION PLANILLA SEGURIDAD SOCIAL MAYO GERARDO   SILVA JANSASOY</t>
  </si>
  <si>
    <t>LIQUIDACION PLANILLA SEGURIDAD SOCIAL MAYO JORGE AURELIO GOMEZ BENAVIDES</t>
  </si>
  <si>
    <t>LIQUIDACION PLANILLA SEGURIDAD SOCIAL MAYO WILBER   CALDERON FIGUEROA</t>
  </si>
  <si>
    <t>LIQUIDACION PLANILLA SEGURIDAD SOCIAL MAYO JENER AFRANIO CABRERA DAVID</t>
  </si>
  <si>
    <t>LIQUIDACION PLANILLA SEGURIDAD SOCIAL MAYO IVAN   VILLADA GIL</t>
  </si>
  <si>
    <t>LIQUIDACION PLANILLA SEGURIDAD SOCIAL MAYO ASTRID CAROLINA RODRIGUEZ RODRIGUEZ</t>
  </si>
  <si>
    <t>LIQUIDACION PLANILLA SEGURIDAD SOCIAL MAYO MANUEL ALEXANDER ESPINOSA DOMINGUEZ</t>
  </si>
  <si>
    <t>LIQUIDACION PLANILLA SEGURIDAD SOCIAL MAYO CESAR IGNACIO CHACHINOY CRIOLLO</t>
  </si>
  <si>
    <t>LIQUIDACION PLANILLA SEGURIDAD SOCIAL MAYO JUAN GABRIEL TUTISTAR NARVAEZ</t>
  </si>
  <si>
    <t>LIQUIDACION PLANILLA SEGURIDAD SOCIAL MAYO STIVEN ANDRES HOYOS CAMPOS</t>
  </si>
  <si>
    <t>LIQUIDACION PLANILLA SEGURIDAD SOCIAL MAYO JORGE ANDRES HOYOS MARTINEZ</t>
  </si>
  <si>
    <t>LIQUIDACION PLANILLA SEGURIDAD SOCIAL MAYO ROMEL   MARTINEZ GRIJALBA</t>
  </si>
  <si>
    <t>LIQUIDACION PLANILLA SEGURIDAD SOCIAL MAYO EYDER   QUINTERO DIAZ</t>
  </si>
  <si>
    <t>LIQUIDACION PLANILLA SEGURIDAD SOCIAL MAYO ANDERSON   MARTINEZ GRIJALBA</t>
  </si>
  <si>
    <t>LIQUIDACION PLANILLA SEGURIDAD SOCIAL MAYO EDINSON JAVIER ORTIZ TORRES</t>
  </si>
  <si>
    <t>LIQUIDACION PLANILLA SEGURIDAD SOCIAL MAYO EDWAR   FERNANDEZ ORDOÑEZ</t>
  </si>
  <si>
    <t>LIQUIDACION PLANILLA SEGURIDAD SOCIAL MAYO DIEGO FERNANDO TENORIO NUPAN</t>
  </si>
  <si>
    <t>LIQUIDACION PLANILLA SEGURIDAD SOCIAL MAYO CARLOS ANDRES DAZA BURBANO</t>
  </si>
  <si>
    <t>LIQUIDACION PLANILLA SEGURIDAD SOCIAL MAYO JAIR ALEXANDER BOLAÑOS CHAVEZ</t>
  </si>
  <si>
    <t>LIQUIDACION PLANILLA SEGURIDAD SOCIAL MAYO MAICOL YORDAN RODRIGUEZ OBANDO</t>
  </si>
  <si>
    <t>LIQUIDACION PLANILLA SEGURIDAD SOCIAL MAYO ESNEIDER ALBERTO VALENCIA GOMEZ</t>
  </si>
  <si>
    <t>LIQUIDACION PLANILLA SEGURIDAD SOCIAL MAYO DUBAN ANDRES CIFUENTES MARTINEZ</t>
  </si>
  <si>
    <t>LIQUIDACION PLANILLA SEGURIDAD SOCIAL MAYO MARLON FABIAN BONILLA BOLAÑOS</t>
  </si>
  <si>
    <t>LIQUIDACION PLANILLA SEGURIDAD SOCIAL MAYO MARIO CHAYANNE RIVERA ARAUJO</t>
  </si>
  <si>
    <t>LIQUIDACION PLANILLA SEGURIDAD SOCIAL MAYO JULIAN DAVID MARTINEZ RODRIGUEZ</t>
  </si>
  <si>
    <t xml:space="preserve">LIQUIDACION PLANILLA SEGURIDAD SOCIAL MAYO CRISTIAN ANDRES CHITAN  </t>
  </si>
  <si>
    <t>LIQUIDACION PLANILLA SEGURIDAD SOCIAL MAYO JAVIER GIOVANI YANDUN INAGAN</t>
  </si>
  <si>
    <t>LIQUIDACION PLANILLA SEGURIDAD SOCIAL MAYO JOSE JULIAN OCAMPO URIBE</t>
  </si>
  <si>
    <t>LIQUIDACION PLANILLA SEGURIDAD SOCIAL MAYO MARTIN ALONSO SOSSA AGUIRRE</t>
  </si>
  <si>
    <t>LIQUIDACION PLANILLA SEGURIDAD SOCIAL MAYO JOSE RAFAEL RUEDA HERRERA</t>
  </si>
  <si>
    <t>LIQUIDACION PLANILLA SEGURIDAD SOCIAL MAYO JERSON ALEXIS GOMEZ ACOSTA</t>
  </si>
  <si>
    <t>LIQUIDACION PLANILLA SEGURIDAD SOCIAL MAYO JORGE ANDRES BARRERA YANDAR</t>
  </si>
  <si>
    <t>Mano de oba</t>
  </si>
  <si>
    <t>LIQUIDACION PLANILLA SEGURIDAD SOCIAL MAYO OSCAR ANDRES CASTRO BOTINA</t>
  </si>
  <si>
    <t>LIQUIDACION PLANILLA SEGURIDAD SOCIAL MAYO MARIO ALEXANDER CUSIS HERNANDEZ</t>
  </si>
  <si>
    <t>LIQUIDACION PLANILLA SEGURIDAD SOCIAL MAYO JHORDY STEVEN TRUJILLO GALEANO</t>
  </si>
  <si>
    <t>LIQUIDACION PLANILLA SEGURIDAD SOCIAL MAYO ANDRES FERNANDO ESPINOSA GUACALES</t>
  </si>
  <si>
    <t>LIQUIDACION PLANILLA SEGURIDAD SOCIAL MAYO JOHAN SEBASTIAN OVIEDO NIÑAN</t>
  </si>
  <si>
    <t>LIQUIDACION PLANILLA SEGURIDAD SOCIAL MAYO JUAN CAMILO GARCIA SOUZA</t>
  </si>
  <si>
    <t>LIQUIDACION PLANILLA SEGURIDAD SOCIAL MAYO JOY JAMIT MOSQUERA ORDOÑEZ</t>
  </si>
  <si>
    <t>LIQUIDACION PLANILLA SEGURIDAD SOCIAL MAYO RUBEN DARIO ESPINOSA PARRA</t>
  </si>
  <si>
    <t>LIQUIDACION PLANILLA SEGURIDAD SOCIAL MAYO JOSE ALVEIRO CUSIS HERNANDEZ</t>
  </si>
  <si>
    <t>LIQUIDACION PLANILLA SEGURIDAD SOCIAL MAYO SANDRA CAROLINA PATASCOY BOTINA</t>
  </si>
  <si>
    <t>LIQUIDACION PLANILLA SEGURIDAD SOCIAL MAYO EDWIN LEONARDO MARTINEZ YAQUENO</t>
  </si>
  <si>
    <t>LIQUIDACION PLANILLA SEGURIDAD SOCIAL MAYO IVAN DARIO CAICEDO CALVACHE</t>
  </si>
  <si>
    <t>LIQUIDACION PLANILLA SEGURIDAD SOCIAL MAYO WILLIAM ALBERTO AZA CRIOLLO</t>
  </si>
  <si>
    <t>LIQUIDACION PLANILLA SEGURIDAD SOCIAL MAYO JHON ALEXANDER GELPUD ZAMORA</t>
  </si>
  <si>
    <t>LIQUIDACION PLANILLA SEGURIDAD SOCIAL MAYO JASON STEVEN DIAZ GUEVARA</t>
  </si>
  <si>
    <t>Pago anticipo a AURA MIREY BURBANO DAZA FERROMAC</t>
  </si>
  <si>
    <t>Peaje Cerrito - Cali</t>
  </si>
  <si>
    <t>Pago a JOHNNY MAURICIO CEBALLOS BASTIDAS JMCB 84</t>
  </si>
  <si>
    <t>Retencion fte 1% JOHNNY MAURICIO CEBALLOS BASTIDAS JMCB 84</t>
  </si>
  <si>
    <t>Retencion ica 6*1000 JOHNNY MAURICIO CEBALLOS BASTIDAS JMCB 84</t>
  </si>
  <si>
    <t>Pago a IPS ADILAB FEML 22234</t>
  </si>
  <si>
    <t>Pago a IPS ADILAB FEML 22346</t>
  </si>
  <si>
    <t>Retencion fte 11% IPS ADILAB FEML 22346</t>
  </si>
  <si>
    <t>Pago a CARLOS ARBOLEDA FE-18</t>
  </si>
  <si>
    <t>TAXI PASTO</t>
  </si>
  <si>
    <t>viaticos</t>
  </si>
  <si>
    <t>TAXI SAN FERNANDO</t>
  </si>
  <si>
    <t>DUNKIN DONAS</t>
  </si>
  <si>
    <t>TAXI AEROPUERTO</t>
  </si>
  <si>
    <t xml:space="preserve">Pago a PEDRO DANIEL RIASCOS </t>
  </si>
  <si>
    <t>Recepcion pago factura Novacentro</t>
  </si>
  <si>
    <t>Recepcion pago factura congelados de Nariño</t>
  </si>
  <si>
    <t>Recepcion pago licencia de maternidad Maria fernanda Chamorro</t>
  </si>
  <si>
    <t>Ingreso pagoa administracion naos 1,2,3 junio</t>
  </si>
  <si>
    <t>Compra en almacenes Éxito camara</t>
  </si>
  <si>
    <t>Compra en almacenes Éxito Video beem</t>
  </si>
  <si>
    <t>Recepcion pago factura edificio Gran avenida</t>
  </si>
  <si>
    <t>Recepcion pago cartera vencida Fit For All 122</t>
  </si>
  <si>
    <t>Anticipo minigranja vega</t>
  </si>
  <si>
    <t>Anticipo minigranja polaris 3</t>
  </si>
  <si>
    <t>Anticipo Minigranjas Lyra</t>
  </si>
  <si>
    <t>Anticipo Granjas polaris 3</t>
  </si>
  <si>
    <t>Recepcion pago factura Estrunar</t>
  </si>
  <si>
    <t>Recepcion pago facturas Sotavento</t>
  </si>
  <si>
    <t>Pago flete transporte equipos</t>
  </si>
  <si>
    <t xml:space="preserve">Transporte Marcela a Cinar Sistema </t>
  </si>
  <si>
    <t>Alimentacion Laura Rosas Cordoba</t>
  </si>
  <si>
    <t>Transporte Aeropuerto Laura Rosas Cordoba</t>
  </si>
  <si>
    <t>Pago importacion LONGI SOLAR TECHNOLOGY CO., LTD. 50%</t>
  </si>
  <si>
    <t>Evolti Generacion</t>
  </si>
  <si>
    <t>C. Anticipo paneles</t>
  </si>
  <si>
    <t>Transporte terminal de tulua - BAS INGENIERIA</t>
  </si>
  <si>
    <t xml:space="preserve">Transporte de BAS INGENIERIA -terminal de tulua </t>
  </si>
  <si>
    <t xml:space="preserve">Transporte desde terminal </t>
  </si>
  <si>
    <t>Transporte a PY-SURAGUAS (Puerto tejada)</t>
  </si>
  <si>
    <t>Pequeño material (conectores PVC, brocas)</t>
  </si>
  <si>
    <t>Tanqueo gasolina Martin</t>
  </si>
  <si>
    <t>Transporte desde puerto tejada</t>
  </si>
  <si>
    <t>Transporte sebas a puerto tejada</t>
  </si>
  <si>
    <t>Pequeño material (Bornas, prensaestopa, bushing)</t>
  </si>
  <si>
    <t>Transporte sebas visita técnica a palmira</t>
  </si>
  <si>
    <t>Transporte a puerto tejada con material enviado desde pasto</t>
  </si>
  <si>
    <t>Transporte Nicolas</t>
  </si>
  <si>
    <t>Vinilo (logo)</t>
  </si>
  <si>
    <t>Flete envio de material y herramienta a puerto tejada</t>
  </si>
  <si>
    <t>Pequeño material (Aisladores, terminales, tornillos)</t>
  </si>
  <si>
    <t>Transporte a puerto tejada</t>
  </si>
  <si>
    <t>Transporte puerto tejada - cali</t>
  </si>
  <si>
    <t>Sikaboom</t>
  </si>
  <si>
    <t>Vinipel y cinta transparente</t>
  </si>
  <si>
    <t>Transporte personal técnico (Pasto)</t>
  </si>
  <si>
    <t>Transporte de personal a terminal</t>
  </si>
  <si>
    <t>Transporte sebastian</t>
  </si>
  <si>
    <t>Transporte ingenierio e inspector RETIE visita</t>
  </si>
  <si>
    <t>Transporte personal a proyecto suraguas y a terminal</t>
  </si>
  <si>
    <t>Transporte ingenierio e inspector RETIE visita (regreso)</t>
  </si>
  <si>
    <t>Transporte personal técnico (popayan)</t>
  </si>
  <si>
    <t>Recepcion pago factura Hotel Cuellar</t>
  </si>
  <si>
    <t>Tickets para viaje de ida y vuelta a Medellín desde Pereira</t>
  </si>
  <si>
    <t>Fabian Florez</t>
  </si>
  <si>
    <t>Almuerzo en terminal</t>
  </si>
  <si>
    <t>Transporte entre los días 3/06/2025 hasta el 6/06/2025</t>
  </si>
  <si>
    <t>Compra intl microsoft g097246</t>
  </si>
  <si>
    <t xml:space="preserve">Pago hotel Juan Manuel </t>
  </si>
  <si>
    <t>Alimentacion Juan Manuel</t>
  </si>
  <si>
    <t xml:space="preserve">Pago a MARTIN FELIPE GOMAJOA BOTINA ANTICIPO 50% </t>
  </si>
  <si>
    <t>Pago a ELECTRA LIMITADA ANTICIPO 60%</t>
  </si>
  <si>
    <t>Pago a PROTECTO FED 4819</t>
  </si>
  <si>
    <t>Pago estudios a ERICA YASMIN SALAS JURADO Inventario forestal y acompañamiento en el trámite de solicitud de aprovechamiento forestal ante la Autoridad Ambiental CORPONARIÑO</t>
  </si>
  <si>
    <t>Pago a ECTRICOL COT OV 43135 ANTICIPO DEL 3,75% 209.082X4,144,18 04-03-2025=866.473.443 Y ESE POR EL 30% 259,942,032</t>
  </si>
  <si>
    <t>Pago estudios a FLORESMIRA LOPEZ PASTES PRESENTAR EL PROCESO DE SOCIALIZACIÓN DE LOS PROYECTOS DE LA CONSTRUCCIÓN DE LAS GRANJAS SOLARES POLARIX, LYRA Y ORBIS EN EL MUNICIPIO DE MERCADERES CAUCА.</t>
  </si>
  <si>
    <t>Retencion fte 6% FLORESMIRA LOPEZ PASTES</t>
  </si>
  <si>
    <t>Pago a FINELECTRICOS COLOMBIA SAS</t>
  </si>
  <si>
    <t>Retencion ica 15% FINELECTRICOS COLOMBIA SAS</t>
  </si>
  <si>
    <t>Pago a EQUIRENT VEHICULOS Y MAQUINARIA SAS BIC PLACA POT 209</t>
  </si>
  <si>
    <t>Pago a EQUIRENT VEHICULOS Y MAQUINARIA SAS BIC PLACA POT 241</t>
  </si>
  <si>
    <t>Pago a REGISTRO Y NOTARIADO 128-26545</t>
  </si>
  <si>
    <t>Pago a REGISTRO Y NOTARIADO 070-38058</t>
  </si>
  <si>
    <t>Pago a REGISTRO Y NOTARIADO 070-19477</t>
  </si>
  <si>
    <t>Pago a REGISTRO Y NOTARIADO 248-0008954</t>
  </si>
  <si>
    <t>Pago a REGISTRO Y NOTARIADO 248-0008955</t>
  </si>
  <si>
    <t>Pago a ASEQI FEAQ 1966 Curso de alturas</t>
  </si>
  <si>
    <t>Retencion fte 11% ASEQI FEAQ 1966 Curso de alturas</t>
  </si>
  <si>
    <t>Pago a JONNATHAN MAURICIO ORTEGA POLO Creación, animación y render de pieza motion graphics para campaña Evolti – Unicentro</t>
  </si>
  <si>
    <t>Pago a MALLIESA FVE 471</t>
  </si>
  <si>
    <t>Pago a MARCOS DANIEL OJEDA ALIMENTACION 70 COMIDAS</t>
  </si>
  <si>
    <t>Retencion fte 3,5% MARCOS DANIEL OJEDA ALIMENTACION 70 COMIDAS</t>
  </si>
  <si>
    <t>Rosca tubos</t>
  </si>
  <si>
    <t>Domicilio rosca tubos</t>
  </si>
  <si>
    <t>Transporte servientrega norte</t>
  </si>
  <si>
    <t>Piaggio estructura techo</t>
  </si>
  <si>
    <t>Transporte Jose Rueda</t>
  </si>
  <si>
    <t>Domicilio ferroniples</t>
  </si>
  <si>
    <t>Domicilio taller torno</t>
  </si>
  <si>
    <t>Domicilio Epicentro Electrico</t>
  </si>
  <si>
    <t>Transporte Popayan-cali</t>
  </si>
  <si>
    <t>Conector Radwelt y 2 Cajas Radwelt</t>
  </si>
  <si>
    <t xml:space="preserve">Transporte Terminal </t>
  </si>
  <si>
    <t>Gasolina Martin</t>
  </si>
  <si>
    <t>Transporte Cali-Popayan</t>
  </si>
  <si>
    <t>Transporte Casa hotel</t>
  </si>
  <si>
    <t>Domicilio Daniela material elec.</t>
  </si>
  <si>
    <t>Domicilio Sebastian material elec.</t>
  </si>
  <si>
    <t>Gasolina martin</t>
  </si>
  <si>
    <t>Domicilio radwell</t>
  </si>
  <si>
    <t>Desayuno y almuerzo</t>
  </si>
  <si>
    <t>Domicilio Cable de comunicación</t>
  </si>
  <si>
    <t>Domicilio Pintura Blanca</t>
  </si>
  <si>
    <t>Domicilio caja hermetica</t>
  </si>
  <si>
    <t>Transporte estructura servientrega norte-cementos cauca</t>
  </si>
  <si>
    <t>Domicilio roscas tubos</t>
  </si>
  <si>
    <t>Caja derivacion, coraza y conector radwelt</t>
  </si>
  <si>
    <t>Taxi Servientrega</t>
  </si>
  <si>
    <t>División para Canaleta</t>
  </si>
  <si>
    <t>Flexometro 8 m</t>
  </si>
  <si>
    <t>Bisturí metálico</t>
  </si>
  <si>
    <t>Transporte buscar soldador</t>
  </si>
  <si>
    <t>Coraza y conector Radwelt con tapa</t>
  </si>
  <si>
    <t>Roscas tubo</t>
  </si>
  <si>
    <t>Servicio de armado Sacabocados</t>
  </si>
  <si>
    <t>Ir a Rectificar Facturas</t>
  </si>
  <si>
    <t>Volver a Cementos Cauca</t>
  </si>
  <si>
    <t>Pegatanke epoxico</t>
  </si>
  <si>
    <t>Riel Chanel</t>
  </si>
  <si>
    <t>Domicilio riel chanel</t>
  </si>
  <si>
    <t>Caja PVC 10x10</t>
  </si>
  <si>
    <t>Taxi casa hotel</t>
  </si>
  <si>
    <t>Cable UTP 50 metros</t>
  </si>
  <si>
    <t>Domicilio cable</t>
  </si>
  <si>
    <t>Pago a SURA 33000014313-10331004557</t>
  </si>
  <si>
    <t>Pólizas</t>
  </si>
  <si>
    <t>Pago a SURA 33000014412-10331004566</t>
  </si>
  <si>
    <t>Pago a SURA 33000014778-10331004564</t>
  </si>
  <si>
    <t>Pago a SURA : 033000014818</t>
  </si>
  <si>
    <t>Pago a CAMARA DE COMERCIO EVOLTI GENERACION</t>
  </si>
  <si>
    <t>Pago Estudios tecnicos a ALEXANDER ANTONIO AGUDELO VELASQUEZ</t>
  </si>
  <si>
    <t>Pago a RONALD EDINSON CERON Inventario Forestal y Trámite de Aprovechamiento Forestal de árboles aislados. (corregimiento de Patía en el Predio Beer-Sebas) en Patía-Cauca.</t>
  </si>
  <si>
    <t>Pago a RONALD EDINSON CERON Inventario Forestal y Trámite de Aprovechamiento Forestal de árboles aislados. (corregimiento Del Estrecho, en el Predio El Recreo) en Patía-Cauca.</t>
  </si>
  <si>
    <t>Pago a RONALD EDINSON CERON inventario forestal y trámite de aprovechamiento Forestal de árboles aislados. (municipio de Mercaderes, en el predio El Carmelo) en Mercaderes Cauca.</t>
  </si>
  <si>
    <t>Pago a GEOSOIL FEV 13</t>
  </si>
  <si>
    <t>Estudio de suelos</t>
  </si>
  <si>
    <t>Pago a GEOSOIL FEV 9</t>
  </si>
  <si>
    <t>Pago a GEOSOIL FEV 8 ANTICIPO 50%</t>
  </si>
  <si>
    <t>Pago a GEOSOIL FEV 7</t>
  </si>
  <si>
    <t>Pago a GEOSOIL FEV 11</t>
  </si>
  <si>
    <t>Pago a GEOSOIL FEV 10 ANTICIPO 50%</t>
  </si>
  <si>
    <t xml:space="preserve">Pago a AYC DOTACIONES INDUSTRIALES </t>
  </si>
  <si>
    <t>Pago a AMARA NZERO COLOMBIA SAS</t>
  </si>
  <si>
    <t>Pago a ALEJANDRA GAVIRIA GOMEZ Dirección de contenido para redes sociales</t>
  </si>
  <si>
    <t>Pago a SEBASTIAN GAVIRIA GOMEZ marce en medellin</t>
  </si>
  <si>
    <t>Pago arrendamiento Mercaderes DIEGO ALEJANDRO FUENTES OJEDA</t>
  </si>
  <si>
    <t>Pago a PHC SERVICIOS INTEGRADOS GROUP ANTICIPO 50%</t>
  </si>
  <si>
    <t>Pago a YULY ROCIO MUÑOZ</t>
  </si>
  <si>
    <t>Pago transportes ida y vuelta Marcela a Cinar Sistemas</t>
  </si>
  <si>
    <t>Pago transporte ida y vuelta Oficina hospital san rafael Rubiela Ramos</t>
  </si>
  <si>
    <t>Pago sanción información exógena 2024</t>
  </si>
  <si>
    <t>Pago impresión Laser recibo de pago sancion Dian</t>
  </si>
  <si>
    <t>Tinta negra original</t>
  </si>
  <si>
    <t>Tinta negra, tinta amarilla, tinta cyan, tinta magenta</t>
  </si>
  <si>
    <t>Envío dotación, trayecto: Pasto - Ipiales</t>
  </si>
  <si>
    <t>Corte de lámina MDF para adecuación de armarios en la oficina</t>
  </si>
  <si>
    <t>Envío camisa, caja y carpeta, trayecto: Pasto - Cali</t>
  </si>
  <si>
    <t>Carrera piaggio, trayecto: Oficina - Bodega Torobajo</t>
  </si>
  <si>
    <t>Carrera piaggio, trayecto: Bodega Torobajo - Hospital Infantil</t>
  </si>
  <si>
    <t>Grapa riel chanel</t>
  </si>
  <si>
    <t>Cintas de enmascarar</t>
  </si>
  <si>
    <t>Tres carreras de piaggio, trayecto: Bodega Torobajo - Hospital Infantil</t>
  </si>
  <si>
    <t>Carrera taxi, trayecto: Bodega Torobajo - Oficina</t>
  </si>
  <si>
    <t>Cuchillas para bisturí</t>
  </si>
  <si>
    <t>Envío documentos, trayecto: Pasto - Bogotá</t>
  </si>
  <si>
    <t>Compra elementos de Aseo y limpieza en alkosto</t>
  </si>
  <si>
    <t>TRANSPORTE JULIO CASA - AEROPUERTO</t>
  </si>
  <si>
    <t>Paola-Julio</t>
  </si>
  <si>
    <t>TRANSPORTE PAOLA CASA - AEROPUERTO</t>
  </si>
  <si>
    <t>TRANSPORTE JULIO Y PAOLA AEROPUERTO - HOTEL</t>
  </si>
  <si>
    <t>CENA JULIO Y PAOLA</t>
  </si>
  <si>
    <t>ALMUERZO JULIO (FE1226)</t>
  </si>
  <si>
    <t>ALMUERZO PAOLA (FE1225)</t>
  </si>
  <si>
    <t>CENA JULIO (LOT398)</t>
  </si>
  <si>
    <t>CENA PAOLA (LOT397)</t>
  </si>
  <si>
    <t>CENA JULIO (LOT403)</t>
  </si>
  <si>
    <t>CENA PAOLA (LOT404)</t>
  </si>
  <si>
    <t>ALMUERZO JULIO (FE1296)</t>
  </si>
  <si>
    <t>ALMUERZO PAOLA (FE1297)</t>
  </si>
  <si>
    <t>TAXI</t>
  </si>
  <si>
    <t>DESAYUNOS JULIO Y PAOLA (LOT408)</t>
  </si>
  <si>
    <t>ALMUERZO JULIO</t>
  </si>
  <si>
    <t>ALMUERZO PAOLA</t>
  </si>
  <si>
    <t>TAXI HOTEL AEROPUERTO</t>
  </si>
  <si>
    <t>TAXI AEROPUERTO CASA JULIO</t>
  </si>
  <si>
    <t>TAXI AEROPUERTO CASA PAOLA</t>
  </si>
  <si>
    <t>Envío spray galvanizado en frío, trayecto: Pasto - Remolino</t>
  </si>
  <si>
    <t>Envío dotación y elementos eléctricos, trayecto: Pasto - Remolino</t>
  </si>
  <si>
    <t>Envío de marquillas y pértiga, trayecto: Pasto - Remolino</t>
  </si>
  <si>
    <t>Envío marquillas riesgo eléctrico y cinta doble faz, trayecto: Pasto - Remolino</t>
  </si>
  <si>
    <t>PAGO 2DA QUINCENA NOMINA JUNIO A INGRID JULIANA LOPEZ RIVADENEIRA</t>
  </si>
  <si>
    <t>PAGO 2DA QUINCENA NOMINA JUNIO A JHOANA MARCELA GERMAN REYES</t>
  </si>
  <si>
    <t>PAGO 2DA QUINCENA NOMINA JUNIO A JUAN MANUEL ESPAÑA FORERO</t>
  </si>
  <si>
    <t>PAGO 2DA QUINCENA NOMINA JUNIO A HERMANN SOUZA CUBIDES</t>
  </si>
  <si>
    <t>PAGO 2DA QUINCENA NOMINA JUNIO A SANDRA CAROLINA PATASCOY BOTINA</t>
  </si>
  <si>
    <t>PAGO 2DA QUINCENA NOMINA JUNIO A YULY ANDREA JARAMILLO GUERRERO</t>
  </si>
  <si>
    <t>PAGO 2DA QUINCENA NOMINA JUNIO A LOREN ALEJANDRA DIAZ YAMPUEZAN</t>
  </si>
  <si>
    <t xml:space="preserve">PAGO 2DA QUINCENA NOMINA JUNIO A MARIA FERNANDA CHAMORRO </t>
  </si>
  <si>
    <t>PAGO 2DA QUINCENA NOMINA JUNIO A CRISTINA LASSO</t>
  </si>
  <si>
    <t>PAGO 2DA QUINCENA NOMINA JUNIO A JUAN CARLOS CAÑAR POTOSI</t>
  </si>
  <si>
    <t>PAGO 2DA QUINCENA NOMINA JUNIO A RUBIELA DEL SOCORRO RAMOS PARRA</t>
  </si>
  <si>
    <t>PAGO 2DA QUINCENA NOMINA JUNIO A JUAN CAMILO GARCIA SOUZA</t>
  </si>
  <si>
    <t>PAGO 2DA QUINCENA NOMINA JUNIO A CINDY JOHANA CARLOSAMA HERNANDEZ</t>
  </si>
  <si>
    <t>PAGO 2DA QUINCENA NOMINA JUNIO A JUAN ESTEBAN IBARRA CAMUES</t>
  </si>
  <si>
    <t>PAGO 2DA QUINCENA NOMINA JUNIO A LUISA FERNANDA OBANDO VITAR</t>
  </si>
  <si>
    <t xml:space="preserve">PAGO 2DA QUINCENA NOMINA JUNIO A SARA LUCIA DAZA LOPEZ </t>
  </si>
  <si>
    <t>PAGO 2DA QUINCENA NOMINA JUNIO A CLAUDIA STELLA CORAL ERASO</t>
  </si>
  <si>
    <t>PAGO 2DA QUINCENA NOMINA JUNIO A JULLY PAOLA AGUDELO BAEZ</t>
  </si>
  <si>
    <t>PAGO 2DA QUINCENA NOMINA JUNIO A PAOLA ANDREA ARENAS MARTINEZ</t>
  </si>
  <si>
    <t>PAGO 2DA QUINCENA NOMINA JUNIO A ASTRID CAROLINA DIAZ LOPEZ</t>
  </si>
  <si>
    <t>PAGO 2DA QUINCENA NOMINA JUNIO A JULIO CESAR DEAVILA MARTINEZ</t>
  </si>
  <si>
    <t>PAGO 2DA QUINCENA NOMINA JUNIO A DIDIER SMITH LIMAS GUTIERREZ</t>
  </si>
  <si>
    <t>PAGO 2DA QUINCENA NOMINA JUNIO A DILAN SEBASTIAN CASTRO PERENGUEZ</t>
  </si>
  <si>
    <t>PAGO 2DA QUINCENA NOMINA JUNIO A EDWIN ENRIQUE MORENO ALVIAR</t>
  </si>
  <si>
    <t>PAGO 2DA QUINCENA NOMINA JUNIO A DORIS VEGA TORRES</t>
  </si>
  <si>
    <t>PAGO 2DA QUINCENA NOMINA JUNIO A ANDRES BOLAÑOS PEREZ</t>
  </si>
  <si>
    <t>PAGO 2DA QUINCENA NOMINA JUNIO A KELLY TATIANA ALVAREZ GARCIA</t>
  </si>
  <si>
    <t>PAGO 2DA QUINCENA NOMINA JUNIO A ANA MILENA HENAO GONZALEZ</t>
  </si>
  <si>
    <t xml:space="preserve">PAGO 2DA QUINCENA NOMINA JUNIO A JOSE ESTEBAN RODRIGUEZ QUINTERO </t>
  </si>
  <si>
    <t>PAGO 2DA QUINCENA NOMINA JUNIO A MOISES RUIZ AYALA</t>
  </si>
  <si>
    <t>PAGO 2DA QUINCENA NOMINA JUNIO A MARIA ELENA RIVERA SOTO</t>
  </si>
  <si>
    <t xml:space="preserve">PAGO 2DA QUINCENA NOMINA JUNIO A GLORIA DANIELA TIMARAN CABRERA </t>
  </si>
  <si>
    <t>PAGO 2DA QUINCENA NOMINA JUNIO A JULIAN RICARDO GOMEZ GUERRERO</t>
  </si>
  <si>
    <t>PAGO 2DA QUINCENA NOMINA JUNIO A CARLOS FERNANDO CABRERA VELASCO</t>
  </si>
  <si>
    <t>PAGO 2DA QUINCENA NOMINA JUNIO A FABIAN ANDRES FLOREZ BETANCOURT</t>
  </si>
  <si>
    <t>PAGO 2DA QUINCENA NOMINA JUNIO A VERONICA LILIANA SANTACRUZ MENZA</t>
  </si>
  <si>
    <t>PAGO 2DA QUINCENA NOMINA JUNIO A ANDRES FELIPE DELGADO ZUTTA</t>
  </si>
  <si>
    <t>PAGO 2DA QUINCENA NOMINA JUNIO A JULIO BELALCAZAR MURILLO</t>
  </si>
  <si>
    <t>PAGO COMISION JUNIO A JULIO BELALCAZAR MURILLO</t>
  </si>
  <si>
    <t>Unidad Recidencial Multicentro 2</t>
  </si>
  <si>
    <t>PAGO 2DA QUINCENA NOMINA JUNIO A DIANA ALEJANDRA MERA MUÑOZ</t>
  </si>
  <si>
    <t>PAGO 2DA QUINCENA NOMINA JUNIO A IVAN DANIEL MONTILLA CORAL</t>
  </si>
  <si>
    <t xml:space="preserve">PAGO 2DA QUINCENA NOMINA JUNIO A CAROLINA CARDONA PAREJA </t>
  </si>
  <si>
    <t>PAGO 2DA QUINCENA NOMINA JUNIO A MARIANA SALDARRIAGA CADAVID</t>
  </si>
  <si>
    <t>PAGO 2DA QUINCENA NOMINA JUNIO A PAOLA ANDREA SEGURA MARTINEZ</t>
  </si>
  <si>
    <t>PAGO COMISION JUNIO A PAOLA ANDREA SEGURA MARTINEZ</t>
  </si>
  <si>
    <t>PAGO 2DA QUINCENA NOMINA JUNIO A NESTOR ANDRES ARCINIEGAS VILLAMARIN</t>
  </si>
  <si>
    <t>PAGO 2DA QUINCENA NOMINA JUNIO A JHON EDINSON SANCHEZ CAMACHO</t>
  </si>
  <si>
    <t xml:space="preserve">PAGO 2DA QUINCENA NOMINA JUNIO A LAURA MARIA  ROSAS CORDOBA </t>
  </si>
  <si>
    <t>PAGO 2DA QUINCENA NOMINA JUNIO A JEANCARLO GUILLERMO MONCAYO ANDRADE</t>
  </si>
  <si>
    <t>PAGO 2DA QUINCENA NOMINA JUNIO A JUAN FERNANDO PANIAGUA OSORIO</t>
  </si>
  <si>
    <t>PAGO 2DA QUINCENA NOMINA JUNIO A LEIBNITZ EDUARDO CHANA CALDERON</t>
  </si>
  <si>
    <t>PAGO 2DA QUINCENA NOMINA JUNIO A DANNA STEFANYA LASSO GUERRA</t>
  </si>
  <si>
    <t>PAGO 2DA QUINCENA NOMINA JUNIO A JAVIER SEBASTIÁN LUCENA VILLARREAL</t>
  </si>
  <si>
    <t>PAGO 2DA QUINCENA NOMINA JUNIO A JORGE ANDRES MUÑOZ MARTINEZ</t>
  </si>
  <si>
    <t>PAGO 2DA QUINCENA NOMINA JUNIO A HERNAN DARIO CABRERA QUITIAQUEZ</t>
  </si>
  <si>
    <t>PAGO 2DA QUINCENA NOMINA JUNIO A YOHN JAIRO BENAVIDES CHAMORRO</t>
  </si>
  <si>
    <t>PAGO 2DA QUINCENA NOMINA JUNIO A DANNA EVELYN ARMERO ROSERO</t>
  </si>
  <si>
    <t>PAGO 2DA QUINCENA NOMINA JUNIO A JUAN SEBASTIAN GOMEZ LEAL</t>
  </si>
  <si>
    <t>PAGO 2DA QUINCENA NOMINA JUNIO A JAVIER ANDRES RODRIGUEZ SANTIUSTY</t>
  </si>
  <si>
    <t xml:space="preserve">PAGO 2DA QUINCENA NOMINA JUNIO A WILSON ALEJANDRO MORA ERAZO </t>
  </si>
  <si>
    <t>PAGO 2DA QUINCENA NOMINA JUNIO A CRISTHIAN CAMILO ROSERO ALVAREZ</t>
  </si>
  <si>
    <t xml:space="preserve">PAGO 2DA QUINCENA NOMINA JUNIO A ALEXANDER DAVID BETANCOURT CARVAJAL </t>
  </si>
  <si>
    <t>PAGO 2DA QUINCENA NOMINA JUNIO A EDERSON DAZA ARTEAGA</t>
  </si>
  <si>
    <t xml:space="preserve">PAGO 2DA QUINCENA NOMINA JUNIO A SERGIO DAVID ZAMBRANO ESCOBAR </t>
  </si>
  <si>
    <t>PAGO 2DA QUINCENA NOMINA JUNIO A NICOLAS LOPEZ DULCE</t>
  </si>
  <si>
    <t>PAGO 2DA QUINCENA NOMINA JUNIO A HUGO ALEXANDER TAPIA ARCE</t>
  </si>
  <si>
    <t>PAGO 2DA QUINCENA NOMINA JUNIO A JOSE ALVEIRO CUSIS HERNANDEZ</t>
  </si>
  <si>
    <t>PAGO 2DA QUINCENA NOMINA JUNIO A MARIO ALEXANDER CUSIS HERNANDEZ</t>
  </si>
  <si>
    <t>PAGO 2DA QUINCENA NOMINA JUNIO A JASON STEVEN DIAZ GUEVARA </t>
  </si>
  <si>
    <t>PAGO 2DA QUINCENA NOMINA JUNIO A OSCAR ANDRES CASTRO BOTINA</t>
  </si>
  <si>
    <t>PAGO 2DA QUINCENA NOMINA JUNIO A EDWIN LEONARDO MARTINEZ YAQUENO</t>
  </si>
  <si>
    <t>PAGO 2DA QUINCENA NOMINA JUNIO A ANDRES FERNANDO ESPINOSA GUACALES</t>
  </si>
  <si>
    <t>PAGO 2DA QUINCENA NOMINA JUNIO A JHORDY STEVEN TRUJILLO GALEANDO</t>
  </si>
  <si>
    <t xml:space="preserve">PAGO 2DA QUINCENA NOMINA JUNIO A JOHAN SEBASTIAN OVIEDO NIÑAN </t>
  </si>
  <si>
    <t xml:space="preserve">PAGO 2DA QUINCENA NOMINA JUNIO A JHON ALEXANDER GELPUD ZAMORA </t>
  </si>
  <si>
    <t xml:space="preserve">PAGO 2DA QUINCENA NOMINA JUNIO A RUBEN DARIO ESPINOSA PARRA </t>
  </si>
  <si>
    <t>PAGO 2DA QUINCENA NOMINA JUNIO A JORGE ANDRES BARRERA YANDAR</t>
  </si>
  <si>
    <t>PAGO 2DA QUINCENA NOMINA JUNIO A JOY JAMIT MOSQUERA ORDOÑEZ</t>
  </si>
  <si>
    <t>PAGO 2DA QUINCENA NOMINA JUNIO A WIILLIAM ALBERTO AZA CRIOLLO</t>
  </si>
  <si>
    <t>PAGO 2DA QUINCENA NOMINA JUNIO A JOSE RAFAEL RUEDA HERRERA</t>
  </si>
  <si>
    <t>PAGO 2DA QUINCENA NOMINA JUNIO A JERSON ALEXIS GOMEZ ACOSTA</t>
  </si>
  <si>
    <t xml:space="preserve">PAGO 2DA QUINCENA NOMINA JUNIO A MARTIN ALONSO SOSSA AGUIRRE </t>
  </si>
  <si>
    <t xml:space="preserve">PAGO 2DA QUINCENA NOMINA JUNIO A JOSE JULIAN OCAMPO URIBE </t>
  </si>
  <si>
    <t xml:space="preserve">PAGO 2DA QUINCENA NOMINA JUNIO A CRISTIAN ANDRES CHITAN </t>
  </si>
  <si>
    <t xml:space="preserve">PAGO 2DA QUINCENA NOMINA JUNIO A JAVIER GIOVANI YANDUN INAGAN </t>
  </si>
  <si>
    <t>PAGO 2DA QUINCENA NOMINA JUNIO A SEGUNDO MARCIAL GELPUD BOTINA</t>
  </si>
  <si>
    <t>PAGO 2DA QUINCENA NOMINA JUNIO A ALBEIRO ORLANDO ESPAÑA HERNANDEZ</t>
  </si>
  <si>
    <t>PAGO 2DA QUINCENA NOMINA JUNIO A EDILFONSO ROSERO CASTILLO</t>
  </si>
  <si>
    <t>PAGO 2DA QUINCENA NOMINA JUNIO A JEFERSON VERGARA MUÑOZ</t>
  </si>
  <si>
    <t>PAGO 2DA QUINCENA NOMINA JUNIO A YALINER ILVIRA FIGUEROA</t>
  </si>
  <si>
    <t xml:space="preserve">PAGO 2DA QUINCENA NOMINA JUNIO A DILBER  MAURICIO PAZ ALMEIDA </t>
  </si>
  <si>
    <t>PAGO 2DA QUINCENA NOMINA JUNIO A WILLIAMS ALFREDO VILLAR MORA</t>
  </si>
  <si>
    <t>PAGO 2DA QUINCENA NOMINA JUNIO A VIVIANA ANDREA AYALA PICHINA</t>
  </si>
  <si>
    <t>PAGO 2DA QUINCENA NOMINA JUNIO A AURO EDILSON ARTEAGA MEZA</t>
  </si>
  <si>
    <t>PAGO 2DA QUINCENA NOMINA JUNIO A WILLIAM HERNANDO CASTRO RODRIGUEZ</t>
  </si>
  <si>
    <t>PAGO 2DA QUINCENA NOMINA JUNIO A HOLMES GALINDEZ VALDEZ</t>
  </si>
  <si>
    <t>PAGO 2DA QUINCENA NOMINA JUNIO A ALEXANDER MUÑOZ DIAZ</t>
  </si>
  <si>
    <t>PAGO 2DA QUINCENA NOMINA JUNIO A JOSE DELIO ALMEIDA ALMEIDA</t>
  </si>
  <si>
    <t>PAGO 2DA QUINCENA NOMINA JUNIO A JESUS ALBERTO DIAZ PALACIOS</t>
  </si>
  <si>
    <t>PAGO 2DA QUINCENA NOMINA JUNIO A LUIS FERNANDO RODRIGUEZ MUÑOZ</t>
  </si>
  <si>
    <t>PAGO 2DA QUINCENA NOMINA JUNIO A JORGE LUIS LIZCANO NIÑO</t>
  </si>
  <si>
    <t>PAGO 2DA QUINCENA NOMINA JUNIO A CARLOS HERNANDO ENRIQUEZ DIAZ</t>
  </si>
  <si>
    <t>PAGO 2DA QUINCENA NOMINA JUNIO A FABIAN OJEDA RODRIGUEZ</t>
  </si>
  <si>
    <t>PAGO 2DA QUINCENA NOMINA JUNIO A ASTRID VEIDUD LOPEZ NARVAEZ</t>
  </si>
  <si>
    <t>PAGO 2DA QUINCENA NOMINA JUNIO A ODELMER DAZA PEREZ</t>
  </si>
  <si>
    <t>PAGO 2DA QUINCENA NOMINA JUNIO A JUNIOR FEDERICK OCAMPO ESPAÑA</t>
  </si>
  <si>
    <t>PAGO 2DA QUINCENA NOMINA JUNIO A LUZ IRMA ORTEGA CIFUENTES</t>
  </si>
  <si>
    <t xml:space="preserve">PAGO 2DA QUINCENA NOMINA JUNIO A DIEGO ANDRES ARAUJO NARVAEZ </t>
  </si>
  <si>
    <t>PAGO 2DA QUINCENA NOMINA JUNIO A ALVARO HERNAN MONTILLA GONZALEZ</t>
  </si>
  <si>
    <t>PAGO 2DA QUINCENA NOMINA JUNIO A JUAN GABRIEL TUTISTAR NARVAEZ</t>
  </si>
  <si>
    <t>PAGO 2DA QUINCENA NOMINA JUNIO A LIBERIO IPIALES ROSERO</t>
  </si>
  <si>
    <t>PAGO 2DA QUINCENA NOMINA JUNIO A ROMEL MARTINEZ GRIJALBA</t>
  </si>
  <si>
    <t>PAGO 2DA QUINCENA NOMINA JUNIO A JORGE AURELIO GOMEZ BENAVIDES</t>
  </si>
  <si>
    <t>PAGO 2DA QUINCENA NOMINA JUNIO A JAIR ALEXANDER BOLAÑOS CHAVEZ</t>
  </si>
  <si>
    <t>PAGO 2DA QUINCENA NOMINA JUNIO A MIGUEL ANGEL RAMOS BURGOS</t>
  </si>
  <si>
    <t>PAGO 2DA QUINCENA NOMINA JUNIO A ESNEIDER ALBERTO VALENCIA GOMEZ</t>
  </si>
  <si>
    <t>PAGO 2DA QUINCENA NOMINA JUNIO A DUBAN ANDRES CIFUENTES MARTINEZ</t>
  </si>
  <si>
    <t>PAGO 2DA QUINCENA NOMINA JUNIO A JENER AFRANIO CABRERA DAVID</t>
  </si>
  <si>
    <t>PAGO 2DA QUINCENA NOMINA JUNIO A MARLON FABIAN BONILLA BOLAÑOS</t>
  </si>
  <si>
    <t xml:space="preserve">PAGO 2DA QUINCENA NOMINA JUNIO A GERARDO SILVA JANSASOY </t>
  </si>
  <si>
    <t>PAGO 2DA QUINCENA NOMINA JUNIO A CARLOS ANDRES DAZA BURBANO</t>
  </si>
  <si>
    <t>PAGO 2DA QUINCENA NOMINA JUNIO A EDWAR FERNANDEZ ORDOÑEZ</t>
  </si>
  <si>
    <t>PAGO 2DA QUINCENA NOMINA JUNIO A ANDERSON MARTINEZ GRIJALBA</t>
  </si>
  <si>
    <t>PAGO 2DA QUINCENA NOMINA JUNIO A WILMAN MESA ERAZO</t>
  </si>
  <si>
    <t>PAGO 2DA QUINCENA NOMINA JUNIO A MARIO CHAYANNE RIVERA ARAUJO</t>
  </si>
  <si>
    <t>PAGO 2DA QUINCENA NOMINA JUNIO A EYDER QUINTERO DIAZ</t>
  </si>
  <si>
    <t>PAGO 2DA QUINCENA NOMINA JUNIO A EDINSON JAVIER ORTIZ TORRES</t>
  </si>
  <si>
    <t>PAGO 2DA QUINCENA NOMINA JUNIO A WILBER CALDERON FIGUEROA</t>
  </si>
  <si>
    <t>PAGO 2DA QUINCENA NOMINA JUNIO A STIVEN ANDRES HOYOS CAMPOS</t>
  </si>
  <si>
    <t>PAGO 2DA QUINCENA NOMINA JUNIO A JULIAN DAVID MARTINEZ RODRIGUEZ</t>
  </si>
  <si>
    <t>PAGO 2DA QUINCENA NOMINA JUNIO A DANIEL OJEDA FIGUEROA</t>
  </si>
  <si>
    <t>PAGO 2DA QUINCENA NOMINA JUNIO A JORGE ANDRES HOYOS MARTINEZ</t>
  </si>
  <si>
    <t xml:space="preserve">PAGO 2DA QUINCENA NOMINA JUNIO A DIEGO FERNANDO TENORIO NUPAN </t>
  </si>
  <si>
    <t>PAGO 2DA QUINCENA NOMINA JUNIO A MAICOL YORDAN RODRIGUEZ OBANDO</t>
  </si>
  <si>
    <t>PAGO 2DA QUINCENA NOMINA JUNIO A IVAN VILLADA GIL</t>
  </si>
  <si>
    <t>PAGO 2DA QUINCENA NOMINA JUNIO A JESUS HELIER PATIÑO GALLARDO</t>
  </si>
  <si>
    <t>PAGO 2DA QUINCENA NOMINA JUNIO A MANUEL ALEXANDER ESPINOSA DOMINGUEZ</t>
  </si>
  <si>
    <t>PAGO 2DA QUINCENA NOMINA JUNIO A JHONSIN ARLEY ARIAS CEBALLOS</t>
  </si>
  <si>
    <t>PAGO 2DA QUINCENA NOMINA JUNIO A JIMMI ALEXANDER BURGOS GUERRERO</t>
  </si>
  <si>
    <t>PAGO 2DA QUINCENA NOMINA JUNIO A IVAN CAMILO MENESES ORDOÑEZ</t>
  </si>
  <si>
    <t xml:space="preserve">PAGO 2DA QUINCENA NOMINA JUNIO A JUAN ESTEBAN BLANCO QUIROGA </t>
  </si>
  <si>
    <t>PAGO 2DA QUINCENA NOMINA JUNIO A RODRIGO QUINTERO DIAZ</t>
  </si>
  <si>
    <t>PAGO 2DA QUINCENA NOMINA JUNIO A ANDRES WILFREDY BASTIDAS GALINDEZ</t>
  </si>
  <si>
    <t>PAGO 2DA QUINCENA NOMINA JUNIO A LUIS ALBERTO ALMEIDA MATABAJOY</t>
  </si>
  <si>
    <t>PAGO 2DA QUINCENA NOMINA JUNIO A RUBEN LOPEZ MUÑOZ</t>
  </si>
  <si>
    <t>PAGO 2DA QUINCENA NOMINA JUNIO A ROYER IDELVER LOPEZ SOLARTE</t>
  </si>
  <si>
    <t xml:space="preserve">PAGO 2DA QUINCENA NOMINA JUNIO A JOSE MANUEL LOPEZ OBANDO </t>
  </si>
  <si>
    <t xml:space="preserve">PAGO 2DA QUINCENA NOMINA JUNIO A EDISON ENRIQUE CANTILLO CORONADO </t>
  </si>
  <si>
    <t>PAGO 2DA QUINCENA NOMINA JUNIO A DEIMAN JARINSON DAVID MUÑOZ</t>
  </si>
  <si>
    <t>PAGO 2DA QUINCENA NOMINA JUNIO A DEIBER QUINTERO DIAZ</t>
  </si>
  <si>
    <t>PAGO 2DA QUINCENA NOMINA JUNIO A JOSE DEL CARMEN GUERRERO BERDUGO</t>
  </si>
  <si>
    <t>PAGO 2DA QUINCENA NOMINA JUNIO A ALEX DUVAN CIFUENTES PAZ</t>
  </si>
  <si>
    <t>PAGO 2DA QUINCENA NOMINA JUNIO A BRANDON GUAQUEZ TITISTAR</t>
  </si>
  <si>
    <t>PAGO 2DA QUINCENA NOMINA JUNIO A DANGER ESTIVENSON BENAVIDES ORTEGA</t>
  </si>
  <si>
    <t xml:space="preserve">PAGO 2DA QUINCENA NOMINA JUNIO A DANILO JAVIER OJEDA RODRIGUEZ </t>
  </si>
  <si>
    <t xml:space="preserve">PAGO 2DA QUINCENA NOMINA JUNIO A NORELI SELENA DIAZ JURADO </t>
  </si>
  <si>
    <t>PAGO 2DA QUINCENA NOMINA JUNIO A RICARDO HERNAN ORTIZ</t>
  </si>
  <si>
    <t>PAGO 2DA QUINCENA NOMINA JUNIO A OSCAR IVAN MELENDEZ GARCIA</t>
  </si>
  <si>
    <t>PAGO 2DA QUINCENA NOMINA JUNIO A SANDRO ALBEIRO DELGADO MARTINEZ</t>
  </si>
  <si>
    <t>PAGO 2DA QUINCENA NOMINA JUNIO A DARWIN ANDRES QUINTERO QUINTERO</t>
  </si>
  <si>
    <t>PAGO 2DA QUINCENA NOMINA JUNIO A HEIMER FAVIAN DAZA DIAZ</t>
  </si>
  <si>
    <t>PAGO 2DA QUINCENA NOMINA JUNIO A YEFERSON ORLANDO ORTEGA VALLEJO</t>
  </si>
  <si>
    <t>PAGO 2DA QUINCENA NOMINA JUNIO A BRIAN ALEXANDER PALACIOS ROSERO</t>
  </si>
  <si>
    <t>PAGO 2DA QUINCENA NOMINA JUNIO A JOSE FERNANDO DELGADO GONZALEZ</t>
  </si>
  <si>
    <t>PAGO 2DA QUINCENA NOMINA JUNIO A JUAN CAMILO BASTIDAS NARVAEZ</t>
  </si>
  <si>
    <t>PAGO 2DA QUINCENA NOMINA JUNIO A FREDY ALEXANDER RUALES QUIÑOÑEZ</t>
  </si>
  <si>
    <t>PAGO 2DA QUINCENA NOMINA JUNIO A FRANCISCO LIDER PORTILLA</t>
  </si>
  <si>
    <t>Recepcion pago factura Platinum</t>
  </si>
  <si>
    <t>Recepcion pago v1501 PH</t>
  </si>
  <si>
    <t>Recepcion pago factura el troje</t>
  </si>
  <si>
    <t>Recepcion giro anticipo proyecto bodega Surtisur</t>
  </si>
  <si>
    <t>DEVOLUCION PAGO SUNEO ENERGY SAS COT 19965 ERROR EN PAGO NO SE DEBIO PAGAR SE SOLICITO LA DEVOLUCION CEMENTOS CAUCA</t>
  </si>
  <si>
    <t>Rcepcion pago facruas cartera Clinica Pabon</t>
  </si>
  <si>
    <t>Recepcion pago factura acuagen</t>
  </si>
  <si>
    <t>Compra tiquete Avianca juan fernando</t>
  </si>
  <si>
    <t>Pago salario MAURICIO ROSERO MATERON</t>
  </si>
  <si>
    <t>Compra tiquete Latam  juan fernando</t>
  </si>
  <si>
    <t>Compra tiquete Jetsmart juan fernando</t>
  </si>
  <si>
    <t>Pago a MARIA CRISTINA PIEDRAHITA saldo final</t>
  </si>
  <si>
    <t>Pago a MARIA AMALIA CARDENAS LUNA JUNIO 2025</t>
  </si>
  <si>
    <t>Pago a CEDENAR</t>
  </si>
  <si>
    <t>Compra alimentacion Juan manuel</t>
  </si>
  <si>
    <t>Recepcio pago proyecto Hotel Adamo</t>
  </si>
  <si>
    <t>Pago a CAMARA DE COMERCIO PASTO 901.903.482-0</t>
  </si>
  <si>
    <t xml:space="preserve">Recepcion pago factura Hotel Hito </t>
  </si>
  <si>
    <t>Recepcion pago proyecto Andalucia</t>
  </si>
  <si>
    <t>Pago a CAMARA DE COMERCIO PASTO ( NOVA)</t>
  </si>
  <si>
    <t>Pago a YESENIA MARCELA CAJIGAS TIMANA</t>
  </si>
  <si>
    <t>Pago liquidacion laboral Daniela Arboleda Rodriguez</t>
  </si>
  <si>
    <t>Pago a TABLESA COT TA318-25 ANTICIPO 50%</t>
  </si>
  <si>
    <t xml:space="preserve">Pago servicio de alquiler a LUIS CARLOS RODRIGUEZ </t>
  </si>
  <si>
    <t xml:space="preserve">Retencion fte 4% servicio de alquiler a LUIS CARLOS RODRIGUEZ </t>
  </si>
  <si>
    <t>Pago a CONSULTORÍA INTEGRAL EN ENERGÍA Y DESARROLLO SOSTENIBLE - CINERGY S.A.S. FE 374</t>
  </si>
  <si>
    <t>Pago a CONSULTORÍA INTEGRAL EN ENERGÍA Y DESARROLLO SOSTENIBLE - CINERGY S.A.S. FE 362</t>
  </si>
  <si>
    <t>Pago a ANGELICA MARIA AGREDA INDIGO FE 832</t>
  </si>
  <si>
    <t>Pago a ANGELICA MARIA AGREDA INDIGO FE 828</t>
  </si>
  <si>
    <t>Pago a ANGELICA MARIA AGREDA INDIGO FE 831</t>
  </si>
  <si>
    <t>Pago a ANGELICA MARIA AGREDA INDIGO FE 829</t>
  </si>
  <si>
    <t>Pago a ANGELICA MARIA AGREDA INDIGO FE 830</t>
  </si>
  <si>
    <t>Pago a TABLESA  TA382-25</t>
  </si>
  <si>
    <t>Retencion fte 1% TABLESA  TA382-25</t>
  </si>
  <si>
    <t>Servicio de transporte - Bucaramanga - Sangil</t>
  </si>
  <si>
    <t>Servicio de transporte - Sangil - Bucaramanga</t>
  </si>
  <si>
    <t>Sin facturas Servicio de transporte hasta terminal de Bucaramanga: 8,000 Servicio de desayuno: 10,000 Servicio de transporte de terminal San Gil hasta Corporacion Autonoma Regional de Santander (Sangil): 6,000 Servicio de papeleria: 21,400 -Memoria USB 8GB -Servicio de papeleria, impresion, fotocopias y sobre de manila Servicio de transporte hasta terminal San Gil: 6,000 Servicio de Alimentacion: 8,000 Servicio de transporte desde terminal de Bucaramanga hasta casa:10,000----------------------------------- Total: 69,400</t>
  </si>
  <si>
    <t>Transporte recoger Alveiro y Mario terminal</t>
  </si>
  <si>
    <t>Transporte Alveiro, Mario y Sergio a hotel LILI</t>
  </si>
  <si>
    <t>Hotel LILI Primera noche</t>
  </si>
  <si>
    <t>Transporte Sergio de hotel lili a Casa hotel</t>
  </si>
  <si>
    <t>Transporte Alveiro de hotel lili a casa hotel - desayuno</t>
  </si>
  <si>
    <t>Alveiro y Mario de cementos cauca a conjunto estación</t>
  </si>
  <si>
    <t>Piaggio Bateria e Inversor a San Nicolas</t>
  </si>
  <si>
    <t>Borna Terminales No 6</t>
  </si>
  <si>
    <t>Chazos</t>
  </si>
  <si>
    <t>Disco de Corte</t>
  </si>
  <si>
    <t>Cable No 12 y bornas</t>
  </si>
  <si>
    <t>Envio material (en bodega y comprado) a San Nicolas</t>
  </si>
  <si>
    <t>Transporte Alveiro y Mario San Nicolas - casa hotel</t>
  </si>
  <si>
    <t>Transporte Alveiro y Mario casa - hotel lili</t>
  </si>
  <si>
    <t xml:space="preserve">Hotel Lili Segunda Noche </t>
  </si>
  <si>
    <t>Transporte a casa hotel</t>
  </si>
  <si>
    <t xml:space="preserve">Curva EMT y Base Dexon </t>
  </si>
  <si>
    <t>Transporte a Cali</t>
  </si>
  <si>
    <t>Transporte popayan-cali</t>
  </si>
  <si>
    <t>Transporte Cali-tulua</t>
  </si>
  <si>
    <t>Alveiro y Mario  de san nicolas - home travel hotel</t>
  </si>
  <si>
    <t>taxi Sergio a casa hotel</t>
  </si>
  <si>
    <t xml:space="preserve">taxi Alveiro y Mario a Home travel </t>
  </si>
  <si>
    <t>Hotel Home Travel (1ra noche)</t>
  </si>
  <si>
    <t>home travel hotel - casa hotel (desayuno)</t>
  </si>
  <si>
    <t>casa hotel - condominio san nicolas</t>
  </si>
  <si>
    <t>Piajio devolver material a Cementos Cauca</t>
  </si>
  <si>
    <t>condominio san nicolas - home travel hotel</t>
  </si>
  <si>
    <t>Hotel Home Travel (2da noche)</t>
  </si>
  <si>
    <t>Hidratacion + hielo</t>
  </si>
  <si>
    <t>Termoencogible 25 mm negro</t>
  </si>
  <si>
    <t>Pago a INSEGAL FE 6785</t>
  </si>
  <si>
    <t xml:space="preserve">Pago a GILBERTO LOPEZ </t>
  </si>
  <si>
    <t>Pago a MOISES RUIZ  RIVERO</t>
  </si>
  <si>
    <t>Pago a CARLOS ARBOLEDA FE 19</t>
  </si>
  <si>
    <t xml:space="preserve">Pago a ALCOMAX compra de alcoholimetro </t>
  </si>
  <si>
    <t xml:space="preserve">Retencion fte 2,5% ALCOMAX </t>
  </si>
  <si>
    <t xml:space="preserve">Pago a ANGIE VALENCIA ROSERO ANTICIPO 50% CF-FO-19 </t>
  </si>
  <si>
    <t>Pago a AYM GROUP (REVISORIA FISCAL) FEAY 46</t>
  </si>
  <si>
    <t>Retencion fte 11% AYM GROUP (REVISORIA FISCAL) FEAY 46</t>
  </si>
  <si>
    <t>Retencion ica 6*1000 AYM GROUP (REVISORIA FISCAL) FEAY 46</t>
  </si>
  <si>
    <t>Pago a IT CERTIFICA INSPECCIONES TECNICAS Y CERTIFICACIONES SAS</t>
  </si>
  <si>
    <t>Retencion fte 11% IT CERTIFICA INSPECCIONES TECNICAS Y CERTIFICACIONES SAS</t>
  </si>
  <si>
    <t>Pago a EDGAR STEVEN CASTAÑO LENIS</t>
  </si>
  <si>
    <t>Retencion fte 1% EDGAR STEVEN CASTAÑO LENIS</t>
  </si>
  <si>
    <t>Pago a  IT CERTIFICA INSPECCIONES TECNICAS Y CERTIFICACIONES SAS COT-RETIE-1416-25</t>
  </si>
  <si>
    <t>Retencion fte 11% IT CERTIFICA INSPECCIONES TECNICAS Y CERTIFICACIONES SAS COT-RETIE-1416-25</t>
  </si>
  <si>
    <t xml:space="preserve">Pago a HUMBERTO JAVIER ROSERO POTOSI </t>
  </si>
  <si>
    <t xml:space="preserve">Retencion fte 2% HUMBERTO JAVIER ROSERO POTOSI </t>
  </si>
  <si>
    <t xml:space="preserve">Retencion ica 6*1000 HUMBERTO JAVIER ROSERO POTOSI </t>
  </si>
  <si>
    <t>Retencion ica 6*1000 ANDREA ESTEFANI DIAZ ERAZO</t>
  </si>
  <si>
    <t>Pago a CASA DEL TOPOGRAFO COT COL 337 TARGET MODELO HTS720R ANDROID CON TODOS SUS</t>
  </si>
  <si>
    <t>Retencion fte 2,5% CASA DEL TOPOGRAFO COT COL 337 TARGET MODELO HTS720R ANDROID CON TODOS SUS</t>
  </si>
  <si>
    <t>Pago a RENASCI SAS FE-314</t>
  </si>
  <si>
    <t>Pago a IPS BIENESTAR LABORAL FC 3387</t>
  </si>
  <si>
    <t>Retencion fte 2% IPS BIENESTAR LABORAL FC 3387</t>
  </si>
  <si>
    <t>Retencion ica 6*1000 IPS BIENESTAR LABORAL FC 3387</t>
  </si>
  <si>
    <t xml:space="preserve">Pago alimentacion ROSAURA ERAZO ROSERO </t>
  </si>
  <si>
    <t xml:space="preserve">Retencion fte 3,5% ROSAURA ERAZO ROSERO </t>
  </si>
  <si>
    <t>Pago a MARCOS DANIEL OJEDA ALIMENTACION 57 COMIDAS</t>
  </si>
  <si>
    <t>Retencion fte 3,5% MARCOS DANIEL OJEDA ALIMENTACION 57 COMIDAS</t>
  </si>
  <si>
    <t>Pago a SEGURIDAD DEL SUR 59983</t>
  </si>
  <si>
    <t>Pago a SEGURIDAD DEL SUR 9183</t>
  </si>
  <si>
    <t>Pago a SEGURIDAD DEL SUR 9189</t>
  </si>
  <si>
    <t>Pago a SEGURIDAD DEL SUR 9212</t>
  </si>
  <si>
    <t>Pago a SEGURIDAD DEL SUR 9213</t>
  </si>
  <si>
    <t>Vuelos MED-CALI / CALI-MED</t>
  </si>
  <si>
    <t>kelly</t>
  </si>
  <si>
    <t xml:space="preserve">Alquiler vehículo </t>
  </si>
  <si>
    <t>Peaje Cali-Palmira</t>
  </si>
  <si>
    <t>Parqueadero Medellín</t>
  </si>
  <si>
    <t>Pago liquidacion laboral CARLOS FERNANDO CABRERA VELASCO</t>
  </si>
  <si>
    <t xml:space="preserve">Pago a POTENCIA Y TECNOLOGIA SAS FEC 110310 </t>
  </si>
  <si>
    <t xml:space="preserve">Retencion fte 2,5% POTENCIA Y TECNOLOGIA SAS FEC 110310 </t>
  </si>
  <si>
    <t>Pago a SERVICIOS POSTALES NACIONALES SA  pago tramite aduanero</t>
  </si>
  <si>
    <t>Pago a ELECTRA LIMITADA PAGO FINAL</t>
  </si>
  <si>
    <t xml:space="preserve">Retencion fte 2,5% ELECTRA LIMITADA PAGO FINAL </t>
  </si>
  <si>
    <t>Retencion ica 6*1000 ELECTRA LIMITADA PAGO FINAL</t>
  </si>
  <si>
    <t>Pago a CENTRALES ELECTRICAS DE NARIÑO SERVICIO  INSTALACIÓN DE POSTE Y ESTRUCTURA EN LINEA VIVA</t>
  </si>
  <si>
    <t>Canastillas Plasticas</t>
  </si>
  <si>
    <t>Mauricio</t>
  </si>
  <si>
    <t>Empaque rayado</t>
  </si>
  <si>
    <t>Bolsas Kraf 16 x 24 cm</t>
  </si>
  <si>
    <t>Trilla mani en vaina</t>
  </si>
  <si>
    <t>Tostión mani</t>
  </si>
  <si>
    <t>Pago a TECHNO LABS GROUP SAS ANTICIPO 50%</t>
  </si>
  <si>
    <t>Retencion iva 15% TECHNO LABS GROUP SAS ANTICIPO 50%</t>
  </si>
  <si>
    <t>Pago a HARRISON LOPEZ 30%</t>
  </si>
  <si>
    <t>Retencion fte 1%  HARRISON LOPEZ 30%</t>
  </si>
  <si>
    <t>Pago a FAINCO FE 465</t>
  </si>
  <si>
    <t xml:space="preserve">Pago a JOHN JAIRO GUERRERO DIAZ MODERNA  ANTICIPO 50% Elaboración de forros para sillas y piso para cabina de camioneta Nissan 
Frontier </t>
  </si>
  <si>
    <t>Pago a ASOCIACION TAMINANGUEZA DE TELEVISION COMUNITARIA ATVT 29</t>
  </si>
  <si>
    <t>Pago liquidacion laboral Juan Gabriel Tutistar</t>
  </si>
  <si>
    <t xml:space="preserve">Transporte  terminal de Ipiales - Bodega </t>
  </si>
  <si>
    <t>Transporte Bodega - Nava</t>
  </si>
  <si>
    <t>Transporte Ipiales - Pasto</t>
  </si>
  <si>
    <t>Transporte Pasto - Ipiales (Cristian - Hernan - Alveiro - Joey - Juan Camilo)</t>
  </si>
  <si>
    <t>Peajes (Pasto - Ipiales)</t>
  </si>
  <si>
    <t>Desayuno (Cristian - Hernan)</t>
  </si>
  <si>
    <t>Almuerzo (Cristian - Hernan - Juan Camilo)</t>
  </si>
  <si>
    <t>Pago flete Envia envio desde  bogota</t>
  </si>
  <si>
    <t>compra Combustible camioneta</t>
  </si>
  <si>
    <t>Jhon Jairo Chamorro</t>
  </si>
  <si>
    <t>compra combustible camioneta</t>
  </si>
  <si>
    <t>Compra de clavos, Nailon, puntillas, etc</t>
  </si>
  <si>
    <t>Alquiler de andamios</t>
  </si>
  <si>
    <t>compra de ACPM para planta eléctrica y mezcladora</t>
  </si>
  <si>
    <t>compra decámetro x 20 m</t>
  </si>
  <si>
    <t>compra disco corte metal, brocas escalonadas y cinta aislante</t>
  </si>
  <si>
    <t>Arreglo de llanta camioneta</t>
  </si>
  <si>
    <t>Compra de combustible planta eléctrica</t>
  </si>
  <si>
    <t>Compra de poma x 20 litros</t>
  </si>
  <si>
    <t>Compra de discos corte metal, limas, aceite para mezcladora, lima, estopas rayadas</t>
  </si>
  <si>
    <t xml:space="preserve">Compra de bombillo camioneta </t>
  </si>
  <si>
    <t>Compra de almuerzo salida Pasto  mantenimiento camioneta</t>
  </si>
  <si>
    <t>Compra de desayuno salida Pasto  mantenimiento camioneta</t>
  </si>
  <si>
    <t>Peaje ida salida Pasto  mantenimiento camioneta</t>
  </si>
  <si>
    <t>compra Combustible camioneta alquilada en Remolino</t>
  </si>
  <si>
    <t xml:space="preserve">Compra de combustible mezcladora </t>
  </si>
  <si>
    <t xml:space="preserve">RECIBO DE ENERGIA CASA SEGUNDO PISO </t>
  </si>
  <si>
    <t>PARQUEADERO CAMIONETA LHR730</t>
  </si>
  <si>
    <t>VIATICOS TRANSPORTE EDERSON DAZA PASTO-MERCADERES</t>
  </si>
  <si>
    <t>ACERO PARA CIMENTACIÓN DE CASETA DE INVERSORES</t>
  </si>
  <si>
    <t>ELEMENTOS DE ASEO CASA SEGUNDO PISO</t>
  </si>
  <si>
    <t>ASEO CASA SEGUNDO PISO</t>
  </si>
  <si>
    <t xml:space="preserve">HERRAMIENTA MENOR </t>
  </si>
  <si>
    <t xml:space="preserve">RECIBO DE ENERGIA CASA PRIMER PISO </t>
  </si>
  <si>
    <t>PEAJE CAMIONETA LHR730 REMOLINO-PASTO</t>
  </si>
  <si>
    <t>VIATICO EDERSON DAZA ARTEAGA</t>
  </si>
  <si>
    <t xml:space="preserve">ACPM MEZCLADORA, PLANTA ELECTRICA Y GASOLINA CAMIONETA KHB931 </t>
  </si>
  <si>
    <t>ELEMENTOS DE ASEO CASA PRIMER PISO</t>
  </si>
  <si>
    <t>ASEO CASA PRIMER PISO</t>
  </si>
  <si>
    <t>CABO DE PALAS</t>
  </si>
  <si>
    <t>VIATICOS TRANSPORTE EDERSON DAZA MERCADERES-REMOLINO-MERCADERES</t>
  </si>
  <si>
    <t>SOLDADURA 6011</t>
  </si>
  <si>
    <t>PAGO ASEO HABITACIONES SEMANA 9 - 14 DE JUNIO 2025</t>
  </si>
  <si>
    <t>Alexander Betancourt</t>
  </si>
  <si>
    <t>COMPRA DE LIJA, RODILLO, ESPATULA, ANGULO 3/4, VARILLA 1/2", ALAMBRE DE AMARRE Y CANDADOS</t>
  </si>
  <si>
    <t>COMPRA DE BOMBILLO PARA CAMIONETA</t>
  </si>
  <si>
    <t>TRANSPORTE REMOLINO - PASTO (20 DE JUNIO 2025)</t>
  </si>
  <si>
    <t>TRANSPORTE PASTO - REMOLINO (24 DE JUNIO 2025)</t>
  </si>
  <si>
    <t>COMPRA DE COMBUSTIBLE PARA MEZCLADORA Y PLANTA ELECTRICA</t>
  </si>
  <si>
    <t>PAGO ASEO HABITACIONES SEMANA 23 de JUNIO - 28 DE JUNIO 2025</t>
  </si>
  <si>
    <t xml:space="preserve"> COMPRA DE COMBUSTIBLE PARA CAMIONETA</t>
  </si>
  <si>
    <t>PAGO ASEO HABITACIONES SEMANA 26 de MAYO - 1 DE JUNIO 2025</t>
  </si>
  <si>
    <t>TRANSPORTE REMOLINO - PASTO (6 DE JUNIO 2025)</t>
  </si>
  <si>
    <t>TRANSPORTE PASTO - REMOLINO (9 DE JUNIO 2025)</t>
  </si>
  <si>
    <t>PAGO ASEO HABITACIONES SEMANA 02 de JUNIO - 07 DE JUNIO 2025</t>
  </si>
  <si>
    <t>TRANSPORTE REMOLINO - PASTO (13 DE JUNIO 2025)</t>
  </si>
  <si>
    <t>TRANSPORTE PASTO - REMOLINO (16 DE JUNIO 2025)</t>
  </si>
  <si>
    <t>COMPRA DE TRAPERO PARA HACER ASEO EN SUBESTACIÓN</t>
  </si>
  <si>
    <t>COMPRA DE MATERIALES, ACERO, NYLON,VGUETAS, TORNILLOS,BROCA, DISCO DE CORTE,MANGUERA DE NIVEL, GALON DE ACEITE, RODILLO, CAJA DE LAPIZ, FLEZOMETROS Y CHAZOS</t>
  </si>
  <si>
    <t>COMPRA DE LAMINA DE METAL, TUERCAS, RODILLO, ALAMBRE DE AMARRE, PINTURA ANTICORROSIVO, DISCO DE PULIR, TUBO DE 3" SANITARIO, CINTA MALLA Y PILAS</t>
  </si>
  <si>
    <t>Pago cartera Leasing cuota 11/36</t>
  </si>
  <si>
    <t>Pago a MOISES RUIZ  RIVERO DEV PAGO DOBLE ERROR BANCO</t>
  </si>
  <si>
    <t>Pago a CARLOS ARBOLEDA FE 19 DEV PAGO DOBLE ERROR BANCO</t>
  </si>
  <si>
    <t>Recepcion pago proyecto Hotel Adamo</t>
  </si>
  <si>
    <t>Recepcion pago Balcones de Pubenza</t>
  </si>
  <si>
    <t>Uber</t>
  </si>
  <si>
    <t>Uber reunión</t>
  </si>
  <si>
    <t>Transporte sebastian a proyecto</t>
  </si>
  <si>
    <t>Tiquete de bus terminal</t>
  </si>
  <si>
    <t>Transporte terminal de tulua - lacteos</t>
  </si>
  <si>
    <t>Transporte lacteos -  terminal de tulua</t>
  </si>
  <si>
    <t>Almuerzo 1</t>
  </si>
  <si>
    <t>Transporte desde terminal</t>
  </si>
  <si>
    <t>Impresión planos ASBUILT-VISITA OR</t>
  </si>
  <si>
    <t>Transporte sebas visita EMCALI</t>
  </si>
  <si>
    <t>Impresión despacho material</t>
  </si>
  <si>
    <t>Compra vinepel para embalaje</t>
  </si>
  <si>
    <t>Transporte personal tecnico</t>
  </si>
  <si>
    <t>4 almuerzos</t>
  </si>
  <si>
    <t>2 Transporte personal técnico</t>
  </si>
  <si>
    <t>Transporte personal técnico</t>
  </si>
  <si>
    <t>hidratación</t>
  </si>
  <si>
    <t>Transporte desde terminal a BAS ING</t>
  </si>
  <si>
    <t>Transporte desde BAS ING a ANDALUCIA</t>
  </si>
  <si>
    <t>Tanqueo transporte personal técnico</t>
  </si>
  <si>
    <t>1 almuerzo</t>
  </si>
  <si>
    <t>Transporte desde andalucia a terminal tulúa</t>
  </si>
  <si>
    <t>1 desayuno</t>
  </si>
  <si>
    <t xml:space="preserve">Compras elementos de aseo y cafeteria en Alkosto </t>
  </si>
  <si>
    <t>Pago  Compra en tjv inst w</t>
  </si>
  <si>
    <t>Reversion pago uber Juan Manuel</t>
  </si>
  <si>
    <t>Pago liquidacion laboral FABIAN ANDRES FLOREZ BETANCOURT</t>
  </si>
  <si>
    <t xml:space="preserve">Pago liquidacion laboral ALEX DUVAN CIFUENTES PAZ </t>
  </si>
  <si>
    <t>Anticipo Minigranja Vega</t>
  </si>
  <si>
    <t>Anticipo Minigranja Delta</t>
  </si>
  <si>
    <t xml:space="preserve">Liquidacion laboral GERARDO SILVA JANSASOY </t>
  </si>
  <si>
    <t>Pago a MILENIO IG 79273</t>
  </si>
  <si>
    <t>Pago a ELECTRICOS DEL VALLE EPE 13767</t>
  </si>
  <si>
    <t>Pago a ELECTRICOS DEL VALLE EPE 13966</t>
  </si>
  <si>
    <t>Pago a ELECTRICOS DEL VALLE EPE 14131</t>
  </si>
  <si>
    <t>Pago a ELECTRICOS DEL VALLE EPE 14129</t>
  </si>
  <si>
    <t>Pago a ELECTRICOS DEL VALLE EPE 14134</t>
  </si>
  <si>
    <t>Pago a ELECTRICOS DEL VALLE EPE 14127</t>
  </si>
  <si>
    <t>Pago a ELECTRICOS DEL VALLE EPE 14130</t>
  </si>
  <si>
    <t>Pago a ELECTRICOS DEL VALLE EPE 14132</t>
  </si>
  <si>
    <t>Pago a ELECTRICOS DEL VALLE EPE 13331</t>
  </si>
  <si>
    <t>Pago a ELECTRICOS DEL VALLE EPE 13321</t>
  </si>
  <si>
    <t>Pago a ELECTRICOS DEL VALLE EPE 13320</t>
  </si>
  <si>
    <t>Pago a ELECTRICOS DEL VALLE EPE 13316</t>
  </si>
  <si>
    <t>Pago a ELECTRICOS DEL VALLE EPE 13969</t>
  </si>
  <si>
    <t>Pago a ELECTRICOS DEL VALLE EPE 13968</t>
  </si>
  <si>
    <t>Pago a DINAMICA LOGISTICA DL 72486</t>
  </si>
  <si>
    <t>Pago a DINAMICA LOGISTICA DL 72487</t>
  </si>
  <si>
    <t>Pago realizado a VYRAL SAS Manejo pago publicidad se cruzo con fac de Solaire</t>
  </si>
  <si>
    <t>Pago a HUMBERTO JAVIER ROSERO ANTICIPO 50% SERVICIO SUMINISTRO DE CERRAMIENTO EN MALLA DE 2.50 DE ANCHO POR 2.50 DE  ALTO POR 1.40 DE FONDO EN  TUBO CUADRADO DE 40X40
1.5 MM, TUBO 3X1 1/2" CAL.
 18, ANGULO DE 3/4X1/8",
 MALLA ESLABONADA No. 12.
 Y TECHO EN TUBO
 CUADRADO DE 1 1/2" CAL. 18,
 Y TEJA UPVC</t>
  </si>
  <si>
    <t>Pago a POTENCIA Y TECNOLOGIA SAS FEC 110259</t>
  </si>
  <si>
    <t>Retencion fte 2,5% POTENCIA Y TECNOLOGIA SAS FEC 110259</t>
  </si>
  <si>
    <t>Pago a SEGURIDAD DEL SUR CM-078568 compra SENSOR DE HUMO</t>
  </si>
  <si>
    <t>Pago a SEGURIDAD DEL SUR CM-078567 compra SENSOR DE HUMO</t>
  </si>
  <si>
    <t>Pago a TIBA BOG-75531 BOG-75530 BOG-75993 BOG-76286 BOG-76741 BOG-76738 Y BOG-76856</t>
  </si>
  <si>
    <t>Pago a FRANCISCO JAVIER SANCHEZ RENGIFO arrendamiento</t>
  </si>
  <si>
    <t>Retencion fte 3,5% FRANCISCO JAVIER SANCHEZ RENGIFO arrendamiento</t>
  </si>
  <si>
    <t>Pago a EDISSON ARLEY  PORTILLA RUALES FEHA 2591 ANGASMAYO SERVICIO HOSPEDAJE</t>
  </si>
  <si>
    <t>Pago a ELECTRICOS DEL VALLE EPE 14190</t>
  </si>
  <si>
    <t>Pago a ELECTRICOS DEL VALLE EPE 14189</t>
  </si>
  <si>
    <t>Pago a ELECTRICOS DEL VALLE EPE 14165</t>
  </si>
  <si>
    <t>Pago a ANDRES FELIPE VARGAS SALDO FINAL SERVICIO ESTUDIO DE CARGAS SOBRE CUBIERTA EN CONCRETO REFORZADO  Refuerzo Estructura</t>
  </si>
  <si>
    <t xml:space="preserve">Pago a GRUPO DEFA FEDP 81592 </t>
  </si>
  <si>
    <t>Pago a GRUPO DEFA FEDP 82234</t>
  </si>
  <si>
    <t>Pago a WEWORK WC-1010136</t>
  </si>
  <si>
    <t>taxi Alveiro casa hotel - home travel hotel</t>
  </si>
  <si>
    <t>Transporte Cali - Popayan</t>
  </si>
  <si>
    <t>taxi Sergio casa hotel - terminal popayan</t>
  </si>
  <si>
    <t>Servicio Piaggio Cementos Cauca</t>
  </si>
  <si>
    <t>Canaleta Dexo Blanca</t>
  </si>
  <si>
    <t>Transporte la estación</t>
  </si>
  <si>
    <t>Transporte Popayan</t>
  </si>
  <si>
    <t>Carpeta legajadora</t>
  </si>
  <si>
    <t>Taxi Alveiro y Mario condominio san nicolas</t>
  </si>
  <si>
    <t>Taxi Alveiro y Mario regreso San nicolas - home travel hotel</t>
  </si>
  <si>
    <t>Taxi Alveiro y Mario terminal popayan</t>
  </si>
  <si>
    <t>Desayunos Asadero kikos restante</t>
  </si>
  <si>
    <t>Metro de cadena galvanizada</t>
  </si>
  <si>
    <t>Pasaje jose y julian</t>
  </si>
  <si>
    <t>Transporte terminal jose y julian</t>
  </si>
  <si>
    <t>Pasaje cali-tulua julian</t>
  </si>
  <si>
    <t>Gasolina jerson</t>
  </si>
  <si>
    <t>Transporte popayan cali Sergio</t>
  </si>
  <si>
    <t>Libro contabilidad</t>
  </si>
  <si>
    <t>Transporte tulua-cali Jerson</t>
  </si>
  <si>
    <t>Transporte tulua-cali Julian</t>
  </si>
  <si>
    <t>Transporte cali-popayan Jerson y Julian</t>
  </si>
  <si>
    <t>Transporte Cali Popayán Sergio</t>
  </si>
  <si>
    <t>Transporte terminal casa hotel</t>
  </si>
  <si>
    <t>Piajio llevar escalera visita RETIE</t>
  </si>
  <si>
    <t>Piajio devolver escalera visita RETIE</t>
  </si>
  <si>
    <t>Taxi a Cementos Cauca</t>
  </si>
  <si>
    <t>taxi San Nicolas a Cementos Cauca</t>
  </si>
  <si>
    <t>taxi casa hotel a San Nicolas</t>
  </si>
  <si>
    <t xml:space="preserve">taxi al terminal desde san Nicolas </t>
  </si>
  <si>
    <t>Cena Sergio</t>
  </si>
  <si>
    <t>Transporte Popayan-cali Segio</t>
  </si>
  <si>
    <t>Transporte popayan Cali Daniela</t>
  </si>
  <si>
    <t>Transporte Cali Popayan Daniela</t>
  </si>
  <si>
    <t>Transporte terminal cementos cauca</t>
  </si>
  <si>
    <t>Transporte cementos cauca-terminal</t>
  </si>
  <si>
    <t>Transporte personal a la estacion</t>
  </si>
  <si>
    <t xml:space="preserve">Envio pinza amperimetrica </t>
  </si>
  <si>
    <t>Cena Daniela</t>
  </si>
  <si>
    <t>Transporte popayan-cali Julian y Jerson</t>
  </si>
  <si>
    <t>Transporte cali-tulua Jerson</t>
  </si>
  <si>
    <t>Transporte cali-tulua Julian</t>
  </si>
  <si>
    <t>Cena Jerson</t>
  </si>
  <si>
    <t>Cajas para embalar</t>
  </si>
  <si>
    <t>Pago a FERREPLASTICOS CALI SAS EC 126088</t>
  </si>
  <si>
    <t xml:space="preserve">Pago a LAURA MARISOL BASTIDAS DORADO alimentacion </t>
  </si>
  <si>
    <t xml:space="preserve">Retencion fte 3,5% LAURA MARISOL BASTIDAS DORADO </t>
  </si>
  <si>
    <t>Pago a LUIS CARLOS RODRIGUEZ COMPRA TABLAS DE MADERA</t>
  </si>
  <si>
    <t>Pago a PROTECTO FED 4955</t>
  </si>
  <si>
    <t>Pago a HUMBERTO JAVIER ROSERO SALDO FINAL LEGALIZACION MES JUNIO 2025</t>
  </si>
  <si>
    <t>Retencion fte 2% HUMBERTO JAVIER ROSERO SALDO FINAL LEGALIZACION MES JUNIO 2025</t>
  </si>
  <si>
    <t>Retencion ica 6*1000 HUMBERTO JAVIER ROSERO SALDO FINAL LEGALIZACION MES JUNIO 2025</t>
  </si>
  <si>
    <t>Pago a SERVIMETERS SAS  INSP-RET-179152-2025 ANTICIPO 50%</t>
  </si>
  <si>
    <t>Pago a MELBA LIGIA MONCAYO LA FERRO RM 4468</t>
  </si>
  <si>
    <t>Pago a MELBA LIGIA MONCAYO LA FERRO RM 4478</t>
  </si>
  <si>
    <t>Alojamiento</t>
  </si>
  <si>
    <t xml:space="preserve">transporte aeropuerto Medellín, hidrataciones y alimentación  sin facturas </t>
  </si>
  <si>
    <t>Compra tiquetes Avianca Juanfernando</t>
  </si>
  <si>
    <t>Compra tiquetes Latam Juanfernando</t>
  </si>
  <si>
    <t>Pago a SEGUROS MUNDIAL 031F-4075203</t>
  </si>
  <si>
    <t>Pago a SEGUROS MUNDIAL 031F-4075206</t>
  </si>
  <si>
    <t>Pago a CRITHIAN DAVID IBARRA LOT 449</t>
  </si>
  <si>
    <t>Pago a CRITHIAN DAVID IBARRA LOT 459</t>
  </si>
  <si>
    <t>Pago a MARCOS DANIEL OJEDA ALIMENTACION 29 COMIDAS</t>
  </si>
  <si>
    <t>Pago a MARCOS DANIEL OJEDA ALIMENTACION 30 COMIDAS</t>
  </si>
  <si>
    <t>Retencion fte 3,5% MARCOS DANIEL OJEDA ALIMENTACION 29 COMIDAS</t>
  </si>
  <si>
    <t>Retencion fte 3,5% MARCOS DANIEL OJEDA ALIMENTACION 30 COMIDAS</t>
  </si>
  <si>
    <t xml:space="preserve">Pago factura Tigo </t>
  </si>
  <si>
    <t>Pago a PROTECTO FED 4940</t>
  </si>
  <si>
    <t>Pago a FERREMALLAS COT 629-06-2025 ANTICIPO 50%</t>
  </si>
  <si>
    <t>Pago a INGENIERIA Y SEGURIDAD EN LAS ALTURAS INSEGAL SAS COT  C-1-11381 ANTICIPO 50% certificacion puntos de anclaje</t>
  </si>
  <si>
    <t>Pago a CONSTRU ENERGY SAS ANTICIPO 50% SERVICIO DE IMPERMEABILIZACION SOBRE LOSA DE CONCRETO Refuerzo Estructura</t>
  </si>
  <si>
    <t>Pago a ESPECIALISTAS ELECTRICOS DE COLOMBIA - EEC S.A.S SERVICIO INSTALACIÓN Y CONEXIÓN DE MEDIDOR TESTIGO Refuerzo Estructura</t>
  </si>
  <si>
    <t>Pago a SLINGA CENTRO DE ENTRENAMIENTO EN ALTURAS 901.303.966-9 SL-5773</t>
  </si>
  <si>
    <t>Retencion fte 11% SLINGA CENTRO DE ENTRENAMIENTO EN ALTU 901.303.966-9 SL-5773</t>
  </si>
  <si>
    <t>Pago a EQUIRENT BG01-118532</t>
  </si>
  <si>
    <t>Pago a EQUIRENT BG01-118533</t>
  </si>
  <si>
    <t>Pago a EQUIRENT BG01-118535</t>
  </si>
  <si>
    <t>Pago a HOOVER ANTONIO GUACHAVES LASSO FULL BAÑOS PORTATILES DE NARIÑO</t>
  </si>
  <si>
    <t>Retencion fte 4% HOOVER ANTONIO GUACHAVES LASSO FULL BAÑOS PORTATILES DE NARIÑO</t>
  </si>
  <si>
    <t>Pago a MAQUITODO COT VCT 00050261</t>
  </si>
  <si>
    <t>Pago a PROTECTO FED 4948 dotacion</t>
  </si>
  <si>
    <t>Pago a PROTECTO FED 4948 EPP</t>
  </si>
  <si>
    <t>Pago a LUZ ADRIANA MONDRAGON FEHA-5281</t>
  </si>
  <si>
    <t>Pago a FREDY ALEXANDER LOPEZ MONDRAGON HABITAT  FECO 517</t>
  </si>
  <si>
    <t>Pago a FREDY ALEXANDER LOPEZ MONDRAGON HABITAT  FECO 518</t>
  </si>
  <si>
    <t>Pago a TABLESA COT TA218-25 SALDO FINAL</t>
  </si>
  <si>
    <t>Retencion fte 2,5% TABLESA COT TA218-25 SALDO FINAL</t>
  </si>
  <si>
    <t>Pago a SOCIEDAD SERVICIOS ELECTRICOS Y ELECTRONICA DE POTENCIA SAS COT 250529-0502-9</t>
  </si>
  <si>
    <t>Retencion fte 11% SOCIEDAD SERVICIOS ELECTRICOS Y ELECTRONICA DE POTENCIA SAS COT 250529-0502-9</t>
  </si>
  <si>
    <t>Pago a SUPERINTENDECIA DE NOTARIADO Y REGISTRO 248-29569</t>
  </si>
  <si>
    <t>Pago a SUPERINTENDECIA DE NOTARIADO Y REGISTRO 470-98117</t>
  </si>
  <si>
    <t>Pago a PEDRO DANIEL RIASCOS 1.085.282.222 ANTICIPO 60%  Pago por concepto de grabación y post producción de video institucional (GRANJAS SOLARES 
EVOLTI Remolino y Mercaderes)</t>
  </si>
  <si>
    <t>PRESTAMO A NAOS Pago a KEVIN DAVID CASTILLO MARTINEZ COMPRA LOTE NAOS ANTICIPO 70%</t>
  </si>
  <si>
    <t>Pago a GILBERTO LOPEZ ANTICIPO 50%</t>
  </si>
  <si>
    <t>Pago a GILBERTO LOPEZ ANTICIPO 50% Limpieza de Lote predio ampliacion de via</t>
  </si>
  <si>
    <t>Pago a FERREMALLAS  FVFM 561 SALDO FINAL</t>
  </si>
  <si>
    <t xml:space="preserve">Pago a OSCAR IVAN CHAGUEZA BURGOS OFICIAL DE CUMPLIMIENTO Honorarios del 50% de valor de la implementación del sistema 
SAGRILAFT &amp; PTEE </t>
  </si>
  <si>
    <t>Pago a CONSTRU ENERGY SAS ANTICIPO 50%</t>
  </si>
  <si>
    <t>Pago a EMPOPASTO Y EMAS</t>
  </si>
  <si>
    <t>PAGO A DIAN RETE FUENTE</t>
  </si>
  <si>
    <t>PAGO A DIAN RETE IVA</t>
  </si>
  <si>
    <t>Pago a SOLAIRE FEL 22367</t>
  </si>
  <si>
    <t>Pago a SOLAIRE FEL 22478</t>
  </si>
  <si>
    <t>Pago a SOLAIRE FEL 22777</t>
  </si>
  <si>
    <t>Pago a MULTICARNES LA LUJOSA</t>
  </si>
  <si>
    <t>Pago a ENERIETH MONTENEGRO BOLAÑOS Alimentacion</t>
  </si>
  <si>
    <t>Troje</t>
  </si>
  <si>
    <t>Clinica morasurco (3W)</t>
  </si>
  <si>
    <t>Tigre de la rebaja</t>
  </si>
  <si>
    <t>Pago a PROTECTO SALDO FED 4955 EPP</t>
  </si>
  <si>
    <t>Pago a RECORDAR PS 121388</t>
  </si>
  <si>
    <t>Pago a VICTOR HUGO MAYA SALDO FINAL DJ</t>
  </si>
  <si>
    <t>Pago a SUPERINTENDECIA DE NOTARIADO Y REGISTRO 128-22204</t>
  </si>
  <si>
    <t>Pago a ICOTALLA IFVE-2305 SALDO FINAL</t>
  </si>
  <si>
    <t>Pago a MELBA LIGIA MONCAYO LA FERRO RM 4502</t>
  </si>
  <si>
    <t>Retencion fte 2,5% MELBA LIGIA MONCAYO LA FERRO RM 4502</t>
  </si>
  <si>
    <t>Retencion ica 6*1000 MELBA LIGIA MONCAYO LA FERRO RM 4502</t>
  </si>
  <si>
    <t>Pago a MELBA LIGIA MONCAYO LA FERRO RM 4504</t>
  </si>
  <si>
    <t>Retencion fte 2,5% MELBA LIGIA MONCAYO LA FERRO RM 4504</t>
  </si>
  <si>
    <t>Retencion ica 6*1000 MELBA LIGIA MONCAYO LA FERRO RM 4504</t>
  </si>
  <si>
    <t>Pago a MELBA LIGIA MONCAYO LA FERRO RM 4484</t>
  </si>
  <si>
    <t>Retencion fte 2,5% MELBA LIGIA MONCAYO LA FERRO RM 4484</t>
  </si>
  <si>
    <t>Retencion ica 6*1000 MELBA LIGIA MONCAYO LA FERRO RM 4484</t>
  </si>
  <si>
    <t>Pago a MELBA LIGIA MONCAYO LA FERRO RM 4477</t>
  </si>
  <si>
    <t>Retencion fte 2,5% MELBA LIGIA MONCAYO LA FERRO RM 4477</t>
  </si>
  <si>
    <t>Retencion ica 6*1000 MELBA LIGIA MONCAYO LA FERRO RM 4477</t>
  </si>
  <si>
    <t>Pago a MELBA LIGIA MONCAYO LA FERRO RM 4432</t>
  </si>
  <si>
    <t>Retencion fte 2,5% MELBA LIGIA MONCAYO LA FERRO RM 4432</t>
  </si>
  <si>
    <t>Retencion ica 6*1000 MELBA LIGIA MONCAYO LA FERRO RM 4432</t>
  </si>
  <si>
    <t>Pago a MELBA LIGIA MONCAYO LA FERRO RM 4485</t>
  </si>
  <si>
    <t>Retencion fte 2,5% MELBA LIGIA MONCAYO LA FERRO RM 4485</t>
  </si>
  <si>
    <t>Retencion ica 6*1000 MELBA LIGIA MONCAYO LA FERRO RM 4485</t>
  </si>
  <si>
    <t>Pago a MELBA LIGIA MONCAYO LA FERRO RM 4469</t>
  </si>
  <si>
    <t>Retencion fte 2,5% MELBA LIGIA MONCAYO LA FERRO RM 4469</t>
  </si>
  <si>
    <t>Retencion ica 6*1000 MELBA LIGIA MONCAYO LA FERRO RM 4469</t>
  </si>
  <si>
    <t>Retencion ica 6*1000 MELBA LIGIA MONCAYO LA FERRO RM 4405</t>
  </si>
  <si>
    <t>Pago a MELBA LIGIA MONCAYO LA FERRO RM 4403</t>
  </si>
  <si>
    <t>Retencion fte 2,5% MELBA LIGIA MONCAYO LA FERRO RM 4403</t>
  </si>
  <si>
    <t>Retencion ica 6*1000 MELBA LIGIA MONCAYO LA FERRO RM 4403</t>
  </si>
  <si>
    <t>Pago a MELBA LIGIA MONCAYO LA FERRO RM 4472</t>
  </si>
  <si>
    <t>Retencion fte 2,5% MELBA LIGIA MONCAYO LA FERRO RM 4472</t>
  </si>
  <si>
    <t>Retencion ica 6*1000 MELBA LIGIA MONCAYO LA FERRO RM 4472</t>
  </si>
  <si>
    <t>Pago a MELBA LIGIA MONCAYO LA FERRO RM 4470</t>
  </si>
  <si>
    <t>Retencion fte 2,5% MELBA LIGIA MONCAYO LA FERRO RM 4470</t>
  </si>
  <si>
    <t>Retencion ica 6*1000 MELBA LIGIA MONCAYO LA FERRO RM 4470</t>
  </si>
  <si>
    <t>Pago a DISTRIBUCIONES ELECTRICAS AC 	
SPA-4002413</t>
  </si>
  <si>
    <t>Pago a DISTRIBUCIONES ELECTRICAS AC 	
SPA-4002502</t>
  </si>
  <si>
    <t>Pago a VIVIANA CUELLAR ROSAS  servicio de masajes, es un gasto administrativo autorizado por Hermann.</t>
  </si>
  <si>
    <t>Pago a IMPECOL FE-2279</t>
  </si>
  <si>
    <t>Pago a ALIA HOSNI VITERI POR CONCEPTO DE APLICACIÓN E INFORME DE BATERIA DE RIESGO PSICOSOCIA</t>
  </si>
  <si>
    <t>Pago a UNIFORCE SAS COT V - 005 - 1645</t>
  </si>
  <si>
    <t>Compra tiquetres AVIANCA TIQUETE ANA HENAO</t>
  </si>
  <si>
    <t>Compra Tiquetes AVIANCA TIQUETE ANA HENAO MALETA</t>
  </si>
  <si>
    <t>Compra tiquetes AVIANCA TIQUETE ANA HENAO MALETA</t>
  </si>
  <si>
    <t>Pago transportes ida y vuelta Rubiela hospital infanil, hospital san rafael y Turin</t>
  </si>
  <si>
    <t>Pago guia flete Transportadora la Prensa del valle</t>
  </si>
  <si>
    <t>Cables de poder</t>
  </si>
  <si>
    <t>Carolina Patascoy</t>
  </si>
  <si>
    <t>PATCH CORD CAT 6 3M</t>
  </si>
  <si>
    <t>Envío tornillos para mesas FV, trayecto: Pasto - Remolino</t>
  </si>
  <si>
    <t>Envío saltarín y fusibles con portafusibles, trayecto: Pasto - Remolino</t>
  </si>
  <si>
    <t>Conector recto de coraza 3/4"</t>
  </si>
  <si>
    <t>Cargador tipo C</t>
  </si>
  <si>
    <t>Grapa channel 3/4", conector recto coraza 1"</t>
  </si>
  <si>
    <t>Envío documentos, trayecto: Pasto - Medellín</t>
  </si>
  <si>
    <t>1 Galón de aceite quemado</t>
  </si>
  <si>
    <t>Cajas de paso intemperie</t>
  </si>
  <si>
    <t>Cautín 100w</t>
  </si>
  <si>
    <t>Envío cable fv para proyecto Turín, trayecto: Remolino - Pasto</t>
  </si>
  <si>
    <t>Terminal recto coraza 2"</t>
  </si>
  <si>
    <t>Envío dotación, trayecto: Pasto - Bogotá</t>
  </si>
  <si>
    <t xml:space="preserve">Pago almuerzo Juan Camilo-Marcela </t>
  </si>
  <si>
    <t>Pago anticipo para la importación del 50% a longi</t>
  </si>
  <si>
    <t>Compra tiquetes AVIANCA TIQUETE JUAN FERNANDO</t>
  </si>
  <si>
    <t>Pago a Rubiela del socorro taxi san rafael ida y vuelta dos veces</t>
  </si>
  <si>
    <t>Descuento credito Leasing intereses</t>
  </si>
  <si>
    <t>Recepcion pago multicarnes la Lujosa</t>
  </si>
  <si>
    <t>Cancelación préstamo Orbis tramite aumento de capital cámara de comercio</t>
  </si>
  <si>
    <t>Recepcion pago factura Sotavento</t>
  </si>
  <si>
    <t>Recepcion pago Puyo</t>
  </si>
  <si>
    <t>Transporte Casa-Terminal de Cali</t>
  </si>
  <si>
    <t>Bebidas para desayuno</t>
  </si>
  <si>
    <t>Cena en Remolino</t>
  </si>
  <si>
    <t>Refrigerios</t>
  </si>
  <si>
    <t>Transporte Remolino - Aeropuerto</t>
  </si>
  <si>
    <t>Café aeropuerto</t>
  </si>
  <si>
    <t>Transporte aeropuerto - Terminal</t>
  </si>
  <si>
    <t>Transporte terminal de Cali- Casa</t>
  </si>
  <si>
    <t>Recepcion pago novacentro</t>
  </si>
  <si>
    <t>Recepcin pago factura club colombia</t>
  </si>
  <si>
    <t>Conector DB9 macho 6 unidades</t>
  </si>
  <si>
    <t>Eduardo Chana</t>
  </si>
  <si>
    <t>CARCASAS CONECTORES DBP 6 UNIDADES</t>
  </si>
  <si>
    <t>CABLE LAN CATEGORIA  6 2 METROS UNIDADES</t>
  </si>
  <si>
    <t>tryecto ida y regreso Pasto - Remolino</t>
  </si>
  <si>
    <t>Alambre estaño soldadura</t>
  </si>
  <si>
    <t>Recepcion pag subsidio Banco de Bogota</t>
  </si>
  <si>
    <t>Recepcion pago factura la arboleda</t>
  </si>
  <si>
    <t>Recepcion pago conquimica bonos de cardona</t>
  </si>
  <si>
    <t>Pago a Compra intl facebk euswzrl39</t>
  </si>
  <si>
    <t>Compra intl facebk yefy8s849</t>
  </si>
  <si>
    <t>Pago en Compra en notaria 26</t>
  </si>
  <si>
    <t>Pago a Compra intl facebk 538qcsu39</t>
  </si>
  <si>
    <t>Pago a Compra en mercpago*jetsmart med-cali Juan manuel</t>
  </si>
  <si>
    <t>Recepcion pago factura v1501</t>
  </si>
  <si>
    <t>Comisión</t>
  </si>
  <si>
    <t>Comision</t>
  </si>
  <si>
    <t>Iva Comisión</t>
  </si>
  <si>
    <t>GMF</t>
  </si>
  <si>
    <t>Cuota de manejo</t>
  </si>
  <si>
    <t>rendimiento financiero</t>
  </si>
  <si>
    <t>mes</t>
  </si>
  <si>
    <t>Banco de Bogota</t>
  </si>
  <si>
    <t>impuestos</t>
  </si>
  <si>
    <t>Iva comisión</t>
  </si>
  <si>
    <t>cuota de manejo</t>
  </si>
  <si>
    <t>Tarjeta credito occidente</t>
  </si>
  <si>
    <t>Seguro de vida</t>
  </si>
  <si>
    <t>descuadre</t>
  </si>
  <si>
    <t>comision</t>
  </si>
  <si>
    <t xml:space="preserve">Cuota de manejo </t>
  </si>
  <si>
    <t>Fiduccidente</t>
  </si>
  <si>
    <t>tarjeta</t>
  </si>
  <si>
    <t xml:space="preserve">cuota de manejo </t>
  </si>
  <si>
    <t xml:space="preserve">Pdte rev cuentas de ahorros </t>
  </si>
  <si>
    <t>Seguro de vida cartera Leasing</t>
  </si>
  <si>
    <t>Ahorros occidente 218</t>
  </si>
  <si>
    <t>Ahorros occidente 234</t>
  </si>
  <si>
    <t>pdte dividir pago tarjeta de credito</t>
  </si>
  <si>
    <t>Retencion fte</t>
  </si>
  <si>
    <t>Comision Fondo de Garantias</t>
  </si>
  <si>
    <t>TIPO</t>
  </si>
  <si>
    <t>Costos</t>
  </si>
  <si>
    <t>Ingreso por venta de energia</t>
  </si>
  <si>
    <t>Costos por venta de energía</t>
  </si>
  <si>
    <t xml:space="preserve">Utilidad GD </t>
  </si>
  <si>
    <t>Ingresos administrativos GD</t>
  </si>
  <si>
    <t>Costos Mini granjas</t>
  </si>
  <si>
    <t>Utilidad total administracion GD</t>
  </si>
  <si>
    <t>Utilidad Bruta</t>
  </si>
  <si>
    <t>Gastos administrativos, intereses, ventas Autogeneración PPAS</t>
  </si>
  <si>
    <t>Gastos adminitrativos financiero</t>
  </si>
  <si>
    <t>Gastos intereses</t>
  </si>
  <si>
    <t>Gasto de ventas</t>
  </si>
  <si>
    <t>Utilidad Operacional con beneficio depreciación</t>
  </si>
  <si>
    <t>Impuestos de Renta</t>
  </si>
  <si>
    <t>impuesto ICA</t>
  </si>
  <si>
    <t>Impuesto ICA</t>
  </si>
  <si>
    <t xml:space="preserve">Beneficio de Renta </t>
  </si>
  <si>
    <t>NOPLAT</t>
  </si>
  <si>
    <t>Depreciación beneficios tributarios + amort</t>
  </si>
  <si>
    <t>Flujo de Caja operacional</t>
  </si>
  <si>
    <t>inversion</t>
  </si>
  <si>
    <t>Δ CAPEX Credito NAOS</t>
  </si>
  <si>
    <t>Δ Inversión DELTA</t>
  </si>
  <si>
    <t>Δ Inversión DELTA2</t>
  </si>
  <si>
    <t>Δ Inversión POLARIS</t>
  </si>
  <si>
    <t>Δ Inversión POLARIS2</t>
  </si>
  <si>
    <t>Δ Inversión POLARIS3</t>
  </si>
  <si>
    <t>Δ Inversión LYRA</t>
  </si>
  <si>
    <t>Δ Inversión ORBIS</t>
  </si>
  <si>
    <t>Δ Inversión NAOS4</t>
  </si>
  <si>
    <t>Δ Inversión VEGA</t>
  </si>
  <si>
    <t>Capex</t>
  </si>
  <si>
    <t>Δ CAPEX PPAS</t>
  </si>
  <si>
    <t>mano de obra</t>
  </si>
  <si>
    <t>ingenieria</t>
  </si>
  <si>
    <t>Δ CAPEX SALARIO OPERATIVO</t>
  </si>
  <si>
    <t>Δ INVERSIÓN MINI GRANJAS</t>
  </si>
  <si>
    <t>Δ SALARIO OPERATIVO</t>
  </si>
  <si>
    <t>Δ INVENTARIO</t>
  </si>
  <si>
    <t>Δ ANTICIPOS GRANJAS</t>
  </si>
  <si>
    <t>Δ ANTICIPOS PROYECTOS</t>
  </si>
  <si>
    <t>Evolti generacion</t>
  </si>
  <si>
    <t>Δ iNVERSION EVOLTI GENERACION</t>
  </si>
  <si>
    <t>Δ IMPUESTOS RETENCIONES</t>
  </si>
  <si>
    <t>Flujo de Caja Libre</t>
  </si>
  <si>
    <t>Δ Deuda</t>
  </si>
  <si>
    <t>Flujo de Caja del accionista</t>
  </si>
  <si>
    <t>Δ Capital y superhavit de capital</t>
  </si>
  <si>
    <t>Δ Capital y superhavit de capital de ENERGAS</t>
  </si>
  <si>
    <t xml:space="preserve"> - Dividendos</t>
  </si>
  <si>
    <t>Flujo de Caja neto</t>
  </si>
  <si>
    <t>Caja Inicial</t>
  </si>
  <si>
    <t>Caja Final</t>
  </si>
  <si>
    <t>Mes</t>
  </si>
  <si>
    <t>Tipo</t>
  </si>
  <si>
    <t>clinica morasurco</t>
  </si>
  <si>
    <t>El Troje</t>
  </si>
  <si>
    <t>Estación de servicio Andalucia</t>
  </si>
  <si>
    <t>Productos la villa</t>
  </si>
  <si>
    <t>Condominio Refugio Valle de Atriz</t>
  </si>
  <si>
    <t>Casa Maria Fernanda Segura(Popayan)</t>
  </si>
  <si>
    <t>Retencion fte 2,5% AGRICO DISTRIBUIDORA Y CONSTRUCTORA SAS CT2-1438</t>
  </si>
  <si>
    <t>Polaris1</t>
  </si>
  <si>
    <t>Retencion fte 2,5% SUNEO ENERGY SAS COT 19965</t>
  </si>
  <si>
    <t>Reteica 15% GEOSOIL</t>
  </si>
  <si>
    <t>Etiquetas de fila</t>
  </si>
  <si>
    <t>Suma de Monto</t>
  </si>
  <si>
    <t>(en blanco)</t>
  </si>
  <si>
    <t>Total general</t>
  </si>
  <si>
    <t>25 de octubre 2024%</t>
  </si>
  <si>
    <t>8 de noviembre 2024</t>
  </si>
  <si>
    <t>15 de noviembre 2024</t>
  </si>
  <si>
    <t>22 de noviembre 2024</t>
  </si>
  <si>
    <t>30 de noviembre 2024</t>
  </si>
  <si>
    <t>Intereses GD</t>
  </si>
  <si>
    <t>Δ Anticipo granjas</t>
  </si>
  <si>
    <t>COLABORADORES</t>
  </si>
  <si>
    <t>CARGO</t>
  </si>
  <si>
    <t>Area</t>
  </si>
  <si>
    <t>Cesantias</t>
  </si>
  <si>
    <t>Prima</t>
  </si>
  <si>
    <t>Salud</t>
  </si>
  <si>
    <t>Pension trabajador</t>
  </si>
  <si>
    <t>Pension</t>
  </si>
  <si>
    <t>ARL</t>
  </si>
  <si>
    <t>Caja</t>
  </si>
  <si>
    <t>JUAN MANUEL ESPAÑA FORERO</t>
  </si>
  <si>
    <t>DIRECTOR EJECUTIVO</t>
  </si>
  <si>
    <t>DANIEL FERNANDO MEDINA GUERRERO</t>
  </si>
  <si>
    <t>DIRECTOR DE NEGOCIO</t>
  </si>
  <si>
    <t>HERMANN DAVID SOUZA CUBIDES</t>
  </si>
  <si>
    <t>DIRECTOR DE CRECIMIENTO</t>
  </si>
  <si>
    <t>YULY ANDREA JARAMILLO GUERRERO</t>
  </si>
  <si>
    <t>CONTADORA PUBLICA</t>
  </si>
  <si>
    <t>JHOANA MARCELA GERMAN REYES</t>
  </si>
  <si>
    <t>ANALISTA DE CULTURA</t>
  </si>
  <si>
    <t>LOREN ALEJANDRA DIAZ YAMPUEZAN</t>
  </si>
  <si>
    <t>AUXILIAR CONTABLE</t>
  </si>
  <si>
    <t>Nueva Contratación</t>
  </si>
  <si>
    <t>Revisor Fiscal</t>
  </si>
  <si>
    <t>JUAN FERNANDO PANIAGUA OSORIO</t>
  </si>
  <si>
    <t>GERENTE DE PROYECTOS</t>
  </si>
  <si>
    <t>Ingenieria</t>
  </si>
  <si>
    <t>JEANCARLO GUILLERMO MONCAYO ANDRADE</t>
  </si>
  <si>
    <t>INGENIERO DE PROYECTOS CIVIL</t>
  </si>
  <si>
    <t>MIGUEL ALEJANDRO ENRIQUEZ CHAMORRO</t>
  </si>
  <si>
    <t>INGENIERO DE PROYECTOS</t>
  </si>
  <si>
    <t>DANNA STEFANYA LASSO GUERRA</t>
  </si>
  <si>
    <t>INGENIERO RESIDENTE</t>
  </si>
  <si>
    <t>SEBASTIAN</t>
  </si>
  <si>
    <t>KELLY TATIANA ALVAREZ GARCIA</t>
  </si>
  <si>
    <t>ANALISTA DE ESTRATEGIA</t>
  </si>
  <si>
    <t>LEIBNITZ EDUARDO CHANA CALDERON</t>
  </si>
  <si>
    <t>INGENIERO JUNIOR</t>
  </si>
  <si>
    <t>SEGUNDO MARCIAL GELPUD BOTINA</t>
  </si>
  <si>
    <t>COORDINADOR DE ALTURAS</t>
  </si>
  <si>
    <t xml:space="preserve">JOSE ALVEIRO CUSIS HERNANDEZ </t>
  </si>
  <si>
    <t>CAMILO ESTEBAN MELO CALVACHE</t>
  </si>
  <si>
    <t xml:space="preserve">AUXILIAR LOGISTICO </t>
  </si>
  <si>
    <t>MANUEL RODRIGO CORDOBA ORDOÑEZ</t>
  </si>
  <si>
    <t>INSTALADOR ENERGIA RENOVABLE</t>
  </si>
  <si>
    <t>CARLOS ANDRES MARCILLO ARCOS</t>
  </si>
  <si>
    <t>SANDRA CAROLINA PATASCOY BOTINA</t>
  </si>
  <si>
    <t>IVAN DARIO CAICEDO CALVACHE</t>
  </si>
  <si>
    <t>JASON STEVEN DIAZ GUEVARA</t>
  </si>
  <si>
    <t>RUDY GABRIEL TIMARAN SANTACRUZ</t>
  </si>
  <si>
    <t xml:space="preserve">OSCAR ANDRES CASTRO BOTINA </t>
  </si>
  <si>
    <t>STEVEN ALEXANDER VALLEJOS PANTOJA</t>
  </si>
  <si>
    <t xml:space="preserve">JHON ALEXANDER GELPUD ZAMORA </t>
  </si>
  <si>
    <t xml:space="preserve">RUBEN DARIO ESPINOSA PARRA </t>
  </si>
  <si>
    <t>MARIO ALEXANDER CUSIS HERNANDEZ</t>
  </si>
  <si>
    <t>OLIVER GUTIERRES MARTINEZ</t>
  </si>
  <si>
    <t>MAURICIO GUTIERRES MARTINEZ</t>
  </si>
  <si>
    <t>EDILFONSO ROSERO CASTILLO</t>
  </si>
  <si>
    <t>JIMMI ALEXANDER BURGOS GUERRERO</t>
  </si>
  <si>
    <t>KEVIN ALEXANDER ORTIZ VALDEZ</t>
  </si>
  <si>
    <t>DANIEL CAMILO ARTEAGA CASTRO</t>
  </si>
  <si>
    <t>IVAN CAMILO MENESES ORDOÑEZ</t>
  </si>
  <si>
    <t>JOSE YEFERSON ORDOÑEZ ANCHICHA</t>
  </si>
  <si>
    <t xml:space="preserve">JHONNY FRANCISCO CEBALLOS BURBANO </t>
  </si>
  <si>
    <t>EDWAR AMILCAR CHAGUEZA GOMEZ</t>
  </si>
  <si>
    <t>RUBEN DARIO SILVA RODRIGUEZ</t>
  </si>
  <si>
    <t xml:space="preserve">JUAN ESTEBAN BLANCO QUIROGA </t>
  </si>
  <si>
    <t>YEISON ADRIAN FERNANDEZ MARTINEZ</t>
  </si>
  <si>
    <t>ALBEIRO ORLANDO ESPAÑA HERNANDEZ</t>
  </si>
  <si>
    <t>DIEGO FERNANDO GARCIA CHAVES</t>
  </si>
  <si>
    <t>JHONSIN ARLEY ARIAS CEBALLOS</t>
  </si>
  <si>
    <t xml:space="preserve">PABLO FERNANDO BENAVIDES CHAVES </t>
  </si>
  <si>
    <t>VERONICA SANCHEZ</t>
  </si>
  <si>
    <t>DIRECTORA COMERCIAL</t>
  </si>
  <si>
    <t>JASON IPIALES</t>
  </si>
  <si>
    <t>INGENIERO COMERCIAL</t>
  </si>
  <si>
    <t>ISABELA GONZALEZ HENAO</t>
  </si>
  <si>
    <t>PRACTICANTE DISEÑO</t>
  </si>
  <si>
    <t>Seguridad Social</t>
  </si>
  <si>
    <t xml:space="preserve">Intereses </t>
  </si>
  <si>
    <t>Total Fijo admon</t>
  </si>
  <si>
    <t>Total fijo Ventas</t>
  </si>
  <si>
    <t>Total Admon</t>
  </si>
  <si>
    <t>Total Proyectos</t>
  </si>
  <si>
    <t>Total terceros</t>
  </si>
  <si>
    <t>Saldo</t>
  </si>
  <si>
    <t>Mensual</t>
  </si>
  <si>
    <t>Tasa</t>
  </si>
  <si>
    <t>Condiciones</t>
  </si>
  <si>
    <t>Total Financiera</t>
  </si>
  <si>
    <t>TOTAL CLIENTES</t>
  </si>
  <si>
    <t>TOTAL IMPUESTOS</t>
  </si>
  <si>
    <t>Hermann Souza</t>
  </si>
  <si>
    <t>Capital</t>
  </si>
  <si>
    <t>Ascenso BVC</t>
  </si>
  <si>
    <t>mensual</t>
  </si>
  <si>
    <t>Nelcy Rosas</t>
  </si>
  <si>
    <t xml:space="preserve">Bullet </t>
  </si>
  <si>
    <t>Finaktiva</t>
  </si>
  <si>
    <t>IBR + 12</t>
  </si>
  <si>
    <t>36 meses</t>
  </si>
  <si>
    <t>Banco de Bogotá</t>
  </si>
  <si>
    <t>12 meses</t>
  </si>
  <si>
    <t>Hermann Papa Souza Weich</t>
  </si>
  <si>
    <t>Juan Manuel España</t>
  </si>
  <si>
    <t>Nicolas Ramirez</t>
  </si>
  <si>
    <t>Esteban Rosas</t>
  </si>
  <si>
    <t xml:space="preserve">  </t>
  </si>
  <si>
    <t>Total intereses</t>
  </si>
  <si>
    <t>Total Capital</t>
  </si>
  <si>
    <t>DEUDA PROVEEDORES</t>
  </si>
  <si>
    <t>Saldo 2024</t>
  </si>
  <si>
    <t>Cliente</t>
  </si>
  <si>
    <t>SOLAIRE</t>
  </si>
  <si>
    <t>Movimiento</t>
  </si>
  <si>
    <t>ELECTRICOS DEL VALLE</t>
  </si>
  <si>
    <t>ANDRES EDUARDO LOPEZ</t>
  </si>
  <si>
    <t>SURA</t>
  </si>
  <si>
    <t>DICEL</t>
  </si>
  <si>
    <t>FLUX</t>
  </si>
  <si>
    <t>VALLEJO HERMANOS</t>
  </si>
  <si>
    <t>Total Saldo Proveedores</t>
  </si>
  <si>
    <t>Movimienro</t>
  </si>
  <si>
    <t>Nuevos Creditos</t>
  </si>
  <si>
    <t>PPA Actuales</t>
  </si>
  <si>
    <t>Pago Capital</t>
  </si>
  <si>
    <t>Nuevo Saldo</t>
  </si>
  <si>
    <t>Periodo</t>
  </si>
  <si>
    <t>Swap Deuda</t>
  </si>
  <si>
    <t>Movimientos</t>
  </si>
  <si>
    <t xml:space="preserve">Capital </t>
  </si>
  <si>
    <t>Total movimientos</t>
  </si>
  <si>
    <t>SWAP</t>
  </si>
  <si>
    <t>DEUDA PPAs</t>
  </si>
  <si>
    <t>1Q</t>
  </si>
  <si>
    <t>Pago a capital</t>
  </si>
  <si>
    <t>Saldo a Capital</t>
  </si>
  <si>
    <t>Interes</t>
  </si>
  <si>
    <t>Saldo a capital</t>
  </si>
  <si>
    <t>Tasa de interes mv</t>
  </si>
  <si>
    <t>2Q</t>
  </si>
  <si>
    <t>3Q</t>
  </si>
  <si>
    <t>4Q</t>
  </si>
  <si>
    <t>OR</t>
  </si>
  <si>
    <t>Portafolio de Proyectos</t>
  </si>
  <si>
    <t>IPC</t>
  </si>
  <si>
    <t>Año Radicado UPME</t>
  </si>
  <si>
    <t>Inversión</t>
  </si>
  <si>
    <t>Estado</t>
  </si>
  <si>
    <t>Proyectos</t>
  </si>
  <si>
    <t>Facturando</t>
  </si>
  <si>
    <t>Tigres de la Rebaja</t>
  </si>
  <si>
    <t>Happina</t>
  </si>
  <si>
    <t>Campos de Aragon</t>
  </si>
  <si>
    <t>Hotel cuellar</t>
  </si>
  <si>
    <t>La Cali</t>
  </si>
  <si>
    <t>Solsticio</t>
  </si>
  <si>
    <t>Fit For all 94</t>
  </si>
  <si>
    <t>Fit For all 127</t>
  </si>
  <si>
    <t>Acuagen</t>
  </si>
  <si>
    <t>Dispropan Santa Marta</t>
  </si>
  <si>
    <t>Hotel V1501</t>
  </si>
  <si>
    <t>Legalización</t>
  </si>
  <si>
    <t>Club Colombia</t>
  </si>
  <si>
    <t>En construcción</t>
  </si>
  <si>
    <t>Edificio V1501</t>
  </si>
  <si>
    <t>Arboleda</t>
  </si>
  <si>
    <t>CENTRO COMERCIAL PLATINUM</t>
  </si>
  <si>
    <t>GRAN AVENIDA</t>
  </si>
  <si>
    <t>CONGENAR</t>
  </si>
  <si>
    <t>PABON</t>
  </si>
  <si>
    <t>BALCONES DE PUVENZA</t>
  </si>
  <si>
    <t>HITO</t>
  </si>
  <si>
    <t>NUEVOS PROYECTOS 2Q</t>
  </si>
  <si>
    <t>NUEVOS PROYECTOS 3Q</t>
  </si>
  <si>
    <t>NUEVOS PROYECTOS 4Q</t>
  </si>
  <si>
    <t xml:space="preserve"> </t>
  </si>
  <si>
    <t>total anual</t>
  </si>
  <si>
    <t>Costo PPAS firmados</t>
  </si>
  <si>
    <t>Ventas PPAS firmados</t>
  </si>
  <si>
    <t>Ventas PPAs 2024</t>
  </si>
  <si>
    <t>costos 2024</t>
  </si>
  <si>
    <t>Potencia Instalada [kWp]</t>
  </si>
  <si>
    <t>Valor total</t>
  </si>
  <si>
    <t>Nombre del proyecto</t>
  </si>
  <si>
    <t>Hotel Fernando Plaza</t>
  </si>
  <si>
    <t>Centro comercial Platino</t>
  </si>
  <si>
    <t>RECURSOS ENERGAS</t>
  </si>
  <si>
    <t>Demetalicos</t>
  </si>
  <si>
    <t>% instalado de los recursos</t>
  </si>
  <si>
    <t>Proyectos 2022</t>
  </si>
  <si>
    <t>Proyectos 2023</t>
  </si>
  <si>
    <t>Plantas PPAS</t>
  </si>
  <si>
    <t>Plantas PPAS sin Admon</t>
  </si>
  <si>
    <t>Monto utilidad por proyecto PPA</t>
  </si>
  <si>
    <t>Proyección de ventas</t>
  </si>
  <si>
    <t>Ingresos Mini Parques</t>
  </si>
  <si>
    <t>Costos operativos Mini parques</t>
  </si>
  <si>
    <t>% Utilidad Bruta</t>
  </si>
  <si>
    <t>Etapa estructuración y estudios</t>
  </si>
  <si>
    <t>Canopus_1</t>
  </si>
  <si>
    <t>Canopus_2</t>
  </si>
  <si>
    <t>Est_Gral</t>
  </si>
  <si>
    <t>Naos_2</t>
  </si>
  <si>
    <t>Naos_3</t>
  </si>
  <si>
    <t>NCluster_1</t>
  </si>
  <si>
    <t>NCluster_2</t>
  </si>
  <si>
    <t>NCluster_3</t>
  </si>
  <si>
    <t>% Ciclo del producto GD Instalación</t>
  </si>
  <si>
    <t>Proyecto 1</t>
  </si>
  <si>
    <t>Compra Materiales GD Proyecto propio</t>
  </si>
  <si>
    <t>Anticipo de recursos</t>
  </si>
  <si>
    <t>Proyecto 2</t>
  </si>
  <si>
    <t>Proyecto 3</t>
  </si>
  <si>
    <t>Costos operativos GD Proyecto propio</t>
  </si>
  <si>
    <t>Costos operativos GD Proyecto 1</t>
  </si>
  <si>
    <t>Costos operativos GD Proyecto 2</t>
  </si>
  <si>
    <t>Activos corrientes</t>
  </si>
  <si>
    <t xml:space="preserve">Cuenta por pagar </t>
  </si>
  <si>
    <t>Capital de trabajo</t>
  </si>
  <si>
    <t>Salida de Capital</t>
  </si>
  <si>
    <t>Con Container</t>
  </si>
  <si>
    <t>si</t>
  </si>
  <si>
    <t>Condicional</t>
  </si>
  <si>
    <t>Enero</t>
  </si>
  <si>
    <t>Febrero</t>
  </si>
  <si>
    <t>Marzo</t>
  </si>
  <si>
    <t>Abril</t>
  </si>
  <si>
    <t>mayo</t>
  </si>
  <si>
    <t>Junio</t>
  </si>
  <si>
    <t>Agosto</t>
  </si>
  <si>
    <t>Septiembre</t>
  </si>
  <si>
    <t>Octubre</t>
  </si>
  <si>
    <t>Noviembre</t>
  </si>
  <si>
    <t>Diciembre</t>
  </si>
  <si>
    <t>Ingresos EPC</t>
  </si>
  <si>
    <t>Costos operativos EPC</t>
  </si>
  <si>
    <t>% Ciclo del producto EPC</t>
  </si>
  <si>
    <t>Compra Materiales Sep 2023</t>
  </si>
  <si>
    <t>Anticipo clientes sep 2023</t>
  </si>
  <si>
    <t>Compra Materiales oct 2023</t>
  </si>
  <si>
    <t>Anticipo clientes oct 2023</t>
  </si>
  <si>
    <t>Compra Materiales nov 2023</t>
  </si>
  <si>
    <t>Anticipo clientes nov 2023</t>
  </si>
  <si>
    <t>Compra Materiales dic 2023</t>
  </si>
  <si>
    <t>Anticipo clientes dic 2023</t>
  </si>
  <si>
    <t>Compra Materiales ene 2024</t>
  </si>
  <si>
    <t>Anticipo clientes ene 2024</t>
  </si>
  <si>
    <t>Compra Materiales feb 2024</t>
  </si>
  <si>
    <t>Anticipo clientes feb 2024</t>
  </si>
  <si>
    <t>Compra Materiales mar 2024</t>
  </si>
  <si>
    <t>Anticipo clientes mar 2024</t>
  </si>
  <si>
    <t>Compra Materiales abr 2024</t>
  </si>
  <si>
    <t>Anticipo clientes abr 2024</t>
  </si>
  <si>
    <t>Compra Materiales may 2024</t>
  </si>
  <si>
    <t>Anticipo clientes may 2024</t>
  </si>
  <si>
    <t>Compra Materiales jun 2024</t>
  </si>
  <si>
    <t>Anticipo clientes jun 2024</t>
  </si>
  <si>
    <t>Compra Materiales jul 2024</t>
  </si>
  <si>
    <t>Anticipo clientes jul 2024</t>
  </si>
  <si>
    <t>Compra Materiales ago 2024</t>
  </si>
  <si>
    <t>Anticipo clientes ago 2024</t>
  </si>
  <si>
    <t>Compra Materiales sep 2024</t>
  </si>
  <si>
    <t>Anticipo clientes sep 2024</t>
  </si>
  <si>
    <t>Compra Materiales oct 2024</t>
  </si>
  <si>
    <t>Anticipo clientes oct 2024</t>
  </si>
  <si>
    <t>Compra Materiales nov 2024</t>
  </si>
  <si>
    <t>Anticipo clientes nov 2024</t>
  </si>
  <si>
    <t>Compra Materiales dic 2024</t>
  </si>
  <si>
    <t>Anticipo clientes dic 2024</t>
  </si>
  <si>
    <t>Ciclo del producto</t>
  </si>
  <si>
    <t>SI</t>
  </si>
  <si>
    <t>Ingreso GD NAOS</t>
  </si>
  <si>
    <t>gventas</t>
  </si>
  <si>
    <t>Δ SALARIOS COSTO OPERATIVO PPAS</t>
  </si>
  <si>
    <t>Δ INVERSIÓN ESTRUCTURACIÓN MINI</t>
  </si>
  <si>
    <t>Δ SALARIOS COSTO OPERATIVO EPC</t>
  </si>
  <si>
    <t>Δ CAPITAL DE TRABAJO</t>
  </si>
  <si>
    <t>Δ Deuda Actual</t>
  </si>
  <si>
    <t>Δ Deuda Para PPAs</t>
  </si>
  <si>
    <t>Utilidad Neta</t>
  </si>
  <si>
    <t>Balance General</t>
  </si>
  <si>
    <t>Activos:</t>
  </si>
  <si>
    <t>Efectivo y equivalentes</t>
  </si>
  <si>
    <t>Deudores comerciales</t>
  </si>
  <si>
    <t>Otras Cuentas por Cobrar</t>
  </si>
  <si>
    <t>Otros activos Financieros</t>
  </si>
  <si>
    <t>Inventarios</t>
  </si>
  <si>
    <t>Activos por impuestos corrientes</t>
  </si>
  <si>
    <t>Anticipos y Avances</t>
  </si>
  <si>
    <t>Total activo corriente</t>
  </si>
  <si>
    <t>Propiedades, planta y equipo</t>
  </si>
  <si>
    <t>Total activos no corrientes</t>
  </si>
  <si>
    <t>Total activos</t>
  </si>
  <si>
    <t>Pasivos</t>
  </si>
  <si>
    <t>Obligaciones Financieras (C.P)</t>
  </si>
  <si>
    <t>Beneficios a los empleados</t>
  </si>
  <si>
    <t>Pasivos por impuesto corrientes</t>
  </si>
  <si>
    <t>Ingresos Recibidos por anticipado</t>
  </si>
  <si>
    <t>Total pasivos corrientes</t>
  </si>
  <si>
    <t>Obligaciones financieras LP</t>
  </si>
  <si>
    <t>Pasivos por impuestos diferidos</t>
  </si>
  <si>
    <t>Total pasivos no corrientes</t>
  </si>
  <si>
    <t>Total pasivos</t>
  </si>
  <si>
    <t>Patrimonio</t>
  </si>
  <si>
    <t>Capital aportado</t>
  </si>
  <si>
    <t>Resultados del periodo</t>
  </si>
  <si>
    <t>Resultados acumulados</t>
  </si>
  <si>
    <t>Futuras Capitalizaciones</t>
  </si>
  <si>
    <t>Total patrimonio</t>
  </si>
  <si>
    <t>Total pasivo y patrimonio</t>
  </si>
  <si>
    <t>Total Ingresos</t>
  </si>
  <si>
    <t>Total Costos</t>
  </si>
  <si>
    <t>Sonarplas estamos esperando que Vatia nos pase el registro con XM y una vez nos pase el registro, podemos facturar, Sebastian Lucena, nos puede decir si ya llego el registro de XM, 20 de sep exista el registro.  Una vez Sebastian confirme, podriamos preguntarle a Daniel que le diga a PLT si ya tiene UPME que nos pasen el Nymero radicado para facturar</t>
  </si>
  <si>
    <t>Acueducto Pupiales</t>
  </si>
  <si>
    <t>Ferre andina</t>
  </si>
  <si>
    <t>Listo para facturar</t>
  </si>
  <si>
    <t>Estamos esperando que Cedenar nos pase la carta final de aprobación 20 de sep preguntarle a Sebastian y apartide del 19 preguntarle a Eduardo si ya tenemos UPME de Batericars, si los dos ya estan ok facturar</t>
  </si>
  <si>
    <t>Antares</t>
  </si>
  <si>
    <t xml:space="preserve">Palermo </t>
  </si>
  <si>
    <t>Ventas Facturación</t>
  </si>
  <si>
    <t>Working Flujo</t>
  </si>
  <si>
    <t>Δ CAPEX Credito DELTA</t>
  </si>
  <si>
    <t>Δ ESTRUCTURACIÓN MINI GRANJAS</t>
  </si>
  <si>
    <t>Crecimiento Ventas EPC y Mini Granjas</t>
  </si>
  <si>
    <t>´100%</t>
  </si>
  <si>
    <t>Crecimiento Ingreso venta de Energia</t>
  </si>
  <si>
    <t xml:space="preserve">Tasa de descuento </t>
  </si>
  <si>
    <t>2024 a hoy</t>
  </si>
  <si>
    <t>2024*</t>
  </si>
  <si>
    <t>%</t>
  </si>
  <si>
    <t>2024 proyectado</t>
  </si>
  <si>
    <t>Ventas EPC y Mini Granjas</t>
  </si>
  <si>
    <t>Ingreso intereses GD el Remolino</t>
  </si>
  <si>
    <t>Costos operativos EPC/PPAS/ Mini granjas</t>
  </si>
  <si>
    <t xml:space="preserve"> Depreciación mas beneficios tributarios</t>
  </si>
  <si>
    <t xml:space="preserve">Utilidad Operacional </t>
  </si>
  <si>
    <t>Saldo a Favor impuestos de renta</t>
  </si>
  <si>
    <t>Δ ESTRUCTURACIÓN</t>
  </si>
  <si>
    <t>Δ CAPITAL DE TRABAJO EPC</t>
  </si>
  <si>
    <t>Δ CREDITO NAOS</t>
  </si>
  <si>
    <t>Estado de Resultados</t>
  </si>
  <si>
    <t>2024 a hoy USD</t>
  </si>
  <si>
    <t>2024* USD</t>
  </si>
  <si>
    <t>% cumplimiento</t>
  </si>
  <si>
    <t>Generación de Energía</t>
  </si>
  <si>
    <t>Gastos administrativos/ventas/depr</t>
  </si>
  <si>
    <t>Depreciación acelerada con Beneficios</t>
  </si>
  <si>
    <t>Utilidad Operacional</t>
  </si>
  <si>
    <t>Gastos financieros</t>
  </si>
  <si>
    <t>Utilidad antes de impuestos</t>
  </si>
  <si>
    <t xml:space="preserve">Ventas </t>
  </si>
  <si>
    <t>Millones</t>
  </si>
  <si>
    <t>Meta</t>
  </si>
  <si>
    <t>Mini</t>
  </si>
  <si>
    <t>Recurrente</t>
  </si>
  <si>
    <t>Activos</t>
  </si>
  <si>
    <t> </t>
  </si>
  <si>
    <t>Ingresos OPEX granjas</t>
  </si>
  <si>
    <t xml:space="preserve">delta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</si>
</sst>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quot;$&quot;\ #,##0.00;[Red]\-&quot;$&quot;\ #,##0.00"/>
    <numFmt numFmtId="165" formatCode="_-&quot;$&quot;\ * #,##0_-;\-&quot;$&quot;\ * #,##0_-;_-&quot;$&quot;\ * &quot;-&quot;_-;_-@_-"/>
    <numFmt numFmtId="166" formatCode="_-&quot;$&quot;\ * #,##0.00_-;\-&quot;$&quot;\ * #,##0.00_-;_-&quot;$&quot;\ * &quot;-&quot;??_-;_-@_-"/>
    <numFmt numFmtId="167" formatCode="_-&quot;$&quot;* #,##0_-;\-&quot;$&quot;* #,##0_-;_-&quot;$&quot;* &quot;-&quot;_-;_-@_-"/>
    <numFmt numFmtId="168" formatCode="mmmm\ yyyy"/>
    <numFmt numFmtId="169" formatCode="0.0%"/>
    <numFmt numFmtId="170" formatCode="0.000%"/>
    <numFmt numFmtId="171" formatCode="#,##0\ [$€-1]"/>
    <numFmt numFmtId="172" formatCode="[$ $]#,##0"/>
    <numFmt numFmtId="173" formatCode="#,##0.00000000000"/>
    <numFmt numFmtId="174" formatCode="_-* #,##0_-;\-* #,##0_-;_-* &quot;-&quot;??_-;_-@_-"/>
    <numFmt numFmtId="175" formatCode="#,##0.0000000"/>
    <numFmt numFmtId="176" formatCode="_-* #,##0.0000000_-;\-* #,##0.0000000_-;_-* &quot;-&quot;??_-;_-@_-"/>
    <numFmt numFmtId="177" formatCode="_ * #,##0.00_ ;_ * \-#,##0.00_ ;_ * &quot;-&quot;??_ ;_ @_ "/>
    <numFmt numFmtId="178" formatCode="_ &quot;$&quot;\ * #,##0.00_ ;_ &quot;$&quot;\ * \-#,##0.00_ ;_ &quot;$&quot;\ * &quot;-&quot;??_ ;_ @_ "/>
    <numFmt numFmtId="179" formatCode="_ * #,##0_ ;_ * \-#,##0_ ;_ * &quot;-&quot;_ ;_ @_ "/>
    <numFmt numFmtId="180" formatCode="#,##0.000000"/>
    <numFmt numFmtId="181" formatCode="_-[$$-240A]\ * #,##0.00_-;\-[$$-240A]\ * #,##0.00_-;_-[$$-240A]\ * &quot;-&quot;??_-;_-@_-"/>
    <numFmt numFmtId="182" formatCode="_-* #,##0.00000_-;\-* #,##0.00000_-;_-* &quot;-&quot;??_-;_-@_-"/>
    <numFmt numFmtId="183" formatCode="_-* #,##0.000000000_-;\-* #,##0.000000000_-;_-* &quot;-&quot;??_-;_-@_-"/>
    <numFmt numFmtId="184" formatCode="_-* #,##0.00000000000_-;\-* #,##0.00000000000_-;_-* &quot;-&quot;??_-;_-@_-"/>
    <numFmt numFmtId="185" formatCode="_-&quot;$&quot;\ * #,##0_-;\-&quot;$&quot;\ * #,##0_-;_-&quot;$&quot;\ * &quot;-&quot;??_-;_-@_-"/>
  </numFmts>
  <fonts count="46">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0"/>
      <color theme="1"/>
      <name val="Arial"/>
      <family val="2"/>
    </font>
    <font>
      <b/>
      <sz val="10"/>
      <color rgb="FF000000"/>
      <name val="Arial"/>
      <family val="2"/>
    </font>
    <font>
      <b/>
      <sz val="10"/>
      <color theme="0"/>
      <name val="Arial"/>
      <family val="2"/>
    </font>
    <font>
      <sz val="10"/>
      <color theme="1"/>
      <name val="Arial"/>
      <family val="2"/>
    </font>
    <font>
      <sz val="10"/>
      <color rgb="FF000000"/>
      <name val="Arial"/>
      <family val="2"/>
    </font>
    <font>
      <b/>
      <sz val="11"/>
      <color rgb="FF000000"/>
      <name val="Calibri"/>
      <family val="2"/>
    </font>
    <font>
      <sz val="11"/>
      <color rgb="FF000000"/>
      <name val="Calibri"/>
      <family val="2"/>
    </font>
    <font>
      <sz val="11"/>
      <color theme="1"/>
      <name val="Calibri"/>
      <family val="2"/>
    </font>
    <font>
      <sz val="8"/>
      <name val="Arial"/>
      <family val="2"/>
    </font>
    <font>
      <sz val="8"/>
      <name val="Arial"/>
      <family val="2"/>
    </font>
    <font>
      <sz val="10"/>
      <color theme="0"/>
      <name val="Arial"/>
      <family val="2"/>
    </font>
    <font>
      <sz val="10"/>
      <name val="Arial"/>
      <family val="2"/>
    </font>
    <font>
      <sz val="8"/>
      <name val="Arial"/>
      <family val="2"/>
    </font>
    <font>
      <b/>
      <sz val="11"/>
      <color rgb="FF000000"/>
      <name val="Arial"/>
      <family val="2"/>
    </font>
    <font>
      <sz val="10"/>
      <color rgb="FF000000"/>
      <name val="Arial"/>
      <family val="2"/>
    </font>
    <font>
      <sz val="11"/>
      <color rgb="FF000000"/>
      <name val="Arial"/>
      <family val="2"/>
    </font>
    <font>
      <b/>
      <sz val="11"/>
      <color theme="1"/>
      <name val="Arial"/>
      <family val="2"/>
    </font>
    <font>
      <sz val="11"/>
      <color theme="1"/>
      <name val="Arial"/>
      <family val="2"/>
    </font>
    <font>
      <sz val="11"/>
      <color rgb="FF000000"/>
      <name val="Inconsolata"/>
    </font>
    <font>
      <sz val="10"/>
      <color rgb="FFFF0000"/>
      <name val="Arial"/>
      <family val="2"/>
    </font>
    <font>
      <sz val="12"/>
      <color theme="1"/>
      <name val="Arial"/>
      <family val="2"/>
    </font>
    <font>
      <sz val="10"/>
      <color rgb="FF000000"/>
      <name val="Arial"/>
      <family val="2"/>
    </font>
    <font>
      <sz val="11"/>
      <color theme="1"/>
      <name val="Calibri"/>
      <family val="2"/>
    </font>
    <font>
      <sz val="11"/>
      <color theme="0"/>
      <name val="Calibri"/>
      <family val="2"/>
      <scheme val="minor"/>
    </font>
    <font>
      <sz val="11"/>
      <color theme="1"/>
      <name val="Calibri"/>
      <family val="2"/>
      <scheme val="minor"/>
    </font>
    <font>
      <b/>
      <sz val="12"/>
      <color theme="1"/>
      <name val="Arial"/>
      <family val="2"/>
    </font>
    <font>
      <sz val="12"/>
      <color rgb="FF000000"/>
      <name val="Arial"/>
      <family val="2"/>
    </font>
    <font>
      <b/>
      <sz val="12"/>
      <color theme="0"/>
      <name val="Arial"/>
      <family val="2"/>
    </font>
    <font>
      <b/>
      <sz val="12"/>
      <color rgb="FF000000"/>
      <name val="Arial"/>
      <family val="2"/>
    </font>
    <font>
      <sz val="10"/>
      <color rgb="FFFFFFFF"/>
      <name val="Arial"/>
      <family val="2"/>
    </font>
    <font>
      <sz val="12"/>
      <color rgb="FF000000"/>
      <name val="Aptos"/>
      <family val="2"/>
    </font>
    <font>
      <sz val="11"/>
      <name val="Arial"/>
      <family val="2"/>
    </font>
    <font>
      <sz val="10"/>
      <color rgb="FF000000"/>
      <name val="Arial"/>
      <family val="2"/>
    </font>
    <font>
      <sz val="11"/>
      <color theme="0"/>
      <name val="Arial"/>
      <family val="2"/>
    </font>
    <font>
      <b/>
      <sz val="13"/>
      <color rgb="FF000000"/>
      <name val="Arial"/>
      <family val="2"/>
    </font>
  </fonts>
  <fills count="66">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0"/>
        <bgColor rgb="FFFFFF00"/>
      </patternFill>
    </fill>
    <fill>
      <patternFill patternType="solid">
        <fgColor rgb="FFFFFF00"/>
        <bgColor rgb="FF00B050"/>
      </patternFill>
    </fill>
    <fill>
      <patternFill patternType="solid">
        <fgColor theme="1"/>
        <bgColor rgb="FF00B050"/>
      </patternFill>
    </fill>
    <fill>
      <patternFill patternType="solid">
        <fgColor theme="2"/>
        <bgColor theme="0"/>
      </patternFill>
    </fill>
    <fill>
      <patternFill patternType="solid">
        <fgColor rgb="FFFFFF00"/>
        <bgColor rgb="FFFFFF00"/>
      </patternFill>
    </fill>
    <fill>
      <patternFill patternType="solid">
        <fgColor rgb="FF92D050"/>
        <bgColor rgb="FFFF0000"/>
      </patternFill>
    </fill>
    <fill>
      <patternFill patternType="solid">
        <fgColor theme="1"/>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4" tint="-0.499984740745262"/>
        <bgColor indexed="64"/>
      </patternFill>
    </fill>
    <fill>
      <patternFill patternType="solid">
        <fgColor theme="1"/>
        <bgColor theme="0"/>
      </patternFill>
    </fill>
    <fill>
      <patternFill patternType="solid">
        <fgColor theme="1"/>
        <bgColor rgb="FFFFFF00"/>
      </patternFill>
    </fill>
    <fill>
      <patternFill patternType="solid">
        <fgColor theme="0"/>
        <bgColor rgb="FFFFFFFF"/>
      </patternFill>
    </fill>
    <fill>
      <patternFill patternType="solid">
        <fgColor theme="0"/>
        <bgColor rgb="FFFF0000"/>
      </patternFill>
    </fill>
    <fill>
      <patternFill patternType="solid">
        <fgColor theme="5" tint="0.79998168889431442"/>
        <bgColor theme="0"/>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bgColor theme="0"/>
      </patternFill>
    </fill>
    <fill>
      <patternFill patternType="solid">
        <fgColor rgb="FF92D050"/>
        <bgColor theme="0"/>
      </patternFill>
    </fill>
    <fill>
      <patternFill patternType="solid">
        <fgColor theme="6" tint="0.79998168889431442"/>
        <bgColor indexed="64"/>
      </patternFill>
    </fill>
    <fill>
      <patternFill patternType="solid">
        <fgColor rgb="FFFFCCCC"/>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2" tint="-9.9978637043366805E-2"/>
        <bgColor theme="0"/>
      </patternFill>
    </fill>
    <fill>
      <patternFill patternType="solid">
        <fgColor theme="8" tint="0.79998168889431442"/>
        <bgColor theme="0"/>
      </patternFill>
    </fill>
    <fill>
      <patternFill patternType="solid">
        <fgColor theme="3" tint="0.79998168889431442"/>
        <bgColor rgb="FF00B050"/>
      </patternFill>
    </fill>
    <fill>
      <patternFill patternType="solid">
        <fgColor rgb="FFFF0000"/>
        <bgColor theme="0"/>
      </patternFill>
    </fill>
    <fill>
      <patternFill patternType="solid">
        <fgColor rgb="FFFFFFFF"/>
        <bgColor rgb="FF000000"/>
      </patternFill>
    </fill>
    <fill>
      <patternFill patternType="solid">
        <fgColor rgb="FF000000"/>
        <bgColor rgb="FF000000"/>
      </patternFill>
    </fill>
    <fill>
      <patternFill patternType="solid">
        <fgColor rgb="FFDDEBF7"/>
        <bgColor rgb="FFFFFFFF"/>
      </patternFill>
    </fill>
    <fill>
      <patternFill patternType="solid">
        <fgColor rgb="FFFFFFFF"/>
        <bgColor rgb="FFFFFFFF"/>
      </patternFill>
    </fill>
    <fill>
      <patternFill patternType="solid">
        <fgColor rgb="FFFFFFFF"/>
        <bgColor rgb="FFFFFF00"/>
      </patternFill>
    </fill>
    <fill>
      <patternFill patternType="solid">
        <fgColor rgb="FFFFF2CC"/>
        <bgColor rgb="FF000000"/>
      </patternFill>
    </fill>
    <fill>
      <patternFill patternType="solid">
        <fgColor rgb="FFFCE4D6"/>
        <bgColor rgb="FF000000"/>
      </patternFill>
    </fill>
    <fill>
      <patternFill patternType="solid">
        <fgColor rgb="FFFCE4D6"/>
        <bgColor rgb="FFFFFFFF"/>
      </patternFill>
    </fill>
    <fill>
      <patternFill patternType="solid">
        <fgColor rgb="FFFFE699"/>
        <bgColor rgb="FF000000"/>
      </patternFill>
    </fill>
    <fill>
      <patternFill patternType="solid">
        <fgColor rgb="FFFFCCCC"/>
        <bgColor rgb="FF000000"/>
      </patternFill>
    </fill>
    <fill>
      <patternFill patternType="solid">
        <fgColor rgb="FF00B0F0"/>
        <bgColor indexed="64"/>
      </patternFill>
    </fill>
    <fill>
      <patternFill patternType="solid">
        <fgColor rgb="FFFFC000"/>
        <bgColor indexed="64"/>
      </patternFill>
    </fill>
    <fill>
      <patternFill patternType="solid">
        <fgColor theme="9" tint="0.39997558519241921"/>
        <bgColor indexed="64"/>
      </patternFill>
    </fill>
    <fill>
      <patternFill patternType="solid">
        <fgColor rgb="FFEFE131"/>
        <bgColor indexed="64"/>
      </patternFill>
    </fill>
    <fill>
      <patternFill patternType="solid">
        <fgColor theme="7" tint="0.59999389629810485"/>
        <bgColor indexed="64"/>
      </patternFill>
    </fill>
    <fill>
      <patternFill patternType="solid">
        <fgColor rgb="FFFFFF00"/>
        <bgColor rgb="FF000000"/>
      </patternFill>
    </fill>
    <fill>
      <patternFill patternType="solid">
        <fgColor theme="7" tint="0.39997558519241921"/>
        <bgColor indexed="64"/>
      </patternFill>
    </fill>
    <fill>
      <patternFill patternType="solid">
        <fgColor theme="5" tint="-0.249977111117893"/>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4"/>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7" tint="-0.249977111117893"/>
        <bgColor indexed="64"/>
      </patternFill>
    </fill>
    <fill>
      <patternFill patternType="solid">
        <fgColor rgb="FF4CAA4A"/>
        <bgColor indexed="64"/>
      </patternFill>
    </fill>
    <fill>
      <patternFill patternType="solid">
        <fgColor theme="5" tint="0.59999389629810485"/>
        <bgColor indexed="64"/>
      </patternFill>
    </fill>
    <fill>
      <patternFill patternType="solid">
        <fgColor theme="7" tint="0.39997558519241921"/>
        <bgColor theme="0"/>
      </patternFill>
    </fill>
    <fill>
      <patternFill patternType="solid">
        <fgColor theme="3" tint="0.59999389629810485"/>
        <bgColor indexed="64"/>
      </patternFill>
    </fill>
    <fill>
      <patternFill patternType="solid">
        <fgColor theme="5" tint="0.39997558519241921"/>
        <bgColor rgb="FF000000"/>
      </patternFill>
    </fill>
  </fills>
  <borders count="1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style="thin">
        <color indexed="64"/>
      </left>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indexed="64"/>
      </left>
      <right/>
      <top style="medium">
        <color indexed="64"/>
      </top>
      <bottom style="thin">
        <color indexed="64"/>
      </bottom>
      <diagonal/>
    </border>
    <border>
      <left style="thin">
        <color rgb="FF000000"/>
      </left>
      <right/>
      <top style="thin">
        <color rgb="FF000000"/>
      </top>
      <bottom/>
      <diagonal/>
    </border>
    <border>
      <left/>
      <right/>
      <top/>
      <bottom style="thin">
        <color rgb="FF00000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bottom style="thin">
        <color theme="0"/>
      </bottom>
      <diagonal/>
    </border>
    <border>
      <left/>
      <right/>
      <top/>
      <bottom style="thin">
        <color theme="0"/>
      </bottom>
      <diagonal/>
    </border>
    <border>
      <left style="medium">
        <color indexed="64"/>
      </left>
      <right/>
      <top style="thin">
        <color indexed="64"/>
      </top>
      <bottom style="thin">
        <color indexed="64"/>
      </bottom>
      <diagonal/>
    </border>
    <border>
      <left style="thin">
        <color indexed="64"/>
      </left>
      <right style="thin">
        <color indexed="64"/>
      </right>
      <top style="thin">
        <color theme="0"/>
      </top>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top/>
      <bottom style="thin">
        <color theme="0"/>
      </bottom>
      <diagonal/>
    </border>
    <border>
      <left style="thin">
        <color theme="0"/>
      </left>
      <right style="thin">
        <color theme="0"/>
      </right>
      <top/>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indexed="64"/>
      </bottom>
      <diagonal/>
    </border>
    <border>
      <left/>
      <right style="thin">
        <color theme="0"/>
      </right>
      <top style="thin">
        <color theme="0"/>
      </top>
      <bottom style="thin">
        <color indexed="64"/>
      </bottom>
      <diagonal/>
    </border>
    <border>
      <left style="thin">
        <color theme="0"/>
      </left>
      <right style="thin">
        <color theme="0"/>
      </right>
      <top style="thin">
        <color indexed="64"/>
      </top>
      <bottom/>
      <diagonal/>
    </border>
    <border>
      <left/>
      <right style="thin">
        <color theme="0"/>
      </right>
      <top style="thin">
        <color indexed="64"/>
      </top>
      <bottom/>
      <diagonal/>
    </border>
    <border>
      <left style="thin">
        <color theme="0"/>
      </left>
      <right style="thin">
        <color theme="0"/>
      </right>
      <top style="thin">
        <color theme="0"/>
      </top>
      <bottom/>
      <diagonal/>
    </border>
    <border>
      <left style="thin">
        <color indexed="64"/>
      </left>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bottom style="thin">
        <color rgb="FF000000"/>
      </bottom>
      <diagonal/>
    </border>
    <border>
      <left/>
      <right style="thin">
        <color indexed="64"/>
      </right>
      <top style="thin">
        <color theme="0"/>
      </top>
      <bottom/>
      <diagonal/>
    </border>
    <border>
      <left/>
      <right style="thin">
        <color rgb="FF000000"/>
      </right>
      <top/>
      <bottom style="thin">
        <color rgb="FF000000"/>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right style="thin">
        <color rgb="FF000000"/>
      </right>
      <top style="thin">
        <color indexed="64"/>
      </top>
      <bottom style="thin">
        <color indexed="64"/>
      </bottom>
      <diagonal/>
    </border>
    <border>
      <left style="thin">
        <color theme="0"/>
      </left>
      <right style="thin">
        <color rgb="FFFFFFFF"/>
      </right>
      <top style="thin">
        <color rgb="FFFFFFFF"/>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theme="0"/>
      </left>
      <right style="thin">
        <color rgb="FFFFFFFF"/>
      </right>
      <top/>
      <bottom style="thin">
        <color rgb="FFFFFFFF"/>
      </bottom>
      <diagonal/>
    </border>
    <border>
      <left style="thin">
        <color theme="0"/>
      </left>
      <right/>
      <top/>
      <bottom/>
      <diagonal/>
    </border>
    <border>
      <left/>
      <right style="thin">
        <color theme="0"/>
      </right>
      <top/>
      <bottom/>
      <diagonal/>
    </border>
    <border>
      <left/>
      <right style="medium">
        <color indexed="64"/>
      </right>
      <top style="thin">
        <color indexed="64"/>
      </top>
      <bottom style="thin">
        <color indexed="64"/>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medium">
        <color rgb="FF000000"/>
      </left>
      <right style="thin">
        <color indexed="64"/>
      </right>
      <top style="thin">
        <color indexed="64"/>
      </top>
      <bottom style="medium">
        <color indexed="64"/>
      </bottom>
      <diagonal/>
    </border>
    <border>
      <left style="thin">
        <color indexed="64"/>
      </left>
      <right style="medium">
        <color rgb="FF000000"/>
      </right>
      <top style="thin">
        <color indexed="64"/>
      </top>
      <bottom style="medium">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46">
    <xf numFmtId="0" fontId="0" fillId="0" borderId="0"/>
    <xf numFmtId="0" fontId="8" fillId="0" borderId="0"/>
    <xf numFmtId="0" fontId="7" fillId="0" borderId="0"/>
    <xf numFmtId="9" fontId="25" fillId="0" borderId="0" applyFont="0" applyFill="0" applyBorder="0" applyAlignment="0" applyProtection="0"/>
    <xf numFmtId="0" fontId="15" fillId="0" borderId="0"/>
    <xf numFmtId="43" fontId="15" fillId="0" borderId="0" applyFont="0" applyFill="0" applyBorder="0" applyAlignment="0" applyProtection="0"/>
    <xf numFmtId="0" fontId="6" fillId="0" borderId="0"/>
    <xf numFmtId="166" fontId="15" fillId="0" borderId="0" applyFont="0" applyFill="0" applyBorder="0" applyAlignment="0" applyProtection="0"/>
    <xf numFmtId="43" fontId="32" fillId="0" borderId="0" applyFont="0" applyFill="0" applyBorder="0" applyAlignment="0" applyProtection="0"/>
    <xf numFmtId="0" fontId="5" fillId="0" borderId="0"/>
    <xf numFmtId="0" fontId="33" fillId="0" borderId="0"/>
    <xf numFmtId="0" fontId="35" fillId="0" borderId="0"/>
    <xf numFmtId="43"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1" fontId="4" fillId="0" borderId="0" applyFont="0" applyFill="0" applyBorder="0" applyAlignment="0" applyProtection="0"/>
    <xf numFmtId="0" fontId="4" fillId="0" borderId="0"/>
    <xf numFmtId="166" fontId="4" fillId="0" borderId="0" applyFont="0" applyFill="0" applyBorder="0" applyAlignment="0" applyProtection="0"/>
    <xf numFmtId="167" fontId="4" fillId="0" borderId="0" applyFont="0" applyFill="0" applyBorder="0" applyAlignment="0" applyProtection="0"/>
    <xf numFmtId="0" fontId="22" fillId="0" borderId="0"/>
    <xf numFmtId="177" fontId="22" fillId="0" borderId="0" applyFont="0" applyFill="0" applyBorder="0" applyAlignment="0" applyProtection="0"/>
    <xf numFmtId="178" fontId="22" fillId="0" borderId="0" applyFont="0" applyFill="0" applyBorder="0" applyAlignment="0" applyProtection="0"/>
    <xf numFmtId="179" fontId="22" fillId="0" borderId="0" applyFont="0" applyFill="0" applyBorder="0" applyAlignment="0" applyProtection="0"/>
    <xf numFmtId="9" fontId="2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1" fontId="3" fillId="0" borderId="0" applyFont="0" applyFill="0" applyBorder="0" applyAlignment="0" applyProtection="0"/>
    <xf numFmtId="177" fontId="22"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22" fillId="0" borderId="0"/>
    <xf numFmtId="0" fontId="3"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0" fontId="18" fillId="0" borderId="0"/>
    <xf numFmtId="0" fontId="1" fillId="0" borderId="0"/>
    <xf numFmtId="166" fontId="43" fillId="0" borderId="0" applyFont="0" applyFill="0" applyBorder="0" applyAlignment="0" applyProtection="0"/>
  </cellStyleXfs>
  <cellXfs count="1042">
    <xf numFmtId="0" fontId="0" fillId="0" borderId="0" xfId="0"/>
    <xf numFmtId="0" fontId="0" fillId="2" borderId="0" xfId="0" applyFill="1"/>
    <xf numFmtId="4" fontId="0" fillId="3" borderId="0" xfId="0" applyNumberFormat="1" applyFill="1"/>
    <xf numFmtId="0" fontId="11" fillId="4" borderId="0" xfId="0" applyFont="1" applyFill="1" applyAlignment="1">
      <alignment horizontal="center"/>
    </xf>
    <xf numFmtId="0" fontId="11" fillId="4" borderId="0" xfId="0" applyFont="1" applyFill="1"/>
    <xf numFmtId="4" fontId="11" fillId="4" borderId="0" xfId="0" applyNumberFormat="1" applyFont="1" applyFill="1"/>
    <xf numFmtId="0" fontId="0" fillId="3" borderId="0" xfId="0" applyFill="1"/>
    <xf numFmtId="0" fontId="12" fillId="2" borderId="2" xfId="0" applyFont="1" applyFill="1" applyBorder="1" applyAlignment="1">
      <alignment horizontal="center"/>
    </xf>
    <xf numFmtId="168" fontId="11" fillId="5" borderId="3" xfId="0" applyNumberFormat="1" applyFont="1" applyFill="1" applyBorder="1" applyAlignment="1">
      <alignment horizontal="center" vertical="center"/>
    </xf>
    <xf numFmtId="168" fontId="11" fillId="5" borderId="2" xfId="0" applyNumberFormat="1" applyFont="1" applyFill="1" applyBorder="1" applyAlignment="1">
      <alignment horizontal="center" vertical="center"/>
    </xf>
    <xf numFmtId="168" fontId="13" fillId="6" borderId="2" xfId="0" applyNumberFormat="1" applyFont="1" applyFill="1" applyBorder="1" applyAlignment="1">
      <alignment horizontal="center"/>
    </xf>
    <xf numFmtId="0" fontId="14" fillId="2" borderId="0" xfId="0" applyFont="1" applyFill="1"/>
    <xf numFmtId="4" fontId="14" fillId="2" borderId="0" xfId="0" applyNumberFormat="1" applyFont="1" applyFill="1"/>
    <xf numFmtId="4" fontId="0" fillId="0" borderId="0" xfId="0" applyNumberFormat="1"/>
    <xf numFmtId="4" fontId="0" fillId="2" borderId="0" xfId="0" applyNumberFormat="1" applyFill="1"/>
    <xf numFmtId="0" fontId="11" fillId="2" borderId="4" xfId="0" applyFont="1" applyFill="1" applyBorder="1"/>
    <xf numFmtId="4" fontId="11" fillId="2" borderId="2" xfId="0" applyNumberFormat="1" applyFont="1" applyFill="1" applyBorder="1"/>
    <xf numFmtId="0" fontId="11" fillId="2" borderId="0" xfId="0" applyFont="1" applyFill="1"/>
    <xf numFmtId="4" fontId="11" fillId="2" borderId="3" xfId="0" applyNumberFormat="1" applyFont="1" applyFill="1" applyBorder="1"/>
    <xf numFmtId="4" fontId="11" fillId="2" borderId="5" xfId="0" applyNumberFormat="1" applyFont="1" applyFill="1" applyBorder="1"/>
    <xf numFmtId="4" fontId="11" fillId="2" borderId="4" xfId="0" applyNumberFormat="1" applyFont="1" applyFill="1" applyBorder="1"/>
    <xf numFmtId="4" fontId="14" fillId="7" borderId="0" xfId="0" applyNumberFormat="1" applyFont="1" applyFill="1"/>
    <xf numFmtId="0" fontId="11" fillId="2" borderId="2" xfId="0" applyFont="1" applyFill="1" applyBorder="1"/>
    <xf numFmtId="0" fontId="11" fillId="8" borderId="4" xfId="0" applyFont="1" applyFill="1" applyBorder="1" applyAlignment="1">
      <alignment vertical="center"/>
    </xf>
    <xf numFmtId="4" fontId="11" fillId="8" borderId="2" xfId="0" applyNumberFormat="1" applyFont="1" applyFill="1" applyBorder="1" applyAlignment="1">
      <alignment vertical="center"/>
    </xf>
    <xf numFmtId="0" fontId="11" fillId="4" borderId="0" xfId="0" applyFont="1" applyFill="1" applyAlignment="1">
      <alignment vertical="center"/>
    </xf>
    <xf numFmtId="4" fontId="11" fillId="8" borderId="3" xfId="0" applyNumberFormat="1" applyFont="1" applyFill="1" applyBorder="1" applyAlignment="1">
      <alignment vertical="center"/>
    </xf>
    <xf numFmtId="4" fontId="14" fillId="2" borderId="2" xfId="0" applyNumberFormat="1" applyFont="1" applyFill="1" applyBorder="1"/>
    <xf numFmtId="0" fontId="12" fillId="2" borderId="4" xfId="0" applyFont="1" applyFill="1" applyBorder="1"/>
    <xf numFmtId="4" fontId="12" fillId="2" borderId="2" xfId="0" applyNumberFormat="1" applyFont="1" applyFill="1" applyBorder="1"/>
    <xf numFmtId="0" fontId="12" fillId="2" borderId="0" xfId="0" applyFont="1" applyFill="1"/>
    <xf numFmtId="4" fontId="12" fillId="9" borderId="3" xfId="0" applyNumberFormat="1" applyFont="1" applyFill="1" applyBorder="1"/>
    <xf numFmtId="4" fontId="12" fillId="9" borderId="2" xfId="0" applyNumberFormat="1" applyFont="1" applyFill="1" applyBorder="1"/>
    <xf numFmtId="0" fontId="11" fillId="2" borderId="0" xfId="0" applyFont="1" applyFill="1" applyAlignment="1">
      <alignment horizontal="center"/>
    </xf>
    <xf numFmtId="0" fontId="16" fillId="2" borderId="0" xfId="0" applyFont="1" applyFill="1"/>
    <xf numFmtId="0" fontId="16" fillId="2" borderId="0" xfId="0" applyFont="1" applyFill="1" applyAlignment="1">
      <alignment horizontal="center"/>
    </xf>
    <xf numFmtId="168" fontId="12" fillId="2" borderId="0" xfId="0" applyNumberFormat="1" applyFont="1" applyFill="1"/>
    <xf numFmtId="0" fontId="15" fillId="0" borderId="0" xfId="0" applyFont="1"/>
    <xf numFmtId="4" fontId="17" fillId="2" borderId="0" xfId="0" applyNumberFormat="1" applyFont="1" applyFill="1"/>
    <xf numFmtId="0" fontId="17" fillId="2" borderId="0" xfId="0" applyFont="1" applyFill="1"/>
    <xf numFmtId="0" fontId="12" fillId="0" borderId="2" xfId="0" applyFont="1" applyBorder="1"/>
    <xf numFmtId="4" fontId="16" fillId="2" borderId="2" xfId="0" applyNumberFormat="1" applyFont="1" applyFill="1" applyBorder="1"/>
    <xf numFmtId="4" fontId="16" fillId="2" borderId="3" xfId="0" applyNumberFormat="1" applyFont="1" applyFill="1" applyBorder="1"/>
    <xf numFmtId="4" fontId="16" fillId="2" borderId="0" xfId="0" applyNumberFormat="1" applyFont="1" applyFill="1" applyAlignment="1">
      <alignment horizontal="right"/>
    </xf>
    <xf numFmtId="4" fontId="17" fillId="2" borderId="0" xfId="0" applyNumberFormat="1" applyFont="1" applyFill="1" applyAlignment="1">
      <alignment horizontal="right"/>
    </xf>
    <xf numFmtId="169" fontId="11" fillId="2" borderId="2" xfId="0" applyNumberFormat="1" applyFont="1" applyFill="1" applyBorder="1"/>
    <xf numFmtId="10" fontId="11" fillId="2" borderId="2" xfId="0" applyNumberFormat="1" applyFont="1" applyFill="1" applyBorder="1"/>
    <xf numFmtId="10" fontId="11" fillId="2" borderId="3" xfId="0" applyNumberFormat="1" applyFont="1" applyFill="1" applyBorder="1"/>
    <xf numFmtId="0" fontId="12" fillId="0" borderId="0" xfId="0" applyFont="1"/>
    <xf numFmtId="0" fontId="18" fillId="2" borderId="0" xfId="0" applyFont="1" applyFill="1"/>
    <xf numFmtId="9" fontId="0" fillId="3" borderId="0" xfId="0" applyNumberFormat="1" applyFill="1"/>
    <xf numFmtId="9" fontId="12" fillId="3" borderId="3" xfId="0" applyNumberFormat="1" applyFont="1" applyFill="1" applyBorder="1"/>
    <xf numFmtId="169" fontId="12" fillId="3" borderId="2" xfId="0" applyNumberFormat="1" applyFont="1" applyFill="1" applyBorder="1"/>
    <xf numFmtId="169" fontId="12" fillId="3" borderId="3" xfId="0" applyNumberFormat="1" applyFont="1" applyFill="1" applyBorder="1"/>
    <xf numFmtId="4" fontId="15" fillId="2" borderId="0" xfId="0" applyNumberFormat="1" applyFont="1" applyFill="1"/>
    <xf numFmtId="0" fontId="15" fillId="2" borderId="0" xfId="0" applyFont="1" applyFill="1"/>
    <xf numFmtId="4" fontId="12" fillId="2" borderId="10" xfId="0" applyNumberFormat="1" applyFont="1" applyFill="1" applyBorder="1"/>
    <xf numFmtId="4" fontId="12" fillId="2" borderId="3" xfId="0" applyNumberFormat="1" applyFont="1" applyFill="1" applyBorder="1"/>
    <xf numFmtId="0" fontId="15" fillId="3" borderId="0" xfId="0" applyFont="1" applyFill="1"/>
    <xf numFmtId="10" fontId="12" fillId="2" borderId="3" xfId="0" applyNumberFormat="1" applyFont="1" applyFill="1" applyBorder="1"/>
    <xf numFmtId="10" fontId="12" fillId="2" borderId="2" xfId="0" applyNumberFormat="1" applyFont="1" applyFill="1" applyBorder="1"/>
    <xf numFmtId="4" fontId="16" fillId="2" borderId="0" xfId="0" applyNumberFormat="1" applyFont="1" applyFill="1"/>
    <xf numFmtId="169" fontId="16" fillId="2" borderId="2" xfId="0" applyNumberFormat="1" applyFont="1" applyFill="1" applyBorder="1"/>
    <xf numFmtId="10" fontId="16" fillId="2" borderId="2" xfId="0" applyNumberFormat="1" applyFont="1" applyFill="1" applyBorder="1"/>
    <xf numFmtId="10" fontId="16" fillId="2" borderId="3" xfId="0" applyNumberFormat="1" applyFont="1" applyFill="1" applyBorder="1"/>
    <xf numFmtId="4" fontId="12" fillId="3" borderId="2" xfId="0" applyNumberFormat="1" applyFont="1" applyFill="1" applyBorder="1" applyAlignment="1">
      <alignment horizontal="center" vertical="center"/>
    </xf>
    <xf numFmtId="4" fontId="12" fillId="3" borderId="3" xfId="0" applyNumberFormat="1" applyFont="1" applyFill="1" applyBorder="1" applyAlignment="1">
      <alignment horizontal="center" vertical="center"/>
    </xf>
    <xf numFmtId="4" fontId="0" fillId="0" borderId="2" xfId="0" applyNumberFormat="1" applyBorder="1" applyAlignment="1">
      <alignment horizontal="center" vertical="center"/>
    </xf>
    <xf numFmtId="0" fontId="0" fillId="0" borderId="11" xfId="0" applyBorder="1"/>
    <xf numFmtId="0" fontId="12" fillId="3" borderId="0" xfId="0" applyFont="1" applyFill="1"/>
    <xf numFmtId="17" fontId="0" fillId="3" borderId="0" xfId="0" applyNumberFormat="1" applyFill="1"/>
    <xf numFmtId="0" fontId="8" fillId="0" borderId="0" xfId="1"/>
    <xf numFmtId="4" fontId="8" fillId="0" borderId="0" xfId="1" applyNumberFormat="1"/>
    <xf numFmtId="9" fontId="8" fillId="0" borderId="0" xfId="1" applyNumberFormat="1"/>
    <xf numFmtId="4" fontId="10" fillId="0" borderId="2" xfId="1" applyNumberFormat="1" applyFont="1" applyBorder="1"/>
    <xf numFmtId="4" fontId="8" fillId="0" borderId="2" xfId="1" applyNumberFormat="1" applyBorder="1"/>
    <xf numFmtId="0" fontId="10" fillId="0" borderId="2" xfId="1" applyFont="1" applyBorder="1"/>
    <xf numFmtId="17" fontId="9" fillId="10" borderId="2" xfId="1" applyNumberFormat="1" applyFont="1" applyFill="1" applyBorder="1"/>
    <xf numFmtId="9" fontId="8" fillId="0" borderId="2" xfId="1" applyNumberFormat="1" applyBorder="1"/>
    <xf numFmtId="17" fontId="9" fillId="10" borderId="13" xfId="1" applyNumberFormat="1" applyFont="1" applyFill="1" applyBorder="1"/>
    <xf numFmtId="9" fontId="8" fillId="0" borderId="17" xfId="1" applyNumberFormat="1" applyBorder="1"/>
    <xf numFmtId="0" fontId="0" fillId="0" borderId="2" xfId="0" applyBorder="1"/>
    <xf numFmtId="4" fontId="15" fillId="0" borderId="2" xfId="0" applyNumberFormat="1" applyFont="1" applyBorder="1"/>
    <xf numFmtId="4" fontId="0" fillId="0" borderId="2" xfId="0" applyNumberFormat="1" applyBorder="1"/>
    <xf numFmtId="0" fontId="15" fillId="0" borderId="2" xfId="0" applyFont="1" applyBorder="1"/>
    <xf numFmtId="4" fontId="0" fillId="0" borderId="3" xfId="0" applyNumberFormat="1" applyBorder="1"/>
    <xf numFmtId="4" fontId="0" fillId="0" borderId="12" xfId="0" applyNumberFormat="1" applyBorder="1"/>
    <xf numFmtId="4" fontId="12" fillId="0" borderId="2" xfId="0" applyNumberFormat="1" applyFont="1" applyBorder="1"/>
    <xf numFmtId="0" fontId="0" fillId="0" borderId="2" xfId="0" applyBorder="1" applyAlignment="1">
      <alignment horizontal="center"/>
    </xf>
    <xf numFmtId="10" fontId="0" fillId="0" borderId="0" xfId="0" applyNumberFormat="1"/>
    <xf numFmtId="0" fontId="12" fillId="0" borderId="10" xfId="0" applyFont="1" applyBorder="1"/>
    <xf numFmtId="4" fontId="0" fillId="3" borderId="2" xfId="0" applyNumberFormat="1" applyFill="1" applyBorder="1"/>
    <xf numFmtId="0" fontId="0" fillId="3" borderId="2" xfId="0" applyFill="1" applyBorder="1"/>
    <xf numFmtId="0" fontId="0" fillId="0" borderId="0" xfId="0" applyAlignment="1">
      <alignment horizontal="center"/>
    </xf>
    <xf numFmtId="0" fontId="15" fillId="0" borderId="0" xfId="0" applyFont="1" applyAlignment="1">
      <alignment horizontal="center"/>
    </xf>
    <xf numFmtId="4" fontId="0" fillId="0" borderId="0" xfId="0" applyNumberFormat="1" applyAlignment="1">
      <alignment horizontal="center"/>
    </xf>
    <xf numFmtId="9" fontId="12" fillId="0" borderId="2" xfId="0" applyNumberFormat="1" applyFont="1" applyBorder="1" applyAlignment="1">
      <alignment horizontal="center"/>
    </xf>
    <xf numFmtId="4" fontId="12" fillId="3" borderId="0" xfId="0" applyNumberFormat="1" applyFont="1" applyFill="1"/>
    <xf numFmtId="0" fontId="12" fillId="3" borderId="2" xfId="0" applyFont="1" applyFill="1" applyBorder="1"/>
    <xf numFmtId="4" fontId="12" fillId="3" borderId="2" xfId="0" applyNumberFormat="1" applyFont="1" applyFill="1" applyBorder="1"/>
    <xf numFmtId="9" fontId="8" fillId="0" borderId="34" xfId="1" applyNumberFormat="1" applyBorder="1"/>
    <xf numFmtId="4" fontId="8" fillId="0" borderId="34" xfId="1" applyNumberFormat="1" applyBorder="1"/>
    <xf numFmtId="4" fontId="15" fillId="3" borderId="0" xfId="0" applyNumberFormat="1" applyFont="1" applyFill="1"/>
    <xf numFmtId="4" fontId="12" fillId="3" borderId="0" xfId="0" applyNumberFormat="1" applyFont="1" applyFill="1" applyAlignment="1">
      <alignment horizontal="center" vertical="center"/>
    </xf>
    <xf numFmtId="4" fontId="0" fillId="0" borderId="0" xfId="0" applyNumberFormat="1" applyAlignment="1">
      <alignment horizontal="center" vertical="center"/>
    </xf>
    <xf numFmtId="0" fontId="10" fillId="0" borderId="0" xfId="1" applyFont="1"/>
    <xf numFmtId="0" fontId="8" fillId="3" borderId="0" xfId="1" applyFill="1"/>
    <xf numFmtId="0" fontId="8" fillId="3" borderId="2" xfId="1" applyFill="1" applyBorder="1"/>
    <xf numFmtId="17" fontId="9" fillId="10" borderId="37" xfId="1" applyNumberFormat="1" applyFont="1" applyFill="1" applyBorder="1"/>
    <xf numFmtId="17" fontId="9" fillId="10" borderId="38" xfId="1" applyNumberFormat="1" applyFont="1" applyFill="1" applyBorder="1"/>
    <xf numFmtId="0" fontId="8" fillId="0" borderId="2" xfId="1" applyBorder="1"/>
    <xf numFmtId="0" fontId="0" fillId="10" borderId="0" xfId="0" applyFill="1"/>
    <xf numFmtId="0" fontId="21" fillId="10" borderId="0" xfId="0" applyFont="1" applyFill="1"/>
    <xf numFmtId="0" fontId="0" fillId="3" borderId="0" xfId="0" applyFill="1" applyAlignment="1">
      <alignment horizontal="center"/>
    </xf>
    <xf numFmtId="4" fontId="0" fillId="3" borderId="0" xfId="0" applyNumberFormat="1" applyFill="1" applyAlignment="1">
      <alignment horizontal="center"/>
    </xf>
    <xf numFmtId="0" fontId="21" fillId="10" borderId="2" xfId="0" applyFont="1" applyFill="1" applyBorder="1" applyAlignment="1">
      <alignment horizontal="center"/>
    </xf>
    <xf numFmtId="9" fontId="8" fillId="0" borderId="3" xfId="1" applyNumberFormat="1" applyBorder="1"/>
    <xf numFmtId="0" fontId="10" fillId="0" borderId="0" xfId="1" applyFont="1" applyAlignment="1">
      <alignment horizontal="center" wrapText="1"/>
    </xf>
    <xf numFmtId="0" fontId="10" fillId="0" borderId="10" xfId="1" applyFont="1" applyBorder="1"/>
    <xf numFmtId="4" fontId="8" fillId="0" borderId="3" xfId="1" applyNumberFormat="1" applyBorder="1"/>
    <xf numFmtId="0" fontId="10" fillId="0" borderId="0" xfId="1" applyFont="1" applyAlignment="1">
      <alignment horizontal="center" vertical="center" wrapText="1"/>
    </xf>
    <xf numFmtId="0" fontId="10" fillId="0" borderId="2" xfId="1" applyFont="1" applyBorder="1" applyAlignment="1">
      <alignment horizontal="center" vertical="center" wrapText="1"/>
    </xf>
    <xf numFmtId="0" fontId="21" fillId="10" borderId="2" xfId="0" applyFont="1" applyFill="1" applyBorder="1"/>
    <xf numFmtId="168" fontId="13" fillId="6" borderId="2" xfId="0" applyNumberFormat="1" applyFont="1" applyFill="1" applyBorder="1"/>
    <xf numFmtId="4" fontId="21" fillId="14" borderId="2" xfId="0" applyNumberFormat="1" applyFont="1" applyFill="1" applyBorder="1"/>
    <xf numFmtId="4" fontId="21" fillId="14" borderId="2" xfId="0" applyNumberFormat="1" applyFont="1" applyFill="1" applyBorder="1" applyAlignment="1">
      <alignment horizontal="center"/>
    </xf>
    <xf numFmtId="0" fontId="21" fillId="14" borderId="20" xfId="0" applyFont="1" applyFill="1" applyBorder="1"/>
    <xf numFmtId="0" fontId="21" fillId="14" borderId="2" xfId="0" applyFont="1" applyFill="1" applyBorder="1"/>
    <xf numFmtId="0" fontId="21" fillId="14" borderId="21" xfId="0" applyFont="1" applyFill="1" applyBorder="1"/>
    <xf numFmtId="0" fontId="21" fillId="14" borderId="19" xfId="0" applyFont="1" applyFill="1" applyBorder="1"/>
    <xf numFmtId="0" fontId="15" fillId="3" borderId="2" xfId="0" applyFont="1" applyFill="1" applyBorder="1"/>
    <xf numFmtId="9" fontId="0" fillId="3" borderId="2" xfId="0" applyNumberFormat="1" applyFill="1" applyBorder="1"/>
    <xf numFmtId="0" fontId="12" fillId="3" borderId="0" xfId="0" applyFont="1" applyFill="1" applyAlignment="1">
      <alignment horizontal="center"/>
    </xf>
    <xf numFmtId="0" fontId="21" fillId="10" borderId="6" xfId="0" applyFont="1" applyFill="1" applyBorder="1" applyAlignment="1">
      <alignment horizontal="center"/>
    </xf>
    <xf numFmtId="0" fontId="21" fillId="10" borderId="7" xfId="0" applyFont="1" applyFill="1" applyBorder="1" applyAlignment="1">
      <alignment horizontal="center"/>
    </xf>
    <xf numFmtId="168" fontId="13" fillId="6" borderId="48" xfId="0" applyNumberFormat="1" applyFont="1" applyFill="1" applyBorder="1" applyAlignment="1">
      <alignment horizontal="center" vertical="center"/>
    </xf>
    <xf numFmtId="168" fontId="13" fillId="6" borderId="28" xfId="0" applyNumberFormat="1" applyFont="1" applyFill="1" applyBorder="1" applyAlignment="1">
      <alignment horizontal="center" vertical="center"/>
    </xf>
    <xf numFmtId="168" fontId="13" fillId="6" borderId="28" xfId="0" applyNumberFormat="1" applyFont="1" applyFill="1" applyBorder="1" applyAlignment="1">
      <alignment horizontal="center"/>
    </xf>
    <xf numFmtId="168" fontId="13" fillId="6" borderId="29" xfId="0" applyNumberFormat="1" applyFont="1" applyFill="1" applyBorder="1" applyAlignment="1">
      <alignment horizontal="center"/>
    </xf>
    <xf numFmtId="4" fontId="0" fillId="10" borderId="0" xfId="0" applyNumberFormat="1" applyFill="1"/>
    <xf numFmtId="0" fontId="15" fillId="10" borderId="0" xfId="0" applyFont="1" applyFill="1"/>
    <xf numFmtId="0" fontId="0" fillId="3" borderId="3" xfId="0" applyFill="1" applyBorder="1"/>
    <xf numFmtId="0" fontId="0" fillId="3" borderId="20" xfId="0" applyFill="1" applyBorder="1"/>
    <xf numFmtId="0" fontId="0" fillId="10" borderId="50" xfId="0" applyFill="1" applyBorder="1"/>
    <xf numFmtId="0" fontId="0" fillId="10" borderId="51" xfId="0" applyFill="1" applyBorder="1"/>
    <xf numFmtId="0" fontId="0" fillId="10" borderId="52" xfId="0" applyFill="1" applyBorder="1"/>
    <xf numFmtId="0" fontId="0" fillId="10" borderId="53" xfId="0" applyFill="1" applyBorder="1"/>
    <xf numFmtId="4" fontId="12" fillId="3" borderId="3" xfId="0" applyNumberFormat="1" applyFont="1" applyFill="1" applyBorder="1"/>
    <xf numFmtId="4" fontId="12" fillId="3" borderId="10" xfId="0" applyNumberFormat="1" applyFont="1" applyFill="1" applyBorder="1"/>
    <xf numFmtId="4" fontId="12" fillId="3" borderId="19" xfId="0" applyNumberFormat="1" applyFont="1" applyFill="1" applyBorder="1"/>
    <xf numFmtId="0" fontId="0" fillId="10" borderId="32" xfId="0" applyFill="1" applyBorder="1"/>
    <xf numFmtId="0" fontId="14" fillId="2" borderId="0" xfId="0" applyFont="1" applyFill="1" applyAlignment="1">
      <alignment wrapText="1"/>
    </xf>
    <xf numFmtId="0" fontId="21" fillId="10" borderId="48" xfId="0" applyFont="1" applyFill="1" applyBorder="1" applyAlignment="1">
      <alignment horizontal="center"/>
    </xf>
    <xf numFmtId="0" fontId="13" fillId="15" borderId="29" xfId="0" applyFont="1" applyFill="1" applyBorder="1" applyAlignment="1">
      <alignment horizontal="center"/>
    </xf>
    <xf numFmtId="0" fontId="0" fillId="15" borderId="7" xfId="0" applyFill="1" applyBorder="1"/>
    <xf numFmtId="168" fontId="13" fillId="6" borderId="27" xfId="0" applyNumberFormat="1" applyFont="1" applyFill="1" applyBorder="1" applyAlignment="1">
      <alignment horizontal="center" vertical="center"/>
    </xf>
    <xf numFmtId="0" fontId="12" fillId="10" borderId="52" xfId="0" applyFont="1" applyFill="1" applyBorder="1" applyAlignment="1">
      <alignment horizontal="center"/>
    </xf>
    <xf numFmtId="4" fontId="0" fillId="10" borderId="6" xfId="0" applyNumberFormat="1" applyFill="1" applyBorder="1" applyAlignment="1">
      <alignment horizontal="center"/>
    </xf>
    <xf numFmtId="0" fontId="0" fillId="10" borderId="7" xfId="0" applyFill="1" applyBorder="1"/>
    <xf numFmtId="9" fontId="12" fillId="0" borderId="0" xfId="0" applyNumberFormat="1" applyFont="1" applyAlignment="1">
      <alignment horizontal="center"/>
    </xf>
    <xf numFmtId="4" fontId="0" fillId="0" borderId="31" xfId="0" applyNumberFormat="1" applyBorder="1"/>
    <xf numFmtId="0" fontId="15" fillId="0" borderId="31" xfId="0" applyFont="1" applyBorder="1" applyAlignment="1">
      <alignment horizontal="center"/>
    </xf>
    <xf numFmtId="9" fontId="0" fillId="0" borderId="31" xfId="0" applyNumberFormat="1" applyBorder="1" applyAlignment="1">
      <alignment horizontal="center"/>
    </xf>
    <xf numFmtId="9" fontId="15" fillId="0" borderId="31" xfId="0" applyNumberFormat="1" applyFont="1" applyBorder="1" applyAlignment="1">
      <alignment horizontal="center"/>
    </xf>
    <xf numFmtId="4" fontId="0" fillId="0" borderId="33" xfId="0" applyNumberFormat="1" applyBorder="1"/>
    <xf numFmtId="0" fontId="15" fillId="0" borderId="33" xfId="0" applyFont="1" applyBorder="1" applyAlignment="1">
      <alignment horizontal="center"/>
    </xf>
    <xf numFmtId="9" fontId="0" fillId="0" borderId="33" xfId="0" applyNumberFormat="1" applyBorder="1" applyAlignment="1">
      <alignment horizontal="center"/>
    </xf>
    <xf numFmtId="9" fontId="15" fillId="0" borderId="33" xfId="0" applyNumberFormat="1" applyFont="1" applyBorder="1" applyAlignment="1">
      <alignment horizontal="center"/>
    </xf>
    <xf numFmtId="4" fontId="0" fillId="0" borderId="31" xfId="0" applyNumberFormat="1" applyBorder="1" applyAlignment="1">
      <alignment horizontal="center"/>
    </xf>
    <xf numFmtId="4" fontId="0" fillId="0" borderId="33" xfId="0" applyNumberFormat="1" applyBorder="1" applyAlignment="1">
      <alignment horizontal="center"/>
    </xf>
    <xf numFmtId="0" fontId="0" fillId="0" borderId="31" xfId="0" applyBorder="1" applyAlignment="1">
      <alignment horizontal="center"/>
    </xf>
    <xf numFmtId="0" fontId="12" fillId="0" borderId="27" xfId="0" applyFont="1" applyBorder="1"/>
    <xf numFmtId="0" fontId="12" fillId="0" borderId="28" xfId="0" applyFont="1" applyBorder="1" applyAlignment="1">
      <alignment horizontal="center"/>
    </xf>
    <xf numFmtId="17" fontId="12" fillId="0" borderId="28" xfId="0" applyNumberFormat="1" applyFont="1" applyBorder="1" applyAlignment="1">
      <alignment horizontal="center"/>
    </xf>
    <xf numFmtId="17" fontId="12" fillId="0" borderId="28" xfId="0" applyNumberFormat="1" applyFont="1" applyBorder="1"/>
    <xf numFmtId="4" fontId="0" fillId="0" borderId="10" xfId="0" applyNumberFormat="1" applyBorder="1"/>
    <xf numFmtId="0" fontId="0" fillId="0" borderId="12" xfId="0" applyBorder="1"/>
    <xf numFmtId="0" fontId="13" fillId="16" borderId="4" xfId="0" applyFont="1" applyFill="1" applyBorder="1" applyAlignment="1">
      <alignment vertical="center"/>
    </xf>
    <xf numFmtId="4" fontId="13" fillId="16" borderId="2" xfId="0" applyNumberFormat="1" applyFont="1" applyFill="1" applyBorder="1" applyAlignment="1">
      <alignment vertical="center"/>
    </xf>
    <xf numFmtId="0" fontId="13" fillId="15" borderId="2" xfId="0" applyFont="1" applyFill="1" applyBorder="1" applyAlignment="1">
      <alignment horizontal="center"/>
    </xf>
    <xf numFmtId="9" fontId="0" fillId="3" borderId="2" xfId="0" applyNumberFormat="1" applyFill="1" applyBorder="1" applyAlignment="1">
      <alignment horizontal="center" vertical="center"/>
    </xf>
    <xf numFmtId="9" fontId="0" fillId="3" borderId="2" xfId="0" applyNumberFormat="1" applyFill="1" applyBorder="1" applyAlignment="1">
      <alignment horizontal="center"/>
    </xf>
    <xf numFmtId="9" fontId="0" fillId="3" borderId="2" xfId="3" applyFont="1" applyFill="1" applyBorder="1" applyAlignment="1">
      <alignment horizontal="center"/>
    </xf>
    <xf numFmtId="0" fontId="21" fillId="10" borderId="55" xfId="0" applyFont="1" applyFill="1" applyBorder="1"/>
    <xf numFmtId="0" fontId="26" fillId="3" borderId="0" xfId="4" applyFont="1" applyFill="1"/>
    <xf numFmtId="0" fontId="27" fillId="2" borderId="2" xfId="4" applyFont="1" applyFill="1" applyBorder="1" applyAlignment="1">
      <alignment horizontal="center"/>
    </xf>
    <xf numFmtId="171" fontId="27" fillId="2" borderId="2" xfId="4" applyNumberFormat="1" applyFont="1" applyFill="1" applyBorder="1" applyAlignment="1">
      <alignment horizontal="center"/>
    </xf>
    <xf numFmtId="2" fontId="27" fillId="2" borderId="2" xfId="5" applyNumberFormat="1" applyFont="1" applyFill="1" applyBorder="1" applyAlignment="1">
      <alignment horizontal="center"/>
    </xf>
    <xf numFmtId="0" fontId="27" fillId="2" borderId="2" xfId="4" applyFont="1" applyFill="1" applyBorder="1"/>
    <xf numFmtId="17" fontId="28" fillId="2" borderId="39" xfId="4" applyNumberFormat="1" applyFont="1" applyFill="1" applyBorder="1"/>
    <xf numFmtId="4" fontId="29" fillId="2" borderId="39" xfId="4" applyNumberFormat="1" applyFont="1" applyFill="1" applyBorder="1"/>
    <xf numFmtId="0" fontId="15" fillId="17" borderId="0" xfId="4" applyFill="1"/>
    <xf numFmtId="14" fontId="14" fillId="2" borderId="39" xfId="4" applyNumberFormat="1" applyFont="1" applyFill="1" applyBorder="1"/>
    <xf numFmtId="17" fontId="14" fillId="2" borderId="39" xfId="4" applyNumberFormat="1" applyFont="1" applyFill="1" applyBorder="1"/>
    <xf numFmtId="0" fontId="15" fillId="2" borderId="0" xfId="4" applyFill="1"/>
    <xf numFmtId="0" fontId="15" fillId="3" borderId="0" xfId="4" applyFill="1"/>
    <xf numFmtId="4" fontId="29" fillId="4" borderId="39" xfId="4" applyNumberFormat="1" applyFont="1" applyFill="1" applyBorder="1"/>
    <xf numFmtId="9" fontId="15" fillId="2" borderId="0" xfId="4" applyNumberFormat="1" applyFill="1"/>
    <xf numFmtId="0" fontId="15" fillId="0" borderId="0" xfId="4"/>
    <xf numFmtId="14" fontId="26" fillId="3" borderId="2" xfId="4" applyNumberFormat="1" applyFont="1" applyFill="1" applyBorder="1"/>
    <xf numFmtId="0" fontId="26" fillId="3" borderId="2" xfId="4" applyFont="1" applyFill="1" applyBorder="1"/>
    <xf numFmtId="17" fontId="26" fillId="3" borderId="2" xfId="4" applyNumberFormat="1" applyFont="1" applyFill="1" applyBorder="1"/>
    <xf numFmtId="0" fontId="26" fillId="0" borderId="2" xfId="4" applyFont="1" applyBorder="1"/>
    <xf numFmtId="0" fontId="26" fillId="0" borderId="0" xfId="4" applyFont="1"/>
    <xf numFmtId="4" fontId="26" fillId="0" borderId="2" xfId="5" applyNumberFormat="1" applyFont="1" applyFill="1" applyBorder="1"/>
    <xf numFmtId="9" fontId="15" fillId="0" borderId="0" xfId="0" applyNumberFormat="1" applyFont="1" applyAlignment="1">
      <alignment horizontal="center"/>
    </xf>
    <xf numFmtId="0" fontId="21" fillId="10" borderId="38" xfId="0" applyFont="1" applyFill="1" applyBorder="1"/>
    <xf numFmtId="0" fontId="24" fillId="0" borderId="10" xfId="0" applyFont="1" applyBorder="1"/>
    <xf numFmtId="4" fontId="24" fillId="0" borderId="10" xfId="0" applyNumberFormat="1" applyFont="1" applyBorder="1"/>
    <xf numFmtId="0" fontId="0" fillId="0" borderId="24" xfId="0" applyBorder="1"/>
    <xf numFmtId="4" fontId="12" fillId="0" borderId="2" xfId="0" applyNumberFormat="1" applyFont="1" applyBorder="1" applyAlignment="1">
      <alignment horizontal="center"/>
    </xf>
    <xf numFmtId="9" fontId="12" fillId="3" borderId="36" xfId="0" applyNumberFormat="1" applyFont="1" applyFill="1" applyBorder="1" applyAlignment="1">
      <alignment horizontal="center"/>
    </xf>
    <xf numFmtId="9" fontId="12" fillId="3" borderId="14" xfId="0" applyNumberFormat="1" applyFont="1" applyFill="1" applyBorder="1" applyAlignment="1">
      <alignment horizontal="center"/>
    </xf>
    <xf numFmtId="9" fontId="12" fillId="3" borderId="16" xfId="0" applyNumberFormat="1" applyFont="1" applyFill="1" applyBorder="1" applyAlignment="1">
      <alignment horizontal="center"/>
    </xf>
    <xf numFmtId="4" fontId="12" fillId="3" borderId="34" xfId="0" applyNumberFormat="1" applyFont="1" applyFill="1" applyBorder="1" applyAlignment="1">
      <alignment horizontal="center"/>
    </xf>
    <xf numFmtId="4" fontId="12" fillId="3" borderId="2" xfId="0" applyNumberFormat="1" applyFont="1" applyFill="1" applyBorder="1" applyAlignment="1">
      <alignment horizontal="center"/>
    </xf>
    <xf numFmtId="4" fontId="12" fillId="3" borderId="17" xfId="0" applyNumberFormat="1" applyFont="1" applyFill="1" applyBorder="1" applyAlignment="1">
      <alignment horizontal="center"/>
    </xf>
    <xf numFmtId="4" fontId="0" fillId="12" borderId="0" xfId="0" applyNumberFormat="1" applyFill="1"/>
    <xf numFmtId="4" fontId="12" fillId="0" borderId="0" xfId="0" applyNumberFormat="1" applyFont="1" applyAlignment="1">
      <alignment horizontal="center"/>
    </xf>
    <xf numFmtId="9" fontId="12" fillId="0" borderId="43" xfId="0" applyNumberFormat="1" applyFont="1" applyBorder="1" applyAlignment="1">
      <alignment horizontal="center"/>
    </xf>
    <xf numFmtId="4" fontId="12" fillId="0" borderId="44" xfId="0" applyNumberFormat="1" applyFont="1" applyBorder="1" applyAlignment="1">
      <alignment horizontal="center"/>
    </xf>
    <xf numFmtId="14" fontId="15" fillId="0" borderId="31" xfId="0" applyNumberFormat="1" applyFont="1" applyBorder="1" applyAlignment="1">
      <alignment horizontal="center"/>
    </xf>
    <xf numFmtId="14" fontId="21" fillId="10" borderId="55" xfId="0" applyNumberFormat="1" applyFont="1" applyFill="1" applyBorder="1"/>
    <xf numFmtId="4" fontId="12" fillId="2" borderId="0" xfId="0" applyNumberFormat="1" applyFont="1" applyFill="1"/>
    <xf numFmtId="4" fontId="12" fillId="18" borderId="0" xfId="0" applyNumberFormat="1" applyFont="1" applyFill="1"/>
    <xf numFmtId="0" fontId="27" fillId="0" borderId="2" xfId="4" applyFont="1" applyBorder="1" applyAlignment="1">
      <alignment horizontal="center"/>
    </xf>
    <xf numFmtId="0" fontId="21" fillId="10" borderId="59" xfId="0" applyFont="1" applyFill="1" applyBorder="1"/>
    <xf numFmtId="173" fontId="21" fillId="10" borderId="0" xfId="0" applyNumberFormat="1" applyFont="1" applyFill="1"/>
    <xf numFmtId="0" fontId="21" fillId="12" borderId="55" xfId="0" applyFont="1" applyFill="1" applyBorder="1"/>
    <xf numFmtId="174" fontId="21" fillId="10" borderId="55" xfId="0" applyNumberFormat="1" applyFont="1" applyFill="1" applyBorder="1"/>
    <xf numFmtId="174" fontId="21" fillId="10" borderId="60" xfId="0" applyNumberFormat="1" applyFont="1" applyFill="1" applyBorder="1"/>
    <xf numFmtId="174" fontId="21" fillId="10" borderId="61" xfId="0" applyNumberFormat="1" applyFont="1" applyFill="1" applyBorder="1"/>
    <xf numFmtId="175" fontId="21" fillId="10" borderId="0" xfId="0" applyNumberFormat="1" applyFont="1" applyFill="1"/>
    <xf numFmtId="174" fontId="21" fillId="10" borderId="0" xfId="0" applyNumberFormat="1" applyFont="1" applyFill="1"/>
    <xf numFmtId="176" fontId="21" fillId="10" borderId="0" xfId="0" applyNumberFormat="1" applyFont="1" applyFill="1"/>
    <xf numFmtId="4" fontId="0" fillId="3" borderId="31" xfId="0" applyNumberFormat="1" applyFill="1" applyBorder="1"/>
    <xf numFmtId="4" fontId="0" fillId="3" borderId="33" xfId="0" applyNumberFormat="1" applyFill="1" applyBorder="1"/>
    <xf numFmtId="4" fontId="0" fillId="3" borderId="41" xfId="0" applyNumberFormat="1" applyFill="1" applyBorder="1"/>
    <xf numFmtId="4" fontId="0" fillId="3" borderId="42" xfId="0" applyNumberFormat="1" applyFill="1" applyBorder="1"/>
    <xf numFmtId="0" fontId="12" fillId="0" borderId="43" xfId="0" applyFont="1" applyBorder="1"/>
    <xf numFmtId="0" fontId="12" fillId="0" borderId="44" xfId="0" applyFont="1" applyBorder="1" applyAlignment="1">
      <alignment horizontal="center"/>
    </xf>
    <xf numFmtId="17" fontId="12" fillId="0" borderId="44" xfId="0" applyNumberFormat="1" applyFont="1" applyBorder="1" applyAlignment="1">
      <alignment horizontal="center"/>
    </xf>
    <xf numFmtId="17" fontId="12" fillId="0" borderId="44" xfId="0" applyNumberFormat="1" applyFont="1" applyBorder="1"/>
    <xf numFmtId="9" fontId="0" fillId="0" borderId="0" xfId="0" applyNumberFormat="1" applyAlignment="1">
      <alignment horizontal="center"/>
    </xf>
    <xf numFmtId="0" fontId="15" fillId="3" borderId="31" xfId="0" applyFont="1" applyFill="1" applyBorder="1" applyAlignment="1">
      <alignment horizontal="center"/>
    </xf>
    <xf numFmtId="9" fontId="15" fillId="3" borderId="31" xfId="0" applyNumberFormat="1" applyFont="1" applyFill="1" applyBorder="1" applyAlignment="1">
      <alignment horizontal="center"/>
    </xf>
    <xf numFmtId="0" fontId="15" fillId="3" borderId="33" xfId="0" applyFont="1" applyFill="1" applyBorder="1" applyAlignment="1">
      <alignment horizontal="center"/>
    </xf>
    <xf numFmtId="9" fontId="15" fillId="3" borderId="33" xfId="0" applyNumberFormat="1" applyFont="1" applyFill="1" applyBorder="1" applyAlignment="1">
      <alignment horizontal="center"/>
    </xf>
    <xf numFmtId="4" fontId="0" fillId="0" borderId="41" xfId="0" applyNumberFormat="1" applyBorder="1"/>
    <xf numFmtId="4" fontId="0" fillId="0" borderId="42" xfId="0" applyNumberFormat="1" applyBorder="1"/>
    <xf numFmtId="4" fontId="0" fillId="0" borderId="49" xfId="0" applyNumberFormat="1" applyBorder="1"/>
    <xf numFmtId="0" fontId="12" fillId="0" borderId="6" xfId="0" applyFont="1" applyBorder="1"/>
    <xf numFmtId="4" fontId="0" fillId="12" borderId="31" xfId="0" applyNumberFormat="1" applyFill="1" applyBorder="1"/>
    <xf numFmtId="0" fontId="15" fillId="12" borderId="31" xfId="0" applyFont="1" applyFill="1" applyBorder="1" applyAlignment="1">
      <alignment horizontal="center"/>
    </xf>
    <xf numFmtId="4" fontId="0" fillId="12" borderId="33" xfId="0" applyNumberFormat="1" applyFill="1" applyBorder="1"/>
    <xf numFmtId="0" fontId="15" fillId="12" borderId="33" xfId="0" applyFont="1" applyFill="1" applyBorder="1" applyAlignment="1">
      <alignment horizontal="center"/>
    </xf>
    <xf numFmtId="0" fontId="0" fillId="12" borderId="33" xfId="0" applyFill="1" applyBorder="1" applyAlignment="1">
      <alignment horizontal="center"/>
    </xf>
    <xf numFmtId="0" fontId="15" fillId="12" borderId="0" xfId="0" applyFont="1" applyFill="1" applyAlignment="1">
      <alignment horizontal="center"/>
    </xf>
    <xf numFmtId="0" fontId="0" fillId="12" borderId="31" xfId="0" applyFill="1" applyBorder="1" applyAlignment="1">
      <alignment horizontal="center"/>
    </xf>
    <xf numFmtId="0" fontId="0" fillId="0" borderId="33" xfId="0" applyBorder="1" applyAlignment="1">
      <alignment horizontal="center"/>
    </xf>
    <xf numFmtId="0" fontId="0" fillId="0" borderId="31" xfId="0" applyBorder="1"/>
    <xf numFmtId="0" fontId="0" fillId="0" borderId="34" xfId="0" applyBorder="1"/>
    <xf numFmtId="174" fontId="0" fillId="0" borderId="34" xfId="8" applyNumberFormat="1" applyFont="1" applyBorder="1"/>
    <xf numFmtId="174" fontId="0" fillId="0" borderId="2" xfId="8" applyNumberFormat="1" applyFont="1" applyBorder="1"/>
    <xf numFmtId="174" fontId="0" fillId="0" borderId="0" xfId="0" applyNumberFormat="1"/>
    <xf numFmtId="174" fontId="30" fillId="0" borderId="34" xfId="8" applyNumberFormat="1" applyFont="1" applyBorder="1"/>
    <xf numFmtId="174" fontId="30" fillId="0" borderId="2" xfId="8" applyNumberFormat="1" applyFont="1" applyBorder="1"/>
    <xf numFmtId="43" fontId="0" fillId="0" borderId="0" xfId="8" applyFont="1"/>
    <xf numFmtId="43" fontId="0" fillId="0" borderId="0" xfId="0" applyNumberFormat="1"/>
    <xf numFmtId="9" fontId="0" fillId="0" borderId="0" xfId="3" applyFont="1"/>
    <xf numFmtId="174" fontId="30" fillId="0" borderId="56" xfId="8" applyNumberFormat="1" applyFont="1" applyBorder="1"/>
    <xf numFmtId="43" fontId="0" fillId="0" borderId="2" xfId="0" applyNumberFormat="1" applyBorder="1"/>
    <xf numFmtId="17" fontId="12" fillId="0" borderId="2" xfId="0" applyNumberFormat="1" applyFont="1" applyBorder="1" applyAlignment="1">
      <alignment horizontal="center" wrapText="1"/>
    </xf>
    <xf numFmtId="10" fontId="0" fillId="0" borderId="2" xfId="0" applyNumberFormat="1" applyBorder="1"/>
    <xf numFmtId="9" fontId="0" fillId="0" borderId="0" xfId="0" applyNumberFormat="1"/>
    <xf numFmtId="17" fontId="12" fillId="0" borderId="2" xfId="0" applyNumberFormat="1" applyFont="1" applyBorder="1" applyAlignment="1">
      <alignment horizontal="center"/>
    </xf>
    <xf numFmtId="17" fontId="12" fillId="0" borderId="2" xfId="0" applyNumberFormat="1" applyFont="1" applyBorder="1"/>
    <xf numFmtId="43" fontId="0" fillId="0" borderId="10" xfId="0" applyNumberFormat="1" applyBorder="1"/>
    <xf numFmtId="43" fontId="0" fillId="0" borderId="12" xfId="0" applyNumberFormat="1" applyBorder="1"/>
    <xf numFmtId="4" fontId="15" fillId="0" borderId="20" xfId="0" applyNumberFormat="1" applyFont="1" applyBorder="1"/>
    <xf numFmtId="4" fontId="0" fillId="0" borderId="19" xfId="0" applyNumberFormat="1" applyBorder="1"/>
    <xf numFmtId="0" fontId="15" fillId="0" borderId="12" xfId="0" applyFont="1" applyBorder="1"/>
    <xf numFmtId="0" fontId="12" fillId="13" borderId="12" xfId="0" applyFont="1" applyFill="1" applyBorder="1"/>
    <xf numFmtId="17" fontId="12" fillId="3" borderId="0" xfId="0" applyNumberFormat="1" applyFont="1" applyFill="1"/>
    <xf numFmtId="0" fontId="12" fillId="3" borderId="2" xfId="0" applyFont="1" applyFill="1" applyBorder="1" applyAlignment="1">
      <alignment horizontal="left"/>
    </xf>
    <xf numFmtId="0" fontId="12" fillId="3" borderId="0" xfId="0" applyFont="1" applyFill="1" applyAlignment="1">
      <alignment horizontal="left"/>
    </xf>
    <xf numFmtId="17" fontId="12" fillId="3" borderId="2" xfId="0" applyNumberFormat="1" applyFont="1" applyFill="1" applyBorder="1"/>
    <xf numFmtId="0" fontId="0" fillId="3" borderId="2" xfId="0" applyFill="1" applyBorder="1" applyAlignment="1">
      <alignment horizontal="left"/>
    </xf>
    <xf numFmtId="0" fontId="0" fillId="3" borderId="10" xfId="0" applyFill="1" applyBorder="1" applyAlignment="1">
      <alignment horizontal="left"/>
    </xf>
    <xf numFmtId="0" fontId="12" fillId="3" borderId="34" xfId="0" applyFont="1" applyFill="1" applyBorder="1"/>
    <xf numFmtId="0" fontId="0" fillId="3" borderId="31" xfId="0" applyFill="1" applyBorder="1"/>
    <xf numFmtId="0" fontId="0" fillId="3" borderId="41" xfId="0" applyFill="1" applyBorder="1"/>
    <xf numFmtId="0" fontId="12" fillId="3" borderId="17" xfId="0" applyFont="1" applyFill="1" applyBorder="1"/>
    <xf numFmtId="0" fontId="0" fillId="3" borderId="33" xfId="0" applyFill="1" applyBorder="1"/>
    <xf numFmtId="0" fontId="0" fillId="3" borderId="42" xfId="0" applyFill="1" applyBorder="1"/>
    <xf numFmtId="0" fontId="0" fillId="3" borderId="49" xfId="0" applyFill="1" applyBorder="1"/>
    <xf numFmtId="43" fontId="15" fillId="0" borderId="39" xfId="4" applyNumberFormat="1" applyBorder="1"/>
    <xf numFmtId="17" fontId="12" fillId="3" borderId="2" xfId="0" applyNumberFormat="1" applyFont="1" applyFill="1" applyBorder="1" applyAlignment="1">
      <alignment horizontal="center"/>
    </xf>
    <xf numFmtId="0" fontId="21" fillId="14" borderId="3" xfId="0" applyFont="1" applyFill="1" applyBorder="1"/>
    <xf numFmtId="164" fontId="0" fillId="0" borderId="2" xfId="0" applyNumberFormat="1" applyBorder="1"/>
    <xf numFmtId="0" fontId="0" fillId="0" borderId="3" xfId="0" applyBorder="1"/>
    <xf numFmtId="4" fontId="0" fillId="3" borderId="3" xfId="0" applyNumberFormat="1" applyFill="1" applyBorder="1"/>
    <xf numFmtId="4" fontId="12" fillId="0" borderId="3" xfId="0" applyNumberFormat="1" applyFont="1" applyBorder="1"/>
    <xf numFmtId="9" fontId="0" fillId="0" borderId="2" xfId="0" applyNumberFormat="1" applyBorder="1"/>
    <xf numFmtId="4" fontId="26" fillId="0" borderId="0" xfId="5" applyNumberFormat="1" applyFont="1" applyFill="1" applyBorder="1"/>
    <xf numFmtId="4" fontId="15" fillId="0" borderId="2" xfId="4" applyNumberFormat="1" applyBorder="1"/>
    <xf numFmtId="0" fontId="15" fillId="2" borderId="2" xfId="0" applyFont="1" applyFill="1" applyBorder="1"/>
    <xf numFmtId="0" fontId="21" fillId="10" borderId="10" xfId="0" applyFont="1" applyFill="1" applyBorder="1"/>
    <xf numFmtId="0" fontId="21" fillId="10" borderId="64" xfId="0" applyFont="1" applyFill="1" applyBorder="1"/>
    <xf numFmtId="0" fontId="21" fillId="10" borderId="12" xfId="0" applyFont="1" applyFill="1" applyBorder="1"/>
    <xf numFmtId="0" fontId="21" fillId="10" borderId="65" xfId="0" applyFont="1" applyFill="1" applyBorder="1"/>
    <xf numFmtId="0" fontId="21" fillId="10" borderId="67" xfId="0" applyFont="1" applyFill="1" applyBorder="1"/>
    <xf numFmtId="0" fontId="21" fillId="10" borderId="66" xfId="0" applyFont="1" applyFill="1" applyBorder="1"/>
    <xf numFmtId="0" fontId="21" fillId="10" borderId="68" xfId="0" applyFont="1" applyFill="1" applyBorder="1"/>
    <xf numFmtId="0" fontId="21" fillId="10" borderId="69" xfId="0" applyFont="1" applyFill="1" applyBorder="1"/>
    <xf numFmtId="0" fontId="21" fillId="10" borderId="70" xfId="0" applyFont="1" applyFill="1" applyBorder="1"/>
    <xf numFmtId="0" fontId="21" fillId="10" borderId="71" xfId="0" applyFont="1" applyFill="1" applyBorder="1"/>
    <xf numFmtId="0" fontId="21" fillId="10" borderId="73" xfId="0" applyFont="1" applyFill="1" applyBorder="1"/>
    <xf numFmtId="0" fontId="21" fillId="10" borderId="74" xfId="0" applyFont="1" applyFill="1" applyBorder="1"/>
    <xf numFmtId="174" fontId="21" fillId="10" borderId="0" xfId="8" applyNumberFormat="1" applyFont="1" applyFill="1"/>
    <xf numFmtId="174" fontId="21" fillId="10" borderId="10" xfId="8" applyNumberFormat="1" applyFont="1" applyFill="1" applyBorder="1"/>
    <xf numFmtId="3" fontId="21" fillId="14" borderId="20" xfId="0" applyNumberFormat="1" applyFont="1" applyFill="1" applyBorder="1" applyAlignment="1">
      <alignment horizontal="center"/>
    </xf>
    <xf numFmtId="3" fontId="21" fillId="14" borderId="20" xfId="0" applyNumberFormat="1" applyFont="1" applyFill="1" applyBorder="1"/>
    <xf numFmtId="170" fontId="0" fillId="0" borderId="2" xfId="0" applyNumberFormat="1" applyBorder="1"/>
    <xf numFmtId="4" fontId="15" fillId="0" borderId="31" xfId="0" applyNumberFormat="1" applyFont="1" applyBorder="1"/>
    <xf numFmtId="10" fontId="0" fillId="0" borderId="33" xfId="0" applyNumberFormat="1" applyBorder="1"/>
    <xf numFmtId="4" fontId="15" fillId="0" borderId="0" xfId="0" applyNumberFormat="1" applyFont="1"/>
    <xf numFmtId="4" fontId="0" fillId="2" borderId="10" xfId="0" applyNumberFormat="1" applyFill="1" applyBorder="1"/>
    <xf numFmtId="0" fontId="0" fillId="2" borderId="12" xfId="0" applyFill="1" applyBorder="1"/>
    <xf numFmtId="0" fontId="0" fillId="3" borderId="31" xfId="0" applyFill="1" applyBorder="1" applyAlignment="1">
      <alignment horizontal="center"/>
    </xf>
    <xf numFmtId="0" fontId="0" fillId="3" borderId="33" xfId="0" applyFill="1" applyBorder="1" applyAlignment="1">
      <alignment horizontal="center"/>
    </xf>
    <xf numFmtId="4" fontId="0" fillId="3" borderId="54" xfId="0" applyNumberFormat="1" applyFill="1" applyBorder="1"/>
    <xf numFmtId="14" fontId="12" fillId="18" borderId="0" xfId="0" applyNumberFormat="1" applyFont="1" applyFill="1" applyAlignment="1">
      <alignment horizontal="center"/>
    </xf>
    <xf numFmtId="0" fontId="0" fillId="2" borderId="2" xfId="0" applyFill="1" applyBorder="1"/>
    <xf numFmtId="17" fontId="12" fillId="3" borderId="12" xfId="0" applyNumberFormat="1" applyFont="1" applyFill="1" applyBorder="1" applyAlignment="1">
      <alignment horizontal="center"/>
    </xf>
    <xf numFmtId="0" fontId="12" fillId="3" borderId="75" xfId="0" applyFont="1" applyFill="1" applyBorder="1"/>
    <xf numFmtId="0" fontId="12" fillId="3" borderId="56" xfId="0" applyFont="1" applyFill="1" applyBorder="1"/>
    <xf numFmtId="17" fontId="12" fillId="3" borderId="14" xfId="0" applyNumberFormat="1" applyFont="1" applyFill="1" applyBorder="1" applyAlignment="1">
      <alignment horizontal="center"/>
    </xf>
    <xf numFmtId="17" fontId="12" fillId="3" borderId="15" xfId="0" applyNumberFormat="1" applyFont="1" applyFill="1" applyBorder="1" applyAlignment="1">
      <alignment horizontal="center"/>
    </xf>
    <xf numFmtId="4" fontId="12" fillId="3" borderId="14" xfId="0" applyNumberFormat="1" applyFont="1" applyFill="1" applyBorder="1" applyAlignment="1">
      <alignment horizontal="center"/>
    </xf>
    <xf numFmtId="4" fontId="0" fillId="3" borderId="26" xfId="0" applyNumberFormat="1" applyFill="1" applyBorder="1"/>
    <xf numFmtId="4" fontId="0" fillId="3" borderId="63" xfId="0" applyNumberFormat="1" applyFill="1" applyBorder="1"/>
    <xf numFmtId="4" fontId="0" fillId="3" borderId="15" xfId="0" applyNumberFormat="1" applyFill="1" applyBorder="1"/>
    <xf numFmtId="4" fontId="0" fillId="3" borderId="30" xfId="0" applyNumberFormat="1" applyFill="1" applyBorder="1"/>
    <xf numFmtId="4" fontId="0" fillId="3" borderId="76" xfId="0" applyNumberFormat="1" applyFill="1" applyBorder="1"/>
    <xf numFmtId="4" fontId="0" fillId="3" borderId="75" xfId="0" applyNumberFormat="1" applyFill="1" applyBorder="1"/>
    <xf numFmtId="4" fontId="0" fillId="3" borderId="18" xfId="0" applyNumberFormat="1" applyFill="1" applyBorder="1"/>
    <xf numFmtId="4" fontId="12" fillId="3" borderId="77" xfId="0" applyNumberFormat="1" applyFont="1" applyFill="1" applyBorder="1" applyAlignment="1">
      <alignment horizontal="center"/>
    </xf>
    <xf numFmtId="4" fontId="0" fillId="3" borderId="32" xfId="0" applyNumberFormat="1" applyFill="1" applyBorder="1"/>
    <xf numFmtId="9" fontId="0" fillId="3" borderId="6" xfId="0" applyNumberFormat="1" applyFill="1" applyBorder="1" applyAlignment="1">
      <alignment horizontal="center"/>
    </xf>
    <xf numFmtId="0" fontId="12" fillId="3" borderId="3" xfId="0" applyFont="1" applyFill="1" applyBorder="1"/>
    <xf numFmtId="9" fontId="0" fillId="3" borderId="54" xfId="0" applyNumberFormat="1" applyFill="1" applyBorder="1" applyAlignment="1">
      <alignment horizontal="center"/>
    </xf>
    <xf numFmtId="4" fontId="12" fillId="3" borderId="34" xfId="0" applyNumberFormat="1" applyFont="1" applyFill="1" applyBorder="1"/>
    <xf numFmtId="4" fontId="12" fillId="3" borderId="35" xfId="0" applyNumberFormat="1" applyFont="1" applyFill="1" applyBorder="1"/>
    <xf numFmtId="4" fontId="12" fillId="3" borderId="17" xfId="0" applyNumberFormat="1" applyFont="1" applyFill="1" applyBorder="1"/>
    <xf numFmtId="4" fontId="12" fillId="3" borderId="18" xfId="0" applyNumberFormat="1" applyFont="1" applyFill="1" applyBorder="1"/>
    <xf numFmtId="0" fontId="13" fillId="15" borderId="0" xfId="0" applyFont="1" applyFill="1" applyAlignment="1">
      <alignment horizontal="center"/>
    </xf>
    <xf numFmtId="4" fontId="15" fillId="0" borderId="21" xfId="0" applyNumberFormat="1" applyFont="1" applyBorder="1"/>
    <xf numFmtId="4" fontId="15" fillId="0" borderId="19" xfId="0" applyNumberFormat="1" applyFont="1" applyBorder="1"/>
    <xf numFmtId="0" fontId="15" fillId="0" borderId="10" xfId="0" applyFont="1" applyBorder="1"/>
    <xf numFmtId="174" fontId="0" fillId="0" borderId="12" xfId="0" applyNumberFormat="1" applyBorder="1"/>
    <xf numFmtId="0" fontId="12" fillId="0" borderId="12" xfId="0" applyFont="1" applyBorder="1"/>
    <xf numFmtId="0" fontId="12" fillId="13" borderId="2" xfId="0" applyFont="1" applyFill="1" applyBorder="1"/>
    <xf numFmtId="4" fontId="12" fillId="13" borderId="2" xfId="0" applyNumberFormat="1" applyFont="1" applyFill="1" applyBorder="1"/>
    <xf numFmtId="4" fontId="12" fillId="0" borderId="0" xfId="0" applyNumberFormat="1" applyFont="1"/>
    <xf numFmtId="0" fontId="12" fillId="2" borderId="0" xfId="0" applyFont="1" applyFill="1" applyAlignment="1">
      <alignment horizontal="center"/>
    </xf>
    <xf numFmtId="9" fontId="0" fillId="3" borderId="0" xfId="0" applyNumberFormat="1" applyFill="1" applyAlignment="1">
      <alignment horizontal="center"/>
    </xf>
    <xf numFmtId="0" fontId="15" fillId="2" borderId="12" xfId="0" applyFont="1" applyFill="1" applyBorder="1"/>
    <xf numFmtId="0" fontId="0" fillId="13" borderId="3" xfId="0" applyFill="1" applyBorder="1"/>
    <xf numFmtId="9" fontId="0" fillId="3" borderId="31" xfId="0" applyNumberFormat="1" applyFill="1" applyBorder="1" applyAlignment="1">
      <alignment horizontal="center" vertical="center"/>
    </xf>
    <xf numFmtId="9" fontId="12" fillId="3" borderId="2" xfId="0" applyNumberFormat="1" applyFont="1" applyFill="1" applyBorder="1"/>
    <xf numFmtId="0" fontId="15" fillId="3" borderId="2" xfId="0" applyFont="1" applyFill="1" applyBorder="1" applyAlignment="1">
      <alignment horizontal="left"/>
    </xf>
    <xf numFmtId="0" fontId="10" fillId="0" borderId="2" xfId="1" applyFont="1" applyBorder="1" applyAlignment="1">
      <alignment horizontal="center"/>
    </xf>
    <xf numFmtId="9" fontId="0" fillId="3" borderId="31" xfId="0" applyNumberFormat="1" applyFill="1" applyBorder="1" applyAlignment="1">
      <alignment horizontal="center"/>
    </xf>
    <xf numFmtId="9" fontId="0" fillId="3" borderId="33" xfId="0" applyNumberFormat="1" applyFill="1" applyBorder="1" applyAlignment="1">
      <alignment horizontal="center"/>
    </xf>
    <xf numFmtId="4" fontId="0" fillId="3" borderId="49" xfId="0" applyNumberFormat="1" applyFill="1" applyBorder="1"/>
    <xf numFmtId="9" fontId="0" fillId="3" borderId="33" xfId="0" applyNumberFormat="1" applyFill="1" applyBorder="1" applyAlignment="1">
      <alignment vertical="center"/>
    </xf>
    <xf numFmtId="4" fontId="11" fillId="2" borderId="20" xfId="0" applyNumberFormat="1" applyFont="1" applyFill="1" applyBorder="1"/>
    <xf numFmtId="4" fontId="14" fillId="2" borderId="20" xfId="0" applyNumberFormat="1" applyFont="1" applyFill="1" applyBorder="1"/>
    <xf numFmtId="4" fontId="12" fillId="3" borderId="54" xfId="0" applyNumberFormat="1" applyFont="1" applyFill="1" applyBorder="1"/>
    <xf numFmtId="4" fontId="15" fillId="3" borderId="8" xfId="0" applyNumberFormat="1" applyFont="1" applyFill="1" applyBorder="1" applyAlignment="1">
      <alignment horizontal="center" vertical="center"/>
    </xf>
    <xf numFmtId="10" fontId="0" fillId="3" borderId="0" xfId="0" applyNumberFormat="1" applyFill="1" applyAlignment="1">
      <alignment horizontal="center" vertical="center"/>
    </xf>
    <xf numFmtId="4" fontId="12" fillId="0" borderId="34" xfId="0" applyNumberFormat="1" applyFont="1" applyBorder="1" applyAlignment="1">
      <alignment horizontal="center"/>
    </xf>
    <xf numFmtId="4" fontId="12" fillId="0" borderId="84" xfId="0" applyNumberFormat="1" applyFont="1" applyBorder="1" applyAlignment="1">
      <alignment horizontal="center"/>
    </xf>
    <xf numFmtId="9" fontId="12" fillId="0" borderId="14" xfId="0" applyNumberFormat="1" applyFont="1" applyBorder="1" applyAlignment="1">
      <alignment horizontal="center"/>
    </xf>
    <xf numFmtId="4" fontId="12" fillId="0" borderId="15" xfId="0" applyNumberFormat="1" applyFont="1" applyBorder="1" applyAlignment="1">
      <alignment horizontal="center"/>
    </xf>
    <xf numFmtId="9" fontId="12" fillId="0" borderId="16" xfId="0" applyNumberFormat="1" applyFont="1" applyBorder="1" applyAlignment="1">
      <alignment horizontal="center"/>
    </xf>
    <xf numFmtId="4" fontId="12" fillId="0" borderId="17" xfId="0" applyNumberFormat="1" applyFont="1" applyBorder="1" applyAlignment="1">
      <alignment horizontal="center"/>
    </xf>
    <xf numFmtId="0" fontId="0" fillId="0" borderId="17" xfId="0" applyBorder="1"/>
    <xf numFmtId="4" fontId="12" fillId="0" borderId="18" xfId="0" applyNumberFormat="1" applyFont="1" applyBorder="1" applyAlignment="1">
      <alignment horizontal="center"/>
    </xf>
    <xf numFmtId="4" fontId="12" fillId="3" borderId="31" xfId="0" applyNumberFormat="1" applyFont="1" applyFill="1" applyBorder="1" applyAlignment="1">
      <alignment horizontal="center"/>
    </xf>
    <xf numFmtId="4" fontId="12" fillId="3" borderId="41" xfId="0" applyNumberFormat="1" applyFont="1" applyFill="1" applyBorder="1" applyAlignment="1">
      <alignment horizontal="center"/>
    </xf>
    <xf numFmtId="4" fontId="21" fillId="2" borderId="0" xfId="0" applyNumberFormat="1" applyFont="1" applyFill="1" applyAlignment="1">
      <alignment vertical="center"/>
    </xf>
    <xf numFmtId="17" fontId="34" fillId="10" borderId="0" xfId="1" applyNumberFormat="1" applyFont="1" applyFill="1"/>
    <xf numFmtId="0" fontId="10" fillId="10" borderId="0" xfId="1" applyFont="1" applyFill="1" applyAlignment="1">
      <alignment horizontal="center" wrapText="1"/>
    </xf>
    <xf numFmtId="0" fontId="10" fillId="10" borderId="10" xfId="1" applyFont="1" applyFill="1" applyBorder="1"/>
    <xf numFmtId="9" fontId="8" fillId="10" borderId="10" xfId="1" applyNumberFormat="1" applyFill="1" applyBorder="1"/>
    <xf numFmtId="9" fontId="8" fillId="10" borderId="22" xfId="1" applyNumberFormat="1" applyFill="1" applyBorder="1"/>
    <xf numFmtId="0" fontId="8" fillId="10" borderId="0" xfId="1" applyFill="1"/>
    <xf numFmtId="4" fontId="10" fillId="0" borderId="2" xfId="1" applyNumberFormat="1" applyFont="1" applyBorder="1" applyAlignment="1">
      <alignment horizontal="center"/>
    </xf>
    <xf numFmtId="0" fontId="15" fillId="3" borderId="2" xfId="0" applyFont="1" applyFill="1" applyBorder="1" applyAlignment="1">
      <alignment horizontal="center"/>
    </xf>
    <xf numFmtId="0" fontId="12" fillId="3" borderId="2" xfId="0" applyFont="1" applyFill="1" applyBorder="1" applyAlignment="1">
      <alignment horizontal="center"/>
    </xf>
    <xf numFmtId="0" fontId="0" fillId="3" borderId="32" xfId="0" applyFill="1" applyBorder="1"/>
    <xf numFmtId="4" fontId="0" fillId="3" borderId="2" xfId="0" applyNumberFormat="1" applyFill="1" applyBorder="1" applyAlignment="1">
      <alignment horizontal="center"/>
    </xf>
    <xf numFmtId="0" fontId="0" fillId="3" borderId="6" xfId="0" applyFill="1" applyBorder="1"/>
    <xf numFmtId="4" fontId="0" fillId="3" borderId="3" xfId="0" applyNumberFormat="1" applyFill="1" applyBorder="1" applyAlignment="1">
      <alignment horizontal="center"/>
    </xf>
    <xf numFmtId="9" fontId="0" fillId="3" borderId="30" xfId="0" applyNumberFormat="1" applyFill="1" applyBorder="1" applyAlignment="1">
      <alignment horizontal="center"/>
    </xf>
    <xf numFmtId="9" fontId="0" fillId="3" borderId="26" xfId="0" applyNumberFormat="1" applyFill="1" applyBorder="1" applyAlignment="1">
      <alignment horizontal="center"/>
    </xf>
    <xf numFmtId="9" fontId="0" fillId="3" borderId="32" xfId="0" applyNumberFormat="1" applyFill="1" applyBorder="1" applyAlignment="1">
      <alignment horizontal="center"/>
    </xf>
    <xf numFmtId="9" fontId="0" fillId="3" borderId="0" xfId="0" applyNumberFormat="1" applyFill="1" applyAlignment="1">
      <alignment horizontal="center" vertical="center"/>
    </xf>
    <xf numFmtId="0" fontId="12" fillId="2" borderId="3" xfId="0" applyFont="1" applyFill="1" applyBorder="1" applyAlignment="1">
      <alignment horizontal="center"/>
    </xf>
    <xf numFmtId="0" fontId="12" fillId="2" borderId="12" xfId="0" applyFont="1" applyFill="1" applyBorder="1" applyAlignment="1">
      <alignment horizontal="center"/>
    </xf>
    <xf numFmtId="9" fontId="14" fillId="2" borderId="0" xfId="0" applyNumberFormat="1" applyFont="1" applyFill="1"/>
    <xf numFmtId="4" fontId="0" fillId="2" borderId="2" xfId="0" applyNumberFormat="1" applyFill="1" applyBorder="1"/>
    <xf numFmtId="4" fontId="0" fillId="11" borderId="31" xfId="0" applyNumberFormat="1" applyFill="1" applyBorder="1"/>
    <xf numFmtId="4" fontId="0" fillId="11" borderId="33" xfId="0" applyNumberFormat="1" applyFill="1" applyBorder="1"/>
    <xf numFmtId="4" fontId="12" fillId="0" borderId="20" xfId="0" applyNumberFormat="1" applyFont="1" applyBorder="1"/>
    <xf numFmtId="4" fontId="12" fillId="0" borderId="21" xfId="0" applyNumberFormat="1" applyFont="1" applyBorder="1"/>
    <xf numFmtId="164" fontId="12" fillId="13" borderId="21" xfId="0" applyNumberFormat="1" applyFont="1" applyFill="1" applyBorder="1"/>
    <xf numFmtId="4" fontId="12" fillId="0" borderId="8" xfId="0" applyNumberFormat="1" applyFont="1" applyBorder="1"/>
    <xf numFmtId="0" fontId="12" fillId="0" borderId="2" xfId="0" applyFont="1" applyBorder="1" applyAlignment="1">
      <alignment horizontal="center"/>
    </xf>
    <xf numFmtId="17" fontId="12" fillId="0" borderId="85" xfId="0" applyNumberFormat="1" applyFont="1" applyBorder="1" applyAlignment="1">
      <alignment horizontal="center"/>
    </xf>
    <xf numFmtId="17" fontId="12" fillId="0" borderId="86" xfId="0" applyNumberFormat="1" applyFont="1" applyBorder="1" applyAlignment="1">
      <alignment horizontal="center"/>
    </xf>
    <xf numFmtId="17" fontId="12" fillId="0" borderId="54" xfId="0" applyNumberFormat="1" applyFont="1" applyBorder="1"/>
    <xf numFmtId="4" fontId="15" fillId="3" borderId="31" xfId="0" applyNumberFormat="1" applyFont="1" applyFill="1" applyBorder="1"/>
    <xf numFmtId="0" fontId="0" fillId="0" borderId="56" xfId="0" applyBorder="1"/>
    <xf numFmtId="4" fontId="12" fillId="0" borderId="81" xfId="0" applyNumberFormat="1" applyFont="1" applyBorder="1" applyAlignment="1">
      <alignment horizontal="center"/>
    </xf>
    <xf numFmtId="4" fontId="12" fillId="0" borderId="12" xfId="0" applyNumberFormat="1" applyFont="1" applyBorder="1" applyAlignment="1">
      <alignment horizontal="center"/>
    </xf>
    <xf numFmtId="0" fontId="0" fillId="0" borderId="54" xfId="0" applyBorder="1"/>
    <xf numFmtId="4" fontId="0" fillId="13" borderId="31" xfId="0" applyNumberFormat="1" applyFill="1" applyBorder="1"/>
    <xf numFmtId="0" fontId="0" fillId="0" borderId="9" xfId="0" applyBorder="1"/>
    <xf numFmtId="0" fontId="15" fillId="0" borderId="3" xfId="0" applyFont="1" applyBorder="1"/>
    <xf numFmtId="0" fontId="15" fillId="13" borderId="2" xfId="0" applyFont="1" applyFill="1" applyBorder="1"/>
    <xf numFmtId="174" fontId="15" fillId="0" borderId="2" xfId="8" applyNumberFormat="1" applyFont="1" applyBorder="1"/>
    <xf numFmtId="0" fontId="26" fillId="3" borderId="0" xfId="4" applyFont="1" applyFill="1" applyAlignment="1">
      <alignment vertical="center"/>
    </xf>
    <xf numFmtId="0" fontId="12" fillId="3" borderId="0" xfId="0" applyFont="1" applyFill="1" applyAlignment="1">
      <alignment horizontal="center" vertical="center"/>
    </xf>
    <xf numFmtId="0" fontId="12" fillId="3" borderId="0" xfId="0" applyFont="1" applyFill="1" applyAlignment="1">
      <alignment horizontal="center" vertical="center" wrapText="1"/>
    </xf>
    <xf numFmtId="4" fontId="0" fillId="22" borderId="0" xfId="0" applyNumberFormat="1" applyFill="1"/>
    <xf numFmtId="9" fontId="14" fillId="15" borderId="0" xfId="0" applyNumberFormat="1" applyFont="1" applyFill="1"/>
    <xf numFmtId="9" fontId="21" fillId="15" borderId="0" xfId="0" applyNumberFormat="1" applyFont="1" applyFill="1"/>
    <xf numFmtId="9" fontId="14" fillId="2" borderId="0" xfId="0" applyNumberFormat="1" applyFont="1" applyFill="1" applyAlignment="1">
      <alignment horizontal="center"/>
    </xf>
    <xf numFmtId="9" fontId="11" fillId="2" borderId="2" xfId="0" applyNumberFormat="1" applyFont="1" applyFill="1" applyBorder="1" applyAlignment="1">
      <alignment horizontal="center"/>
    </xf>
    <xf numFmtId="9" fontId="12" fillId="2" borderId="3" xfId="0" applyNumberFormat="1" applyFont="1" applyFill="1" applyBorder="1" applyAlignment="1">
      <alignment horizontal="center"/>
    </xf>
    <xf numFmtId="4" fontId="0" fillId="13" borderId="0" xfId="0" applyNumberFormat="1" applyFill="1"/>
    <xf numFmtId="14" fontId="0" fillId="0" borderId="2" xfId="0" applyNumberFormat="1" applyBorder="1"/>
    <xf numFmtId="4" fontId="14" fillId="23" borderId="0" xfId="0" applyNumberFormat="1" applyFont="1" applyFill="1"/>
    <xf numFmtId="10" fontId="0" fillId="3" borderId="31" xfId="0" applyNumberFormat="1" applyFill="1" applyBorder="1" applyAlignment="1">
      <alignment vertical="center"/>
    </xf>
    <xf numFmtId="10" fontId="0" fillId="3" borderId="0" xfId="0" applyNumberFormat="1" applyFill="1" applyAlignment="1">
      <alignment vertical="center"/>
    </xf>
    <xf numFmtId="10" fontId="0" fillId="3" borderId="33" xfId="0" applyNumberFormat="1" applyFill="1" applyBorder="1" applyAlignment="1">
      <alignment vertical="center"/>
    </xf>
    <xf numFmtId="3" fontId="0" fillId="3" borderId="0" xfId="0" applyNumberFormat="1" applyFill="1" applyAlignment="1">
      <alignment horizontal="center"/>
    </xf>
    <xf numFmtId="0" fontId="21" fillId="10" borderId="0" xfId="0" applyFont="1" applyFill="1" applyAlignment="1">
      <alignment horizontal="center"/>
    </xf>
    <xf numFmtId="4" fontId="0" fillId="13" borderId="33" xfId="0" applyNumberFormat="1" applyFill="1" applyBorder="1"/>
    <xf numFmtId="4" fontId="11" fillId="2" borderId="0" xfId="0" applyNumberFormat="1" applyFont="1" applyFill="1"/>
    <xf numFmtId="9" fontId="21" fillId="10" borderId="0" xfId="0" applyNumberFormat="1" applyFont="1" applyFill="1" applyAlignment="1">
      <alignment horizontal="center"/>
    </xf>
    <xf numFmtId="3" fontId="21" fillId="10" borderId="0" xfId="0" applyNumberFormat="1" applyFont="1" applyFill="1" applyAlignment="1">
      <alignment horizontal="center"/>
    </xf>
    <xf numFmtId="0" fontId="21" fillId="3" borderId="0" xfId="0" applyFont="1" applyFill="1" applyAlignment="1">
      <alignment horizontal="center"/>
    </xf>
    <xf numFmtId="3" fontId="21" fillId="3" borderId="0" xfId="0" applyNumberFormat="1" applyFont="1" applyFill="1" applyAlignment="1">
      <alignment horizontal="center"/>
    </xf>
    <xf numFmtId="9" fontId="0" fillId="2" borderId="0" xfId="0" applyNumberFormat="1" applyFill="1"/>
    <xf numFmtId="0" fontId="14" fillId="28" borderId="0" xfId="0" applyFont="1" applyFill="1"/>
    <xf numFmtId="4" fontId="14" fillId="28" borderId="0" xfId="0" applyNumberFormat="1" applyFont="1" applyFill="1"/>
    <xf numFmtId="4" fontId="0" fillId="27" borderId="0" xfId="0" applyNumberFormat="1" applyFill="1"/>
    <xf numFmtId="4" fontId="12" fillId="27" borderId="0" xfId="0" applyNumberFormat="1" applyFont="1" applyFill="1"/>
    <xf numFmtId="180" fontId="12" fillId="18" borderId="0" xfId="0" applyNumberFormat="1" applyFont="1" applyFill="1"/>
    <xf numFmtId="4" fontId="15" fillId="3" borderId="2" xfId="0" applyNumberFormat="1" applyFont="1" applyFill="1" applyBorder="1"/>
    <xf numFmtId="4" fontId="15" fillId="13" borderId="2" xfId="0" applyNumberFormat="1" applyFont="1" applyFill="1" applyBorder="1"/>
    <xf numFmtId="4" fontId="0" fillId="13" borderId="2" xfId="0" applyNumberFormat="1" applyFill="1" applyBorder="1"/>
    <xf numFmtId="4" fontId="0" fillId="21" borderId="2" xfId="0" applyNumberFormat="1" applyFill="1" applyBorder="1"/>
    <xf numFmtId="0" fontId="0" fillId="29" borderId="0" xfId="0" applyFill="1"/>
    <xf numFmtId="168" fontId="11" fillId="30" borderId="2" xfId="0" applyNumberFormat="1" applyFont="1" applyFill="1" applyBorder="1" applyAlignment="1">
      <alignment horizontal="center" vertical="center"/>
    </xf>
    <xf numFmtId="168" fontId="11" fillId="30" borderId="3" xfId="0" applyNumberFormat="1" applyFont="1" applyFill="1" applyBorder="1" applyAlignment="1">
      <alignment horizontal="center" vertical="center"/>
    </xf>
    <xf numFmtId="4" fontId="15" fillId="2" borderId="10" xfId="0" applyNumberFormat="1" applyFont="1" applyFill="1" applyBorder="1"/>
    <xf numFmtId="0" fontId="21" fillId="10" borderId="88" xfId="0" applyFont="1" applyFill="1" applyBorder="1"/>
    <xf numFmtId="168" fontId="13" fillId="6" borderId="2" xfId="0" applyNumberFormat="1" applyFont="1" applyFill="1" applyBorder="1" applyAlignment="1">
      <alignment horizontal="center" vertical="center"/>
    </xf>
    <xf numFmtId="168" fontId="13" fillId="6" borderId="3" xfId="0" applyNumberFormat="1" applyFont="1" applyFill="1" applyBorder="1" applyAlignment="1">
      <alignment horizontal="center" vertical="center"/>
    </xf>
    <xf numFmtId="0" fontId="0" fillId="3" borderId="11" xfId="0" applyFill="1" applyBorder="1"/>
    <xf numFmtId="0" fontId="13" fillId="16" borderId="0" xfId="0" applyFont="1" applyFill="1" applyAlignment="1">
      <alignment vertical="center"/>
    </xf>
    <xf numFmtId="4" fontId="13" fillId="16" borderId="3" xfId="0" applyNumberFormat="1" applyFont="1" applyFill="1" applyBorder="1" applyAlignment="1">
      <alignment vertical="center"/>
    </xf>
    <xf numFmtId="4" fontId="12" fillId="31" borderId="3" xfId="0" applyNumberFormat="1" applyFont="1" applyFill="1" applyBorder="1"/>
    <xf numFmtId="0" fontId="31" fillId="2" borderId="0" xfId="0" applyFont="1" applyFill="1"/>
    <xf numFmtId="0" fontId="36" fillId="2" borderId="4" xfId="0" applyFont="1" applyFill="1" applyBorder="1"/>
    <xf numFmtId="0" fontId="31" fillId="2" borderId="0" xfId="0" applyFont="1" applyFill="1" applyAlignment="1">
      <alignment wrapText="1"/>
    </xf>
    <xf numFmtId="0" fontId="36" fillId="2" borderId="2" xfId="0" applyFont="1" applyFill="1" applyBorder="1"/>
    <xf numFmtId="0" fontId="31" fillId="28" borderId="0" xfId="0" applyFont="1" applyFill="1"/>
    <xf numFmtId="0" fontId="37" fillId="3" borderId="0" xfId="0" applyFont="1" applyFill="1"/>
    <xf numFmtId="0" fontId="38" fillId="16" borderId="4" xfId="0" applyFont="1" applyFill="1" applyBorder="1" applyAlignment="1">
      <alignment vertical="center"/>
    </xf>
    <xf numFmtId="0" fontId="39" fillId="2" borderId="4" xfId="0" applyFont="1" applyFill="1" applyBorder="1"/>
    <xf numFmtId="4" fontId="0" fillId="31" borderId="0" xfId="0" applyNumberFormat="1" applyFill="1"/>
    <xf numFmtId="0" fontId="13" fillId="2" borderId="0" xfId="0" applyFont="1" applyFill="1"/>
    <xf numFmtId="0" fontId="15" fillId="24" borderId="2" xfId="0" applyFont="1" applyFill="1" applyBorder="1"/>
    <xf numFmtId="174" fontId="0" fillId="24" borderId="2" xfId="0" applyNumberFormat="1" applyFill="1" applyBorder="1"/>
    <xf numFmtId="4" fontId="0" fillId="26" borderId="0" xfId="0" applyNumberFormat="1" applyFill="1"/>
    <xf numFmtId="4" fontId="0" fillId="20" borderId="0" xfId="0" applyNumberFormat="1" applyFill="1"/>
    <xf numFmtId="4" fontId="14" fillId="19" borderId="0" xfId="0" applyNumberFormat="1" applyFont="1" applyFill="1"/>
    <xf numFmtId="9" fontId="15" fillId="0" borderId="0" xfId="3" applyFont="1"/>
    <xf numFmtId="4" fontId="26" fillId="0" borderId="0" xfId="4" applyNumberFormat="1" applyFont="1"/>
    <xf numFmtId="4" fontId="15" fillId="0" borderId="0" xfId="4" applyNumberFormat="1"/>
    <xf numFmtId="4" fontId="27" fillId="0" borderId="0" xfId="4" applyNumberFormat="1" applyFont="1"/>
    <xf numFmtId="0" fontId="27" fillId="0" borderId="39" xfId="4" applyFont="1" applyBorder="1"/>
    <xf numFmtId="0" fontId="27" fillId="0" borderId="2" xfId="4" applyFont="1" applyBorder="1" applyAlignment="1">
      <alignment horizontal="center" vertical="center"/>
    </xf>
    <xf numFmtId="171" fontId="27" fillId="0" borderId="2" xfId="4" applyNumberFormat="1" applyFont="1" applyBorder="1" applyAlignment="1">
      <alignment horizontal="center" vertical="center"/>
    </xf>
    <xf numFmtId="0" fontId="27" fillId="0" borderId="2" xfId="4" applyFont="1" applyBorder="1" applyAlignment="1">
      <alignment vertical="center"/>
    </xf>
    <xf numFmtId="0" fontId="24" fillId="0" borderId="2" xfId="4" applyFont="1" applyBorder="1" applyAlignment="1">
      <alignment vertical="center"/>
    </xf>
    <xf numFmtId="0" fontId="26" fillId="0" borderId="0" xfId="4" applyFont="1" applyAlignment="1">
      <alignment vertical="center"/>
    </xf>
    <xf numFmtId="17" fontId="28" fillId="0" borderId="39" xfId="4" applyNumberFormat="1" applyFont="1" applyBorder="1" applyAlignment="1">
      <alignment vertical="center"/>
    </xf>
    <xf numFmtId="4" fontId="29" fillId="0" borderId="39" xfId="4" applyNumberFormat="1" applyFont="1" applyBorder="1" applyAlignment="1">
      <alignment vertical="center"/>
    </xf>
    <xf numFmtId="17" fontId="14" fillId="0" borderId="39" xfId="4" applyNumberFormat="1" applyFont="1" applyBorder="1"/>
    <xf numFmtId="4" fontId="29" fillId="0" borderId="39" xfId="4" applyNumberFormat="1" applyFont="1" applyBorder="1"/>
    <xf numFmtId="17" fontId="28" fillId="0" borderId="39" xfId="4" applyNumberFormat="1" applyFont="1" applyBorder="1"/>
    <xf numFmtId="0" fontId="15" fillId="0" borderId="39" xfId="4" applyBorder="1"/>
    <xf numFmtId="0" fontId="28" fillId="0" borderId="0" xfId="4" applyFont="1"/>
    <xf numFmtId="43" fontId="26" fillId="0" borderId="0" xfId="4" applyNumberFormat="1" applyFont="1"/>
    <xf numFmtId="0" fontId="11" fillId="0" borderId="39" xfId="4" applyFont="1" applyBorder="1"/>
    <xf numFmtId="0" fontId="27" fillId="0" borderId="39" xfId="4" applyFont="1" applyBorder="1" applyAlignment="1">
      <alignment horizontal="center"/>
    </xf>
    <xf numFmtId="171" fontId="27" fillId="0" borderId="39" xfId="4" applyNumberFormat="1" applyFont="1" applyBorder="1" applyAlignment="1">
      <alignment horizontal="center"/>
    </xf>
    <xf numFmtId="43" fontId="27" fillId="0" borderId="39" xfId="4" applyNumberFormat="1" applyFont="1" applyBorder="1" applyAlignment="1">
      <alignment horizontal="center"/>
    </xf>
    <xf numFmtId="172" fontId="27" fillId="0" borderId="39" xfId="4" applyNumberFormat="1" applyFont="1" applyBorder="1" applyAlignment="1">
      <alignment horizontal="center"/>
    </xf>
    <xf numFmtId="14" fontId="14" fillId="0" borderId="39" xfId="4" applyNumberFormat="1" applyFont="1" applyBorder="1"/>
    <xf numFmtId="0" fontId="14" fillId="0" borderId="45" xfId="4" applyFont="1" applyBorder="1"/>
    <xf numFmtId="171" fontId="14" fillId="0" borderId="4" xfId="4" applyNumberFormat="1" applyFont="1" applyBorder="1"/>
    <xf numFmtId="0" fontId="15" fillId="0" borderId="4" xfId="4" applyBorder="1"/>
    <xf numFmtId="0" fontId="0" fillId="0" borderId="4" xfId="4" applyFont="1" applyBorder="1"/>
    <xf numFmtId="181" fontId="0" fillId="0" borderId="0" xfId="0" applyNumberFormat="1"/>
    <xf numFmtId="0" fontId="26" fillId="25" borderId="2" xfId="4" applyFont="1" applyFill="1" applyBorder="1"/>
    <xf numFmtId="168" fontId="11" fillId="5" borderId="0" xfId="0" applyNumberFormat="1" applyFont="1" applyFill="1" applyAlignment="1">
      <alignment horizontal="center" vertical="center"/>
    </xf>
    <xf numFmtId="4" fontId="11" fillId="8" borderId="0" xfId="0" applyNumberFormat="1" applyFont="1" applyFill="1" applyAlignment="1">
      <alignment vertical="center"/>
    </xf>
    <xf numFmtId="4" fontId="12" fillId="9" borderId="0" xfId="0" applyNumberFormat="1" applyFont="1" applyFill="1"/>
    <xf numFmtId="14" fontId="15" fillId="3" borderId="0" xfId="0" applyNumberFormat="1" applyFont="1" applyFill="1"/>
    <xf numFmtId="0" fontId="0" fillId="0" borderId="0" xfId="0" pivotButton="1"/>
    <xf numFmtId="0" fontId="26" fillId="32" borderId="12" xfId="0" applyFont="1" applyFill="1" applyBorder="1"/>
    <xf numFmtId="14" fontId="26" fillId="32" borderId="12" xfId="0" applyNumberFormat="1" applyFont="1" applyFill="1" applyBorder="1"/>
    <xf numFmtId="0" fontId="26" fillId="0" borderId="21" xfId="0" applyFont="1" applyBorder="1"/>
    <xf numFmtId="0" fontId="26" fillId="32" borderId="21" xfId="0" applyFont="1" applyFill="1" applyBorder="1"/>
    <xf numFmtId="17" fontId="26" fillId="32" borderId="21" xfId="0" applyNumberFormat="1" applyFont="1" applyFill="1" applyBorder="1"/>
    <xf numFmtId="0" fontId="26" fillId="32" borderId="0" xfId="0" applyFont="1" applyFill="1"/>
    <xf numFmtId="0" fontId="26" fillId="0" borderId="20" xfId="0" applyFont="1" applyBorder="1"/>
    <xf numFmtId="4" fontId="26" fillId="0" borderId="21" xfId="0" applyNumberFormat="1" applyFont="1" applyBorder="1"/>
    <xf numFmtId="14" fontId="15" fillId="0" borderId="87" xfId="0" applyNumberFormat="1" applyFont="1" applyBorder="1"/>
    <xf numFmtId="0" fontId="15" fillId="0" borderId="89" xfId="0" applyFont="1" applyBorder="1"/>
    <xf numFmtId="0" fontId="15" fillId="0" borderId="58" xfId="0" applyFont="1" applyBorder="1"/>
    <xf numFmtId="17" fontId="15" fillId="0" borderId="89" xfId="0" applyNumberFormat="1" applyFont="1" applyBorder="1"/>
    <xf numFmtId="14" fontId="26" fillId="32" borderId="2" xfId="0" applyNumberFormat="1" applyFont="1" applyFill="1" applyBorder="1"/>
    <xf numFmtId="0" fontId="26" fillId="32" borderId="20" xfId="0" applyFont="1" applyFill="1" applyBorder="1"/>
    <xf numFmtId="3" fontId="40" fillId="33" borderId="91" xfId="0" applyNumberFormat="1" applyFont="1" applyFill="1" applyBorder="1"/>
    <xf numFmtId="0" fontId="40" fillId="33" borderId="90" xfId="0" applyFont="1" applyFill="1" applyBorder="1"/>
    <xf numFmtId="3" fontId="40" fillId="33" borderId="90" xfId="0" applyNumberFormat="1" applyFont="1" applyFill="1" applyBorder="1"/>
    <xf numFmtId="0" fontId="40" fillId="33" borderId="92" xfId="0" applyFont="1" applyFill="1" applyBorder="1"/>
    <xf numFmtId="3" fontId="40" fillId="33" borderId="92" xfId="0" applyNumberFormat="1" applyFont="1" applyFill="1" applyBorder="1"/>
    <xf numFmtId="0" fontId="40" fillId="33" borderId="93" xfId="0" applyFont="1" applyFill="1" applyBorder="1"/>
    <xf numFmtId="0" fontId="0" fillId="32" borderId="0" xfId="0" applyFill="1"/>
    <xf numFmtId="0" fontId="0" fillId="34" borderId="0" xfId="0" applyFill="1"/>
    <xf numFmtId="0" fontId="0" fillId="35" borderId="0" xfId="0" applyFill="1"/>
    <xf numFmtId="0" fontId="12" fillId="36" borderId="0" xfId="0" applyFont="1" applyFill="1"/>
    <xf numFmtId="0" fontId="12" fillId="35" borderId="2" xfId="0" applyFont="1" applyFill="1" applyBorder="1"/>
    <xf numFmtId="17" fontId="12" fillId="5" borderId="2" xfId="0" applyNumberFormat="1" applyFont="1" applyFill="1" applyBorder="1"/>
    <xf numFmtId="17" fontId="12" fillId="5" borderId="9" xfId="0" applyNumberFormat="1" applyFont="1" applyFill="1" applyBorder="1"/>
    <xf numFmtId="17" fontId="12" fillId="5" borderId="3" xfId="0" applyNumberFormat="1" applyFont="1" applyFill="1" applyBorder="1"/>
    <xf numFmtId="17" fontId="12" fillId="5" borderId="20" xfId="0" applyNumberFormat="1" applyFont="1" applyFill="1" applyBorder="1"/>
    <xf numFmtId="0" fontId="15" fillId="35" borderId="0" xfId="0" applyFont="1" applyFill="1"/>
    <xf numFmtId="0" fontId="12" fillId="35" borderId="0" xfId="0" applyFont="1" applyFill="1"/>
    <xf numFmtId="0" fontId="12" fillId="35" borderId="20" xfId="0" applyFont="1" applyFill="1" applyBorder="1"/>
    <xf numFmtId="0" fontId="0" fillId="35" borderId="2" xfId="0" applyFill="1" applyBorder="1"/>
    <xf numFmtId="0" fontId="15" fillId="35" borderId="38" xfId="0" applyFont="1" applyFill="1" applyBorder="1"/>
    <xf numFmtId="0" fontId="15" fillId="35" borderId="10" xfId="0" applyFont="1" applyFill="1" applyBorder="1"/>
    <xf numFmtId="0" fontId="0" fillId="35" borderId="10" xfId="0" applyFill="1" applyBorder="1"/>
    <xf numFmtId="0" fontId="0" fillId="32" borderId="2" xfId="0" applyFill="1" applyBorder="1"/>
    <xf numFmtId="0" fontId="0" fillId="32" borderId="20" xfId="0" applyFill="1" applyBorder="1"/>
    <xf numFmtId="0" fontId="0" fillId="35" borderId="20" xfId="0" applyFill="1" applyBorder="1"/>
    <xf numFmtId="0" fontId="15" fillId="32" borderId="12" xfId="0" applyFont="1" applyFill="1" applyBorder="1"/>
    <xf numFmtId="0" fontId="15" fillId="32" borderId="21" xfId="0" applyFont="1" applyFill="1" applyBorder="1"/>
    <xf numFmtId="0" fontId="0" fillId="32" borderId="12" xfId="0" applyFill="1" applyBorder="1"/>
    <xf numFmtId="0" fontId="0" fillId="32" borderId="21" xfId="0" applyFill="1" applyBorder="1"/>
    <xf numFmtId="0" fontId="0" fillId="35" borderId="21" xfId="0" applyFill="1" applyBorder="1"/>
    <xf numFmtId="0" fontId="0" fillId="35" borderId="12" xfId="0" applyFill="1" applyBorder="1"/>
    <xf numFmtId="0" fontId="15" fillId="35" borderId="12" xfId="0" applyFont="1" applyFill="1" applyBorder="1"/>
    <xf numFmtId="0" fontId="12" fillId="8" borderId="2" xfId="0" applyFont="1" applyFill="1" applyBorder="1"/>
    <xf numFmtId="4" fontId="24" fillId="9" borderId="3" xfId="0" applyNumberFormat="1" applyFont="1" applyFill="1" applyBorder="1"/>
    <xf numFmtId="4" fontId="24" fillId="35" borderId="3" xfId="0" applyNumberFormat="1" applyFont="1" applyFill="1" applyBorder="1"/>
    <xf numFmtId="0" fontId="24" fillId="35" borderId="3" xfId="0" applyFont="1" applyFill="1" applyBorder="1"/>
    <xf numFmtId="4" fontId="26" fillId="35" borderId="0" xfId="0" applyNumberFormat="1" applyFont="1" applyFill="1"/>
    <xf numFmtId="4" fontId="26" fillId="39" borderId="0" xfId="0" applyNumberFormat="1" applyFont="1" applyFill="1"/>
    <xf numFmtId="4" fontId="24" fillId="8" borderId="3" xfId="0" applyNumberFormat="1" applyFont="1" applyFill="1" applyBorder="1"/>
    <xf numFmtId="0" fontId="26" fillId="35" borderId="0" xfId="0" applyFont="1" applyFill="1"/>
    <xf numFmtId="0" fontId="24" fillId="35" borderId="4" xfId="0" applyFont="1" applyFill="1" applyBorder="1"/>
    <xf numFmtId="0" fontId="26" fillId="35" borderId="0" xfId="0" applyFont="1" applyFill="1" applyAlignment="1">
      <alignment wrapText="1"/>
    </xf>
    <xf numFmtId="0" fontId="24" fillId="35" borderId="2" xfId="0" applyFont="1" applyFill="1" applyBorder="1"/>
    <xf numFmtId="0" fontId="24" fillId="8" borderId="4" xfId="0" applyFont="1" applyFill="1" applyBorder="1"/>
    <xf numFmtId="4" fontId="26" fillId="40" borderId="20" xfId="0" applyNumberFormat="1" applyFont="1" applyFill="1" applyBorder="1"/>
    <xf numFmtId="4" fontId="26" fillId="40" borderId="21" xfId="0" applyNumberFormat="1" applyFont="1" applyFill="1" applyBorder="1"/>
    <xf numFmtId="3" fontId="40" fillId="33" borderId="93" xfId="0" applyNumberFormat="1" applyFont="1" applyFill="1" applyBorder="1"/>
    <xf numFmtId="14" fontId="15" fillId="0" borderId="39" xfId="0" applyNumberFormat="1" applyFont="1" applyBorder="1"/>
    <xf numFmtId="0" fontId="15" fillId="0" borderId="45" xfId="0" applyFont="1" applyBorder="1"/>
    <xf numFmtId="0" fontId="15" fillId="0" borderId="5" xfId="0" applyFont="1" applyBorder="1"/>
    <xf numFmtId="17" fontId="15" fillId="0" borderId="45" xfId="0" applyNumberFormat="1" applyFont="1" applyBorder="1"/>
    <xf numFmtId="4" fontId="15" fillId="0" borderId="87" xfId="0" applyNumberFormat="1" applyFont="1" applyBorder="1"/>
    <xf numFmtId="0" fontId="0" fillId="0" borderId="58" xfId="0" applyBorder="1"/>
    <xf numFmtId="0" fontId="0" fillId="0" borderId="89" xfId="0" applyBorder="1"/>
    <xf numFmtId="17" fontId="0" fillId="0" borderId="89" xfId="0" applyNumberFormat="1" applyBorder="1"/>
    <xf numFmtId="14" fontId="0" fillId="0" borderId="39" xfId="0" applyNumberFormat="1" applyBorder="1"/>
    <xf numFmtId="0" fontId="0" fillId="0" borderId="45" xfId="0" applyBorder="1"/>
    <xf numFmtId="0" fontId="0" fillId="0" borderId="5" xfId="0" applyBorder="1"/>
    <xf numFmtId="4" fontId="0" fillId="0" borderId="39" xfId="0" applyNumberFormat="1" applyBorder="1"/>
    <xf numFmtId="14" fontId="26" fillId="41" borderId="12" xfId="0" applyNumberFormat="1" applyFont="1" applyFill="1" applyBorder="1"/>
    <xf numFmtId="0" fontId="26" fillId="25" borderId="21" xfId="0" applyFont="1" applyFill="1" applyBorder="1"/>
    <xf numFmtId="0" fontId="26" fillId="41" borderId="21" xfId="0" applyFont="1" applyFill="1" applyBorder="1"/>
    <xf numFmtId="4" fontId="26" fillId="25" borderId="21" xfId="0" applyNumberFormat="1" applyFont="1" applyFill="1" applyBorder="1"/>
    <xf numFmtId="17" fontId="26" fillId="41" borderId="21" xfId="0" applyNumberFormat="1" applyFont="1" applyFill="1" applyBorder="1"/>
    <xf numFmtId="174" fontId="21" fillId="10" borderId="70" xfId="5" applyNumberFormat="1" applyFont="1" applyFill="1" applyBorder="1"/>
    <xf numFmtId="174" fontId="21" fillId="10" borderId="72" xfId="5" applyNumberFormat="1" applyFont="1" applyFill="1" applyBorder="1"/>
    <xf numFmtId="174" fontId="21" fillId="10" borderId="55" xfId="5" applyNumberFormat="1" applyFont="1" applyFill="1" applyBorder="1"/>
    <xf numFmtId="174" fontId="21" fillId="10" borderId="38" xfId="5" applyNumberFormat="1" applyFont="1" applyFill="1" applyBorder="1"/>
    <xf numFmtId="174" fontId="21" fillId="10" borderId="60" xfId="5" applyNumberFormat="1" applyFont="1" applyFill="1" applyBorder="1"/>
    <xf numFmtId="174" fontId="21" fillId="10" borderId="0" xfId="5" applyNumberFormat="1" applyFont="1" applyFill="1" applyBorder="1"/>
    <xf numFmtId="0" fontId="1" fillId="3" borderId="0" xfId="44" applyFill="1"/>
    <xf numFmtId="4" fontId="1" fillId="3" borderId="0" xfId="44" applyNumberFormat="1" applyFill="1"/>
    <xf numFmtId="4" fontId="15" fillId="3" borderId="0" xfId="44" applyNumberFormat="1" applyFont="1" applyFill="1"/>
    <xf numFmtId="4" fontId="30" fillId="3" borderId="0" xfId="44" applyNumberFormat="1" applyFont="1" applyFill="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xf>
    <xf numFmtId="0" fontId="1" fillId="0" borderId="36" xfId="1" applyFont="1" applyBorder="1"/>
    <xf numFmtId="0" fontId="1" fillId="0" borderId="81" xfId="1" applyFont="1" applyBorder="1"/>
    <xf numFmtId="4" fontId="1" fillId="0" borderId="34" xfId="1" applyNumberFormat="1" applyFont="1" applyBorder="1"/>
    <xf numFmtId="0" fontId="1" fillId="0" borderId="14" xfId="1" applyFont="1" applyBorder="1"/>
    <xf numFmtId="0" fontId="1" fillId="0" borderId="20" xfId="1" applyFont="1" applyBorder="1"/>
    <xf numFmtId="4" fontId="1" fillId="0" borderId="2" xfId="1" applyNumberFormat="1" applyFont="1" applyBorder="1"/>
    <xf numFmtId="0" fontId="1" fillId="0" borderId="16" xfId="1" applyFont="1" applyBorder="1"/>
    <xf numFmtId="0" fontId="1" fillId="0" borderId="83" xfId="1" applyFont="1" applyBorder="1"/>
    <xf numFmtId="9" fontId="1" fillId="0" borderId="17" xfId="1" applyNumberFormat="1" applyFont="1" applyBorder="1"/>
    <xf numFmtId="0" fontId="1" fillId="0" borderId="0" xfId="1" applyFont="1"/>
    <xf numFmtId="4" fontId="1" fillId="0" borderId="3" xfId="1" applyNumberFormat="1" applyFont="1" applyBorder="1"/>
    <xf numFmtId="9" fontId="1" fillId="0" borderId="0" xfId="1" applyNumberFormat="1" applyFont="1"/>
    <xf numFmtId="9" fontId="1" fillId="0" borderId="2" xfId="1" applyNumberFormat="1" applyFont="1" applyBorder="1"/>
    <xf numFmtId="0" fontId="1" fillId="0" borderId="2" xfId="1" applyFont="1" applyBorder="1"/>
    <xf numFmtId="9" fontId="1" fillId="10" borderId="10" xfId="1" applyNumberFormat="1" applyFont="1" applyFill="1" applyBorder="1"/>
    <xf numFmtId="0" fontId="26" fillId="0" borderId="0" xfId="0" applyFont="1"/>
    <xf numFmtId="4" fontId="26" fillId="32" borderId="0" xfId="0" applyNumberFormat="1" applyFont="1" applyFill="1"/>
    <xf numFmtId="4" fontId="26" fillId="37" borderId="0" xfId="0" applyNumberFormat="1" applyFont="1" applyFill="1"/>
    <xf numFmtId="0" fontId="26" fillId="37" borderId="0" xfId="0" applyFont="1" applyFill="1"/>
    <xf numFmtId="4" fontId="26" fillId="38" borderId="0" xfId="0" applyNumberFormat="1" applyFont="1" applyFill="1"/>
    <xf numFmtId="0" fontId="26" fillId="38" borderId="0" xfId="0" applyFont="1" applyFill="1"/>
    <xf numFmtId="14" fontId="26" fillId="42" borderId="2" xfId="4" applyNumberFormat="1" applyFont="1" applyFill="1" applyBorder="1"/>
    <xf numFmtId="0" fontId="26" fillId="42" borderId="2" xfId="4" applyFont="1" applyFill="1" applyBorder="1"/>
    <xf numFmtId="4" fontId="26" fillId="42" borderId="2" xfId="5" applyNumberFormat="1" applyFont="1" applyFill="1" applyBorder="1"/>
    <xf numFmtId="0" fontId="26" fillId="42" borderId="0" xfId="4" applyFont="1" applyFill="1"/>
    <xf numFmtId="17" fontId="26" fillId="42" borderId="2" xfId="4" applyNumberFormat="1" applyFont="1" applyFill="1" applyBorder="1"/>
    <xf numFmtId="4" fontId="26" fillId="43" borderId="2" xfId="5" applyNumberFormat="1" applyFont="1" applyFill="1" applyBorder="1"/>
    <xf numFmtId="4" fontId="26" fillId="43" borderId="20" xfId="0" applyNumberFormat="1" applyFont="1" applyFill="1" applyBorder="1"/>
    <xf numFmtId="4" fontId="26" fillId="43" borderId="21" xfId="0" applyNumberFormat="1" applyFont="1" applyFill="1" applyBorder="1"/>
    <xf numFmtId="0" fontId="26" fillId="13" borderId="2" xfId="4" applyFont="1" applyFill="1" applyBorder="1"/>
    <xf numFmtId="4" fontId="26" fillId="13" borderId="2" xfId="5" applyNumberFormat="1" applyFont="1" applyFill="1" applyBorder="1"/>
    <xf numFmtId="14" fontId="26" fillId="44" borderId="2" xfId="4" applyNumberFormat="1" applyFont="1" applyFill="1" applyBorder="1"/>
    <xf numFmtId="0" fontId="26" fillId="44" borderId="2" xfId="4" applyFont="1" applyFill="1" applyBorder="1"/>
    <xf numFmtId="4" fontId="26" fillId="44" borderId="2" xfId="5" applyNumberFormat="1" applyFont="1" applyFill="1" applyBorder="1"/>
    <xf numFmtId="17" fontId="26" fillId="44" borderId="2" xfId="4" applyNumberFormat="1" applyFont="1" applyFill="1" applyBorder="1"/>
    <xf numFmtId="0" fontId="26" fillId="44" borderId="0" xfId="4" applyFont="1" applyFill="1"/>
    <xf numFmtId="0" fontId="26" fillId="32" borderId="2" xfId="0" applyFont="1" applyFill="1" applyBorder="1"/>
    <xf numFmtId="4" fontId="26" fillId="11" borderId="20" xfId="0" applyNumberFormat="1" applyFont="1" applyFill="1" applyBorder="1"/>
    <xf numFmtId="4" fontId="26" fillId="11" borderId="21" xfId="0" applyNumberFormat="1" applyFont="1" applyFill="1" applyBorder="1"/>
    <xf numFmtId="4" fontId="26" fillId="11" borderId="2" xfId="5" applyNumberFormat="1" applyFont="1" applyFill="1" applyBorder="1"/>
    <xf numFmtId="4" fontId="26" fillId="25" borderId="2" xfId="5" applyNumberFormat="1" applyFont="1" applyFill="1" applyBorder="1"/>
    <xf numFmtId="0" fontId="26" fillId="25" borderId="20" xfId="0" applyFont="1" applyFill="1" applyBorder="1"/>
    <xf numFmtId="14" fontId="26" fillId="0" borderId="2" xfId="4" applyNumberFormat="1" applyFont="1" applyBorder="1"/>
    <xf numFmtId="17" fontId="26" fillId="0" borderId="2" xfId="4" applyNumberFormat="1" applyFont="1" applyBorder="1"/>
    <xf numFmtId="14" fontId="26" fillId="13" borderId="2" xfId="4" applyNumberFormat="1" applyFont="1" applyFill="1" applyBorder="1"/>
    <xf numFmtId="0" fontId="26" fillId="13" borderId="0" xfId="4" applyFont="1" applyFill="1"/>
    <xf numFmtId="17" fontId="26" fillId="13" borderId="2" xfId="4" applyNumberFormat="1" applyFont="1" applyFill="1" applyBorder="1"/>
    <xf numFmtId="14" fontId="26" fillId="3" borderId="2" xfId="4" applyNumberFormat="1" applyFont="1" applyFill="1" applyBorder="1" applyAlignment="1">
      <alignment horizontal="right"/>
    </xf>
    <xf numFmtId="4" fontId="26" fillId="13" borderId="20" xfId="0" applyNumberFormat="1" applyFont="1" applyFill="1" applyBorder="1"/>
    <xf numFmtId="4" fontId="26" fillId="45" borderId="2" xfId="5" applyNumberFormat="1" applyFont="1" applyFill="1" applyBorder="1"/>
    <xf numFmtId="4" fontId="26" fillId="45" borderId="20" xfId="0" applyNumberFormat="1" applyFont="1" applyFill="1" applyBorder="1"/>
    <xf numFmtId="4" fontId="26" fillId="45" borderId="21" xfId="0" applyNumberFormat="1" applyFont="1" applyFill="1" applyBorder="1"/>
    <xf numFmtId="14" fontId="26" fillId="3" borderId="12" xfId="4" applyNumberFormat="1" applyFont="1" applyFill="1" applyBorder="1"/>
    <xf numFmtId="0" fontId="26" fillId="0" borderId="12" xfId="4" applyFont="1" applyBorder="1"/>
    <xf numFmtId="0" fontId="26" fillId="3" borderId="12" xfId="4" applyFont="1" applyFill="1" applyBorder="1"/>
    <xf numFmtId="17" fontId="26" fillId="3" borderId="12" xfId="4" applyNumberFormat="1" applyFont="1" applyFill="1" applyBorder="1"/>
    <xf numFmtId="14" fontId="26" fillId="3" borderId="17" xfId="4" applyNumberFormat="1" applyFont="1" applyFill="1" applyBorder="1"/>
    <xf numFmtId="0" fontId="26" fillId="0" borderId="17" xfId="4" applyFont="1" applyBorder="1"/>
    <xf numFmtId="0" fontId="26" fillId="3" borderId="17" xfId="4" applyFont="1" applyFill="1" applyBorder="1"/>
    <xf numFmtId="17" fontId="26" fillId="3" borderId="17" xfId="4" applyNumberFormat="1" applyFont="1" applyFill="1" applyBorder="1"/>
    <xf numFmtId="0" fontId="26" fillId="3" borderId="33" xfId="4" applyFont="1" applyFill="1" applyBorder="1"/>
    <xf numFmtId="4" fontId="26" fillId="13" borderId="12" xfId="5" applyNumberFormat="1" applyFont="1" applyFill="1" applyBorder="1"/>
    <xf numFmtId="4" fontId="26" fillId="45" borderId="17" xfId="5" applyNumberFormat="1" applyFont="1" applyFill="1" applyBorder="1"/>
    <xf numFmtId="0" fontId="14" fillId="0" borderId="89" xfId="4" applyFont="1" applyBorder="1"/>
    <xf numFmtId="171" fontId="14" fillId="0" borderId="58" xfId="4" applyNumberFormat="1" applyFont="1" applyBorder="1"/>
    <xf numFmtId="0" fontId="0" fillId="0" borderId="4" xfId="0" applyBorder="1"/>
    <xf numFmtId="171" fontId="14" fillId="0" borderId="5" xfId="4" applyNumberFormat="1" applyFont="1" applyBorder="1"/>
    <xf numFmtId="17" fontId="0" fillId="0" borderId="45" xfId="0" applyNumberFormat="1" applyBorder="1"/>
    <xf numFmtId="0" fontId="15" fillId="0" borderId="89" xfId="4" applyBorder="1"/>
    <xf numFmtId="43" fontId="21" fillId="10" borderId="55" xfId="0" applyNumberFormat="1" applyFont="1" applyFill="1" applyBorder="1"/>
    <xf numFmtId="0" fontId="15" fillId="0" borderId="45" xfId="4" applyBorder="1"/>
    <xf numFmtId="0" fontId="15" fillId="0" borderId="39" xfId="0" applyFont="1" applyBorder="1"/>
    <xf numFmtId="0" fontId="21" fillId="13" borderId="0" xfId="0" applyFont="1" applyFill="1"/>
    <xf numFmtId="174" fontId="21" fillId="13" borderId="0" xfId="8" applyNumberFormat="1" applyFont="1" applyFill="1"/>
    <xf numFmtId="0" fontId="26" fillId="0" borderId="2" xfId="4" applyFont="1" applyBorder="1" applyAlignment="1">
      <alignment vertical="top" wrapText="1"/>
    </xf>
    <xf numFmtId="0" fontId="26" fillId="0" borderId="2" xfId="4" applyFont="1" applyBorder="1" applyAlignment="1">
      <alignment horizontal="left" vertical="top" wrapText="1"/>
    </xf>
    <xf numFmtId="0" fontId="40" fillId="33" borderId="95" xfId="0" applyFont="1" applyFill="1" applyBorder="1"/>
    <xf numFmtId="174" fontId="21" fillId="10" borderId="69" xfId="5" applyNumberFormat="1" applyFont="1" applyFill="1" applyBorder="1"/>
    <xf numFmtId="0" fontId="40" fillId="33" borderId="90" xfId="0" applyFont="1" applyFill="1" applyBorder="1" applyAlignment="1">
      <alignment vertical="center"/>
    </xf>
    <xf numFmtId="14" fontId="26" fillId="46" borderId="2" xfId="4" applyNumberFormat="1" applyFont="1" applyFill="1" applyBorder="1"/>
    <xf numFmtId="0" fontId="26" fillId="46" borderId="2" xfId="4" applyFont="1" applyFill="1" applyBorder="1"/>
    <xf numFmtId="0" fontId="26" fillId="46" borderId="0" xfId="4" applyFont="1" applyFill="1"/>
    <xf numFmtId="17" fontId="26" fillId="46" borderId="2" xfId="4" applyNumberFormat="1" applyFont="1" applyFill="1" applyBorder="1"/>
    <xf numFmtId="0" fontId="26" fillId="0" borderId="2" xfId="0" applyFont="1" applyBorder="1"/>
    <xf numFmtId="4" fontId="26" fillId="3" borderId="2" xfId="5" applyNumberFormat="1" applyFont="1" applyFill="1" applyBorder="1"/>
    <xf numFmtId="0" fontId="26" fillId="3" borderId="10" xfId="4" applyFont="1" applyFill="1" applyBorder="1"/>
    <xf numFmtId="0" fontId="26" fillId="13" borderId="10" xfId="4" applyFont="1" applyFill="1" applyBorder="1"/>
    <xf numFmtId="0" fontId="26" fillId="13" borderId="12" xfId="4" applyFont="1" applyFill="1" applyBorder="1"/>
    <xf numFmtId="0" fontId="26" fillId="3" borderId="38" xfId="4" applyFont="1" applyFill="1" applyBorder="1"/>
    <xf numFmtId="0" fontId="26" fillId="46" borderId="12" xfId="4" applyFont="1" applyFill="1" applyBorder="1"/>
    <xf numFmtId="0" fontId="26" fillId="0" borderId="2" xfId="4" applyFont="1" applyBorder="1" applyAlignment="1">
      <alignment vertical="top"/>
    </xf>
    <xf numFmtId="4" fontId="42" fillId="13" borderId="2" xfId="5" applyNumberFormat="1" applyFont="1" applyFill="1" applyBorder="1"/>
    <xf numFmtId="4" fontId="15" fillId="11" borderId="87" xfId="0" applyNumberFormat="1" applyFont="1" applyFill="1" applyBorder="1"/>
    <xf numFmtId="43" fontId="15" fillId="11" borderId="39" xfId="4" applyNumberFormat="1" applyFill="1" applyBorder="1"/>
    <xf numFmtId="43" fontId="15" fillId="13" borderId="39" xfId="4" applyNumberFormat="1" applyFill="1" applyBorder="1"/>
    <xf numFmtId="0" fontId="21" fillId="11" borderId="0" xfId="0" applyFont="1" applyFill="1"/>
    <xf numFmtId="174" fontId="21" fillId="11" borderId="0" xfId="8" applyNumberFormat="1" applyFont="1" applyFill="1"/>
    <xf numFmtId="4" fontId="26" fillId="0" borderId="2" xfId="5" applyNumberFormat="1" applyFont="1" applyBorder="1"/>
    <xf numFmtId="43" fontId="21" fillId="10" borderId="0" xfId="0" applyNumberFormat="1" applyFont="1" applyFill="1"/>
    <xf numFmtId="182" fontId="21" fillId="10" borderId="0" xfId="0" applyNumberFormat="1" applyFont="1" applyFill="1"/>
    <xf numFmtId="183" fontId="21" fillId="10" borderId="0" xfId="0" applyNumberFormat="1" applyFont="1" applyFill="1"/>
    <xf numFmtId="4" fontId="0" fillId="0" borderId="87" xfId="0" applyNumberFormat="1" applyBorder="1"/>
    <xf numFmtId="184" fontId="21" fillId="10" borderId="0" xfId="0" applyNumberFormat="1" applyFont="1" applyFill="1"/>
    <xf numFmtId="0" fontId="26" fillId="11" borderId="2" xfId="4" applyFont="1" applyFill="1" applyBorder="1"/>
    <xf numFmtId="0" fontId="26" fillId="11" borderId="0" xfId="4" applyFont="1" applyFill="1"/>
    <xf numFmtId="14" fontId="26" fillId="11" borderId="2" xfId="4" applyNumberFormat="1" applyFont="1" applyFill="1" applyBorder="1"/>
    <xf numFmtId="17" fontId="26" fillId="11" borderId="2" xfId="4" applyNumberFormat="1" applyFont="1" applyFill="1" applyBorder="1"/>
    <xf numFmtId="0" fontId="0" fillId="0" borderId="39" xfId="0" applyBorder="1"/>
    <xf numFmtId="0" fontId="26" fillId="0" borderId="2" xfId="4" applyFont="1" applyBorder="1" applyAlignment="1">
      <alignment wrapText="1"/>
    </xf>
    <xf numFmtId="4" fontId="26" fillId="46" borderId="2" xfId="5" applyNumberFormat="1" applyFont="1" applyFill="1" applyBorder="1"/>
    <xf numFmtId="0" fontId="26" fillId="47" borderId="2" xfId="0" applyFont="1" applyFill="1" applyBorder="1"/>
    <xf numFmtId="174" fontId="21" fillId="10" borderId="61" xfId="0" applyNumberFormat="1" applyFont="1" applyFill="1" applyBorder="1" applyAlignment="1">
      <alignment horizontal="right"/>
    </xf>
    <xf numFmtId="0" fontId="40" fillId="33" borderId="95" xfId="0" applyFont="1" applyFill="1" applyBorder="1" applyAlignment="1">
      <alignment vertical="center"/>
    </xf>
    <xf numFmtId="0" fontId="26" fillId="49" borderId="2" xfId="4" applyFont="1" applyFill="1" applyBorder="1"/>
    <xf numFmtId="4" fontId="26" fillId="49" borderId="2" xfId="5" applyNumberFormat="1" applyFont="1" applyFill="1" applyBorder="1"/>
    <xf numFmtId="17" fontId="26" fillId="49" borderId="2" xfId="4" applyNumberFormat="1" applyFont="1" applyFill="1" applyBorder="1"/>
    <xf numFmtId="14" fontId="14" fillId="26" borderId="39" xfId="4" applyNumberFormat="1" applyFont="1" applyFill="1" applyBorder="1"/>
    <xf numFmtId="0" fontId="14" fillId="26" borderId="45" xfId="4" applyFont="1" applyFill="1" applyBorder="1"/>
    <xf numFmtId="0" fontId="15" fillId="26" borderId="4" xfId="4" applyFill="1" applyBorder="1"/>
    <xf numFmtId="43" fontId="15" fillId="26" borderId="39" xfId="4" applyNumberFormat="1" applyFill="1" applyBorder="1"/>
    <xf numFmtId="17" fontId="14" fillId="26" borderId="39" xfId="4" applyNumberFormat="1" applyFont="1" applyFill="1" applyBorder="1"/>
    <xf numFmtId="0" fontId="0" fillId="26" borderId="39" xfId="0" applyFill="1" applyBorder="1"/>
    <xf numFmtId="0" fontId="15" fillId="0" borderId="4" xfId="0" applyFont="1" applyBorder="1"/>
    <xf numFmtId="0" fontId="21" fillId="50" borderId="0" xfId="0" applyFont="1" applyFill="1"/>
    <xf numFmtId="174" fontId="21" fillId="50" borderId="0" xfId="8" applyNumberFormat="1" applyFont="1" applyFill="1"/>
    <xf numFmtId="0" fontId="40" fillId="33" borderId="92" xfId="0" applyFont="1" applyFill="1" applyBorder="1" applyAlignment="1">
      <alignment vertical="center"/>
    </xf>
    <xf numFmtId="0" fontId="26" fillId="51" borderId="2" xfId="4" applyFont="1" applyFill="1" applyBorder="1"/>
    <xf numFmtId="14" fontId="26" fillId="52" borderId="2" xfId="4" applyNumberFormat="1" applyFont="1" applyFill="1" applyBorder="1"/>
    <xf numFmtId="0" fontId="26" fillId="52" borderId="2" xfId="4" applyFont="1" applyFill="1" applyBorder="1"/>
    <xf numFmtId="4" fontId="26" fillId="52" borderId="2" xfId="5" applyNumberFormat="1" applyFont="1" applyFill="1" applyBorder="1"/>
    <xf numFmtId="17" fontId="26" fillId="52" borderId="2" xfId="4" applyNumberFormat="1" applyFont="1" applyFill="1" applyBorder="1"/>
    <xf numFmtId="0" fontId="26" fillId="3" borderId="21" xfId="4" applyFont="1" applyFill="1" applyBorder="1"/>
    <xf numFmtId="3" fontId="21" fillId="10" borderId="0" xfId="0" applyNumberFormat="1" applyFont="1" applyFill="1"/>
    <xf numFmtId="166" fontId="21" fillId="10" borderId="0" xfId="45" applyFont="1" applyFill="1"/>
    <xf numFmtId="43" fontId="15" fillId="42" borderId="39" xfId="4" applyNumberFormat="1" applyFill="1" applyBorder="1"/>
    <xf numFmtId="14" fontId="26" fillId="51" borderId="2" xfId="4" applyNumberFormat="1" applyFont="1" applyFill="1" applyBorder="1"/>
    <xf numFmtId="4" fontId="26" fillId="51" borderId="2" xfId="5" applyNumberFormat="1" applyFont="1" applyFill="1" applyBorder="1"/>
    <xf numFmtId="17" fontId="26" fillId="51" borderId="2" xfId="4" applyNumberFormat="1" applyFont="1" applyFill="1" applyBorder="1"/>
    <xf numFmtId="0" fontId="26" fillId="51" borderId="0" xfId="4" applyFont="1" applyFill="1"/>
    <xf numFmtId="14" fontId="26" fillId="26" borderId="2" xfId="4" applyNumberFormat="1" applyFont="1" applyFill="1" applyBorder="1"/>
    <xf numFmtId="0" fontId="26" fillId="26" borderId="2" xfId="4" applyFont="1" applyFill="1" applyBorder="1"/>
    <xf numFmtId="17" fontId="26" fillId="26" borderId="2" xfId="4" applyNumberFormat="1" applyFont="1" applyFill="1" applyBorder="1"/>
    <xf numFmtId="0" fontId="26" fillId="26" borderId="0" xfId="4" applyFont="1" applyFill="1"/>
    <xf numFmtId="4" fontId="24" fillId="11" borderId="2" xfId="5" applyNumberFormat="1" applyFont="1" applyFill="1" applyBorder="1"/>
    <xf numFmtId="14" fontId="26" fillId="53" borderId="2" xfId="4" applyNumberFormat="1" applyFont="1" applyFill="1" applyBorder="1"/>
    <xf numFmtId="0" fontId="26" fillId="53" borderId="2" xfId="4" applyFont="1" applyFill="1" applyBorder="1"/>
    <xf numFmtId="4" fontId="26" fillId="53" borderId="2" xfId="5" applyNumberFormat="1" applyFont="1" applyFill="1" applyBorder="1"/>
    <xf numFmtId="17" fontId="26" fillId="53" borderId="2" xfId="4" applyNumberFormat="1" applyFont="1" applyFill="1" applyBorder="1"/>
    <xf numFmtId="0" fontId="26" fillId="53" borderId="0" xfId="4" applyFont="1" applyFill="1"/>
    <xf numFmtId="14" fontId="24" fillId="3" borderId="2" xfId="4" applyNumberFormat="1" applyFont="1" applyFill="1" applyBorder="1"/>
    <xf numFmtId="0" fontId="24" fillId="0" borderId="2" xfId="4" applyFont="1" applyBorder="1"/>
    <xf numFmtId="0" fontId="24" fillId="3" borderId="2" xfId="4" applyFont="1" applyFill="1" applyBorder="1"/>
    <xf numFmtId="17" fontId="24" fillId="3" borderId="2" xfId="4" applyNumberFormat="1" applyFont="1" applyFill="1" applyBorder="1"/>
    <xf numFmtId="0" fontId="21" fillId="52" borderId="0" xfId="0" applyFont="1" applyFill="1"/>
    <xf numFmtId="174" fontId="21" fillId="52" borderId="0" xfId="8" applyNumberFormat="1" applyFont="1" applyFill="1"/>
    <xf numFmtId="4" fontId="26" fillId="54" borderId="2" xfId="5" applyNumberFormat="1" applyFont="1" applyFill="1" applyBorder="1"/>
    <xf numFmtId="4" fontId="26" fillId="55" borderId="2" xfId="5" applyNumberFormat="1" applyFont="1" applyFill="1" applyBorder="1"/>
    <xf numFmtId="4" fontId="24" fillId="55" borderId="2" xfId="5" applyNumberFormat="1" applyFont="1" applyFill="1" applyBorder="1"/>
    <xf numFmtId="14" fontId="26" fillId="56" borderId="2" xfId="4" applyNumberFormat="1" applyFont="1" applyFill="1" applyBorder="1"/>
    <xf numFmtId="0" fontId="26" fillId="56" borderId="2" xfId="4" applyFont="1" applyFill="1" applyBorder="1"/>
    <xf numFmtId="4" fontId="26" fillId="56" borderId="2" xfId="5" applyNumberFormat="1" applyFont="1" applyFill="1" applyBorder="1"/>
    <xf numFmtId="17" fontId="26" fillId="56" borderId="2" xfId="4" applyNumberFormat="1" applyFont="1" applyFill="1" applyBorder="1"/>
    <xf numFmtId="0" fontId="26" fillId="20" borderId="2" xfId="4" applyFont="1" applyFill="1" applyBorder="1"/>
    <xf numFmtId="0" fontId="24" fillId="20" borderId="2" xfId="4" applyFont="1" applyFill="1" applyBorder="1"/>
    <xf numFmtId="0" fontId="44" fillId="10" borderId="0" xfId="0" applyFont="1" applyFill="1"/>
    <xf numFmtId="17" fontId="26" fillId="20" borderId="2" xfId="4" applyNumberFormat="1" applyFont="1" applyFill="1" applyBorder="1"/>
    <xf numFmtId="4" fontId="24" fillId="0" borderId="2" xfId="5" applyNumberFormat="1" applyFont="1" applyFill="1" applyBorder="1"/>
    <xf numFmtId="17" fontId="12" fillId="3" borderId="20" xfId="0" applyNumberFormat="1" applyFont="1" applyFill="1" applyBorder="1"/>
    <xf numFmtId="4" fontId="0" fillId="3" borderId="20" xfId="0" applyNumberFormat="1" applyFill="1" applyBorder="1"/>
    <xf numFmtId="0" fontId="12" fillId="2" borderId="2" xfId="0" applyFont="1" applyFill="1" applyBorder="1" applyAlignment="1">
      <alignment horizontal="center" vertical="center"/>
    </xf>
    <xf numFmtId="14" fontId="26" fillId="57" borderId="2" xfId="4" applyNumberFormat="1" applyFont="1" applyFill="1" applyBorder="1"/>
    <xf numFmtId="0" fontId="26" fillId="57" borderId="2" xfId="4" applyFont="1" applyFill="1" applyBorder="1"/>
    <xf numFmtId="17" fontId="26" fillId="57" borderId="2" xfId="4" applyNumberFormat="1" applyFont="1" applyFill="1" applyBorder="1"/>
    <xf numFmtId="0" fontId="26" fillId="57" borderId="0" xfId="4" applyFont="1" applyFill="1"/>
    <xf numFmtId="0" fontId="41" fillId="0" borderId="0" xfId="0" applyFont="1"/>
    <xf numFmtId="0" fontId="15" fillId="58" borderId="30" xfId="0" applyFont="1" applyFill="1" applyBorder="1"/>
    <xf numFmtId="4" fontId="0" fillId="58" borderId="41" xfId="0" applyNumberFormat="1" applyFill="1" applyBorder="1"/>
    <xf numFmtId="0" fontId="15" fillId="58" borderId="26" xfId="0" applyFont="1" applyFill="1" applyBorder="1"/>
    <xf numFmtId="4" fontId="0" fillId="58" borderId="49" xfId="0" applyNumberFormat="1" applyFill="1" applyBorder="1"/>
    <xf numFmtId="9" fontId="12" fillId="58" borderId="49" xfId="0" applyNumberFormat="1" applyFont="1" applyFill="1" applyBorder="1"/>
    <xf numFmtId="0" fontId="15" fillId="58" borderId="32" xfId="0" applyFont="1" applyFill="1" applyBorder="1"/>
    <xf numFmtId="4" fontId="0" fillId="58" borderId="42" xfId="0" applyNumberFormat="1" applyFill="1" applyBorder="1"/>
    <xf numFmtId="0" fontId="0" fillId="58" borderId="26" xfId="0" applyFill="1" applyBorder="1"/>
    <xf numFmtId="0" fontId="0" fillId="58" borderId="49" xfId="0" applyFill="1" applyBorder="1"/>
    <xf numFmtId="14" fontId="26" fillId="59" borderId="2" xfId="4" applyNumberFormat="1" applyFont="1" applyFill="1" applyBorder="1"/>
    <xf numFmtId="0" fontId="26" fillId="59" borderId="2" xfId="4" applyFont="1" applyFill="1" applyBorder="1"/>
    <xf numFmtId="4" fontId="26" fillId="59" borderId="2" xfId="5" applyNumberFormat="1" applyFont="1" applyFill="1" applyBorder="1"/>
    <xf numFmtId="17" fontId="26" fillId="59" borderId="2" xfId="4" applyNumberFormat="1" applyFont="1" applyFill="1" applyBorder="1"/>
    <xf numFmtId="0" fontId="26" fillId="59" borderId="0" xfId="4" applyFont="1" applyFill="1"/>
    <xf numFmtId="14" fontId="26" fillId="55" borderId="2" xfId="4" applyNumberFormat="1" applyFont="1" applyFill="1" applyBorder="1"/>
    <xf numFmtId="0" fontId="26" fillId="55" borderId="2" xfId="4" applyFont="1" applyFill="1" applyBorder="1"/>
    <xf numFmtId="0" fontId="26" fillId="55" borderId="0" xfId="4" applyFont="1" applyFill="1"/>
    <xf numFmtId="17" fontId="26" fillId="55" borderId="2" xfId="4" applyNumberFormat="1" applyFont="1" applyFill="1" applyBorder="1"/>
    <xf numFmtId="0" fontId="40" fillId="33" borderId="96" xfId="0" applyFont="1" applyFill="1" applyBorder="1"/>
    <xf numFmtId="3" fontId="40" fillId="33" borderId="97" xfId="0" applyNumberFormat="1" applyFont="1" applyFill="1" applyBorder="1"/>
    <xf numFmtId="174" fontId="21" fillId="10" borderId="59" xfId="5" applyNumberFormat="1" applyFont="1" applyFill="1" applyBorder="1"/>
    <xf numFmtId="0" fontId="40" fillId="33" borderId="55" xfId="0" applyFont="1" applyFill="1" applyBorder="1"/>
    <xf numFmtId="3" fontId="40" fillId="33" borderId="55" xfId="0" applyNumberFormat="1" applyFont="1" applyFill="1" applyBorder="1"/>
    <xf numFmtId="185" fontId="44" fillId="10" borderId="0" xfId="45" applyNumberFormat="1" applyFont="1" applyFill="1"/>
    <xf numFmtId="0" fontId="21" fillId="10" borderId="99" xfId="0" applyFont="1" applyFill="1" applyBorder="1"/>
    <xf numFmtId="0" fontId="40" fillId="33" borderId="98" xfId="0" applyFont="1" applyFill="1" applyBorder="1"/>
    <xf numFmtId="0" fontId="40" fillId="33" borderId="55" xfId="0" applyFont="1" applyFill="1" applyBorder="1" applyAlignment="1">
      <alignment vertical="center"/>
    </xf>
    <xf numFmtId="4" fontId="21" fillId="10" borderId="0" xfId="0" applyNumberFormat="1" applyFont="1" applyFill="1"/>
    <xf numFmtId="0" fontId="26" fillId="52" borderId="0" xfId="4" applyFont="1" applyFill="1"/>
    <xf numFmtId="0" fontId="21" fillId="60" borderId="0" xfId="0" applyFont="1" applyFill="1"/>
    <xf numFmtId="174" fontId="21" fillId="60" borderId="0" xfId="8" applyNumberFormat="1" applyFont="1" applyFill="1"/>
    <xf numFmtId="174" fontId="15" fillId="0" borderId="39" xfId="4" applyNumberFormat="1" applyBorder="1"/>
    <xf numFmtId="14" fontId="14" fillId="0" borderId="87" xfId="4" applyNumberFormat="1" applyFont="1" applyBorder="1"/>
    <xf numFmtId="0" fontId="15" fillId="0" borderId="58" xfId="4" applyBorder="1"/>
    <xf numFmtId="43" fontId="15" fillId="0" borderId="87" xfId="4" applyNumberFormat="1" applyBorder="1"/>
    <xf numFmtId="4" fontId="15" fillId="11" borderId="39" xfId="0" applyNumberFormat="1" applyFont="1" applyFill="1" applyBorder="1"/>
    <xf numFmtId="4" fontId="15" fillId="0" borderId="39" xfId="0" applyNumberFormat="1" applyFont="1" applyBorder="1"/>
    <xf numFmtId="17" fontId="14" fillId="0" borderId="89" xfId="4" applyNumberFormat="1" applyFont="1" applyBorder="1"/>
    <xf numFmtId="17" fontId="0" fillId="0" borderId="39" xfId="0" applyNumberFormat="1" applyBorder="1"/>
    <xf numFmtId="17" fontId="14" fillId="0" borderId="45" xfId="4" applyNumberFormat="1" applyFont="1" applyBorder="1"/>
    <xf numFmtId="0" fontId="0" fillId="3" borderId="39" xfId="0" applyFill="1" applyBorder="1"/>
    <xf numFmtId="3" fontId="45" fillId="9" borderId="2" xfId="0" applyNumberFormat="1" applyFont="1" applyFill="1" applyBorder="1"/>
    <xf numFmtId="17" fontId="12" fillId="3" borderId="39" xfId="0" applyNumberFormat="1" applyFont="1" applyFill="1" applyBorder="1"/>
    <xf numFmtId="0" fontId="12" fillId="3" borderId="39" xfId="0" applyFont="1" applyFill="1" applyBorder="1" applyAlignment="1">
      <alignment horizontal="left"/>
    </xf>
    <xf numFmtId="4" fontId="0" fillId="3" borderId="39" xfId="0" applyNumberFormat="1" applyFill="1" applyBorder="1"/>
    <xf numFmtId="4" fontId="12" fillId="3" borderId="39" xfId="0" applyNumberFormat="1" applyFont="1" applyFill="1" applyBorder="1"/>
    <xf numFmtId="14" fontId="26" fillId="62" borderId="2" xfId="4" applyNumberFormat="1" applyFont="1" applyFill="1" applyBorder="1"/>
    <xf numFmtId="0" fontId="26" fillId="62" borderId="2" xfId="4" applyFont="1" applyFill="1" applyBorder="1"/>
    <xf numFmtId="0" fontId="26" fillId="62" borderId="0" xfId="4" applyFont="1" applyFill="1"/>
    <xf numFmtId="17" fontId="26" fillId="62" borderId="2" xfId="4" applyNumberFormat="1" applyFont="1" applyFill="1" applyBorder="1"/>
    <xf numFmtId="0" fontId="0" fillId="48" borderId="0" xfId="0" applyFill="1"/>
    <xf numFmtId="0" fontId="15" fillId="63" borderId="0" xfId="0" applyFont="1" applyFill="1"/>
    <xf numFmtId="0" fontId="0" fillId="63" borderId="0" xfId="0" applyFill="1"/>
    <xf numFmtId="0" fontId="11" fillId="63" borderId="0" xfId="0" applyFont="1" applyFill="1"/>
    <xf numFmtId="4" fontId="14" fillId="63" borderId="0" xfId="0" applyNumberFormat="1" applyFont="1" applyFill="1"/>
    <xf numFmtId="0" fontId="14" fillId="63" borderId="0" xfId="0" applyFont="1" applyFill="1"/>
    <xf numFmtId="4" fontId="12" fillId="48" borderId="0" xfId="0" applyNumberFormat="1" applyFont="1" applyFill="1"/>
    <xf numFmtId="4" fontId="26" fillId="24" borderId="2" xfId="5" applyNumberFormat="1" applyFont="1" applyFill="1" applyBorder="1"/>
    <xf numFmtId="17" fontId="26" fillId="24" borderId="2" xfId="4" applyNumberFormat="1" applyFont="1" applyFill="1" applyBorder="1"/>
    <xf numFmtId="0" fontId="26" fillId="24" borderId="2" xfId="4" applyFont="1" applyFill="1" applyBorder="1"/>
    <xf numFmtId="0" fontId="21" fillId="10" borderId="100" xfId="0" applyFont="1" applyFill="1" applyBorder="1"/>
    <xf numFmtId="10" fontId="12" fillId="58" borderId="49" xfId="0" applyNumberFormat="1" applyFont="1" applyFill="1" applyBorder="1"/>
    <xf numFmtId="14" fontId="0" fillId="0" borderId="0" xfId="0" applyNumberFormat="1"/>
    <xf numFmtId="0" fontId="15" fillId="0" borderId="38" xfId="0" applyFont="1" applyBorder="1"/>
    <xf numFmtId="174" fontId="0" fillId="0" borderId="38" xfId="8" applyNumberFormat="1" applyFont="1" applyFill="1" applyBorder="1"/>
    <xf numFmtId="4" fontId="12" fillId="3" borderId="20" xfId="0" applyNumberFormat="1" applyFont="1" applyFill="1" applyBorder="1"/>
    <xf numFmtId="0" fontId="0" fillId="3" borderId="36" xfId="0" applyFill="1" applyBorder="1"/>
    <xf numFmtId="17" fontId="12" fillId="3" borderId="34" xfId="0" applyNumberFormat="1" applyFont="1" applyFill="1" applyBorder="1"/>
    <xf numFmtId="17" fontId="12" fillId="3" borderId="35" xfId="0" applyNumberFormat="1" applyFont="1" applyFill="1" applyBorder="1"/>
    <xf numFmtId="9" fontId="0" fillId="3" borderId="15" xfId="0" applyNumberFormat="1" applyFill="1" applyBorder="1"/>
    <xf numFmtId="0" fontId="12" fillId="3" borderId="14" xfId="0" applyFont="1" applyFill="1" applyBorder="1" applyAlignment="1">
      <alignment horizontal="left"/>
    </xf>
    <xf numFmtId="0" fontId="0" fillId="3" borderId="16" xfId="0" applyFill="1" applyBorder="1"/>
    <xf numFmtId="4" fontId="0" fillId="3" borderId="17" xfId="0" applyNumberFormat="1" applyFill="1" applyBorder="1"/>
    <xf numFmtId="10" fontId="12" fillId="3" borderId="2" xfId="0" applyNumberFormat="1" applyFont="1" applyFill="1" applyBorder="1"/>
    <xf numFmtId="9" fontId="0" fillId="61" borderId="2" xfId="0" applyNumberFormat="1" applyFill="1" applyBorder="1"/>
    <xf numFmtId="0" fontId="12" fillId="0" borderId="14" xfId="0" applyFont="1" applyBorder="1"/>
    <xf numFmtId="9" fontId="0" fillId="3" borderId="101" xfId="0" applyNumberFormat="1" applyFill="1" applyBorder="1"/>
    <xf numFmtId="10" fontId="12" fillId="3" borderId="15" xfId="0" applyNumberFormat="1" applyFont="1" applyFill="1" applyBorder="1"/>
    <xf numFmtId="0" fontId="0" fillId="3" borderId="102" xfId="0" applyFill="1" applyBorder="1"/>
    <xf numFmtId="17" fontId="12" fillId="3" borderId="103" xfId="0" applyNumberFormat="1" applyFont="1" applyFill="1" applyBorder="1"/>
    <xf numFmtId="17" fontId="12" fillId="3" borderId="104" xfId="0" applyNumberFormat="1" applyFont="1" applyFill="1" applyBorder="1"/>
    <xf numFmtId="0" fontId="12" fillId="3" borderId="105" xfId="0" applyFont="1" applyFill="1" applyBorder="1"/>
    <xf numFmtId="9" fontId="0" fillId="3" borderId="106" xfId="0" applyNumberFormat="1" applyFill="1" applyBorder="1"/>
    <xf numFmtId="0" fontId="12" fillId="3" borderId="105" xfId="0" applyFont="1" applyFill="1" applyBorder="1" applyAlignment="1">
      <alignment horizontal="left"/>
    </xf>
    <xf numFmtId="0" fontId="0" fillId="3" borderId="105" xfId="0" applyFill="1" applyBorder="1"/>
    <xf numFmtId="0" fontId="0" fillId="3" borderId="106" xfId="0" applyFill="1" applyBorder="1"/>
    <xf numFmtId="9" fontId="12" fillId="3" borderId="106" xfId="0" applyNumberFormat="1" applyFont="1" applyFill="1" applyBorder="1"/>
    <xf numFmtId="0" fontId="0" fillId="3" borderId="107" xfId="0" applyFill="1" applyBorder="1"/>
    <xf numFmtId="4" fontId="0" fillId="3" borderId="108" xfId="0" applyNumberFormat="1" applyFill="1" applyBorder="1"/>
    <xf numFmtId="4" fontId="0" fillId="3" borderId="109" xfId="0" applyNumberFormat="1" applyFill="1" applyBorder="1"/>
    <xf numFmtId="4" fontId="14" fillId="0" borderId="0" xfId="0" applyNumberFormat="1" applyFont="1"/>
    <xf numFmtId="43" fontId="12" fillId="18" borderId="0" xfId="0" applyNumberFormat="1" applyFont="1" applyFill="1" applyAlignment="1">
      <alignment horizontal="center"/>
    </xf>
    <xf numFmtId="169" fontId="12" fillId="3" borderId="106" xfId="0" applyNumberFormat="1" applyFont="1" applyFill="1" applyBorder="1"/>
    <xf numFmtId="0" fontId="0" fillId="3" borderId="110" xfId="0" applyFill="1" applyBorder="1"/>
    <xf numFmtId="4" fontId="0" fillId="3" borderId="111" xfId="0" applyNumberFormat="1" applyFill="1" applyBorder="1"/>
    <xf numFmtId="0" fontId="0" fillId="3" borderId="112" xfId="0" applyFill="1" applyBorder="1"/>
    <xf numFmtId="0" fontId="0" fillId="3" borderId="113" xfId="0" applyFill="1" applyBorder="1"/>
    <xf numFmtId="0" fontId="0" fillId="3" borderId="114" xfId="0" applyFill="1" applyBorder="1"/>
    <xf numFmtId="14" fontId="26" fillId="64" borderId="2" xfId="4" applyNumberFormat="1" applyFont="1" applyFill="1" applyBorder="1"/>
    <xf numFmtId="0" fontId="26" fillId="64" borderId="2" xfId="4" applyFont="1" applyFill="1" applyBorder="1"/>
    <xf numFmtId="17" fontId="26" fillId="64" borderId="2" xfId="4" applyNumberFormat="1" applyFont="1" applyFill="1" applyBorder="1"/>
    <xf numFmtId="0" fontId="26" fillId="64" borderId="0" xfId="4" applyFont="1" applyFill="1"/>
    <xf numFmtId="4" fontId="26" fillId="20" borderId="2" xfId="5" applyNumberFormat="1" applyFont="1" applyFill="1" applyBorder="1"/>
    <xf numFmtId="0" fontId="26" fillId="65" borderId="2" xfId="0" applyFont="1" applyFill="1" applyBorder="1"/>
    <xf numFmtId="0" fontId="12" fillId="3" borderId="3" xfId="0" applyFont="1" applyFill="1" applyBorder="1" applyAlignment="1">
      <alignment horizontal="center"/>
    </xf>
    <xf numFmtId="0" fontId="12" fillId="3" borderId="9" xfId="0" applyFont="1" applyFill="1" applyBorder="1" applyAlignment="1">
      <alignment horizontal="center"/>
    </xf>
    <xf numFmtId="0" fontId="12" fillId="3" borderId="20" xfId="0" applyFont="1" applyFill="1" applyBorder="1" applyAlignment="1">
      <alignment horizontal="center"/>
    </xf>
    <xf numFmtId="0" fontId="12" fillId="3" borderId="36" xfId="0" applyFont="1" applyFill="1" applyBorder="1" applyAlignment="1">
      <alignment horizontal="center" vertical="center"/>
    </xf>
    <xf numFmtId="0" fontId="12" fillId="3" borderId="37" xfId="0" applyFont="1" applyFill="1" applyBorder="1" applyAlignment="1">
      <alignment horizontal="center" vertical="center"/>
    </xf>
    <xf numFmtId="0" fontId="12" fillId="3" borderId="16" xfId="0" applyFont="1" applyFill="1" applyBorder="1" applyAlignment="1">
      <alignment horizontal="center" vertical="center"/>
    </xf>
    <xf numFmtId="0" fontId="12" fillId="3" borderId="34" xfId="0" applyFont="1" applyFill="1" applyBorder="1" applyAlignment="1">
      <alignment horizontal="center" vertical="center" wrapText="1"/>
    </xf>
    <xf numFmtId="0" fontId="12" fillId="3" borderId="38" xfId="0" applyFont="1" applyFill="1" applyBorder="1" applyAlignment="1">
      <alignment horizontal="center" vertical="center" wrapText="1"/>
    </xf>
    <xf numFmtId="0" fontId="12" fillId="3" borderId="17" xfId="0" applyFont="1" applyFill="1" applyBorder="1" applyAlignment="1">
      <alignment horizontal="center" vertical="center" wrapText="1"/>
    </xf>
    <xf numFmtId="0" fontId="12" fillId="13" borderId="34" xfId="0" applyFont="1" applyFill="1" applyBorder="1" applyAlignment="1">
      <alignment horizontal="center" vertical="center" wrapText="1"/>
    </xf>
    <xf numFmtId="0" fontId="12" fillId="13" borderId="38" xfId="0" applyFont="1" applyFill="1" applyBorder="1" applyAlignment="1">
      <alignment horizontal="center" vertical="center" wrapText="1"/>
    </xf>
    <xf numFmtId="0" fontId="12" fillId="13" borderId="17" xfId="0" applyFont="1" applyFill="1" applyBorder="1" applyAlignment="1">
      <alignment horizontal="center" vertical="center" wrapText="1"/>
    </xf>
    <xf numFmtId="0" fontId="12" fillId="3" borderId="6" xfId="0" applyFont="1" applyFill="1" applyBorder="1" applyAlignment="1">
      <alignment horizontal="center"/>
    </xf>
    <xf numFmtId="0" fontId="12" fillId="3" borderId="7" xfId="0" applyFont="1" applyFill="1" applyBorder="1" applyAlignment="1">
      <alignment horizontal="center"/>
    </xf>
    <xf numFmtId="0" fontId="12" fillId="3" borderId="8" xfId="0" applyFont="1" applyFill="1" applyBorder="1" applyAlignment="1">
      <alignment horizontal="center"/>
    </xf>
    <xf numFmtId="0" fontId="15" fillId="3" borderId="3" xfId="0" applyFont="1" applyFill="1" applyBorder="1" applyAlignment="1">
      <alignment horizontal="center"/>
    </xf>
    <xf numFmtId="0" fontId="15" fillId="3" borderId="20" xfId="0" applyFont="1" applyFill="1" applyBorder="1" applyAlignment="1">
      <alignment horizontal="center"/>
    </xf>
    <xf numFmtId="0" fontId="12" fillId="3" borderId="30" xfId="0" applyFont="1" applyFill="1" applyBorder="1" applyAlignment="1">
      <alignment horizontal="center"/>
    </xf>
    <xf numFmtId="0" fontId="12" fillId="3" borderId="31" xfId="0" applyFont="1" applyFill="1" applyBorder="1" applyAlignment="1">
      <alignment horizontal="center"/>
    </xf>
    <xf numFmtId="0" fontId="0" fillId="3" borderId="6"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12" fillId="3" borderId="83" xfId="0" applyFont="1" applyFill="1" applyBorder="1" applyAlignment="1">
      <alignment horizontal="center" vertical="center"/>
    </xf>
    <xf numFmtId="0" fontId="15" fillId="3" borderId="80" xfId="0" applyFont="1" applyFill="1" applyBorder="1" applyAlignment="1">
      <alignment horizontal="center"/>
    </xf>
    <xf numFmtId="0" fontId="15" fillId="3" borderId="81" xfId="0" applyFont="1" applyFill="1" applyBorder="1" applyAlignment="1">
      <alignment horizontal="center"/>
    </xf>
    <xf numFmtId="0" fontId="15" fillId="3" borderId="82" xfId="0" applyFont="1" applyFill="1" applyBorder="1" applyAlignment="1">
      <alignment horizontal="center"/>
    </xf>
    <xf numFmtId="0" fontId="15" fillId="3" borderId="83" xfId="0" applyFont="1" applyFill="1" applyBorder="1" applyAlignment="1">
      <alignment horizontal="center"/>
    </xf>
    <xf numFmtId="0" fontId="15" fillId="3" borderId="78" xfId="0" applyFont="1" applyFill="1" applyBorder="1" applyAlignment="1">
      <alignment horizontal="center" vertical="center" wrapText="1"/>
    </xf>
    <xf numFmtId="0" fontId="15" fillId="3" borderId="79" xfId="0" applyFont="1" applyFill="1" applyBorder="1" applyAlignment="1">
      <alignment horizontal="center" vertical="center" wrapText="1"/>
    </xf>
    <xf numFmtId="0" fontId="12" fillId="0" borderId="36" xfId="0" applyFont="1" applyBorder="1" applyAlignment="1">
      <alignment horizontal="center" vertical="center"/>
    </xf>
    <xf numFmtId="0" fontId="12" fillId="0" borderId="37" xfId="0" applyFont="1" applyBorder="1" applyAlignment="1">
      <alignment horizontal="center" vertical="center"/>
    </xf>
    <xf numFmtId="0" fontId="12" fillId="3" borderId="13" xfId="0" applyFont="1" applyFill="1" applyBorder="1" applyAlignment="1">
      <alignment horizontal="center" vertical="center"/>
    </xf>
    <xf numFmtId="0" fontId="12" fillId="3" borderId="12" xfId="0" applyFont="1" applyFill="1" applyBorder="1" applyAlignment="1">
      <alignment horizontal="center" vertical="center" wrapText="1"/>
    </xf>
    <xf numFmtId="0" fontId="12" fillId="3" borderId="2" xfId="0" applyFont="1" applyFill="1" applyBorder="1" applyAlignment="1">
      <alignment horizontal="center"/>
    </xf>
    <xf numFmtId="0" fontId="12" fillId="3" borderId="39" xfId="0" applyFont="1" applyFill="1" applyBorder="1" applyAlignment="1">
      <alignment horizontal="center"/>
    </xf>
    <xf numFmtId="0" fontId="21" fillId="10" borderId="67" xfId="0" applyFont="1" applyFill="1" applyBorder="1" applyAlignment="1">
      <alignment horizontal="center"/>
    </xf>
    <xf numFmtId="0" fontId="21" fillId="10" borderId="62" xfId="0" applyFont="1" applyFill="1" applyBorder="1" applyAlignment="1">
      <alignment horizontal="center"/>
    </xf>
    <xf numFmtId="17" fontId="21" fillId="10" borderId="62" xfId="0" applyNumberFormat="1" applyFont="1" applyFill="1" applyBorder="1" applyAlignment="1">
      <alignment horizontal="center"/>
    </xf>
    <xf numFmtId="0" fontId="21" fillId="10" borderId="61" xfId="0" applyFont="1" applyFill="1" applyBorder="1" applyAlignment="1">
      <alignment horizontal="center"/>
    </xf>
    <xf numFmtId="0" fontId="0" fillId="58" borderId="26" xfId="0" applyFill="1" applyBorder="1" applyAlignment="1">
      <alignment horizontal="center"/>
    </xf>
    <xf numFmtId="0" fontId="0" fillId="58" borderId="49" xfId="0" applyFill="1" applyBorder="1" applyAlignment="1">
      <alignment horizontal="center"/>
    </xf>
    <xf numFmtId="0" fontId="24" fillId="0" borderId="40" xfId="4" applyFont="1" applyBorder="1" applyAlignment="1">
      <alignment horizontal="center" vertical="center"/>
    </xf>
    <xf numFmtId="0" fontId="24" fillId="0" borderId="57" xfId="4" applyFont="1" applyBorder="1" applyAlignment="1">
      <alignment horizontal="center" vertical="center"/>
    </xf>
    <xf numFmtId="0" fontId="24" fillId="0" borderId="47" xfId="4" applyFont="1" applyBorder="1" applyAlignment="1">
      <alignment horizontal="center" vertical="center"/>
    </xf>
    <xf numFmtId="0" fontId="24" fillId="0" borderId="46" xfId="4" applyFont="1" applyBorder="1" applyAlignment="1">
      <alignment horizontal="center" vertical="center"/>
    </xf>
    <xf numFmtId="0" fontId="24" fillId="0" borderId="58" xfId="4" applyFont="1" applyBorder="1" applyAlignment="1">
      <alignment horizontal="center" vertical="center"/>
    </xf>
    <xf numFmtId="0" fontId="11" fillId="8" borderId="3" xfId="0" applyFont="1" applyFill="1" applyBorder="1" applyAlignment="1">
      <alignment horizontal="center" vertical="center"/>
    </xf>
    <xf numFmtId="0" fontId="11" fillId="8" borderId="20" xfId="0" applyFont="1" applyFill="1" applyBorder="1" applyAlignment="1">
      <alignment horizontal="center" vertical="center"/>
    </xf>
    <xf numFmtId="0" fontId="12" fillId="0" borderId="31" xfId="0" applyFont="1" applyBorder="1" applyAlignment="1">
      <alignment horizontal="center" vertical="center"/>
    </xf>
    <xf numFmtId="0" fontId="12" fillId="0" borderId="0" xfId="0" applyFont="1" applyAlignment="1">
      <alignment horizontal="center" vertical="center"/>
    </xf>
    <xf numFmtId="0" fontId="12" fillId="0" borderId="33" xfId="0" applyFont="1" applyBorder="1" applyAlignment="1">
      <alignment horizontal="center" vertical="center"/>
    </xf>
    <xf numFmtId="0" fontId="15" fillId="12" borderId="30" xfId="0" applyFont="1" applyFill="1" applyBorder="1" applyAlignment="1">
      <alignment horizontal="center"/>
    </xf>
    <xf numFmtId="0" fontId="15" fillId="12" borderId="26" xfId="0" applyFont="1" applyFill="1" applyBorder="1" applyAlignment="1">
      <alignment horizontal="center"/>
    </xf>
    <xf numFmtId="0" fontId="15" fillId="12" borderId="32" xfId="0" applyFont="1" applyFill="1" applyBorder="1" applyAlignment="1">
      <alignment horizontal="center"/>
    </xf>
    <xf numFmtId="0" fontId="15" fillId="0" borderId="26" xfId="0" applyFont="1" applyBorder="1" applyAlignment="1">
      <alignment horizontal="center"/>
    </xf>
    <xf numFmtId="0" fontId="15" fillId="0" borderId="32" xfId="0" applyFont="1" applyBorder="1" applyAlignment="1">
      <alignment horizontal="center"/>
    </xf>
    <xf numFmtId="0" fontId="15" fillId="0" borderId="30" xfId="0" applyFont="1" applyBorder="1" applyAlignment="1">
      <alignment horizontal="center"/>
    </xf>
    <xf numFmtId="0" fontId="12" fillId="0" borderId="6" xfId="0" applyFont="1" applyBorder="1" applyAlignment="1">
      <alignment horizontal="center"/>
    </xf>
    <xf numFmtId="0" fontId="12" fillId="0" borderId="7" xfId="0" applyFont="1" applyBorder="1" applyAlignment="1">
      <alignment horizontal="center"/>
    </xf>
    <xf numFmtId="0" fontId="12" fillId="0" borderId="8" xfId="0" applyFont="1" applyBorder="1" applyAlignment="1">
      <alignment horizontal="center"/>
    </xf>
    <xf numFmtId="10" fontId="0" fillId="0" borderId="31" xfId="0" applyNumberFormat="1" applyBorder="1" applyAlignment="1">
      <alignment horizontal="center" vertical="center"/>
    </xf>
    <xf numFmtId="10" fontId="0" fillId="0" borderId="33" xfId="0" applyNumberFormat="1" applyBorder="1" applyAlignment="1">
      <alignment horizontal="center" vertical="center"/>
    </xf>
    <xf numFmtId="0" fontId="0" fillId="0" borderId="32" xfId="0" applyBorder="1" applyAlignment="1">
      <alignment horizontal="center"/>
    </xf>
    <xf numFmtId="0" fontId="0" fillId="0" borderId="30" xfId="0" applyBorder="1" applyAlignment="1">
      <alignment horizontal="center"/>
    </xf>
    <xf numFmtId="0" fontId="0" fillId="3" borderId="30" xfId="0" applyFill="1" applyBorder="1" applyAlignment="1">
      <alignment horizontal="center" vertical="center"/>
    </xf>
    <xf numFmtId="0" fontId="0" fillId="3" borderId="26" xfId="0" applyFill="1" applyBorder="1" applyAlignment="1">
      <alignment horizontal="center" vertical="center"/>
    </xf>
    <xf numFmtId="0" fontId="0" fillId="3" borderId="32" xfId="0" applyFill="1" applyBorder="1" applyAlignment="1">
      <alignment horizontal="center" vertical="center"/>
    </xf>
    <xf numFmtId="0" fontId="15" fillId="3" borderId="30" xfId="0" applyFont="1" applyFill="1" applyBorder="1" applyAlignment="1">
      <alignment horizontal="center" vertical="center"/>
    </xf>
    <xf numFmtId="0" fontId="12" fillId="0" borderId="30" xfId="0" applyFont="1" applyBorder="1" applyAlignment="1">
      <alignment horizontal="center"/>
    </xf>
    <xf numFmtId="0" fontId="12" fillId="0" borderId="31" xfId="0" applyFont="1" applyBorder="1" applyAlignment="1">
      <alignment horizontal="center"/>
    </xf>
    <xf numFmtId="0" fontId="12" fillId="0" borderId="41" xfId="0" applyFont="1" applyBorder="1" applyAlignment="1">
      <alignment horizontal="center"/>
    </xf>
    <xf numFmtId="0" fontId="15" fillId="0" borderId="30" xfId="0" applyFont="1" applyBorder="1" applyAlignment="1">
      <alignment horizontal="center" vertical="center"/>
    </xf>
    <xf numFmtId="0" fontId="0" fillId="0" borderId="31" xfId="0" applyBorder="1" applyAlignment="1">
      <alignment horizontal="center" vertical="center"/>
    </xf>
    <xf numFmtId="0" fontId="0" fillId="0" borderId="41" xfId="0" applyBorder="1" applyAlignment="1">
      <alignment horizontal="center" vertical="center"/>
    </xf>
    <xf numFmtId="0" fontId="0" fillId="0" borderId="26" xfId="0" applyBorder="1" applyAlignment="1">
      <alignment horizontal="center" vertical="center"/>
    </xf>
    <xf numFmtId="0" fontId="0" fillId="0" borderId="0" xfId="0" applyAlignment="1">
      <alignment horizontal="center" vertical="center"/>
    </xf>
    <xf numFmtId="0" fontId="0" fillId="0" borderId="49"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42" xfId="0" applyBorder="1" applyAlignment="1">
      <alignment horizontal="center" vertical="center"/>
    </xf>
    <xf numFmtId="10" fontId="0" fillId="12" borderId="31" xfId="0" applyNumberFormat="1" applyFill="1" applyBorder="1" applyAlignment="1">
      <alignment horizontal="center" vertical="center"/>
    </xf>
    <xf numFmtId="10" fontId="0" fillId="12" borderId="33" xfId="0" applyNumberFormat="1" applyFill="1" applyBorder="1" applyAlignment="1">
      <alignment horizontal="center" vertical="center"/>
    </xf>
    <xf numFmtId="10" fontId="0" fillId="3" borderId="31" xfId="0" applyNumberFormat="1" applyFill="1" applyBorder="1" applyAlignment="1">
      <alignment horizontal="center" vertical="center"/>
    </xf>
    <xf numFmtId="10" fontId="0" fillId="3" borderId="33" xfId="0" applyNumberFormat="1" applyFill="1" applyBorder="1" applyAlignment="1">
      <alignment horizontal="center" vertical="center"/>
    </xf>
    <xf numFmtId="9" fontId="0" fillId="3" borderId="31" xfId="0" applyNumberFormat="1" applyFill="1" applyBorder="1" applyAlignment="1">
      <alignment horizontal="center" vertical="center"/>
    </xf>
    <xf numFmtId="9" fontId="0" fillId="3" borderId="33" xfId="0" applyNumberFormat="1" applyFill="1" applyBorder="1" applyAlignment="1">
      <alignment horizontal="center" vertical="center"/>
    </xf>
    <xf numFmtId="9" fontId="0" fillId="0" borderId="31" xfId="0" applyNumberFormat="1" applyBorder="1" applyAlignment="1">
      <alignment horizontal="center" vertical="center"/>
    </xf>
    <xf numFmtId="9" fontId="0" fillId="0" borderId="33" xfId="0" applyNumberFormat="1" applyBorder="1" applyAlignment="1">
      <alignment horizontal="center" vertical="center"/>
    </xf>
    <xf numFmtId="10" fontId="0" fillId="0" borderId="0" xfId="0" applyNumberFormat="1" applyAlignment="1">
      <alignment horizontal="center" vertical="center"/>
    </xf>
    <xf numFmtId="10" fontId="0" fillId="12" borderId="31" xfId="0" applyNumberFormat="1" applyFill="1" applyBorder="1" applyAlignment="1">
      <alignment horizontal="center"/>
    </xf>
    <xf numFmtId="0" fontId="0" fillId="12" borderId="33" xfId="0" applyFill="1" applyBorder="1" applyAlignment="1">
      <alignment horizontal="center"/>
    </xf>
    <xf numFmtId="0" fontId="0" fillId="3" borderId="30" xfId="0" applyFill="1" applyBorder="1" applyAlignment="1">
      <alignment horizontal="center"/>
    </xf>
    <xf numFmtId="0" fontId="0" fillId="3" borderId="32" xfId="0" applyFill="1" applyBorder="1" applyAlignment="1">
      <alignment horizontal="center"/>
    </xf>
    <xf numFmtId="0" fontId="0" fillId="12" borderId="30" xfId="0" applyFill="1" applyBorder="1" applyAlignment="1">
      <alignment horizontal="center"/>
    </xf>
    <xf numFmtId="0" fontId="0" fillId="12" borderId="32" xfId="0" applyFill="1" applyBorder="1" applyAlignment="1">
      <alignment horizontal="center"/>
    </xf>
    <xf numFmtId="0" fontId="15" fillId="3" borderId="30" xfId="0" applyFont="1" applyFill="1" applyBorder="1" applyAlignment="1">
      <alignment horizontal="center"/>
    </xf>
    <xf numFmtId="0" fontId="15" fillId="3" borderId="32" xfId="0" applyFont="1" applyFill="1" applyBorder="1" applyAlignment="1">
      <alignment horizontal="center"/>
    </xf>
    <xf numFmtId="0" fontId="12" fillId="0" borderId="22" xfId="0" applyFont="1" applyBorder="1" applyAlignment="1">
      <alignment horizontal="center" vertical="center"/>
    </xf>
    <xf numFmtId="0" fontId="12" fillId="0" borderId="24" xfId="0" applyFont="1" applyBorder="1" applyAlignment="1">
      <alignment horizontal="center" vertical="center"/>
    </xf>
    <xf numFmtId="0" fontId="12" fillId="0" borderId="19" xfId="0" applyFont="1" applyBorder="1" applyAlignment="1">
      <alignment horizontal="center" vertical="center"/>
    </xf>
    <xf numFmtId="0" fontId="12" fillId="0" borderId="25" xfId="0" applyFont="1" applyBorder="1" applyAlignment="1">
      <alignment horizontal="center" vertical="center"/>
    </xf>
    <xf numFmtId="0" fontId="12" fillId="0" borderId="23" xfId="0" applyFont="1" applyBorder="1" applyAlignment="1">
      <alignment horizontal="center" vertical="center"/>
    </xf>
    <xf numFmtId="0" fontId="12" fillId="0" borderId="21" xfId="0" applyFont="1" applyBorder="1" applyAlignment="1">
      <alignment horizontal="center" vertical="center"/>
    </xf>
    <xf numFmtId="4" fontId="0" fillId="0" borderId="19" xfId="0" applyNumberFormat="1" applyBorder="1" applyAlignment="1">
      <alignment horizontal="center" vertical="center"/>
    </xf>
    <xf numFmtId="0" fontId="0" fillId="0" borderId="11" xfId="0" applyBorder="1" applyAlignment="1">
      <alignment horizontal="center" vertical="center"/>
    </xf>
    <xf numFmtId="4" fontId="0" fillId="3" borderId="10" xfId="0" applyNumberFormat="1" applyFill="1" applyBorder="1" applyAlignment="1">
      <alignment horizontal="center" vertical="center"/>
    </xf>
    <xf numFmtId="4" fontId="0" fillId="3" borderId="38" xfId="0" applyNumberFormat="1" applyFill="1" applyBorder="1" applyAlignment="1">
      <alignment horizontal="center" vertical="center"/>
    </xf>
    <xf numFmtId="4" fontId="0" fillId="3" borderId="12" xfId="0" applyNumberFormat="1" applyFill="1" applyBorder="1" applyAlignment="1">
      <alignment horizontal="center" vertical="center"/>
    </xf>
    <xf numFmtId="9" fontId="0" fillId="3" borderId="10" xfId="0" applyNumberFormat="1" applyFill="1" applyBorder="1" applyAlignment="1">
      <alignment horizontal="center" vertical="center"/>
    </xf>
    <xf numFmtId="9" fontId="0" fillId="3" borderId="38" xfId="0" applyNumberFormat="1" applyFill="1" applyBorder="1" applyAlignment="1">
      <alignment horizontal="center" vertical="center"/>
    </xf>
    <xf numFmtId="9" fontId="0" fillId="3" borderId="12" xfId="0" applyNumberFormat="1" applyFill="1" applyBorder="1" applyAlignment="1">
      <alignment horizontal="center" vertical="center"/>
    </xf>
    <xf numFmtId="0" fontId="13" fillId="10" borderId="6" xfId="0" applyFont="1" applyFill="1" applyBorder="1" applyAlignment="1">
      <alignment horizontal="center"/>
    </xf>
    <xf numFmtId="0" fontId="13" fillId="10" borderId="7" xfId="0" applyFont="1" applyFill="1" applyBorder="1" applyAlignment="1">
      <alignment horizontal="center"/>
    </xf>
    <xf numFmtId="0" fontId="13" fillId="10" borderId="8" xfId="0" applyFont="1" applyFill="1" applyBorder="1" applyAlignment="1">
      <alignment horizontal="center"/>
    </xf>
    <xf numFmtId="9" fontId="12" fillId="3" borderId="22" xfId="0" applyNumberFormat="1" applyFont="1" applyFill="1" applyBorder="1" applyAlignment="1">
      <alignment horizontal="center" vertical="center" wrapText="1"/>
    </xf>
    <xf numFmtId="9" fontId="12" fillId="3" borderId="24" xfId="0" applyNumberFormat="1" applyFont="1" applyFill="1" applyBorder="1" applyAlignment="1">
      <alignment horizontal="center" vertical="center" wrapText="1"/>
    </xf>
    <xf numFmtId="9" fontId="12" fillId="3" borderId="19" xfId="0" applyNumberFormat="1" applyFont="1" applyFill="1" applyBorder="1" applyAlignment="1">
      <alignment horizontal="center" vertical="center" wrapText="1"/>
    </xf>
    <xf numFmtId="9" fontId="12" fillId="3" borderId="1" xfId="0" applyNumberFormat="1" applyFont="1" applyFill="1" applyBorder="1" applyAlignment="1">
      <alignment horizontal="center" vertical="center" wrapText="1"/>
    </xf>
    <xf numFmtId="9" fontId="12" fillId="3" borderId="0" xfId="0" applyNumberFormat="1" applyFont="1" applyFill="1" applyAlignment="1">
      <alignment horizontal="center" vertical="center" wrapText="1"/>
    </xf>
    <xf numFmtId="9" fontId="12" fillId="3" borderId="11" xfId="0" applyNumberFormat="1" applyFont="1" applyFill="1" applyBorder="1" applyAlignment="1">
      <alignment horizontal="center" vertical="center" wrapText="1"/>
    </xf>
    <xf numFmtId="9" fontId="12" fillId="3" borderId="25" xfId="0" applyNumberFormat="1" applyFont="1" applyFill="1" applyBorder="1" applyAlignment="1">
      <alignment horizontal="center" vertical="center" wrapText="1"/>
    </xf>
    <xf numFmtId="9" fontId="12" fillId="3" borderId="23" xfId="0" applyNumberFormat="1" applyFont="1" applyFill="1" applyBorder="1" applyAlignment="1">
      <alignment horizontal="center" vertical="center" wrapText="1"/>
    </xf>
    <xf numFmtId="9" fontId="12" fillId="3" borderId="21" xfId="0" applyNumberFormat="1" applyFont="1" applyFill="1" applyBorder="1" applyAlignment="1">
      <alignment horizontal="center" vertical="center" wrapText="1"/>
    </xf>
    <xf numFmtId="0" fontId="10" fillId="0" borderId="10" xfId="1" applyFont="1" applyBorder="1" applyAlignment="1">
      <alignment horizontal="center" wrapText="1"/>
    </xf>
    <xf numFmtId="0" fontId="10" fillId="0" borderId="12" xfId="1" applyFont="1" applyBorder="1" applyAlignment="1">
      <alignment horizontal="center" wrapText="1"/>
    </xf>
    <xf numFmtId="0" fontId="10" fillId="0" borderId="3" xfId="1" applyFont="1" applyBorder="1" applyAlignment="1">
      <alignment horizontal="center"/>
    </xf>
    <xf numFmtId="0" fontId="10" fillId="0" borderId="9" xfId="1" applyFont="1" applyBorder="1" applyAlignment="1">
      <alignment horizontal="center"/>
    </xf>
    <xf numFmtId="0" fontId="10" fillId="0" borderId="6" xfId="1" applyFont="1" applyBorder="1" applyAlignment="1">
      <alignment horizontal="center"/>
    </xf>
    <xf numFmtId="0" fontId="10" fillId="0" borderId="7" xfId="1" applyFont="1" applyBorder="1" applyAlignment="1">
      <alignment horizontal="center"/>
    </xf>
    <xf numFmtId="0" fontId="10" fillId="0" borderId="2" xfId="1" applyFont="1" applyBorder="1" applyAlignment="1">
      <alignment horizontal="center"/>
    </xf>
    <xf numFmtId="0" fontId="10" fillId="0" borderId="2" xfId="1" applyFont="1" applyBorder="1" applyAlignment="1">
      <alignment horizontal="center" wrapText="1"/>
    </xf>
    <xf numFmtId="0" fontId="16" fillId="2" borderId="0" xfId="0" applyFont="1" applyFill="1" applyAlignment="1">
      <alignment horizontal="center"/>
    </xf>
    <xf numFmtId="0" fontId="15" fillId="11" borderId="0" xfId="0" applyFont="1" applyFill="1" applyAlignment="1">
      <alignment horizontal="center" vertical="center" wrapText="1"/>
    </xf>
    <xf numFmtId="0" fontId="15" fillId="13" borderId="0" xfId="0" applyFont="1" applyFill="1" applyAlignment="1">
      <alignment horizontal="center" vertical="center" wrapText="1"/>
    </xf>
    <xf numFmtId="0" fontId="12" fillId="3" borderId="41" xfId="0" applyFont="1" applyFill="1" applyBorder="1" applyAlignment="1">
      <alignment horizontal="center"/>
    </xf>
    <xf numFmtId="0" fontId="13" fillId="15" borderId="0" xfId="0" applyFont="1" applyFill="1" applyAlignment="1">
      <alignment horizontal="center"/>
    </xf>
    <xf numFmtId="0" fontId="0" fillId="3" borderId="2" xfId="0" applyFill="1" applyBorder="1" applyAlignment="1">
      <alignment horizontal="center"/>
    </xf>
    <xf numFmtId="0" fontId="13" fillId="16" borderId="1" xfId="0" applyFont="1" applyFill="1" applyBorder="1" applyAlignment="1">
      <alignment horizontal="center" vertical="center"/>
    </xf>
    <xf numFmtId="0" fontId="13" fillId="16" borderId="0" xfId="0" applyFont="1" applyFill="1" applyAlignment="1">
      <alignment horizontal="center" vertical="center"/>
    </xf>
    <xf numFmtId="0" fontId="13" fillId="15" borderId="0" xfId="0" applyFont="1" applyFill="1" applyAlignment="1">
      <alignment horizontal="center" vertical="center"/>
    </xf>
    <xf numFmtId="0" fontId="21" fillId="10" borderId="0" xfId="0" applyFont="1" applyFill="1" applyAlignment="1">
      <alignment horizontal="center"/>
    </xf>
    <xf numFmtId="0" fontId="27" fillId="0" borderId="58" xfId="4" applyFont="1" applyBorder="1" applyAlignment="1"/>
    <xf numFmtId="0" fontId="12" fillId="8" borderId="3" xfId="0" applyFont="1" applyFill="1" applyBorder="1" applyAlignment="1"/>
    <xf numFmtId="0" fontId="12" fillId="8" borderId="94" xfId="0" applyFont="1" applyFill="1" applyBorder="1" applyAlignment="1"/>
  </cellXfs>
  <cellStyles count="46">
    <cellStyle name="Millares" xfId="8" builtinId="3"/>
    <cellStyle name="Millares [0] 2" xfId="18" xr:uid="{68D36ABC-6C8C-4D73-85DC-B334092184E2}"/>
    <cellStyle name="Millares [0] 3" xfId="25" xr:uid="{3A8F6189-C291-4648-BE8E-28DD81720258}"/>
    <cellStyle name="Millares [0] 4" xfId="29" xr:uid="{C76ABB24-6768-4E7D-B5EB-1B33E3C30D83}"/>
    <cellStyle name="Millares [0] 5" xfId="38" xr:uid="{0543F568-0D44-41FD-8300-79D8CA5018CC}"/>
    <cellStyle name="Millares 2" xfId="5" xr:uid="{F2ABF6E3-628E-40B5-9516-CF1F8299F250}"/>
    <cellStyle name="Millares 2 2" xfId="14" xr:uid="{92EECA8C-A7E3-44BE-A52D-185255BEE352}"/>
    <cellStyle name="Millares 2 3" xfId="30" xr:uid="{8FEB008D-053E-47AF-8832-B0482754AF66}"/>
    <cellStyle name="Millares 3" xfId="23" xr:uid="{395FBB7F-5111-44AB-97CB-7F91056F78B9}"/>
    <cellStyle name="Millares 4" xfId="12" xr:uid="{7B1A9EF6-A1FD-456F-95FD-71DA9CD8C19D}"/>
    <cellStyle name="Millares 5" xfId="27" xr:uid="{B72AAD22-F07F-4D28-B063-2AF512FABE50}"/>
    <cellStyle name="Millares 6" xfId="28" xr:uid="{8B96BA84-AEAC-4993-A60C-97424B0DF61E}"/>
    <cellStyle name="Millares 7" xfId="31" xr:uid="{6E41E0AF-BFC3-4307-85C7-0360A1D1718F}"/>
    <cellStyle name="Millares 8" xfId="37" xr:uid="{12038850-123D-4A92-B500-BC4B8874C173}"/>
    <cellStyle name="Millares 9" xfId="41" xr:uid="{647D5AFD-3B00-4097-9FB0-7DC23C078502}"/>
    <cellStyle name="Moneda" xfId="45" builtinId="4"/>
    <cellStyle name="Moneda [0] 2" xfId="21" xr:uid="{0B0F69E2-C9DB-4FE8-BF7A-D05AB2411BED}"/>
    <cellStyle name="Moneda [0] 3" xfId="32" xr:uid="{BA2AFD1F-8EB8-415D-8F0F-D3EF2A0A8C1E}"/>
    <cellStyle name="Moneda [0] 4" xfId="40" xr:uid="{15F423BA-E994-4999-BFA8-551647B9C80B}"/>
    <cellStyle name="Moneda 2" xfId="7" xr:uid="{69928243-17FB-4C21-BFB4-DCFEEC008C06}"/>
    <cellStyle name="Moneda 2 2" xfId="20" xr:uid="{103DD93C-4D8B-4760-948F-5557C438A610}"/>
    <cellStyle name="Moneda 3" xfId="24" xr:uid="{23D7F4F0-C531-4A20-9CB2-603D6E4A7677}"/>
    <cellStyle name="Moneda 4" xfId="33" xr:uid="{834F3B07-1F6A-4DA9-828D-0E9525C45BD1}"/>
    <cellStyle name="Moneda 5" xfId="39" xr:uid="{B034AF39-19ED-4F47-90A0-F15A1CBF5119}"/>
    <cellStyle name="Moneda 6" xfId="42" xr:uid="{2515E3A1-002E-4B99-85AD-66966D0EE4E8}"/>
    <cellStyle name="Normal" xfId="0" builtinId="0"/>
    <cellStyle name="Normal 10" xfId="43" xr:uid="{C6912EB3-61D1-430E-971A-B6F7CE70F95A}"/>
    <cellStyle name="Normal 11" xfId="44" xr:uid="{C86488BC-CF1F-4D68-B923-2C4159C3602C}"/>
    <cellStyle name="Normal 2" xfId="1" xr:uid="{EC6B160F-5862-48AD-9D52-1EECB1707D51}"/>
    <cellStyle name="Normal 2 2" xfId="9" xr:uid="{ED9D991E-51C4-4EC3-A396-45D4EF935679}"/>
    <cellStyle name="Normal 2 3" xfId="13" xr:uid="{26511299-42A8-4D67-9BDC-CA86B3AC5366}"/>
    <cellStyle name="Normal 2 4" xfId="34" xr:uid="{2A7DC6F7-C23C-421E-8BAF-90A294683A9F}"/>
    <cellStyle name="Normal 3" xfId="4" xr:uid="{8BE68938-26BB-4301-ABB5-A5007A5BCABA}"/>
    <cellStyle name="Normal 3 2" xfId="6" xr:uid="{69A6D5ED-4F0B-4087-BC42-A18697AC18A3}"/>
    <cellStyle name="Normal 4" xfId="2" xr:uid="{9B375687-9FC8-4C05-A634-FB902614E03C}"/>
    <cellStyle name="Normal 4 2" xfId="17" xr:uid="{72AB4CC5-88F5-4C43-9525-8C7ECC6CF334}"/>
    <cellStyle name="Normal 5" xfId="10" xr:uid="{2438A943-58D4-4AB0-A60F-01ABF8FAA34B}"/>
    <cellStyle name="Normal 5 2" xfId="19" xr:uid="{719923FB-D674-40A5-A7BA-79A4965B5BBA}"/>
    <cellStyle name="Normal 6" xfId="22" xr:uid="{4F5755CE-6A55-44C2-A423-EDAE9EDEF72E}"/>
    <cellStyle name="Normal 7" xfId="11" xr:uid="{5F1B101D-6D15-4ADD-864C-F11562BAEF41}"/>
    <cellStyle name="Normal 8" xfId="35" xr:uid="{37EA7231-11CB-4CB2-B396-E3E5F89190C1}"/>
    <cellStyle name="Normal 9" xfId="36" xr:uid="{577E3A2E-C8D0-4446-8B06-1855B8CF01D7}"/>
    <cellStyle name="Porcentaje" xfId="3" builtinId="5"/>
    <cellStyle name="Porcentaje 2" xfId="15" xr:uid="{701F5A44-DE2B-4516-A04E-3736836D925D}"/>
    <cellStyle name="Porcentaje 3" xfId="26" xr:uid="{BD80A0A0-9817-4408-AC21-B2614DB524B0}"/>
    <cellStyle name="Porcentaje 4" xfId="16" xr:uid="{2940F2E7-16B5-445D-86DE-019D3F9E9073}"/>
  </cellStyles>
  <dxfs count="27">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theme="9" tint="-0.24994659260841701"/>
        </patternFill>
      </fill>
    </dxf>
    <dxf>
      <fill>
        <patternFill>
          <bgColor rgb="FFFF0000"/>
        </patternFill>
      </fill>
    </dxf>
    <dxf>
      <fill>
        <patternFill>
          <bgColor rgb="FF92D050"/>
        </patternFill>
      </fill>
    </dxf>
    <dxf>
      <fill>
        <patternFill>
          <bgColor theme="9" tint="-0.24994659260841701"/>
        </patternFill>
      </fill>
    </dxf>
    <dxf>
      <fill>
        <patternFill>
          <bgColor rgb="FFFF0000"/>
        </patternFill>
      </fill>
    </dxf>
    <dxf>
      <fill>
        <patternFill>
          <bgColor rgb="FF92D050"/>
        </patternFill>
      </fill>
    </dxf>
    <dxf>
      <fill>
        <patternFill>
          <bgColor theme="9" tint="-0.24994659260841701"/>
        </patternFill>
      </fill>
    </dxf>
    <dxf>
      <fill>
        <patternFill>
          <bgColor rgb="FFFF0000"/>
        </patternFill>
      </fill>
    </dxf>
    <dxf>
      <fill>
        <patternFill>
          <bgColor rgb="FF92D050"/>
        </patternFill>
      </fill>
    </dxf>
    <dxf>
      <fill>
        <patternFill>
          <bgColor theme="9" tint="-0.24994659260841701"/>
        </patternFill>
      </fill>
    </dxf>
    <dxf>
      <fill>
        <patternFill>
          <bgColor rgb="FFFF0000"/>
        </patternFill>
      </fill>
    </dxf>
    <dxf>
      <fill>
        <patternFill>
          <bgColor rgb="FF92D050"/>
        </patternFill>
      </fill>
    </dxf>
    <dxf>
      <fill>
        <patternFill>
          <bgColor theme="9" tint="-0.24994659260841701"/>
        </patternFill>
      </fill>
    </dxf>
    <dxf>
      <fill>
        <patternFill>
          <bgColor rgb="FFFF0000"/>
        </patternFill>
      </fill>
    </dxf>
    <dxf>
      <fill>
        <patternFill>
          <bgColor rgb="FF92D050"/>
        </patternFill>
      </fill>
    </dxf>
    <dxf>
      <fill>
        <patternFill>
          <bgColor theme="9" tint="-0.24994659260841701"/>
        </patternFill>
      </fill>
    </dxf>
    <dxf>
      <fill>
        <patternFill>
          <bgColor rgb="FFFF0000"/>
        </patternFill>
      </fill>
    </dxf>
    <dxf>
      <fill>
        <patternFill>
          <bgColor rgb="FF92D050"/>
        </patternFill>
      </fill>
    </dxf>
    <dxf>
      <fill>
        <patternFill>
          <bgColor theme="9" tint="-0.24994659260841701"/>
        </patternFill>
      </fill>
    </dxf>
  </dxfs>
  <tableStyles count="0" defaultTableStyle="TableStyleMedium2" defaultPivotStyle="PivotStyleLight16"/>
  <colors>
    <mruColors>
      <color rgb="FFFB7267"/>
      <color rgb="FF00CC66"/>
      <color rgb="FF00CC99"/>
      <color rgb="FF99CC00"/>
      <color rgb="FF339933"/>
      <color rgb="FF339966"/>
      <color rgb="FF669900"/>
      <color rgb="FFE2583C"/>
      <color rgb="FFCC66FF"/>
      <color rgb="FF4CAA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8" Type="http://schemas.openxmlformats.org/officeDocument/2006/relationships/worksheet" Target="worksheets/sheet8.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5BF8C500-8989-40E3-9F5D-8782742771AF}"/>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dor" refreshedDate="45674.401770486111" createdVersion="8" refreshedVersion="8" minRefreshableVersion="3" recordCount="907" xr:uid="{5CADFDB0-7C3E-49F8-B4A3-2A7A96652D58}">
  <cacheSource type="worksheet">
    <worksheetSource ref="A4:H3649" sheet="Movimientos Reales"/>
  </cacheSource>
  <cacheFields count="8">
    <cacheField name="Fecha" numFmtId="0">
      <sharedItems containsNonDate="0" containsDate="1" containsString="0" containsBlank="1" minDate="2024-01-02T00:00:00" maxDate="2025-01-10T00:00:00"/>
    </cacheField>
    <cacheField name="Concepto " numFmtId="0">
      <sharedItems containsBlank="1"/>
    </cacheField>
    <cacheField name="Recursos provienen de:" numFmtId="0">
      <sharedItems containsBlank="1"/>
    </cacheField>
    <cacheField name="Monto" numFmtId="0">
      <sharedItems containsString="0" containsBlank="1" containsNumber="1" minValue="-63189936.490000002" maxValue="-504"/>
    </cacheField>
    <cacheField name="MES" numFmtId="0">
      <sharedItems containsNonDate="0" containsDate="1" containsString="0" containsBlank="1" minDate="2025-01-01T00:00:00" maxDate="2025-01-02T00:00:00" count="2">
        <d v="2025-01-01T00:00:00"/>
        <m/>
      </sharedItems>
    </cacheField>
    <cacheField name="Nombre" numFmtId="0">
      <sharedItems containsBlank="1" count="6">
        <s v="admon"/>
        <s v="capex"/>
        <s v="deuda"/>
        <s v="intereses"/>
        <s v="working"/>
        <m/>
      </sharedItems>
    </cacheField>
    <cacheField name="Nombre mitad" numFmtId="0">
      <sharedItems containsBlank="1"/>
    </cacheField>
    <cacheField name="apellid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7">
  <r>
    <d v="2025-01-03T00:00:00"/>
    <s v="Compra papel vinilo para puera oficina "/>
    <s v="Efectivo"/>
    <n v="-31000"/>
    <x v="0"/>
    <x v="0"/>
    <s v="admon"/>
    <s v="Oficina"/>
  </r>
  <r>
    <d v="2025-01-03T00:00:00"/>
    <s v="Compra espatulas para colocar papel puerta oficina"/>
    <s v="Efectivo"/>
    <n v="-2400"/>
    <x v="0"/>
    <x v="0"/>
    <s v="admon"/>
    <s v="Oficina"/>
  </r>
  <r>
    <d v="2025-01-03T00:00:00"/>
    <s v="Transporte para compra papel y materiales para colocr papel en puerta oficina"/>
    <s v="Efectivo"/>
    <n v="-7000"/>
    <x v="0"/>
    <x v="0"/>
    <s v="admon"/>
    <s v="Transporte personal"/>
  </r>
  <r>
    <d v="2025-01-03T00:00:00"/>
    <s v="Transporte para compra papel y materiales para colocr papel en puerta oficina"/>
    <s v="Efectivo"/>
    <n v="-7000"/>
    <x v="0"/>
    <x v="0"/>
    <s v="admon"/>
    <s v="Transporte personal"/>
  </r>
  <r>
    <d v="2025-01-02T00:00:00"/>
    <s v="Transporte Andres oficina-el troje"/>
    <s v="Efectivo"/>
    <n v="-15000"/>
    <x v="0"/>
    <x v="1"/>
    <s v="El Troje"/>
    <s v="Transporte personal"/>
  </r>
  <r>
    <d v="2025-01-02T00:00:00"/>
    <s v="Transporte Andres el troje-oficina"/>
    <s v="Efectivo"/>
    <n v="-15000"/>
    <x v="0"/>
    <x v="1"/>
    <s v="El Troje"/>
    <s v="Transporte personal"/>
  </r>
  <r>
    <d v="2025-01-01T00:00:00"/>
    <s v="Cuota credito Banco de Bogota"/>
    <s v="banco bogota"/>
    <n v="-11111111"/>
    <x v="0"/>
    <x v="2"/>
    <m/>
    <m/>
  </r>
  <r>
    <d v="2025-01-01T00:00:00"/>
    <s v="Cuota credito Banco de Bogota"/>
    <s v="banco bogota"/>
    <n v="-3324414"/>
    <x v="0"/>
    <x v="3"/>
    <m/>
    <m/>
  </r>
  <r>
    <d v="2024-01-02T00:00:00"/>
    <s v="pago cartera leasing "/>
    <s v="occidente"/>
    <n v="-5080421"/>
    <x v="0"/>
    <x v="2"/>
    <m/>
    <m/>
  </r>
  <r>
    <d v="2025-01-03T00:00:00"/>
    <s v="Pago arrendamiento a wework"/>
    <s v="BBVA"/>
    <n v="-853990"/>
    <x v="0"/>
    <x v="0"/>
    <s v="admon"/>
    <s v="Arriendo"/>
  </r>
  <r>
    <d v="2025-01-02T00:00:00"/>
    <s v="Pago vacaciones veronica santacruz"/>
    <s v="BBVA"/>
    <n v="-6106046"/>
    <x v="0"/>
    <x v="0"/>
    <s v="ventas"/>
    <s v="Salarios"/>
  </r>
  <r>
    <d v="2025-01-02T00:00:00"/>
    <s v="Pago honorarios Alba Mariela Revelo"/>
    <s v="BBVA"/>
    <n v="-1100000"/>
    <x v="0"/>
    <x v="0"/>
    <s v="admon"/>
    <s v="Asesoria"/>
  </r>
  <r>
    <d v="2025-01-04T00:00:00"/>
    <s v="Compra paquete de datos naos 2 "/>
    <s v="Efectivo"/>
    <n v="-31500"/>
    <x v="0"/>
    <x v="4"/>
    <s v="Naos2"/>
    <s v="Gastos administrativos"/>
  </r>
  <r>
    <d v="2025-01-08T00:00:00"/>
    <s v="Pago en camara de comercio pasto contitucion orbis generacion sas"/>
    <s v="Efectivo"/>
    <n v="-177500"/>
    <x v="0"/>
    <x v="0"/>
    <s v="admon"/>
    <s v="Imprevistos"/>
  </r>
  <r>
    <d v="2025-01-08T00:00:00"/>
    <s v="Pago en camara de comercio pasto contitucion granjas solares nova sas"/>
    <s v="Efectivo"/>
    <n v="-177500"/>
    <x v="0"/>
    <x v="0"/>
    <s v="admon"/>
    <s v="Imprevistos"/>
  </r>
  <r>
    <d v="2025-01-08T00:00:00"/>
    <s v="Transporte Ruben recoger camioneta para remolino "/>
    <s v="Efectivo"/>
    <n v="-7000"/>
    <x v="0"/>
    <x v="4"/>
    <s v="Naos2"/>
    <s v="Logistica Viáticos"/>
  </r>
  <r>
    <d v="2025-01-08T00:00:00"/>
    <s v="Transporte Ruben recoger camioneta para remolino "/>
    <s v="Efectivo"/>
    <n v="-7000"/>
    <x v="0"/>
    <x v="4"/>
    <s v="Delta"/>
    <s v="Logistica Viáticos"/>
  </r>
  <r>
    <d v="2025-01-09T00:00:00"/>
    <s v="Transporte Ruben recoger camioneta para remolino "/>
    <s v="Efectivo"/>
    <n v="-7000"/>
    <x v="0"/>
    <x v="4"/>
    <s v="Naos2"/>
    <s v="Logistica Viáticos"/>
  </r>
  <r>
    <d v="2025-01-09T00:00:00"/>
    <s v="Transporte Ruben recoger camioneta para remolino "/>
    <s v="Efectivo"/>
    <n v="-7000"/>
    <x v="0"/>
    <x v="4"/>
    <s v="Delta"/>
    <s v="Logistica Viáticos"/>
  </r>
  <r>
    <d v="2025-01-09T00:00:00"/>
    <s v="Transporte personal oscar mauricio "/>
    <s v="Efectivo"/>
    <n v="-14000"/>
    <x v="0"/>
    <x v="4"/>
    <s v="Delta"/>
    <s v="Logistica Viáticos"/>
  </r>
  <r>
    <d v="2025-01-09T00:00:00"/>
    <s v="Transporte personal oscar mauricio "/>
    <s v="Efectivo"/>
    <n v="-7000"/>
    <x v="0"/>
    <x v="4"/>
    <s v="Naos2"/>
    <s v="Logistica Viáticos"/>
  </r>
  <r>
    <d v="2025-01-09T00:00:00"/>
    <s v="Transporte personal oscar mauricio "/>
    <s v="Efectivo"/>
    <n v="-26656"/>
    <x v="0"/>
    <x v="4"/>
    <s v="Unicentro Pasto"/>
    <s v="Transporte personal"/>
  </r>
  <r>
    <d v="2025-01-09T00:00:00"/>
    <s v="Transporte personal oscar mauricio "/>
    <s v="Efectivo"/>
    <n v="-14000"/>
    <x v="0"/>
    <x v="4"/>
    <s v="Sotavento"/>
    <s v="Transporte personal"/>
  </r>
  <r>
    <d v="2025-01-09T00:00:00"/>
    <s v="Transporte personal oscar mauricio "/>
    <s v="Efectivo"/>
    <n v="-7000"/>
    <x v="0"/>
    <x v="0"/>
    <s v="admon"/>
    <s v="Transporte personal"/>
  </r>
  <r>
    <d v="2025-01-09T00:00:00"/>
    <s v="Transporte personal oscar mauricio "/>
    <s v="Efectivo"/>
    <n v="-14000"/>
    <x v="0"/>
    <x v="1"/>
    <s v="San Rafael"/>
    <s v="Transporte personal"/>
  </r>
  <r>
    <d v="2024-12-04T00:00:00"/>
    <s v="Taxi aeropuerto medellin juan manuel "/>
    <s v="Efectivo"/>
    <n v="-120000"/>
    <x v="0"/>
    <x v="0"/>
    <s v="ventas"/>
    <s v="Transporte personal"/>
  </r>
  <r>
    <d v="2024-12-04T00:00:00"/>
    <s v="Taxi aeropuerto pasto juan manuel "/>
    <s v="Efectivo"/>
    <n v="-60000"/>
    <x v="0"/>
    <x v="0"/>
    <s v="ventas"/>
    <s v="Transporte personal"/>
  </r>
  <r>
    <d v="2024-12-05T00:00:00"/>
    <s v="Taxis pasto  juan manuel"/>
    <s v="Efectivo"/>
    <n v="-20000"/>
    <x v="0"/>
    <x v="0"/>
    <s v="ventas"/>
    <s v="Transporte personal"/>
  </r>
  <r>
    <d v="2024-12-06T00:00:00"/>
    <s v="Taxi aeropuerto medellin juan manuel "/>
    <s v="Efectivo"/>
    <n v="-100000"/>
    <x v="0"/>
    <x v="0"/>
    <s v="ventas"/>
    <s v="Transporte personal"/>
  </r>
  <r>
    <d v="2024-12-12T00:00:00"/>
    <s v="taxis cali juan manuel"/>
    <s v="Efectivo"/>
    <n v="-20000"/>
    <x v="0"/>
    <x v="0"/>
    <s v="ventas"/>
    <s v="Transporte personal"/>
  </r>
  <r>
    <d v="2024-11-12T00:00:00"/>
    <s v="Taxi aeropuerto medellin juan manuel "/>
    <s v="Efectivo"/>
    <n v="-120000"/>
    <x v="0"/>
    <x v="0"/>
    <s v="ventas"/>
    <s v="Transporte personal"/>
  </r>
  <r>
    <d v="2024-11-12T00:00:00"/>
    <s v="Taxi aeropuerto pasto juan manuel "/>
    <s v="Efectivo"/>
    <n v="-60000"/>
    <x v="0"/>
    <x v="0"/>
    <s v="ventas"/>
    <s v="Transporte personal"/>
  </r>
  <r>
    <d v="2024-12-15T00:00:00"/>
    <s v="Taxi aeropuerto medellin juan manuel "/>
    <s v="Efectivo"/>
    <n v="-50000"/>
    <x v="0"/>
    <x v="0"/>
    <s v="ventas"/>
    <s v="Transporte personal"/>
  </r>
  <r>
    <d v="2024-12-20T00:00:00"/>
    <s v="Transporte Jvier lucena el troje ida"/>
    <s v="Efectivo"/>
    <n v="-12000"/>
    <x v="0"/>
    <x v="1"/>
    <s v="El Troje"/>
    <s v="Transporte personal"/>
  </r>
  <r>
    <d v="2024-12-20T00:00:00"/>
    <s v="Transporte Jvier lucena el troje vuelta"/>
    <s v="Efectivo"/>
    <n v="-14000"/>
    <x v="0"/>
    <x v="1"/>
    <s v="El Troje"/>
    <s v="Transporte personal"/>
  </r>
  <r>
    <d v="2025-01-03T00:00:00"/>
    <s v="Pago vacaciones Jorge andres muñoz"/>
    <s v="BBVA"/>
    <n v="-613333"/>
    <x v="0"/>
    <x v="1"/>
    <s v="Delta "/>
    <s v="Ingeniería"/>
  </r>
  <r>
    <d v="2025-01-03T00:00:00"/>
    <s v="Pago camara de comercio medellin (delta)"/>
    <s v="BBVA"/>
    <n v="-11600"/>
    <x v="0"/>
    <x v="4"/>
    <s v="Delta"/>
    <s v="Gastos administrativos"/>
  </r>
  <r>
    <d v="2024-12-18T00:00:00"/>
    <s v="3 Almuerzos (Martin, Jersson, Jose)"/>
    <s v="BBVA"/>
    <n v="-36000"/>
    <x v="0"/>
    <x v="4"/>
    <s v="Agropecuaria San rafael"/>
    <s v="Mano de obra"/>
  </r>
  <r>
    <d v="2024-12-18T00:00:00"/>
    <s v="2 bloqueadores solares"/>
    <s v="BBVA"/>
    <n v="-66000"/>
    <x v="0"/>
    <x v="4"/>
    <s v="Agropecuaria San rafael"/>
    <s v="Mano de obra"/>
  </r>
  <r>
    <d v="2024-12-18T00:00:00"/>
    <s v="Elementos de proteccion personal (Guantes, Gafas)"/>
    <s v="BBVA"/>
    <n v="-69100"/>
    <x v="0"/>
    <x v="4"/>
    <s v="Agropecuaria San rafael"/>
    <s v="Mano de obra"/>
  </r>
  <r>
    <d v="2024-12-18T00:00:00"/>
    <s v="Transporte de Material "/>
    <s v="BBVA"/>
    <n v="-240000"/>
    <x v="0"/>
    <x v="4"/>
    <s v="Agropecuaria San rafael"/>
    <s v="Flete Equipos"/>
  </r>
  <r>
    <d v="2024-12-18T00:00:00"/>
    <s v="Hidratacion del Personal"/>
    <s v="BBVA"/>
    <n v="-8270"/>
    <x v="0"/>
    <x v="4"/>
    <s v="Agropecuaria San rafael"/>
    <s v="Mano de obra"/>
  </r>
  <r>
    <d v="2024-12-19T00:00:00"/>
    <s v="4 Desayunos (Martin, Jersson, Jose, Juan David)"/>
    <s v="BBVA"/>
    <n v="-36000"/>
    <x v="0"/>
    <x v="4"/>
    <s v="Agropecuaria San rafael"/>
    <s v="Mano de obra"/>
  </r>
  <r>
    <d v="2024-12-19T00:00:00"/>
    <s v="Hidratacion del Personal"/>
    <s v="BBVA"/>
    <n v="-7690"/>
    <x v="0"/>
    <x v="4"/>
    <s v="Agropecuaria San rafael"/>
    <s v="Mano de obra"/>
  </r>
  <r>
    <d v="2024-12-19T00:00:00"/>
    <s v="Gasolina para Barreno Ahoyador"/>
    <s v="BBVA"/>
    <n v="-6625"/>
    <x v="0"/>
    <x v="4"/>
    <s v="Agropecuaria San rafael"/>
    <s v="Pequeño Material"/>
  </r>
  <r>
    <d v="2024-12-19T00:00:00"/>
    <s v="Aceite 2 tiempos para Barreno Ahoyador"/>
    <s v="BBVA"/>
    <n v="-27000"/>
    <x v="0"/>
    <x v="4"/>
    <s v="Agropecuaria San rafael"/>
    <s v="Pequeño Material"/>
  </r>
  <r>
    <d v="2024-12-19T00:00:00"/>
    <s v="4 Almuerzos (Martin, Jersson, José, Juan David)"/>
    <s v="BBVA"/>
    <n v="-48000"/>
    <x v="0"/>
    <x v="4"/>
    <s v="Agropecuaria San rafael"/>
    <s v="Mano de obra"/>
  </r>
  <r>
    <d v="2024-12-19T00:00:00"/>
    <s v="Gasolina para Barreno Ahoyador"/>
    <s v="BBVA"/>
    <n v="-5000"/>
    <x v="0"/>
    <x v="4"/>
    <s v="Agropecuaria San rafael"/>
    <s v="Pequeño Material"/>
  </r>
  <r>
    <d v="2024-12-19T00:00:00"/>
    <s v="Transporte en taxi de Juan Sebantian y José Rueda desde estacion de servicio ESTAMBUL - Tulua, hasta la casa asignada en Tulua."/>
    <s v="BBVA"/>
    <n v="-8000"/>
    <x v="0"/>
    <x v="4"/>
    <s v="Agropecuaria San rafael"/>
    <s v="Transporte personal"/>
  </r>
  <r>
    <d v="2024-12-20T00:00:00"/>
    <s v="Tiquete de transporte desde terminal de Tulua, terminal de Cali"/>
    <s v="BBVA"/>
    <n v="-20000"/>
    <x v="0"/>
    <x v="4"/>
    <s v="Agropecuaria San rafael"/>
    <s v="Transporte personal"/>
  </r>
  <r>
    <d v="2024-12-20T00:00:00"/>
    <s v="Transporte desde terminal de Cali"/>
    <s v="BBVA"/>
    <n v="-16000"/>
    <x v="0"/>
    <x v="4"/>
    <s v="Agropecuaria San rafael"/>
    <s v="Transporte personal"/>
  </r>
  <r>
    <d v="2024-12-20T00:00:00"/>
    <s v="4 Desayunos (Martin, Jersson, Jose, Juan David)"/>
    <s v="BBVA"/>
    <n v="-30000"/>
    <x v="0"/>
    <x v="4"/>
    <s v="Agropecuaria San rafael"/>
    <s v="Mano de obra"/>
  </r>
  <r>
    <d v="2024-12-20T00:00:00"/>
    <s v="Tanqueo Gasolina Martin Sossa"/>
    <s v="BBVA"/>
    <n v="-40021"/>
    <x v="0"/>
    <x v="4"/>
    <s v="Agropecuaria San rafael"/>
    <s v="Transporte personal"/>
  </r>
  <r>
    <d v="2024-12-20T00:00:00"/>
    <s v="Tanqueo Gasolina Jerson Gomez"/>
    <s v="BBVA"/>
    <n v="-39990"/>
    <x v="0"/>
    <x v="4"/>
    <s v="Agropecuaria San rafael"/>
    <s v="Transporte personal"/>
  </r>
  <r>
    <d v="2024-12-20T00:00:00"/>
    <s v="Tanqueo Gasolina Juan David Lopez"/>
    <s v="BBVA"/>
    <n v="-21524"/>
    <x v="0"/>
    <x v="4"/>
    <s v="Agropecuaria San rafael"/>
    <s v="Transporte personal"/>
  </r>
  <r>
    <d v="2024-12-20T00:00:00"/>
    <s v="Hidratacion del Personal"/>
    <s v="BBVA"/>
    <n v="-4500"/>
    <x v="0"/>
    <x v="4"/>
    <s v="Agropecuaria San rafael"/>
    <s v="Mano de obra"/>
  </r>
  <r>
    <d v="2024-12-20T00:00:00"/>
    <s v="4 Almuerzos (Martin, Jersson, José, Juan David)"/>
    <s v="BBVA"/>
    <n v="-48000"/>
    <x v="0"/>
    <x v="4"/>
    <s v="Agropecuaria San rafael"/>
    <s v="Mano de obra"/>
  </r>
  <r>
    <d v="2024-12-20T00:00:00"/>
    <s v="4 Cenas (Martin, Jersson, José, Juan David)"/>
    <s v="BBVA"/>
    <n v="-76000"/>
    <x v="0"/>
    <x v="4"/>
    <s v="Agropecuaria San rafael"/>
    <s v="Mano de obra"/>
  </r>
  <r>
    <d v="2024-12-20T00:00:00"/>
    <s v="Modificacio herramienta hoyadora (tubos galvanizados 1&quot;)"/>
    <s v="BBVA"/>
    <n v="-79000"/>
    <x v="0"/>
    <x v="4"/>
    <s v="Agropecuaria San rafael"/>
    <s v="Pequeño Material"/>
  </r>
  <r>
    <d v="2024-12-20T00:00:00"/>
    <s v="Soldadura de tubos galvanizados a hoyadora"/>
    <s v="BBVA"/>
    <n v="-30000"/>
    <x v="0"/>
    <x v="4"/>
    <s v="Agropecuaria San rafael"/>
    <s v="Pequeño Material"/>
  </r>
  <r>
    <d v="2024-12-21T00:00:00"/>
    <s v="4 Desayunos (Martin, Jersson, Jose, Juan David)"/>
    <s v="BBVA"/>
    <n v="-30000"/>
    <x v="0"/>
    <x v="4"/>
    <s v="Agropecuaria San rafael"/>
    <s v="Mano de obra"/>
  </r>
  <r>
    <d v="2024-12-21T00:00:00"/>
    <s v="Almuerzos (Martin, Jersson, Jose, Juan David)"/>
    <s v="BBVA"/>
    <n v="-44090"/>
    <x v="0"/>
    <x v="4"/>
    <s v="Agropecuaria San rafael"/>
    <s v="Mano de obra"/>
  </r>
  <r>
    <d v="2025-01-09T00:00:00"/>
    <s v="pago fra electricos del valle Cotizacion N° SO-683718"/>
    <s v="BBVA"/>
    <n v="-701474"/>
    <x v="0"/>
    <x v="1"/>
    <s v="Sotavento"/>
    <s v="Cables"/>
  </r>
  <r>
    <d v="2025-01-09T00:00:00"/>
    <s v="Pago PDB25010203 teltocnika"/>
    <s v="BBVA"/>
    <n v="-1293357"/>
    <x v="0"/>
    <x v="4"/>
    <s v="Naos2"/>
    <s v="SET (electrico)"/>
  </r>
  <r>
    <d v="2025-01-09T00:00:00"/>
    <s v="Pago servicio de agua pormonte Naos3"/>
    <s v="BBVA"/>
    <n v="-178500"/>
    <x v="0"/>
    <x v="4"/>
    <s v="Naos2"/>
    <s v="Pequeño Material"/>
  </r>
  <r>
    <d v="2025-01-09T00:00:00"/>
    <s v="Pago servicio de agua pormonte Naos2"/>
    <s v="BBVA"/>
    <n v="-178500"/>
    <x v="0"/>
    <x v="4"/>
    <s v="Naos3"/>
    <s v="Pequeño Material"/>
  </r>
  <r>
    <d v="2025-01-09T00:00:00"/>
    <s v="Pago fletes tiba factura BOG68969 "/>
    <s v="BBVA"/>
    <n v="-63189936.490000002"/>
    <x v="0"/>
    <x v="4"/>
    <s v="Delta"/>
    <s v="Descargues"/>
  </r>
  <r>
    <d v="2025-01-03T00:00:00"/>
    <s v="Pago Credito Asenso"/>
    <s v="BBVA"/>
    <n v="-8381326.3499999996"/>
    <x v="0"/>
    <x v="2"/>
    <s v=" "/>
    <s v=" "/>
  </r>
  <r>
    <d v="2025-01-09T00:00:00"/>
    <s v="Pago cotizacion  5360364 casa andina"/>
    <s v="BBVA"/>
    <n v="-762902"/>
    <x v="0"/>
    <x v="4"/>
    <s v="Unicentro Pasto"/>
    <s v="Estructura"/>
  </r>
  <r>
    <d v="2025-01-09T00:00:00"/>
    <s v="Pago  COTIZACION: TA741-24 tablesa"/>
    <s v="BBVA"/>
    <n v="-9134986"/>
    <x v="0"/>
    <x v="4"/>
    <s v="Unicentro Pasto"/>
    <s v="Tableros de Distribución"/>
  </r>
  <r>
    <d v="2025-01-09T00:00:00"/>
    <s v="Pago fra FEVN - 1043 grupo sst"/>
    <s v="BBVA"/>
    <n v="-2851200"/>
    <x v="0"/>
    <x v="4"/>
    <s v="Agropecuaria San rafael"/>
    <s v="Herramienta"/>
  </r>
  <r>
    <d v="2025-01-09T00:00:00"/>
    <s v="Pago fra solubaños fra E-1363"/>
    <s v="BBVA"/>
    <n v="-615853"/>
    <x v="0"/>
    <x v="4"/>
    <s v="Delta"/>
    <s v="Baños portátiles"/>
  </r>
  <r>
    <d v="2025-01-09T00:00:00"/>
    <s v="Pago fra solubaños fra E-1362"/>
    <s v="BBVA"/>
    <n v="-615853"/>
    <x v="0"/>
    <x v="4"/>
    <s v="Naos3"/>
    <s v="Baños portátiles"/>
  </r>
  <r>
    <d v="2025-01-09T00:00:00"/>
    <s v="Pago plan celular comercial"/>
    <s v="banco bogota"/>
    <n v="-64001"/>
    <x v="0"/>
    <x v="0"/>
    <s v="ventas"/>
    <s v="Plan celular"/>
  </r>
  <r>
    <d v="2025-01-09T00:00:00"/>
    <s v="Pago poliza para incubadora del sur "/>
    <s v="banco bogota"/>
    <n v="-2189497.66"/>
    <x v="0"/>
    <x v="1"/>
    <s v="Incubadora del Sur"/>
    <s v="Polizas"/>
  </r>
  <r>
    <d v="2025-01-09T00:00:00"/>
    <s v="Pago poliza para splendor"/>
    <s v="banco bogota"/>
    <n v="-137366.06"/>
    <x v="0"/>
    <x v="1"/>
    <s v="Splendor"/>
    <s v="Polizas"/>
  </r>
  <r>
    <d v="2025-01-09T00:00:00"/>
    <s v="Pago poliza para desarrollo campesino"/>
    <s v="banco bogota"/>
    <n v="-606900"/>
    <x v="0"/>
    <x v="4"/>
    <s v="Desarrollo Campesino"/>
    <s v="Polizas"/>
  </r>
  <r>
    <d v="2025-01-09T00:00:00"/>
    <s v="Pago poliza para clinica morasurco"/>
    <s v="banco bogota"/>
    <n v="-606900"/>
    <x v="0"/>
    <x v="4"/>
    <s v="clinica morasurco"/>
    <s v="Polizas"/>
  </r>
  <r>
    <d v="2025-01-09T00:00:00"/>
    <s v="Pago poliza para sotavento"/>
    <s v="banco bogota"/>
    <n v="-239654.1"/>
    <x v="0"/>
    <x v="1"/>
    <s v="Sotavento"/>
    <s v="Polizas"/>
  </r>
  <r>
    <d v="2025-01-09T00:00:00"/>
    <s v="Pago poliza para splendor"/>
    <s v="banco bogota"/>
    <n v="-274732.93"/>
    <x v="0"/>
    <x v="1"/>
    <s v="Splendor"/>
    <s v="Polizas"/>
  </r>
  <r>
    <d v="2025-01-09T00:00:00"/>
    <s v="Pago poliza para mantenimiento"/>
    <s v="banco bogota"/>
    <n v="-200723.25"/>
    <x v="0"/>
    <x v="4"/>
    <s v="mantenimiento"/>
    <s v="Polizas"/>
  </r>
  <r>
    <d v="2025-01-09T00:00:00"/>
    <s v="Pago cta cobro Juan camacho agro san rafael"/>
    <s v="occidente"/>
    <n v="-500598"/>
    <x v="0"/>
    <x v="4"/>
    <s v="Agropecuaria San rafael"/>
    <s v="Mano de obra"/>
  </r>
  <r>
    <d v="2025-01-04T00:00:00"/>
    <s v="pago electronico licencia chatgpt"/>
    <s v="bancolombia"/>
    <n v="-88606.94"/>
    <x v="0"/>
    <x v="0"/>
    <s v="admon"/>
    <s v="Dominios"/>
  </r>
  <r>
    <d v="2025-01-09T00:00:00"/>
    <s v="Pago electronico licencia adobe"/>
    <s v="bancolombia"/>
    <n v="-95520"/>
    <x v="0"/>
    <x v="0"/>
    <s v="admon"/>
    <s v="Dominios"/>
  </r>
  <r>
    <d v="2025-01-09T00:00:00"/>
    <s v="Retencion fte 1% transporte oscar mauricio"/>
    <s v="retencion"/>
    <n v="-840"/>
    <x v="0"/>
    <x v="4"/>
    <s v="Unicentro Pasto"/>
    <s v="Transporte personal"/>
  </r>
  <r>
    <d v="2025-01-09T00:00:00"/>
    <s v="Retencion ica 6*1000 transporte oscar mauricio"/>
    <s v="retencion"/>
    <n v="-504"/>
    <x v="0"/>
    <x v="4"/>
    <s v="Unicentro Pasto"/>
    <s v="Transporte personal"/>
  </r>
  <r>
    <d v="2025-01-09T00:00:00"/>
    <s v="Retencion ICA 6*100 casa andina"/>
    <s v="retencion"/>
    <n v="-3219"/>
    <x v="0"/>
    <x v="4"/>
    <s v="Unicentro Pasto"/>
    <s v="Estructura"/>
  </r>
  <r>
    <d v="2025-01-09T00:00:00"/>
    <s v="retefte 2,5% cotizacion Ta741-24 tablesa"/>
    <s v="retencion"/>
    <n v="-410622"/>
    <x v="0"/>
    <x v="4"/>
    <s v="Unicentro Pasto"/>
    <s v="Tableros de Distribución"/>
  </r>
  <r>
    <d v="2025-01-09T00:00:00"/>
    <s v="retefuente 11% grupo sst"/>
    <s v="retencion"/>
    <n v="-290400"/>
    <x v="0"/>
    <x v="4"/>
    <s v="Agropecuaria San rafael"/>
    <s v="Herramienta"/>
  </r>
  <r>
    <d v="2025-01-09T00:00:00"/>
    <s v="retencion ica 6*1000 fra solubaños fra E-1363"/>
    <s v="retencion"/>
    <n v="-2533"/>
    <x v="0"/>
    <x v="4"/>
    <s v="Delta"/>
    <s v="Baños portátiles"/>
  </r>
  <r>
    <d v="2025-01-09T00:00:00"/>
    <s v="retencion fte 4% fra solubaños fra E-1363"/>
    <s v="retencion"/>
    <n v="-3230"/>
    <x v="0"/>
    <x v="4"/>
    <s v="Delta"/>
    <s v="Baños portátiles"/>
  </r>
  <r>
    <d v="2025-01-09T00:00:00"/>
    <s v="retencion ica 6*1000 fra solubaños fra E-1362"/>
    <s v="retencion"/>
    <n v="-2533"/>
    <x v="0"/>
    <x v="4"/>
    <s v="Naos3"/>
    <s v="Baños portátiles"/>
  </r>
  <r>
    <d v="2025-01-09T00:00:00"/>
    <s v="retencion fte 4% fra solubaños fra E-1362"/>
    <s v="retencion"/>
    <n v="-3230"/>
    <x v="0"/>
    <x v="4"/>
    <s v="Naos3"/>
    <s v="Baños portátiles"/>
  </r>
  <r>
    <d v="2025-01-09T00:00:00"/>
    <s v="retefuente 3,5% Juan camacho agro san rafael"/>
    <s v="retencion"/>
    <n v="-19250"/>
    <x v="0"/>
    <x v="4"/>
    <s v="Agropecuaria San rafael"/>
    <s v="Mano de obra"/>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r>
    <m/>
    <m/>
    <m/>
    <m/>
    <x v="1"/>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4EFC4B-EC6B-4AB9-B343-928F7050ABC8}" name="TablaDinámica1" cacheId="940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12" firstHeaderRow="1" firstDataRow="1" firstDataCol="1"/>
  <pivotFields count="8">
    <pivotField showAll="0"/>
    <pivotField showAll="0"/>
    <pivotField showAll="0"/>
    <pivotField dataField="1" showAll="0"/>
    <pivotField axis="axisRow" showAll="0">
      <items count="3">
        <item x="0"/>
        <item x="1"/>
        <item t="default"/>
      </items>
    </pivotField>
    <pivotField axis="axisRow" showAll="0">
      <items count="7">
        <item x="0"/>
        <item x="1"/>
        <item x="2"/>
        <item x="3"/>
        <item x="4"/>
        <item x="5"/>
        <item t="default"/>
      </items>
    </pivotField>
    <pivotField showAll="0"/>
    <pivotField showAll="0"/>
  </pivotFields>
  <rowFields count="2">
    <field x="4"/>
    <field x="5"/>
  </rowFields>
  <rowItems count="9">
    <i>
      <x/>
    </i>
    <i r="1">
      <x/>
    </i>
    <i r="1">
      <x v="1"/>
    </i>
    <i r="1">
      <x v="2"/>
    </i>
    <i r="1">
      <x v="3"/>
    </i>
    <i r="1">
      <x v="4"/>
    </i>
    <i>
      <x v="1"/>
    </i>
    <i r="1">
      <x v="5"/>
    </i>
    <i t="grand">
      <x/>
    </i>
  </rowItems>
  <colItems count="1">
    <i/>
  </colItems>
  <dataFields count="1">
    <dataField name="Suma de Monto"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56B4C-8703-4729-89BE-854F9D0FECAA}">
  <dimension ref="A1:F7"/>
  <sheetViews>
    <sheetView workbookViewId="0">
      <selection activeCell="C12" sqref="C12"/>
    </sheetView>
  </sheetViews>
  <sheetFormatPr defaultColWidth="11.42578125" defaultRowHeight="12.6"/>
  <cols>
    <col min="2" max="2" width="30.28515625" bestFit="1" customWidth="1"/>
    <col min="6" max="6" width="13" bestFit="1" customWidth="1"/>
  </cols>
  <sheetData>
    <row r="1" spans="1:6">
      <c r="A1" s="444">
        <v>45292</v>
      </c>
      <c r="B1" s="84" t="s">
        <v>0</v>
      </c>
      <c r="C1" s="263">
        <v>544000</v>
      </c>
    </row>
    <row r="2" spans="1:6">
      <c r="A2" s="444">
        <v>45513</v>
      </c>
      <c r="B2" s="84" t="s">
        <v>1</v>
      </c>
      <c r="C2" s="263">
        <v>211000</v>
      </c>
      <c r="F2" s="521"/>
    </row>
    <row r="3" spans="1:6">
      <c r="A3" s="444">
        <v>45541</v>
      </c>
      <c r="B3" s="84" t="s">
        <v>2</v>
      </c>
      <c r="C3" s="263">
        <v>75000</v>
      </c>
    </row>
    <row r="4" spans="1:6">
      <c r="A4" s="856">
        <v>45841</v>
      </c>
      <c r="B4" s="857" t="s">
        <v>3</v>
      </c>
      <c r="C4" s="858">
        <v>-20000</v>
      </c>
    </row>
    <row r="7" spans="1:6">
      <c r="B7" s="488" t="s">
        <v>4</v>
      </c>
      <c r="C7" s="489">
        <f>+C6+C5+C4+C3+C2+C1</f>
        <v>810000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875D-EFCD-4429-B28E-9EAEB9E59AAD}">
  <dimension ref="B1:F12"/>
  <sheetViews>
    <sheetView workbookViewId="0">
      <selection activeCell="G5" sqref="G5"/>
    </sheetView>
  </sheetViews>
  <sheetFormatPr defaultColWidth="11.42578125" defaultRowHeight="12.6"/>
  <cols>
    <col min="2" max="2" width="19.42578125" bestFit="1" customWidth="1"/>
    <col min="3" max="6" width="12.42578125" bestFit="1" customWidth="1"/>
  </cols>
  <sheetData>
    <row r="1" spans="2:6">
      <c r="B1" t="s">
        <v>5</v>
      </c>
    </row>
    <row r="2" spans="2:6" ht="12.95">
      <c r="B2" s="898" t="s">
        <v>6</v>
      </c>
      <c r="C2" s="899"/>
      <c r="D2" s="899"/>
      <c r="E2" s="899"/>
      <c r="F2" s="900"/>
    </row>
    <row r="3" spans="2:6" ht="12.95">
      <c r="B3" s="6"/>
      <c r="C3" s="286">
        <v>45658</v>
      </c>
      <c r="D3" s="286">
        <v>45689</v>
      </c>
      <c r="E3" s="286">
        <v>45717</v>
      </c>
      <c r="F3" s="286">
        <v>45748</v>
      </c>
    </row>
    <row r="4" spans="2:6" ht="12.95">
      <c r="B4" s="40" t="s">
        <v>7</v>
      </c>
      <c r="C4" s="614">
        <f>-SUMIFS('Movimientos Reales'!$D$5:$D$1048576,'Movimientos Reales'!$E$5:$E$1048576,C$3,'Movimientos Reales'!$H$5:$H$1048576,$B4,'Movimientos Reales'!$G$5:$G$1048576,$B$1)</f>
        <v>0</v>
      </c>
      <c r="D4" s="614"/>
      <c r="E4" s="614"/>
      <c r="F4" s="614"/>
    </row>
    <row r="5" spans="2:6" ht="12.95">
      <c r="B5" s="284"/>
      <c r="C5" s="614"/>
      <c r="D5" s="614"/>
      <c r="E5" s="614"/>
      <c r="F5" s="614"/>
    </row>
    <row r="6" spans="2:6" ht="12.95">
      <c r="B6" s="284" t="s">
        <v>8</v>
      </c>
      <c r="C6" s="614"/>
      <c r="D6" s="614"/>
      <c r="E6" s="614"/>
      <c r="F6" s="614"/>
    </row>
    <row r="7" spans="2:6" ht="12.95">
      <c r="B7" s="284" t="s">
        <v>9</v>
      </c>
      <c r="C7" s="614"/>
      <c r="D7" s="614"/>
      <c r="E7" s="614"/>
      <c r="F7" s="614"/>
    </row>
    <row r="8" spans="2:6" ht="12.95">
      <c r="B8" s="284" t="s">
        <v>10</v>
      </c>
      <c r="C8" s="614"/>
      <c r="D8" s="614"/>
      <c r="E8" s="614"/>
      <c r="F8" s="614"/>
    </row>
    <row r="9" spans="2:6">
      <c r="B9" s="6"/>
      <c r="C9" s="6"/>
      <c r="D9" s="6"/>
      <c r="E9" s="6"/>
      <c r="F9" s="6"/>
    </row>
    <row r="10" spans="2:6" ht="12.95">
      <c r="B10" s="284" t="s">
        <v>11</v>
      </c>
      <c r="C10" s="99">
        <f>+SUM(C4:C9)</f>
        <v>0</v>
      </c>
      <c r="D10" s="99">
        <f>+SUM(D4:D9)</f>
        <v>0</v>
      </c>
      <c r="E10" s="99">
        <f>+SUM(E4:E9)</f>
        <v>0</v>
      </c>
      <c r="F10" s="99">
        <f>+SUM(F4:F9)</f>
        <v>0</v>
      </c>
    </row>
    <row r="11" spans="2:6" ht="12.95">
      <c r="B11" s="284" t="s">
        <v>12</v>
      </c>
      <c r="C11" s="99">
        <f>+'Caja Real mensual '!J10</f>
        <v>6196667</v>
      </c>
      <c r="D11" s="99">
        <f>+'Caja Real mensual '!K10</f>
        <v>6196667.0499999998</v>
      </c>
      <c r="E11" s="99">
        <f>+'Caja Real mensual '!L10</f>
        <v>24786668.190000001</v>
      </c>
      <c r="F11" s="99">
        <f>+'Caja Real mensual '!M10</f>
        <v>18590001</v>
      </c>
    </row>
    <row r="12" spans="2:6" ht="12.95">
      <c r="B12" s="284" t="s">
        <v>13</v>
      </c>
      <c r="C12" s="99"/>
      <c r="D12" s="99"/>
      <c r="E12" s="99"/>
      <c r="F12" s="99"/>
    </row>
  </sheetData>
  <mergeCells count="1">
    <mergeCell ref="B2:F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A3CB-6DA7-4CAB-ACC6-4C88EB53C67D}">
  <sheetPr>
    <tabColor theme="9" tint="-0.499984740745262"/>
    <outlinePr summaryBelow="0" summaryRight="0"/>
  </sheetPr>
  <dimension ref="A2:W253"/>
  <sheetViews>
    <sheetView topLeftCell="A3" zoomScale="77" zoomScaleNormal="80" workbookViewId="0">
      <selection activeCell="A13" sqref="A13"/>
    </sheetView>
  </sheetViews>
  <sheetFormatPr defaultColWidth="14.42578125" defaultRowHeight="15" customHeight="1"/>
  <cols>
    <col min="1" max="1" width="19.85546875" style="6" bestFit="1" customWidth="1"/>
    <col min="2" max="2" width="10.140625" style="6" bestFit="1" customWidth="1"/>
    <col min="3" max="3" width="19.85546875" style="6" customWidth="1"/>
    <col min="4" max="4" width="14.42578125" style="6"/>
    <col min="5" max="5" width="21.42578125" style="6" hidden="1" customWidth="1"/>
    <col min="6" max="6" width="21.42578125" style="2" hidden="1" customWidth="1"/>
    <col min="7" max="7" width="20.28515625" style="6" hidden="1" customWidth="1"/>
    <col min="8" max="8" width="21" style="6" hidden="1" customWidth="1"/>
    <col min="9" max="9" width="19.5703125" style="6" hidden="1" customWidth="1"/>
    <col min="10" max="10" width="19.42578125" style="6" hidden="1" customWidth="1"/>
    <col min="11" max="11" width="21" style="6" hidden="1" customWidth="1"/>
    <col min="12" max="12" width="20" style="6" hidden="1" customWidth="1"/>
    <col min="13" max="13" width="20" style="6" bestFit="1" customWidth="1"/>
    <col min="14" max="14" width="19.42578125" style="6" bestFit="1" customWidth="1"/>
    <col min="15" max="15" width="18.7109375" style="6" bestFit="1" customWidth="1"/>
    <col min="16" max="16" width="21.140625" style="6" bestFit="1" customWidth="1"/>
    <col min="17" max="17" width="18.5703125" style="6" customWidth="1"/>
    <col min="18" max="18" width="16.5703125" style="6" bestFit="1" customWidth="1"/>
    <col min="19" max="19" width="14.85546875" style="6" bestFit="1" customWidth="1"/>
    <col min="20" max="21" width="16.85546875" style="6" bestFit="1" customWidth="1"/>
    <col min="22" max="23" width="14.85546875" style="6" bestFit="1" customWidth="1"/>
    <col min="24" max="16384" width="14.42578125" style="6"/>
  </cols>
  <sheetData>
    <row r="2" spans="1:21" ht="15" customHeight="1" thickBot="1">
      <c r="A2" s="910" t="s">
        <v>14</v>
      </c>
      <c r="B2" s="911"/>
      <c r="C2" s="911"/>
      <c r="D2" s="911"/>
      <c r="E2" s="911"/>
      <c r="F2" s="911"/>
      <c r="G2" s="911"/>
      <c r="H2" s="911"/>
      <c r="I2" s="911"/>
      <c r="J2" s="911"/>
      <c r="K2" s="911"/>
      <c r="L2" s="911"/>
      <c r="M2" s="911"/>
      <c r="N2" s="911"/>
      <c r="O2" s="911"/>
      <c r="P2" s="912"/>
    </row>
    <row r="4" spans="1:21" ht="15" customHeight="1" thickBot="1">
      <c r="E4" s="337">
        <v>45292</v>
      </c>
      <c r="F4" s="297">
        <v>45323</v>
      </c>
      <c r="G4" s="297">
        <v>45352</v>
      </c>
      <c r="H4" s="297">
        <v>45383</v>
      </c>
      <c r="I4" s="297">
        <v>45413</v>
      </c>
      <c r="J4" s="297">
        <v>45444</v>
      </c>
      <c r="K4" s="297">
        <v>45474</v>
      </c>
      <c r="L4" s="297">
        <v>45505</v>
      </c>
      <c r="M4" s="297">
        <v>45536</v>
      </c>
      <c r="N4" s="297">
        <v>45566</v>
      </c>
      <c r="O4" s="297">
        <v>45597</v>
      </c>
      <c r="P4" s="338">
        <v>45627</v>
      </c>
    </row>
    <row r="5" spans="1:21" ht="15" customHeight="1" thickBot="1">
      <c r="C5" s="910" t="s">
        <v>15</v>
      </c>
      <c r="D5" s="912"/>
      <c r="E5" s="149">
        <f t="shared" ref="E5:P5" si="0">+E12+E90</f>
        <v>-459331746</v>
      </c>
      <c r="F5" s="148">
        <f t="shared" si="0"/>
        <v>-373786405.43000001</v>
      </c>
      <c r="G5" s="148">
        <f t="shared" si="0"/>
        <v>284663766.4241882</v>
      </c>
      <c r="H5" s="148">
        <f t="shared" si="0"/>
        <v>-108428492.81810582</v>
      </c>
      <c r="I5" s="148">
        <f t="shared" si="0"/>
        <v>-245895353.13009059</v>
      </c>
      <c r="J5" s="148">
        <f t="shared" si="0"/>
        <v>-406165287.88999999</v>
      </c>
      <c r="K5" s="148">
        <f t="shared" si="0"/>
        <v>630239533.46516085</v>
      </c>
      <c r="L5" s="148">
        <f t="shared" si="0"/>
        <v>463652540.19511527</v>
      </c>
      <c r="M5" s="148">
        <f t="shared" si="0"/>
        <v>503477399.48881167</v>
      </c>
      <c r="N5" s="148">
        <f t="shared" si="0"/>
        <v>1030559473.0834512</v>
      </c>
      <c r="O5" s="148">
        <f t="shared" si="0"/>
        <v>197365420.54030156</v>
      </c>
      <c r="P5" s="148">
        <f t="shared" si="0"/>
        <v>237028820.19863451</v>
      </c>
      <c r="U5" s="2">
        <v>2647000000</v>
      </c>
    </row>
    <row r="6" spans="1:21" ht="15" customHeight="1">
      <c r="B6" s="925" t="s">
        <v>16</v>
      </c>
      <c r="C6" s="921" t="s">
        <v>17</v>
      </c>
      <c r="D6" s="922"/>
      <c r="E6" s="352">
        <f>+E12</f>
        <v>-419331746</v>
      </c>
      <c r="F6" s="352">
        <f t="shared" ref="F6:P6" si="1">+F12</f>
        <v>-310034225</v>
      </c>
      <c r="G6" s="352">
        <f t="shared" si="1"/>
        <v>344128016.4241882</v>
      </c>
      <c r="H6" s="352">
        <f>+H12</f>
        <v>-31507226.201292418</v>
      </c>
      <c r="I6" s="352">
        <f t="shared" si="1"/>
        <v>89802560.373061195</v>
      </c>
      <c r="J6" s="352">
        <f t="shared" si="1"/>
        <v>-406165287.88999999</v>
      </c>
      <c r="K6" s="352">
        <f t="shared" si="1"/>
        <v>784744739.34751391</v>
      </c>
      <c r="L6" s="352">
        <f t="shared" si="1"/>
        <v>505393737.49674547</v>
      </c>
      <c r="M6" s="352">
        <f t="shared" si="1"/>
        <v>725094400.33027697</v>
      </c>
      <c r="N6" s="352">
        <f t="shared" si="1"/>
        <v>1289254970.2738774</v>
      </c>
      <c r="O6" s="352">
        <f t="shared" si="1"/>
        <v>564123667.76083064</v>
      </c>
      <c r="P6" s="353">
        <f t="shared" si="1"/>
        <v>450224679.37717551</v>
      </c>
      <c r="U6" s="2">
        <f>+U5-M5</f>
        <v>2143522600.5111883</v>
      </c>
    </row>
    <row r="7" spans="1:21" ht="15" customHeight="1" thickBot="1">
      <c r="B7" s="926"/>
      <c r="C7" s="923" t="s">
        <v>18</v>
      </c>
      <c r="D7" s="924"/>
      <c r="E7" s="354">
        <f>+E90</f>
        <v>-40000000</v>
      </c>
      <c r="F7" s="354">
        <f t="shared" ref="F7:P7" si="2">+F90</f>
        <v>-63752180.43</v>
      </c>
      <c r="G7" s="354">
        <f t="shared" si="2"/>
        <v>-59464250</v>
      </c>
      <c r="H7" s="354">
        <f t="shared" si="2"/>
        <v>-76921266.616813391</v>
      </c>
      <c r="I7" s="354">
        <f t="shared" si="2"/>
        <v>-335697913.50315177</v>
      </c>
      <c r="J7" s="354">
        <f t="shared" si="2"/>
        <v>0</v>
      </c>
      <c r="K7" s="354">
        <f t="shared" si="2"/>
        <v>-154505205.88235301</v>
      </c>
      <c r="L7" s="354">
        <f t="shared" si="2"/>
        <v>-41741197.301630184</v>
      </c>
      <c r="M7" s="354">
        <f t="shared" si="2"/>
        <v>-221617000.84146529</v>
      </c>
      <c r="N7" s="354">
        <f t="shared" si="2"/>
        <v>-258695497.19042623</v>
      </c>
      <c r="O7" s="354">
        <f t="shared" si="2"/>
        <v>-366758247.22052908</v>
      </c>
      <c r="P7" s="355">
        <f t="shared" si="2"/>
        <v>-213195859.178541</v>
      </c>
    </row>
    <row r="8" spans="1:21" ht="15" customHeight="1" thickBot="1">
      <c r="B8" s="925" t="s">
        <v>19</v>
      </c>
      <c r="C8" s="921" t="s">
        <v>17</v>
      </c>
      <c r="D8" s="922"/>
      <c r="E8" s="352">
        <f>+E141</f>
        <v>-50000000</v>
      </c>
      <c r="F8" s="352">
        <f t="shared" ref="F8:P8" si="3">+F141</f>
        <v>0</v>
      </c>
      <c r="G8" s="352">
        <f t="shared" si="3"/>
        <v>0</v>
      </c>
      <c r="H8" s="352">
        <f t="shared" si="3"/>
        <v>0</v>
      </c>
      <c r="I8" s="352">
        <f t="shared" si="3"/>
        <v>0</v>
      </c>
      <c r="J8" s="352">
        <f t="shared" si="3"/>
        <v>0</v>
      </c>
      <c r="K8" s="352">
        <f t="shared" si="3"/>
        <v>0</v>
      </c>
      <c r="L8" s="352">
        <f t="shared" si="3"/>
        <v>0</v>
      </c>
      <c r="M8" s="352">
        <f t="shared" si="3"/>
        <v>0</v>
      </c>
      <c r="N8" s="352">
        <f t="shared" si="3"/>
        <v>0</v>
      </c>
      <c r="O8" s="352">
        <f t="shared" si="3"/>
        <v>0</v>
      </c>
      <c r="P8" s="352">
        <f t="shared" si="3"/>
        <v>0</v>
      </c>
    </row>
    <row r="9" spans="1:21" ht="15" customHeight="1" thickBot="1">
      <c r="B9" s="926"/>
      <c r="C9" s="923" t="s">
        <v>18</v>
      </c>
      <c r="D9" s="924"/>
      <c r="E9" s="352">
        <f>+E142</f>
        <v>0</v>
      </c>
      <c r="F9" s="352">
        <f t="shared" ref="F9:P9" si="4">+F142</f>
        <v>0</v>
      </c>
      <c r="G9" s="352">
        <f t="shared" si="4"/>
        <v>0</v>
      </c>
      <c r="H9" s="352">
        <f t="shared" si="4"/>
        <v>0</v>
      </c>
      <c r="I9" s="352">
        <f t="shared" si="4"/>
        <v>0</v>
      </c>
      <c r="J9" s="352">
        <f t="shared" si="4"/>
        <v>0</v>
      </c>
      <c r="K9" s="352">
        <f t="shared" si="4"/>
        <v>0</v>
      </c>
      <c r="L9" s="352">
        <f t="shared" si="4"/>
        <v>0</v>
      </c>
      <c r="M9" s="352">
        <f t="shared" si="4"/>
        <v>0</v>
      </c>
      <c r="N9" s="352">
        <f t="shared" si="4"/>
        <v>0</v>
      </c>
      <c r="O9" s="352">
        <f t="shared" si="4"/>
        <v>0</v>
      </c>
      <c r="P9" s="352">
        <f t="shared" si="4"/>
        <v>0</v>
      </c>
    </row>
    <row r="11" spans="1:21" ht="15" customHeight="1" thickBot="1">
      <c r="E11" s="337">
        <v>45292</v>
      </c>
      <c r="F11" s="297">
        <v>45323</v>
      </c>
      <c r="G11" s="297">
        <v>45352</v>
      </c>
      <c r="H11" s="297">
        <v>45383</v>
      </c>
      <c r="I11" s="297">
        <v>45413</v>
      </c>
      <c r="J11" s="297">
        <v>45444</v>
      </c>
      <c r="K11" s="297">
        <v>45474</v>
      </c>
      <c r="L11" s="297">
        <v>45505</v>
      </c>
      <c r="M11" s="297">
        <v>45536</v>
      </c>
      <c r="N11" s="297">
        <v>45566</v>
      </c>
      <c r="O11" s="297">
        <v>45597</v>
      </c>
      <c r="P11" s="338">
        <v>45627</v>
      </c>
      <c r="Q11" s="297">
        <v>45658</v>
      </c>
      <c r="R11" s="338">
        <v>45689</v>
      </c>
    </row>
    <row r="12" spans="1:21" ht="15" customHeight="1" thickBot="1">
      <c r="B12" s="910" t="s">
        <v>11</v>
      </c>
      <c r="C12" s="911"/>
      <c r="D12" s="911"/>
      <c r="E12" s="339">
        <f t="shared" ref="E12:L12" si="5">+E15+E18+E21+E24+E27+E30+E33+E36+E39+E42+E45+E48+E51+E54+E57+E60+E63+E66+E75+E78</f>
        <v>-419331746</v>
      </c>
      <c r="F12" s="339">
        <f t="shared" si="5"/>
        <v>-310034225</v>
      </c>
      <c r="G12" s="339">
        <f t="shared" si="5"/>
        <v>344128016.4241882</v>
      </c>
      <c r="H12" s="339">
        <f t="shared" si="5"/>
        <v>-31507226.201292418</v>
      </c>
      <c r="I12" s="339">
        <f t="shared" si="5"/>
        <v>89802560.373061195</v>
      </c>
      <c r="J12" s="339">
        <f t="shared" si="5"/>
        <v>-406165287.88999999</v>
      </c>
      <c r="K12" s="339">
        <f t="shared" si="5"/>
        <v>784744739.34751391</v>
      </c>
      <c r="L12" s="339">
        <f t="shared" si="5"/>
        <v>505393737.49674547</v>
      </c>
      <c r="M12" s="339">
        <f>+M15+M18+M21+M24+M27+M30+M33+M36+M39+M42+M45+M48+M51+M54+M57+M60+M63+M66+M75+M78+M81+M69</f>
        <v>725094400.33027697</v>
      </c>
      <c r="N12" s="339">
        <f>+N15+N18+N21+N24+N27+N30+N33+N36+N39+N42+N45+N48+N51+N54+N57+N60+N63+N66+N75+N78+N81+N69+N72</f>
        <v>1289254970.2738774</v>
      </c>
      <c r="O12" s="339">
        <f>+O15+O18+O21+O24+O27+O30+O33+O36+O39+O42+O45+O48+O51+O54+O57+O60+O63+O66+O75+O78+O81+O69</f>
        <v>564123667.76083064</v>
      </c>
      <c r="P12" s="339">
        <f>+P15+P18+P21+P24+P27+P30+P33+P36+P39+P42+P45+P48+P51+P54+P57+P60+P63+P66+P75+P78+P81+P69</f>
        <v>450224679.37717551</v>
      </c>
      <c r="Q12" s="339"/>
      <c r="R12" s="339"/>
    </row>
    <row r="13" spans="1:21" ht="15" customHeight="1">
      <c r="B13" s="901" t="s">
        <v>20</v>
      </c>
      <c r="C13" s="904" t="s">
        <v>21</v>
      </c>
      <c r="D13" s="336" t="s">
        <v>22</v>
      </c>
      <c r="E13" s="340"/>
      <c r="G13" s="2"/>
      <c r="H13" s="2"/>
      <c r="I13" s="2">
        <v>14030106</v>
      </c>
      <c r="J13" s="2"/>
      <c r="K13" s="2"/>
      <c r="P13" s="295"/>
      <c r="R13" s="295"/>
    </row>
    <row r="14" spans="1:21" ht="15" customHeight="1" thickBot="1">
      <c r="B14" s="902"/>
      <c r="C14" s="905"/>
      <c r="D14" s="335" t="s">
        <v>23</v>
      </c>
      <c r="E14" s="340">
        <v>600000</v>
      </c>
      <c r="F14" s="2">
        <v>1000000</v>
      </c>
      <c r="G14" s="2"/>
      <c r="H14" s="2"/>
      <c r="I14" s="2">
        <v>3000000</v>
      </c>
      <c r="J14" s="2"/>
      <c r="K14" s="2"/>
      <c r="P14" s="295"/>
      <c r="R14" s="295"/>
    </row>
    <row r="15" spans="1:21" ht="15" customHeight="1" thickBot="1">
      <c r="A15" s="200" t="s">
        <v>24</v>
      </c>
      <c r="B15" s="903"/>
      <c r="C15" s="906"/>
      <c r="D15" s="335" t="s">
        <v>11</v>
      </c>
      <c r="E15" s="341">
        <f t="shared" ref="E15:P15" si="6">+E13-E14</f>
        <v>-600000</v>
      </c>
      <c r="F15" s="301">
        <f t="shared" si="6"/>
        <v>-1000000</v>
      </c>
      <c r="G15" s="301">
        <f t="shared" si="6"/>
        <v>0</v>
      </c>
      <c r="H15" s="301">
        <f t="shared" si="6"/>
        <v>0</v>
      </c>
      <c r="I15" s="301">
        <f t="shared" si="6"/>
        <v>11030106</v>
      </c>
      <c r="J15" s="301">
        <f t="shared" si="6"/>
        <v>0</v>
      </c>
      <c r="K15" s="301">
        <f t="shared" si="6"/>
        <v>0</v>
      </c>
      <c r="L15" s="301">
        <f t="shared" si="6"/>
        <v>0</v>
      </c>
      <c r="M15" s="301">
        <f t="shared" si="6"/>
        <v>0</v>
      </c>
      <c r="N15" s="301">
        <f t="shared" si="6"/>
        <v>0</v>
      </c>
      <c r="O15" s="301">
        <f t="shared" si="6"/>
        <v>0</v>
      </c>
      <c r="P15" s="342">
        <f t="shared" si="6"/>
        <v>0</v>
      </c>
      <c r="Q15" s="301"/>
      <c r="R15" s="342"/>
    </row>
    <row r="16" spans="1:21" ht="15" customHeight="1">
      <c r="B16" s="927" t="s">
        <v>20</v>
      </c>
      <c r="C16" s="904" t="s">
        <v>25</v>
      </c>
      <c r="D16" s="336" t="s">
        <v>22</v>
      </c>
      <c r="E16" s="340"/>
      <c r="G16" s="2"/>
      <c r="H16" s="443">
        <v>13634255</v>
      </c>
      <c r="I16" s="2"/>
      <c r="J16" s="2"/>
      <c r="K16" s="2"/>
      <c r="P16" s="295"/>
      <c r="R16" s="295"/>
    </row>
    <row r="17" spans="1:18" ht="15" customHeight="1" thickBot="1">
      <c r="B17" s="928"/>
      <c r="C17" s="905"/>
      <c r="D17" s="335" t="s">
        <v>23</v>
      </c>
      <c r="E17" s="340">
        <v>6000000</v>
      </c>
      <c r="G17" s="2"/>
      <c r="H17" s="2"/>
      <c r="I17" s="2"/>
      <c r="J17" s="2"/>
      <c r="K17" s="2"/>
      <c r="P17" s="295"/>
      <c r="R17" s="295"/>
    </row>
    <row r="18" spans="1:18" ht="15" customHeight="1" thickBot="1">
      <c r="A18" s="92" t="s">
        <v>25</v>
      </c>
      <c r="B18" s="903"/>
      <c r="C18" s="906"/>
      <c r="D18" s="335" t="s">
        <v>11</v>
      </c>
      <c r="E18" s="341">
        <f t="shared" ref="E18:P18" si="7">+E16-E17</f>
        <v>-6000000</v>
      </c>
      <c r="F18" s="301">
        <f t="shared" si="7"/>
        <v>0</v>
      </c>
      <c r="G18" s="301">
        <f t="shared" si="7"/>
        <v>0</v>
      </c>
      <c r="H18" s="301">
        <f t="shared" si="7"/>
        <v>13634255</v>
      </c>
      <c r="I18" s="301">
        <f t="shared" si="7"/>
        <v>0</v>
      </c>
      <c r="J18" s="301">
        <f t="shared" si="7"/>
        <v>0</v>
      </c>
      <c r="K18" s="301">
        <f t="shared" si="7"/>
        <v>0</v>
      </c>
      <c r="L18" s="301">
        <f t="shared" si="7"/>
        <v>0</v>
      </c>
      <c r="M18" s="301">
        <f t="shared" si="7"/>
        <v>0</v>
      </c>
      <c r="N18" s="301">
        <f t="shared" si="7"/>
        <v>0</v>
      </c>
      <c r="O18" s="301">
        <f t="shared" si="7"/>
        <v>0</v>
      </c>
      <c r="P18" s="342">
        <f t="shared" si="7"/>
        <v>0</v>
      </c>
      <c r="Q18" s="301"/>
      <c r="R18" s="342"/>
    </row>
    <row r="19" spans="1:18" ht="15" customHeight="1">
      <c r="B19" s="901" t="s">
        <v>20</v>
      </c>
      <c r="C19" s="904" t="s">
        <v>26</v>
      </c>
      <c r="D19" s="336" t="s">
        <v>22</v>
      </c>
      <c r="E19" s="340"/>
      <c r="G19" s="2"/>
      <c r="H19" s="443">
        <v>16333772</v>
      </c>
      <c r="I19" s="2"/>
      <c r="J19" s="2"/>
      <c r="K19" s="2"/>
      <c r="P19" s="295"/>
      <c r="R19" s="295"/>
    </row>
    <row r="20" spans="1:18" ht="15" customHeight="1" thickBot="1">
      <c r="B20" s="902"/>
      <c r="C20" s="905"/>
      <c r="D20" s="335" t="s">
        <v>23</v>
      </c>
      <c r="E20" s="340">
        <v>7500000</v>
      </c>
      <c r="G20" s="2"/>
      <c r="H20" s="2"/>
      <c r="I20" s="2"/>
      <c r="J20" s="2"/>
      <c r="K20" s="2"/>
      <c r="P20" s="295"/>
      <c r="R20" s="295"/>
    </row>
    <row r="21" spans="1:18" ht="15" customHeight="1" thickBot="1">
      <c r="A21" s="92" t="s">
        <v>26</v>
      </c>
      <c r="B21" s="903"/>
      <c r="C21" s="906"/>
      <c r="D21" s="335" t="s">
        <v>11</v>
      </c>
      <c r="E21" s="341">
        <f t="shared" ref="E21:P21" si="8">+E19-E20</f>
        <v>-7500000</v>
      </c>
      <c r="F21" s="301">
        <f t="shared" si="8"/>
        <v>0</v>
      </c>
      <c r="G21" s="301">
        <f t="shared" si="8"/>
        <v>0</v>
      </c>
      <c r="H21" s="301">
        <f t="shared" si="8"/>
        <v>16333772</v>
      </c>
      <c r="I21" s="301">
        <f t="shared" si="8"/>
        <v>0</v>
      </c>
      <c r="J21" s="301">
        <f t="shared" si="8"/>
        <v>0</v>
      </c>
      <c r="K21" s="301">
        <f t="shared" si="8"/>
        <v>0</v>
      </c>
      <c r="L21" s="301">
        <f t="shared" si="8"/>
        <v>0</v>
      </c>
      <c r="M21" s="301">
        <f t="shared" si="8"/>
        <v>0</v>
      </c>
      <c r="N21" s="301">
        <f t="shared" si="8"/>
        <v>0</v>
      </c>
      <c r="O21" s="301">
        <f t="shared" si="8"/>
        <v>0</v>
      </c>
      <c r="P21" s="342">
        <f t="shared" si="8"/>
        <v>0</v>
      </c>
      <c r="Q21" s="301"/>
      <c r="R21" s="342"/>
    </row>
    <row r="22" spans="1:18" ht="15" customHeight="1">
      <c r="B22" s="901" t="s">
        <v>20</v>
      </c>
      <c r="C22" s="904" t="s">
        <v>27</v>
      </c>
      <c r="D22" s="336" t="s">
        <v>22</v>
      </c>
      <c r="E22" s="343">
        <v>43710353</v>
      </c>
      <c r="F22" s="235"/>
      <c r="G22" s="235"/>
      <c r="H22" s="235"/>
      <c r="I22" s="235"/>
      <c r="J22" s="235"/>
      <c r="K22" s="235"/>
      <c r="L22" s="429"/>
      <c r="M22" s="235">
        <v>10927588</v>
      </c>
      <c r="N22" s="290"/>
      <c r="O22" s="290"/>
      <c r="P22" s="291"/>
      <c r="Q22" s="290"/>
      <c r="R22" s="291"/>
    </row>
    <row r="23" spans="1:18" ht="15" customHeight="1" thickBot="1">
      <c r="B23" s="902"/>
      <c r="C23" s="905"/>
      <c r="D23" s="335" t="s">
        <v>23</v>
      </c>
      <c r="E23" s="340">
        <v>42000000</v>
      </c>
      <c r="G23" s="2"/>
      <c r="H23" s="2"/>
      <c r="I23" s="2"/>
      <c r="J23" s="2"/>
      <c r="K23" s="2"/>
      <c r="L23" s="2">
        <v>1000000</v>
      </c>
      <c r="P23" s="295"/>
      <c r="R23" s="295"/>
    </row>
    <row r="24" spans="1:18" ht="15" customHeight="1" thickBot="1">
      <c r="A24" s="92" t="s">
        <v>28</v>
      </c>
      <c r="B24" s="903"/>
      <c r="C24" s="906"/>
      <c r="D24" s="335" t="s">
        <v>11</v>
      </c>
      <c r="E24" s="341">
        <f t="shared" ref="E24:P24" si="9">+E22-E23</f>
        <v>1710353</v>
      </c>
      <c r="F24" s="301">
        <f t="shared" si="9"/>
        <v>0</v>
      </c>
      <c r="G24" s="301">
        <f t="shared" si="9"/>
        <v>0</v>
      </c>
      <c r="H24" s="301">
        <f t="shared" si="9"/>
        <v>0</v>
      </c>
      <c r="I24" s="301">
        <f t="shared" si="9"/>
        <v>0</v>
      </c>
      <c r="J24" s="301">
        <f t="shared" si="9"/>
        <v>0</v>
      </c>
      <c r="K24" s="301">
        <f t="shared" si="9"/>
        <v>0</v>
      </c>
      <c r="L24" s="301">
        <f t="shared" si="9"/>
        <v>-1000000</v>
      </c>
      <c r="M24" s="301">
        <f t="shared" si="9"/>
        <v>10927588</v>
      </c>
      <c r="N24" s="301">
        <f t="shared" si="9"/>
        <v>0</v>
      </c>
      <c r="O24" s="301">
        <f t="shared" si="9"/>
        <v>0</v>
      </c>
      <c r="P24" s="342">
        <f t="shared" si="9"/>
        <v>0</v>
      </c>
      <c r="Q24" s="301"/>
      <c r="R24" s="342"/>
    </row>
    <row r="25" spans="1:18" ht="15" customHeight="1">
      <c r="B25" s="901" t="s">
        <v>20</v>
      </c>
      <c r="C25" s="904" t="s">
        <v>29</v>
      </c>
      <c r="D25" s="336" t="s">
        <v>22</v>
      </c>
      <c r="E25" s="343"/>
      <c r="F25" s="235"/>
      <c r="G25" s="235"/>
      <c r="H25" s="235">
        <v>72844396</v>
      </c>
      <c r="I25" s="235"/>
      <c r="J25" s="235"/>
      <c r="K25" s="235"/>
      <c r="L25" s="429">
        <v>18211099</v>
      </c>
      <c r="M25" s="290"/>
      <c r="N25" s="290"/>
      <c r="O25" s="290"/>
      <c r="P25" s="291"/>
      <c r="Q25" s="290"/>
      <c r="R25" s="291"/>
    </row>
    <row r="26" spans="1:18" ht="15" customHeight="1" thickBot="1">
      <c r="B26" s="902"/>
      <c r="C26" s="905"/>
      <c r="D26" s="335" t="s">
        <v>23</v>
      </c>
      <c r="E26" s="340">
        <v>70000000</v>
      </c>
      <c r="F26" s="236">
        <v>15000000</v>
      </c>
      <c r="G26" s="236">
        <v>4000000</v>
      </c>
      <c r="H26" s="236">
        <v>4000000</v>
      </c>
      <c r="I26" s="2"/>
      <c r="J26" s="2"/>
      <c r="K26" s="2"/>
      <c r="P26" s="295"/>
      <c r="R26" s="295"/>
    </row>
    <row r="27" spans="1:18" ht="15" customHeight="1" thickBot="1">
      <c r="A27" s="92" t="s">
        <v>30</v>
      </c>
      <c r="B27" s="903"/>
      <c r="C27" s="906"/>
      <c r="D27" s="335" t="s">
        <v>11</v>
      </c>
      <c r="E27" s="341">
        <f t="shared" ref="E27:P27" si="10">+E25-E26</f>
        <v>-70000000</v>
      </c>
      <c r="F27" s="301">
        <f t="shared" si="10"/>
        <v>-15000000</v>
      </c>
      <c r="G27" s="301">
        <f t="shared" si="10"/>
        <v>-4000000</v>
      </c>
      <c r="H27" s="301">
        <f t="shared" si="10"/>
        <v>68844396</v>
      </c>
      <c r="I27" s="301">
        <f t="shared" si="10"/>
        <v>0</v>
      </c>
      <c r="J27" s="301">
        <f t="shared" si="10"/>
        <v>0</v>
      </c>
      <c r="K27" s="301">
        <f>+K25-K26</f>
        <v>0</v>
      </c>
      <c r="L27" s="301">
        <f t="shared" si="10"/>
        <v>18211099</v>
      </c>
      <c r="M27" s="301">
        <f t="shared" si="10"/>
        <v>0</v>
      </c>
      <c r="N27" s="301">
        <f t="shared" si="10"/>
        <v>0</v>
      </c>
      <c r="O27" s="301">
        <f t="shared" si="10"/>
        <v>0</v>
      </c>
      <c r="P27" s="342">
        <f t="shared" si="10"/>
        <v>0</v>
      </c>
      <c r="Q27" s="301"/>
      <c r="R27" s="342"/>
    </row>
    <row r="28" spans="1:18" ht="15" customHeight="1">
      <c r="B28" s="901" t="s">
        <v>20</v>
      </c>
      <c r="C28" s="904" t="s">
        <v>31</v>
      </c>
      <c r="D28" s="336" t="s">
        <v>22</v>
      </c>
      <c r="E28" s="343">
        <v>116257243</v>
      </c>
      <c r="F28" s="235"/>
      <c r="G28" s="235">
        <f>19691100</f>
        <v>19691100</v>
      </c>
      <c r="H28" s="424"/>
      <c r="I28" s="235">
        <f>59073300+78764400+39382200</f>
        <v>177219900</v>
      </c>
      <c r="J28" s="235"/>
      <c r="K28" s="235"/>
      <c r="L28" s="235"/>
      <c r="M28" s="235">
        <v>59073300</v>
      </c>
      <c r="N28" s="235">
        <v>19691100</v>
      </c>
      <c r="O28" s="290"/>
      <c r="P28" s="291"/>
      <c r="Q28" s="290"/>
      <c r="R28" s="291"/>
    </row>
    <row r="29" spans="1:18" ht="15" customHeight="1" thickBot="1">
      <c r="B29" s="902"/>
      <c r="C29" s="905"/>
      <c r="D29" s="335" t="s">
        <v>23</v>
      </c>
      <c r="E29" s="340"/>
      <c r="F29" s="2">
        <v>54000000</v>
      </c>
      <c r="G29" s="2">
        <v>43000000</v>
      </c>
      <c r="H29" s="2">
        <v>5000000</v>
      </c>
      <c r="I29" s="2"/>
      <c r="J29" s="2"/>
      <c r="K29" s="2"/>
      <c r="P29" s="295"/>
      <c r="R29" s="295"/>
    </row>
    <row r="30" spans="1:18" ht="15" customHeight="1" thickBot="1">
      <c r="A30" s="92" t="s">
        <v>31</v>
      </c>
      <c r="B30" s="903"/>
      <c r="C30" s="906"/>
      <c r="D30" s="335" t="s">
        <v>11</v>
      </c>
      <c r="E30" s="341">
        <f t="shared" ref="E30:P30" si="11">+E28-E29</f>
        <v>116257243</v>
      </c>
      <c r="F30" s="301">
        <f t="shared" si="11"/>
        <v>-54000000</v>
      </c>
      <c r="G30" s="301">
        <f t="shared" si="11"/>
        <v>-23308900</v>
      </c>
      <c r="H30" s="301">
        <f t="shared" si="11"/>
        <v>-5000000</v>
      </c>
      <c r="I30" s="301">
        <f t="shared" si="11"/>
        <v>177219900</v>
      </c>
      <c r="J30" s="301">
        <f t="shared" si="11"/>
        <v>0</v>
      </c>
      <c r="K30" s="301">
        <f t="shared" si="11"/>
        <v>0</v>
      </c>
      <c r="L30" s="301">
        <f t="shared" si="11"/>
        <v>0</v>
      </c>
      <c r="M30" s="301">
        <f t="shared" si="11"/>
        <v>59073300</v>
      </c>
      <c r="N30" s="301">
        <f t="shared" si="11"/>
        <v>19691100</v>
      </c>
      <c r="O30" s="301">
        <f t="shared" si="11"/>
        <v>0</v>
      </c>
      <c r="P30" s="342">
        <f t="shared" si="11"/>
        <v>0</v>
      </c>
      <c r="Q30" s="301"/>
      <c r="R30" s="342"/>
    </row>
    <row r="31" spans="1:18" ht="15" customHeight="1">
      <c r="B31" s="901" t="s">
        <v>20</v>
      </c>
      <c r="C31" s="904" t="s">
        <v>32</v>
      </c>
      <c r="D31" s="336" t="s">
        <v>22</v>
      </c>
      <c r="E31" s="343"/>
      <c r="F31" s="235"/>
      <c r="G31" s="235"/>
      <c r="H31" s="235">
        <f>178418089</f>
        <v>178418089</v>
      </c>
      <c r="I31" s="235">
        <v>133813567</v>
      </c>
      <c r="J31" s="235"/>
      <c r="K31" s="235"/>
      <c r="L31" s="235"/>
      <c r="M31" s="235"/>
      <c r="N31" s="235">
        <v>89209044</v>
      </c>
      <c r="O31" s="290"/>
      <c r="P31" s="291"/>
      <c r="Q31" s="290"/>
      <c r="R31" s="291"/>
    </row>
    <row r="32" spans="1:18" ht="15" customHeight="1" thickBot="1">
      <c r="B32" s="902"/>
      <c r="C32" s="905"/>
      <c r="D32" s="335" t="s">
        <v>23</v>
      </c>
      <c r="E32" s="340"/>
      <c r="G32" s="2">
        <f>91270712.2872928-60000000</f>
        <v>31270712.287292793</v>
      </c>
      <c r="H32" s="2">
        <f>99539813.1765283-50000000</f>
        <v>49539813.176528305</v>
      </c>
      <c r="I32" s="2">
        <f>11846507.4+100000000</f>
        <v>111846507.40000001</v>
      </c>
      <c r="J32" s="2"/>
      <c r="K32" s="2"/>
      <c r="L32" s="2"/>
      <c r="M32" s="2"/>
      <c r="N32" s="2">
        <v>500000</v>
      </c>
      <c r="P32" s="295"/>
      <c r="R32" s="295"/>
    </row>
    <row r="33" spans="1:18" ht="15" customHeight="1" thickBot="1">
      <c r="A33" s="200" t="s">
        <v>33</v>
      </c>
      <c r="B33" s="903"/>
      <c r="C33" s="906"/>
      <c r="D33" s="335" t="s">
        <v>11</v>
      </c>
      <c r="E33" s="341">
        <f t="shared" ref="E33:P33" si="12">+E31-E32</f>
        <v>0</v>
      </c>
      <c r="F33" s="301">
        <f t="shared" si="12"/>
        <v>0</v>
      </c>
      <c r="G33" s="301">
        <f t="shared" si="12"/>
        <v>-31270712.287292793</v>
      </c>
      <c r="H33" s="301">
        <f t="shared" si="12"/>
        <v>128878275.8234717</v>
      </c>
      <c r="I33" s="301">
        <f t="shared" si="12"/>
        <v>21967059.599999994</v>
      </c>
      <c r="J33" s="301">
        <f t="shared" si="12"/>
        <v>0</v>
      </c>
      <c r="K33" s="301">
        <f t="shared" si="12"/>
        <v>0</v>
      </c>
      <c r="L33" s="301">
        <f t="shared" si="12"/>
        <v>0</v>
      </c>
      <c r="M33" s="301">
        <f t="shared" si="12"/>
        <v>0</v>
      </c>
      <c r="N33" s="301">
        <f t="shared" si="12"/>
        <v>88709044</v>
      </c>
      <c r="O33" s="301">
        <f t="shared" si="12"/>
        <v>0</v>
      </c>
      <c r="P33" s="342">
        <f t="shared" si="12"/>
        <v>0</v>
      </c>
      <c r="Q33" s="301"/>
      <c r="R33" s="342"/>
    </row>
    <row r="34" spans="1:18" ht="15" customHeight="1">
      <c r="B34" s="901" t="s">
        <v>34</v>
      </c>
      <c r="C34" s="904" t="s">
        <v>35</v>
      </c>
      <c r="D34" s="336" t="s">
        <v>22</v>
      </c>
      <c r="E34" s="235"/>
      <c r="F34" s="235">
        <v>500000000</v>
      </c>
      <c r="G34" s="235">
        <v>750000000</v>
      </c>
      <c r="H34" s="235">
        <v>90000000</v>
      </c>
      <c r="I34" s="235"/>
      <c r="J34" s="235"/>
      <c r="K34" s="235"/>
      <c r="L34" s="290"/>
      <c r="M34" s="290"/>
      <c r="N34" s="290"/>
      <c r="O34" s="290"/>
      <c r="P34" s="291"/>
      <c r="Q34" s="290"/>
      <c r="R34" s="291"/>
    </row>
    <row r="35" spans="1:18" ht="15" customHeight="1" thickBot="1">
      <c r="B35" s="902"/>
      <c r="C35" s="905"/>
      <c r="D35" s="335" t="s">
        <v>23</v>
      </c>
      <c r="E35" s="340">
        <v>493674352</v>
      </c>
      <c r="F35" s="2">
        <v>788034225</v>
      </c>
      <c r="G35" s="2">
        <v>517839789.44000006</v>
      </c>
      <c r="H35" s="2">
        <v>249196118.16999999</v>
      </c>
      <c r="I35" s="2">
        <v>250000000</v>
      </c>
      <c r="J35" s="2">
        <v>100000000</v>
      </c>
      <c r="K35" s="2"/>
      <c r="P35" s="295"/>
      <c r="R35" s="295"/>
    </row>
    <row r="36" spans="1:18" ht="15" customHeight="1" thickBot="1">
      <c r="A36" s="200" t="s">
        <v>36</v>
      </c>
      <c r="B36" s="903"/>
      <c r="C36" s="906"/>
      <c r="D36" s="335" t="s">
        <v>11</v>
      </c>
      <c r="E36" s="344">
        <f t="shared" ref="E36:P36" si="13">+E34-E35</f>
        <v>-493674352</v>
      </c>
      <c r="F36" s="345">
        <f t="shared" si="13"/>
        <v>-288034225</v>
      </c>
      <c r="G36" s="345">
        <f t="shared" si="13"/>
        <v>232160210.55999994</v>
      </c>
      <c r="H36" s="345">
        <f t="shared" si="13"/>
        <v>-159196118.16999999</v>
      </c>
      <c r="I36" s="345">
        <f t="shared" si="13"/>
        <v>-250000000</v>
      </c>
      <c r="J36" s="345">
        <f t="shared" si="13"/>
        <v>-100000000</v>
      </c>
      <c r="K36" s="345">
        <f t="shared" si="13"/>
        <v>0</v>
      </c>
      <c r="L36" s="345">
        <f t="shared" si="13"/>
        <v>0</v>
      </c>
      <c r="M36" s="345">
        <f t="shared" si="13"/>
        <v>0</v>
      </c>
      <c r="N36" s="345">
        <f t="shared" si="13"/>
        <v>0</v>
      </c>
      <c r="O36" s="345">
        <f t="shared" si="13"/>
        <v>0</v>
      </c>
      <c r="P36" s="346">
        <f t="shared" si="13"/>
        <v>0</v>
      </c>
      <c r="Q36" s="345"/>
      <c r="R36" s="346"/>
    </row>
    <row r="37" spans="1:18" ht="15" customHeight="1">
      <c r="B37" s="901" t="s">
        <v>20</v>
      </c>
      <c r="C37" s="904" t="s">
        <v>37</v>
      </c>
      <c r="D37" s="336" t="s">
        <v>22</v>
      </c>
      <c r="E37" s="343">
        <v>40475010</v>
      </c>
      <c r="F37" s="235"/>
      <c r="G37" s="235"/>
      <c r="H37" s="235"/>
      <c r="I37" s="235"/>
      <c r="J37" s="235"/>
      <c r="K37" s="235"/>
      <c r="L37" s="429"/>
      <c r="M37" s="235">
        <v>17346432.759315699</v>
      </c>
      <c r="N37" s="290"/>
      <c r="O37" s="290"/>
      <c r="P37" s="291"/>
      <c r="Q37" s="290"/>
      <c r="R37" s="291"/>
    </row>
    <row r="38" spans="1:18" ht="15" customHeight="1" thickBot="1">
      <c r="B38" s="902"/>
      <c r="C38" s="905"/>
      <c r="D38" s="335" t="s">
        <v>23</v>
      </c>
      <c r="E38" s="340"/>
      <c r="G38" s="2"/>
      <c r="H38" s="2">
        <f>13254270.1927607+14587800-11000000</f>
        <v>16842070.192760698</v>
      </c>
      <c r="I38" s="2">
        <f>13739505+11000000</f>
        <v>24739505</v>
      </c>
      <c r="J38" s="2"/>
      <c r="K38" s="2"/>
      <c r="P38" s="295"/>
      <c r="R38" s="295"/>
    </row>
    <row r="39" spans="1:18" ht="15" customHeight="1" thickBot="1">
      <c r="A39" s="200" t="s">
        <v>38</v>
      </c>
      <c r="B39" s="903"/>
      <c r="C39" s="906"/>
      <c r="D39" s="335" t="s">
        <v>11</v>
      </c>
      <c r="E39" s="344">
        <f t="shared" ref="E39:P39" si="14">+E37-E38</f>
        <v>40475010</v>
      </c>
      <c r="F39" s="345">
        <f t="shared" si="14"/>
        <v>0</v>
      </c>
      <c r="G39" s="345">
        <f t="shared" si="14"/>
        <v>0</v>
      </c>
      <c r="H39" s="345">
        <f t="shared" si="14"/>
        <v>-16842070.192760698</v>
      </c>
      <c r="I39" s="345">
        <f t="shared" si="14"/>
        <v>-24739505</v>
      </c>
      <c r="J39" s="345">
        <f t="shared" si="14"/>
        <v>0</v>
      </c>
      <c r="K39" s="345">
        <f t="shared" si="14"/>
        <v>0</v>
      </c>
      <c r="L39" s="345">
        <f t="shared" si="14"/>
        <v>0</v>
      </c>
      <c r="M39" s="345">
        <f t="shared" si="14"/>
        <v>17346432.759315699</v>
      </c>
      <c r="N39" s="345">
        <f t="shared" si="14"/>
        <v>0</v>
      </c>
      <c r="O39" s="345">
        <f t="shared" si="14"/>
        <v>0</v>
      </c>
      <c r="P39" s="346">
        <f t="shared" si="14"/>
        <v>0</v>
      </c>
      <c r="Q39" s="345"/>
      <c r="R39" s="346"/>
    </row>
    <row r="40" spans="1:18" ht="15" customHeight="1">
      <c r="B40" s="901" t="s">
        <v>20</v>
      </c>
      <c r="C40" s="904" t="s">
        <v>39</v>
      </c>
      <c r="D40" s="336" t="s">
        <v>22</v>
      </c>
      <c r="E40" s="343"/>
      <c r="F40" s="235"/>
      <c r="G40" s="235"/>
      <c r="H40" s="235"/>
      <c r="I40" s="235"/>
      <c r="J40" s="235"/>
      <c r="K40" s="235"/>
      <c r="L40" s="290"/>
      <c r="M40" s="290"/>
      <c r="N40" s="290"/>
      <c r="O40" s="290"/>
      <c r="P40" s="291"/>
      <c r="Q40" s="290"/>
      <c r="R40" s="291"/>
    </row>
    <row r="41" spans="1:18" ht="15" customHeight="1" thickBot="1">
      <c r="B41" s="902"/>
      <c r="C41" s="905"/>
      <c r="D41" s="335" t="s">
        <v>23</v>
      </c>
      <c r="E41" s="340"/>
      <c r="F41" s="2">
        <v>2000000</v>
      </c>
      <c r="G41" s="2">
        <v>2500000</v>
      </c>
      <c r="H41" s="2"/>
      <c r="I41" s="2"/>
      <c r="J41" s="2"/>
      <c r="K41" s="2"/>
      <c r="P41" s="295"/>
      <c r="R41" s="295"/>
    </row>
    <row r="42" spans="1:18" ht="15" customHeight="1" thickBot="1">
      <c r="A42" s="200" t="s">
        <v>39</v>
      </c>
      <c r="B42" s="903"/>
      <c r="C42" s="906"/>
      <c r="D42" s="335" t="s">
        <v>11</v>
      </c>
      <c r="E42" s="344">
        <f t="shared" ref="E42" si="15">+E40-E41</f>
        <v>0</v>
      </c>
      <c r="F42" s="345">
        <f t="shared" ref="F42" si="16">+F40-F41</f>
        <v>-2000000</v>
      </c>
      <c r="G42" s="345">
        <f t="shared" ref="G42" si="17">+G40-G41</f>
        <v>-2500000</v>
      </c>
      <c r="H42" s="345">
        <f t="shared" ref="H42" si="18">+H40-H41</f>
        <v>0</v>
      </c>
      <c r="I42" s="345">
        <f t="shared" ref="I42" si="19">+I40-I41</f>
        <v>0</v>
      </c>
      <c r="J42" s="345">
        <f t="shared" ref="J42" si="20">+J40-J41</f>
        <v>0</v>
      </c>
      <c r="K42" s="345">
        <f t="shared" ref="K42" si="21">+K40-K41</f>
        <v>0</v>
      </c>
      <c r="L42" s="345">
        <f t="shared" ref="L42" si="22">+L40-L41</f>
        <v>0</v>
      </c>
      <c r="M42" s="345">
        <f t="shared" ref="M42" si="23">+M40-M41</f>
        <v>0</v>
      </c>
      <c r="N42" s="345">
        <f t="shared" ref="N42" si="24">+N40-N41</f>
        <v>0</v>
      </c>
      <c r="O42" s="345">
        <f t="shared" ref="O42" si="25">+O40-O41</f>
        <v>0</v>
      </c>
      <c r="P42" s="346">
        <f t="shared" ref="P42" si="26">+P40-P41</f>
        <v>0</v>
      </c>
      <c r="Q42" s="345"/>
      <c r="R42" s="346"/>
    </row>
    <row r="43" spans="1:18" ht="15" customHeight="1">
      <c r="B43" s="901" t="s">
        <v>20</v>
      </c>
      <c r="C43" s="904" t="s">
        <v>40</v>
      </c>
      <c r="D43" s="336" t="s">
        <v>22</v>
      </c>
      <c r="E43" s="343"/>
      <c r="F43" s="235">
        <v>50000000</v>
      </c>
      <c r="G43" s="235"/>
      <c r="H43" s="235"/>
      <c r="I43" s="235"/>
      <c r="J43" s="235"/>
      <c r="K43" s="235"/>
      <c r="L43" s="429"/>
      <c r="M43" s="235">
        <v>55000000</v>
      </c>
      <c r="N43" s="290"/>
      <c r="O43" s="290"/>
      <c r="P43" s="291"/>
      <c r="Q43" s="290"/>
      <c r="R43" s="291"/>
    </row>
    <row r="44" spans="1:18" ht="15" customHeight="1" thickBot="1">
      <c r="B44" s="902"/>
      <c r="C44" s="905"/>
      <c r="D44" s="335" t="s">
        <v>23</v>
      </c>
      <c r="E44" s="340"/>
      <c r="G44" s="2"/>
      <c r="H44" s="2">
        <v>32211026.734526426</v>
      </c>
      <c r="I44" s="2">
        <v>7767240.7201477997</v>
      </c>
      <c r="J44" s="2">
        <v>9084837.5</v>
      </c>
      <c r="K44" s="2"/>
      <c r="P44" s="295"/>
      <c r="R44" s="295"/>
    </row>
    <row r="45" spans="1:18" ht="15" customHeight="1" thickBot="1">
      <c r="A45" s="200" t="s">
        <v>40</v>
      </c>
      <c r="B45" s="903"/>
      <c r="C45" s="906"/>
      <c r="D45" s="335" t="s">
        <v>11</v>
      </c>
      <c r="E45" s="344">
        <f t="shared" ref="E45:P45" si="27">+E43-E44</f>
        <v>0</v>
      </c>
      <c r="F45" s="345">
        <f t="shared" si="27"/>
        <v>50000000</v>
      </c>
      <c r="G45" s="345">
        <f t="shared" si="27"/>
        <v>0</v>
      </c>
      <c r="H45" s="345">
        <f t="shared" si="27"/>
        <v>-32211026.734526426</v>
      </c>
      <c r="I45" s="345">
        <f t="shared" si="27"/>
        <v>-7767240.7201477997</v>
      </c>
      <c r="J45" s="345">
        <f t="shared" si="27"/>
        <v>-9084837.5</v>
      </c>
      <c r="K45" s="345">
        <f t="shared" si="27"/>
        <v>0</v>
      </c>
      <c r="L45" s="345">
        <f t="shared" si="27"/>
        <v>0</v>
      </c>
      <c r="M45" s="345">
        <f t="shared" si="27"/>
        <v>55000000</v>
      </c>
      <c r="N45" s="345">
        <f t="shared" si="27"/>
        <v>0</v>
      </c>
      <c r="O45" s="345">
        <f t="shared" si="27"/>
        <v>0</v>
      </c>
      <c r="P45" s="346">
        <f t="shared" si="27"/>
        <v>0</v>
      </c>
      <c r="Q45" s="345"/>
      <c r="R45" s="346"/>
    </row>
    <row r="46" spans="1:18" ht="15" customHeight="1">
      <c r="B46" s="901" t="s">
        <v>20</v>
      </c>
      <c r="C46" s="904" t="s">
        <v>41</v>
      </c>
      <c r="D46" s="336" t="s">
        <v>22</v>
      </c>
      <c r="E46" s="343"/>
      <c r="F46" s="235"/>
      <c r="G46" s="235">
        <v>131701000</v>
      </c>
      <c r="H46" s="235"/>
      <c r="I46" s="235">
        <v>111760800</v>
      </c>
      <c r="J46" s="235"/>
      <c r="K46" s="235"/>
      <c r="L46" s="290"/>
      <c r="M46" s="235"/>
      <c r="N46" s="235">
        <v>27940200</v>
      </c>
      <c r="O46" s="290"/>
      <c r="P46" s="291"/>
      <c r="Q46" s="290"/>
      <c r="R46" s="291"/>
    </row>
    <row r="47" spans="1:18" ht="15" customHeight="1" thickBot="1">
      <c r="B47" s="902"/>
      <c r="C47" s="905"/>
      <c r="D47" s="335" t="s">
        <v>23</v>
      </c>
      <c r="E47" s="340"/>
      <c r="G47" s="2">
        <v>1729413.0393426898</v>
      </c>
      <c r="H47" s="2">
        <f>125948709.927477-80000000</f>
        <v>45948709.927477002</v>
      </c>
      <c r="I47" s="2">
        <f>138060241.506791</f>
        <v>138060241.506791</v>
      </c>
      <c r="J47" s="2">
        <v>8932352.5</v>
      </c>
      <c r="K47" s="2"/>
      <c r="M47" s="2"/>
      <c r="N47" s="2"/>
      <c r="P47" s="295"/>
      <c r="R47" s="295"/>
    </row>
    <row r="48" spans="1:18" ht="15" customHeight="1" thickBot="1">
      <c r="A48" s="200" t="s">
        <v>41</v>
      </c>
      <c r="B48" s="903"/>
      <c r="C48" s="906"/>
      <c r="D48" s="335" t="s">
        <v>11</v>
      </c>
      <c r="E48" s="344">
        <f t="shared" ref="E48:P48" si="28">+E46-E47</f>
        <v>0</v>
      </c>
      <c r="F48" s="345">
        <f t="shared" si="28"/>
        <v>0</v>
      </c>
      <c r="G48" s="345">
        <f t="shared" si="28"/>
        <v>129971586.96065731</v>
      </c>
      <c r="H48" s="345">
        <f t="shared" si="28"/>
        <v>-45948709.927477002</v>
      </c>
      <c r="I48" s="345">
        <f t="shared" si="28"/>
        <v>-26299441.506790996</v>
      </c>
      <c r="J48" s="345">
        <f t="shared" si="28"/>
        <v>-8932352.5</v>
      </c>
      <c r="K48" s="345">
        <f t="shared" si="28"/>
        <v>0</v>
      </c>
      <c r="L48" s="345">
        <f t="shared" si="28"/>
        <v>0</v>
      </c>
      <c r="M48" s="345">
        <f t="shared" si="28"/>
        <v>0</v>
      </c>
      <c r="N48" s="345">
        <f t="shared" si="28"/>
        <v>27940200</v>
      </c>
      <c r="O48" s="345">
        <f t="shared" si="28"/>
        <v>0</v>
      </c>
      <c r="P48" s="346">
        <f t="shared" si="28"/>
        <v>0</v>
      </c>
      <c r="Q48" s="345"/>
      <c r="R48" s="346"/>
    </row>
    <row r="49" spans="1:21" ht="15" customHeight="1">
      <c r="B49" s="901" t="s">
        <v>20</v>
      </c>
      <c r="C49" s="904" t="s">
        <v>42</v>
      </c>
      <c r="D49" s="336" t="s">
        <v>22</v>
      </c>
      <c r="E49" s="343"/>
      <c r="F49" s="235"/>
      <c r="G49" s="235"/>
      <c r="H49" s="235"/>
      <c r="I49" s="235"/>
      <c r="J49" s="235"/>
      <c r="K49" s="235"/>
      <c r="L49" s="235"/>
      <c r="M49" s="235"/>
      <c r="N49" s="235"/>
      <c r="O49" s="235"/>
      <c r="P49" s="291"/>
      <c r="Q49" s="235"/>
      <c r="R49" s="291"/>
    </row>
    <row r="50" spans="1:21" ht="15" customHeight="1" thickBot="1">
      <c r="B50" s="902"/>
      <c r="C50" s="905"/>
      <c r="D50" s="335" t="s">
        <v>23</v>
      </c>
      <c r="E50" s="340"/>
      <c r="G50" s="2"/>
      <c r="H50" s="2"/>
      <c r="I50" s="2"/>
      <c r="J50" s="2"/>
      <c r="K50" s="2"/>
      <c r="P50" s="295"/>
      <c r="R50" s="295"/>
    </row>
    <row r="51" spans="1:21" ht="15" customHeight="1" thickBot="1">
      <c r="A51" s="200" t="s">
        <v>42</v>
      </c>
      <c r="B51" s="903"/>
      <c r="C51" s="906"/>
      <c r="D51" s="335" t="s">
        <v>11</v>
      </c>
      <c r="E51" s="344">
        <f t="shared" ref="E51:P51" si="29">+E49-E50</f>
        <v>0</v>
      </c>
      <c r="F51" s="345">
        <f t="shared" si="29"/>
        <v>0</v>
      </c>
      <c r="G51" s="345">
        <f t="shared" si="29"/>
        <v>0</v>
      </c>
      <c r="H51" s="345">
        <f t="shared" si="29"/>
        <v>0</v>
      </c>
      <c r="I51" s="345">
        <f t="shared" si="29"/>
        <v>0</v>
      </c>
      <c r="J51" s="345">
        <f t="shared" si="29"/>
        <v>0</v>
      </c>
      <c r="K51" s="345">
        <f>+K49-K50</f>
        <v>0</v>
      </c>
      <c r="L51" s="345">
        <f t="shared" si="29"/>
        <v>0</v>
      </c>
      <c r="M51" s="345">
        <f t="shared" si="29"/>
        <v>0</v>
      </c>
      <c r="N51" s="345">
        <f t="shared" si="29"/>
        <v>0</v>
      </c>
      <c r="O51" s="345">
        <f t="shared" si="29"/>
        <v>0</v>
      </c>
      <c r="P51" s="346">
        <f t="shared" si="29"/>
        <v>0</v>
      </c>
      <c r="Q51" s="345"/>
      <c r="R51" s="346"/>
    </row>
    <row r="52" spans="1:21" ht="15" customHeight="1">
      <c r="B52" s="901" t="s">
        <v>20</v>
      </c>
      <c r="C52" s="904" t="s">
        <v>43</v>
      </c>
      <c r="D52" s="336" t="s">
        <v>22</v>
      </c>
      <c r="E52" s="343"/>
      <c r="F52" s="235"/>
      <c r="G52" s="235">
        <v>45000000</v>
      </c>
      <c r="H52" s="235"/>
      <c r="I52" s="235"/>
      <c r="J52" s="235"/>
      <c r="K52" s="235">
        <v>36000000</v>
      </c>
      <c r="L52" s="235"/>
      <c r="M52" s="235"/>
      <c r="N52" s="235">
        <v>9000000</v>
      </c>
      <c r="O52" s="290"/>
      <c r="P52" s="291"/>
      <c r="Q52" s="290"/>
      <c r="R52" s="291"/>
    </row>
    <row r="53" spans="1:21" ht="15" customHeight="1" thickBot="1">
      <c r="B53" s="902"/>
      <c r="C53" s="905"/>
      <c r="D53" s="335" t="s">
        <v>23</v>
      </c>
      <c r="E53" s="340"/>
      <c r="G53" s="2">
        <v>1924168.8091762485</v>
      </c>
      <c r="H53" s="2"/>
      <c r="I53" s="2"/>
      <c r="J53" s="2"/>
      <c r="K53" s="2">
        <v>30503305.917624854</v>
      </c>
      <c r="L53" s="2">
        <v>3971400</v>
      </c>
      <c r="P53" s="295"/>
      <c r="R53" s="295"/>
    </row>
    <row r="54" spans="1:21" ht="15" customHeight="1" thickBot="1">
      <c r="A54" s="200" t="s">
        <v>43</v>
      </c>
      <c r="B54" s="903"/>
      <c r="C54" s="906"/>
      <c r="D54" s="335" t="s">
        <v>11</v>
      </c>
      <c r="E54" s="344">
        <f t="shared" ref="E54:P54" si="30">+E52-E53</f>
        <v>0</v>
      </c>
      <c r="F54" s="345">
        <f t="shared" si="30"/>
        <v>0</v>
      </c>
      <c r="G54" s="345">
        <f t="shared" si="30"/>
        <v>43075831.190823749</v>
      </c>
      <c r="H54" s="345">
        <f t="shared" si="30"/>
        <v>0</v>
      </c>
      <c r="I54" s="345">
        <f t="shared" si="30"/>
        <v>0</v>
      </c>
      <c r="J54" s="345">
        <f t="shared" si="30"/>
        <v>0</v>
      </c>
      <c r="K54" s="345">
        <f t="shared" si="30"/>
        <v>5496694.0823751464</v>
      </c>
      <c r="L54" s="345">
        <f t="shared" si="30"/>
        <v>-3971400</v>
      </c>
      <c r="M54" s="345">
        <f t="shared" si="30"/>
        <v>0</v>
      </c>
      <c r="N54" s="345">
        <f t="shared" si="30"/>
        <v>9000000</v>
      </c>
      <c r="O54" s="345">
        <f t="shared" si="30"/>
        <v>0</v>
      </c>
      <c r="P54" s="346">
        <f t="shared" si="30"/>
        <v>0</v>
      </c>
      <c r="Q54" s="345"/>
      <c r="R54" s="346"/>
    </row>
    <row r="55" spans="1:21" ht="15" customHeight="1">
      <c r="B55" s="901" t="s">
        <v>20</v>
      </c>
      <c r="C55" s="904" t="s">
        <v>44</v>
      </c>
      <c r="D55" s="336" t="s">
        <v>22</v>
      </c>
      <c r="E55" s="343"/>
      <c r="F55" s="235"/>
      <c r="G55" s="235"/>
      <c r="H55" s="235"/>
      <c r="I55" s="235"/>
      <c r="J55" s="235"/>
      <c r="K55" s="235"/>
      <c r="L55" s="235"/>
      <c r="M55" s="235">
        <v>860000000</v>
      </c>
      <c r="N55" s="235">
        <v>1300000000</v>
      </c>
      <c r="O55" s="235">
        <v>1300000000</v>
      </c>
      <c r="P55" s="235">
        <v>430000000</v>
      </c>
      <c r="Q55" s="235">
        <v>430000000</v>
      </c>
      <c r="R55" s="235"/>
      <c r="S55" s="2"/>
      <c r="T55" s="50"/>
    </row>
    <row r="56" spans="1:21" ht="15" customHeight="1" thickBot="1">
      <c r="B56" s="902"/>
      <c r="C56" s="905"/>
      <c r="D56" s="335" t="s">
        <v>23</v>
      </c>
      <c r="E56" s="340"/>
      <c r="G56" s="2"/>
      <c r="H56" s="2"/>
      <c r="I56" s="2"/>
      <c r="J56" s="2"/>
      <c r="K56" s="2"/>
      <c r="L56" s="2"/>
      <c r="M56" s="2">
        <v>900000000</v>
      </c>
      <c r="N56" s="2">
        <v>717487500</v>
      </c>
      <c r="O56" s="2">
        <f>+O55-325507500</f>
        <v>974492500</v>
      </c>
      <c r="P56" s="2">
        <f>+P55-217005000</f>
        <v>212995000</v>
      </c>
      <c r="Q56" s="2">
        <f>+Q55-217005000</f>
        <v>212995000</v>
      </c>
      <c r="R56" s="2"/>
      <c r="U56" s="2"/>
    </row>
    <row r="57" spans="1:21" ht="15" customHeight="1" thickBot="1">
      <c r="A57" s="200" t="s">
        <v>44</v>
      </c>
      <c r="B57" s="903"/>
      <c r="C57" s="906"/>
      <c r="D57" s="335" t="s">
        <v>11</v>
      </c>
      <c r="E57" s="344">
        <f t="shared" ref="E57:Q57" si="31">+E55-E56</f>
        <v>0</v>
      </c>
      <c r="F57" s="345">
        <f t="shared" si="31"/>
        <v>0</v>
      </c>
      <c r="G57" s="345">
        <f t="shared" si="31"/>
        <v>0</v>
      </c>
      <c r="H57" s="345">
        <f t="shared" si="31"/>
        <v>0</v>
      </c>
      <c r="I57" s="345">
        <f t="shared" si="31"/>
        <v>0</v>
      </c>
      <c r="J57" s="345">
        <f t="shared" si="31"/>
        <v>0</v>
      </c>
      <c r="K57" s="345">
        <f t="shared" si="31"/>
        <v>0</v>
      </c>
      <c r="L57" s="345">
        <f t="shared" si="31"/>
        <v>0</v>
      </c>
      <c r="M57" s="345">
        <f t="shared" si="31"/>
        <v>-40000000</v>
      </c>
      <c r="N57" s="345">
        <f t="shared" si="31"/>
        <v>582512500</v>
      </c>
      <c r="O57" s="345">
        <f t="shared" si="31"/>
        <v>325507500</v>
      </c>
      <c r="P57" s="346">
        <f t="shared" si="31"/>
        <v>217005000</v>
      </c>
      <c r="Q57" s="346">
        <f t="shared" si="31"/>
        <v>217005000</v>
      </c>
      <c r="R57" s="346"/>
      <c r="U57" s="2"/>
    </row>
    <row r="58" spans="1:21" ht="15" customHeight="1">
      <c r="B58" s="901" t="s">
        <v>20</v>
      </c>
      <c r="C58" s="904" t="s">
        <v>45</v>
      </c>
      <c r="D58" s="336" t="s">
        <v>22</v>
      </c>
      <c r="E58" s="343"/>
      <c r="F58" s="235"/>
      <c r="G58" s="235"/>
      <c r="H58" s="235"/>
      <c r="I58" s="235">
        <v>188391682</v>
      </c>
      <c r="J58" s="235"/>
      <c r="K58" s="235"/>
      <c r="L58" s="429">
        <v>150713346</v>
      </c>
      <c r="M58" s="235"/>
      <c r="N58" s="235">
        <v>37678336</v>
      </c>
      <c r="O58" s="290"/>
      <c r="P58" s="291"/>
      <c r="Q58" s="290"/>
      <c r="R58" s="291"/>
    </row>
    <row r="59" spans="1:21" ht="15" customHeight="1" thickBot="1">
      <c r="B59" s="902"/>
      <c r="C59" s="905"/>
      <c r="D59" s="335" t="s">
        <v>23</v>
      </c>
      <c r="E59" s="340"/>
      <c r="G59" s="2"/>
      <c r="H59" s="2"/>
      <c r="I59" s="2"/>
      <c r="J59" s="2"/>
      <c r="K59" s="2">
        <v>111982250.33333334</v>
      </c>
      <c r="L59" s="2">
        <f>116771755.260558+38086839.302521</f>
        <v>154858594.563079</v>
      </c>
      <c r="M59" s="2">
        <v>21102197.61123604</v>
      </c>
      <c r="N59" s="2">
        <v>6661990</v>
      </c>
      <c r="O59" s="2"/>
      <c r="P59" s="375"/>
      <c r="Q59" s="2"/>
      <c r="R59" s="375"/>
    </row>
    <row r="60" spans="1:21" ht="15" customHeight="1" thickBot="1">
      <c r="A60" s="200" t="s">
        <v>45</v>
      </c>
      <c r="B60" s="903"/>
      <c r="C60" s="906"/>
      <c r="D60" s="335" t="s">
        <v>11</v>
      </c>
      <c r="E60" s="344">
        <f t="shared" ref="E60:P60" si="32">+E58-E59</f>
        <v>0</v>
      </c>
      <c r="F60" s="345">
        <f t="shared" si="32"/>
        <v>0</v>
      </c>
      <c r="G60" s="345">
        <f t="shared" si="32"/>
        <v>0</v>
      </c>
      <c r="H60" s="345">
        <f t="shared" si="32"/>
        <v>0</v>
      </c>
      <c r="I60" s="345">
        <f t="shared" si="32"/>
        <v>188391682</v>
      </c>
      <c r="J60" s="345">
        <f t="shared" si="32"/>
        <v>0</v>
      </c>
      <c r="K60" s="345">
        <f t="shared" si="32"/>
        <v>-111982250.33333334</v>
      </c>
      <c r="L60" s="345">
        <f t="shared" si="32"/>
        <v>-4145248.5630789995</v>
      </c>
      <c r="M60" s="345">
        <f t="shared" si="32"/>
        <v>-21102197.61123604</v>
      </c>
      <c r="N60" s="345">
        <f t="shared" si="32"/>
        <v>31016346</v>
      </c>
      <c r="O60" s="345">
        <f t="shared" si="32"/>
        <v>0</v>
      </c>
      <c r="P60" s="346">
        <f t="shared" si="32"/>
        <v>0</v>
      </c>
      <c r="Q60" s="345"/>
      <c r="R60" s="346"/>
    </row>
    <row r="61" spans="1:21" ht="15" customHeight="1">
      <c r="B61" s="901" t="s">
        <v>20</v>
      </c>
      <c r="C61" s="904" t="s">
        <v>46</v>
      </c>
      <c r="D61" s="336" t="s">
        <v>22</v>
      </c>
      <c r="E61" s="343"/>
      <c r="F61" s="235"/>
      <c r="G61" s="235"/>
      <c r="H61" s="235"/>
      <c r="I61" s="235"/>
      <c r="J61" s="235"/>
      <c r="K61" s="235">
        <v>11401934</v>
      </c>
      <c r="L61" s="429">
        <v>68509669</v>
      </c>
      <c r="M61" s="235"/>
      <c r="N61" s="235"/>
      <c r="O61" s="235"/>
      <c r="P61" s="235">
        <v>34367332</v>
      </c>
      <c r="Q61" s="235"/>
      <c r="R61" s="291"/>
    </row>
    <row r="62" spans="1:21" ht="15" customHeight="1" thickBot="1">
      <c r="B62" s="902"/>
      <c r="C62" s="905"/>
      <c r="D62" s="335" t="s">
        <v>23</v>
      </c>
      <c r="E62" s="340"/>
      <c r="G62" s="2"/>
      <c r="H62" s="2"/>
      <c r="I62" s="2"/>
      <c r="J62" s="2"/>
      <c r="K62" s="2"/>
      <c r="L62" s="2">
        <v>801806.30017556413</v>
      </c>
      <c r="M62" s="2">
        <v>43588564.64985995</v>
      </c>
      <c r="N62" s="2">
        <v>25154759.00573796</v>
      </c>
      <c r="O62" s="2">
        <v>5565906.3619585065</v>
      </c>
      <c r="P62" s="375">
        <v>3971400</v>
      </c>
      <c r="Q62" s="2"/>
      <c r="R62" s="375"/>
    </row>
    <row r="63" spans="1:21" ht="15" customHeight="1" thickBot="1">
      <c r="A63" s="200" t="s">
        <v>46</v>
      </c>
      <c r="B63" s="903"/>
      <c r="C63" s="906"/>
      <c r="D63" s="335" t="s">
        <v>11</v>
      </c>
      <c r="E63" s="344">
        <f t="shared" ref="E63:H63" si="33">+E61-E62</f>
        <v>0</v>
      </c>
      <c r="F63" s="345">
        <f t="shared" si="33"/>
        <v>0</v>
      </c>
      <c r="G63" s="345">
        <f t="shared" si="33"/>
        <v>0</v>
      </c>
      <c r="H63" s="345">
        <f t="shared" si="33"/>
        <v>0</v>
      </c>
      <c r="I63" s="345">
        <f t="shared" ref="I63:P63" si="34">+I61-I62</f>
        <v>0</v>
      </c>
      <c r="J63" s="345">
        <f t="shared" si="34"/>
        <v>0</v>
      </c>
      <c r="K63" s="345">
        <f t="shared" si="34"/>
        <v>11401934</v>
      </c>
      <c r="L63" s="345">
        <f t="shared" si="34"/>
        <v>67707862.699824437</v>
      </c>
      <c r="M63" s="345">
        <f t="shared" si="34"/>
        <v>-43588564.64985995</v>
      </c>
      <c r="N63" s="345">
        <f t="shared" si="34"/>
        <v>-25154759.00573796</v>
      </c>
      <c r="O63" s="345">
        <f t="shared" si="34"/>
        <v>-5565906.3619585065</v>
      </c>
      <c r="P63" s="346">
        <f t="shared" si="34"/>
        <v>30395932</v>
      </c>
      <c r="Q63" s="345"/>
      <c r="R63" s="346"/>
    </row>
    <row r="64" spans="1:21" ht="15" customHeight="1">
      <c r="B64" s="901" t="s">
        <v>20</v>
      </c>
      <c r="C64" s="904" t="s">
        <v>47</v>
      </c>
      <c r="D64" s="336" t="s">
        <v>22</v>
      </c>
      <c r="E64" s="343"/>
      <c r="F64" s="235"/>
      <c r="G64" s="235"/>
      <c r="H64" s="235"/>
      <c r="I64" s="235"/>
      <c r="J64" s="235"/>
      <c r="K64" s="235"/>
      <c r="L64" s="235"/>
      <c r="M64" s="235"/>
      <c r="N64" s="235">
        <v>13000000</v>
      </c>
      <c r="O64" s="235"/>
      <c r="P64" s="237"/>
      <c r="Q64" s="235"/>
      <c r="R64" s="291"/>
    </row>
    <row r="65" spans="1:23" ht="15" customHeight="1" thickBot="1">
      <c r="B65" s="902"/>
      <c r="C65" s="905"/>
      <c r="D65" s="335" t="s">
        <v>23</v>
      </c>
      <c r="E65" s="340"/>
      <c r="G65" s="2"/>
      <c r="H65" s="2"/>
      <c r="I65" s="2"/>
      <c r="J65" s="2"/>
      <c r="K65" s="2"/>
      <c r="L65" s="2"/>
      <c r="M65" s="2"/>
      <c r="N65" s="2">
        <v>16000000</v>
      </c>
      <c r="O65" s="2"/>
      <c r="P65" s="375"/>
      <c r="Q65" s="2"/>
      <c r="R65" s="375"/>
      <c r="S65" s="69" t="s">
        <v>11</v>
      </c>
      <c r="U65" s="2">
        <f>+U73+U76</f>
        <v>3859708048</v>
      </c>
    </row>
    <row r="66" spans="1:23" ht="15" customHeight="1" thickBot="1">
      <c r="A66" s="200" t="s">
        <v>47</v>
      </c>
      <c r="B66" s="903"/>
      <c r="C66" s="906"/>
      <c r="D66" s="335" t="s">
        <v>11</v>
      </c>
      <c r="E66" s="344">
        <f t="shared" ref="E66:P66" si="35">+E64-E65</f>
        <v>0</v>
      </c>
      <c r="F66" s="345">
        <f t="shared" si="35"/>
        <v>0</v>
      </c>
      <c r="G66" s="345">
        <f t="shared" si="35"/>
        <v>0</v>
      </c>
      <c r="H66" s="345">
        <f t="shared" si="35"/>
        <v>0</v>
      </c>
      <c r="I66" s="345">
        <f t="shared" si="35"/>
        <v>0</v>
      </c>
      <c r="J66" s="345">
        <f t="shared" si="35"/>
        <v>0</v>
      </c>
      <c r="K66" s="345">
        <f t="shared" si="35"/>
        <v>0</v>
      </c>
      <c r="L66" s="345">
        <f>+L64-L65</f>
        <v>0</v>
      </c>
      <c r="M66" s="345">
        <f>+M64-M65</f>
        <v>0</v>
      </c>
      <c r="N66" s="345">
        <f>+N64-N65</f>
        <v>-3000000</v>
      </c>
      <c r="O66" s="345">
        <f>+O64-O65</f>
        <v>0</v>
      </c>
      <c r="P66" s="346">
        <f t="shared" si="35"/>
        <v>0</v>
      </c>
      <c r="Q66" s="345"/>
      <c r="R66" s="346"/>
    </row>
    <row r="67" spans="1:23" ht="15" customHeight="1">
      <c r="B67" s="901" t="s">
        <v>20</v>
      </c>
      <c r="C67" s="904" t="s">
        <v>48</v>
      </c>
      <c r="D67" s="336" t="s">
        <v>22</v>
      </c>
      <c r="E67" s="343"/>
      <c r="F67" s="235"/>
      <c r="G67" s="235"/>
      <c r="H67" s="235"/>
      <c r="I67" s="235"/>
      <c r="J67" s="235"/>
      <c r="K67" s="235"/>
      <c r="L67" s="235"/>
      <c r="M67" s="235">
        <v>243205563.00717744</v>
      </c>
      <c r="N67" s="235"/>
      <c r="O67" s="235">
        <v>194564450.40574196</v>
      </c>
      <c r="P67" s="235"/>
      <c r="Q67" s="235">
        <v>48641112.60143549</v>
      </c>
      <c r="R67" s="291"/>
    </row>
    <row r="68" spans="1:23" ht="15" customHeight="1" thickBot="1">
      <c r="B68" s="902"/>
      <c r="C68" s="905"/>
      <c r="D68" s="335" t="s">
        <v>23</v>
      </c>
      <c r="E68" s="340"/>
      <c r="G68" s="2"/>
      <c r="H68" s="2"/>
      <c r="I68" s="2"/>
      <c r="J68" s="2"/>
      <c r="K68" s="2"/>
      <c r="L68" s="2"/>
      <c r="M68" s="2"/>
      <c r="N68" s="2">
        <v>111622980.66404444</v>
      </c>
      <c r="O68" s="2">
        <v>148830640.88539261</v>
      </c>
      <c r="P68" s="375">
        <v>111622980.66404444</v>
      </c>
      <c r="Q68" s="2"/>
      <c r="R68" s="375"/>
    </row>
    <row r="69" spans="1:23" ht="15" customHeight="1" thickBot="1">
      <c r="A69" s="200" t="s">
        <v>48</v>
      </c>
      <c r="B69" s="903"/>
      <c r="C69" s="906"/>
      <c r="D69" s="335" t="s">
        <v>11</v>
      </c>
      <c r="E69" s="344">
        <f t="shared" ref="E69:K69" si="36">+E67-E68</f>
        <v>0</v>
      </c>
      <c r="F69" s="345">
        <f t="shared" si="36"/>
        <v>0</v>
      </c>
      <c r="G69" s="345">
        <f t="shared" si="36"/>
        <v>0</v>
      </c>
      <c r="H69" s="345">
        <f t="shared" si="36"/>
        <v>0</v>
      </c>
      <c r="I69" s="345">
        <f t="shared" si="36"/>
        <v>0</v>
      </c>
      <c r="J69" s="345">
        <f t="shared" si="36"/>
        <v>0</v>
      </c>
      <c r="K69" s="345">
        <f t="shared" si="36"/>
        <v>0</v>
      </c>
      <c r="L69" s="345">
        <f>+L67-L68</f>
        <v>0</v>
      </c>
      <c r="M69" s="345">
        <f>+M67-M68</f>
        <v>243205563.00717744</v>
      </c>
      <c r="N69" s="345">
        <f>+N67-N68</f>
        <v>-111622980.66404444</v>
      </c>
      <c r="O69" s="345">
        <f>+O67-O68</f>
        <v>45733809.520349354</v>
      </c>
      <c r="P69" s="346">
        <f t="shared" ref="P69" si="37">+P67-P68</f>
        <v>-111622980.66404444</v>
      </c>
      <c r="Q69" s="345"/>
      <c r="R69" s="346"/>
    </row>
    <row r="70" spans="1:23" ht="15" customHeight="1">
      <c r="B70" s="901" t="s">
        <v>20</v>
      </c>
      <c r="C70" s="904" t="s">
        <v>49</v>
      </c>
      <c r="D70" s="336" t="s">
        <v>22</v>
      </c>
      <c r="E70" s="343"/>
      <c r="F70" s="235"/>
      <c r="G70" s="235"/>
      <c r="H70" s="235"/>
      <c r="I70" s="235"/>
      <c r="J70" s="235"/>
      <c r="K70" s="235"/>
      <c r="L70" s="235"/>
      <c r="M70" s="235"/>
      <c r="N70" s="235">
        <v>99559337</v>
      </c>
      <c r="O70" s="235">
        <f>+N70</f>
        <v>99559337</v>
      </c>
      <c r="P70" s="235"/>
      <c r="Q70" s="235"/>
      <c r="R70" s="291"/>
    </row>
    <row r="71" spans="1:23" ht="15" customHeight="1" thickBot="1">
      <c r="B71" s="902"/>
      <c r="C71" s="905"/>
      <c r="D71" s="335" t="s">
        <v>23</v>
      </c>
      <c r="E71" s="340"/>
      <c r="G71" s="2"/>
      <c r="H71" s="2"/>
      <c r="I71" s="2"/>
      <c r="J71" s="2"/>
      <c r="K71" s="2"/>
      <c r="L71" s="2"/>
      <c r="M71" s="2"/>
      <c r="N71" s="2"/>
      <c r="O71" s="2"/>
      <c r="P71" s="375"/>
      <c r="Q71" s="2"/>
      <c r="R71" s="375"/>
    </row>
    <row r="72" spans="1:23" ht="15" customHeight="1" thickBot="1">
      <c r="A72" s="200" t="s">
        <v>50</v>
      </c>
      <c r="B72" s="903"/>
      <c r="C72" s="906"/>
      <c r="D72" s="335" t="s">
        <v>11</v>
      </c>
      <c r="E72" s="344">
        <f t="shared" ref="E72:K72" si="38">+E70-E71</f>
        <v>0</v>
      </c>
      <c r="F72" s="345">
        <f t="shared" si="38"/>
        <v>0</v>
      </c>
      <c r="G72" s="345">
        <f t="shared" si="38"/>
        <v>0</v>
      </c>
      <c r="H72" s="345">
        <f t="shared" si="38"/>
        <v>0</v>
      </c>
      <c r="I72" s="345">
        <f t="shared" si="38"/>
        <v>0</v>
      </c>
      <c r="J72" s="345">
        <f t="shared" si="38"/>
        <v>0</v>
      </c>
      <c r="K72" s="345">
        <f t="shared" si="38"/>
        <v>0</v>
      </c>
      <c r="L72" s="345">
        <f>+L70-L71</f>
        <v>0</v>
      </c>
      <c r="M72" s="345">
        <f>+M70-M71</f>
        <v>0</v>
      </c>
      <c r="N72" s="345">
        <f>+N70-N71</f>
        <v>99559337</v>
      </c>
      <c r="O72" s="345">
        <f>+O70-O71</f>
        <v>99559337</v>
      </c>
      <c r="P72" s="346">
        <f t="shared" ref="P72" si="39">+P70-P71</f>
        <v>0</v>
      </c>
      <c r="Q72" s="345"/>
      <c r="R72" s="346"/>
    </row>
    <row r="73" spans="1:23" ht="15" customHeight="1">
      <c r="B73" s="901" t="s">
        <v>20</v>
      </c>
      <c r="C73" s="904" t="s">
        <v>51</v>
      </c>
      <c r="D73" s="336" t="s">
        <v>22</v>
      </c>
      <c r="E73" s="343"/>
      <c r="F73" s="235"/>
      <c r="G73" s="235"/>
      <c r="H73" s="235"/>
      <c r="I73" s="235"/>
      <c r="J73" s="235">
        <v>125706459.06994632</v>
      </c>
      <c r="K73" s="235">
        <f>685955101.560279-49443871.0915289</f>
        <v>636511230.46875012</v>
      </c>
      <c r="L73" s="235">
        <v>647156218</v>
      </c>
      <c r="M73" s="235">
        <v>566301097.00000012</v>
      </c>
      <c r="N73" s="235">
        <v>800000000</v>
      </c>
      <c r="O73" s="235">
        <v>157858188.532837</v>
      </c>
      <c r="P73" s="237">
        <v>300000000</v>
      </c>
      <c r="Q73" s="235"/>
      <c r="R73" s="291"/>
      <c r="U73" s="2">
        <f>+SUM(M73:P73)</f>
        <v>1824159285.5328369</v>
      </c>
    </row>
    <row r="74" spans="1:23" ht="15" customHeight="1" thickBot="1">
      <c r="B74" s="902"/>
      <c r="C74" s="905"/>
      <c r="D74" s="335" t="s">
        <v>23</v>
      </c>
      <c r="E74" s="340"/>
      <c r="G74" s="2"/>
      <c r="H74" s="2"/>
      <c r="I74" s="2"/>
      <c r="J74" s="2">
        <v>534888888.88999999</v>
      </c>
      <c r="K74" s="2">
        <v>225111111.11000001</v>
      </c>
      <c r="L74" s="2">
        <v>533097333.31999999</v>
      </c>
      <c r="M74" s="2">
        <v>393691666.65000004</v>
      </c>
      <c r="N74" s="2">
        <v>667397333.32000005</v>
      </c>
      <c r="O74" s="2">
        <v>84772333.319999993</v>
      </c>
      <c r="P74" s="375">
        <v>27000000</v>
      </c>
      <c r="Q74" s="2"/>
      <c r="R74" s="375"/>
    </row>
    <row r="75" spans="1:23" ht="15" customHeight="1" thickBot="1">
      <c r="A75" s="200" t="s">
        <v>51</v>
      </c>
      <c r="B75" s="903"/>
      <c r="C75" s="906"/>
      <c r="D75" s="335" t="s">
        <v>11</v>
      </c>
      <c r="E75" s="344">
        <f t="shared" ref="E75:P75" si="40">+E73-E74</f>
        <v>0</v>
      </c>
      <c r="F75" s="345">
        <f t="shared" si="40"/>
        <v>0</v>
      </c>
      <c r="G75" s="345">
        <f t="shared" si="40"/>
        <v>0</v>
      </c>
      <c r="H75" s="345">
        <f t="shared" si="40"/>
        <v>0</v>
      </c>
      <c r="I75" s="345">
        <f t="shared" si="40"/>
        <v>0</v>
      </c>
      <c r="J75" s="345">
        <f t="shared" si="40"/>
        <v>-409182429.8200537</v>
      </c>
      <c r="K75" s="345">
        <f t="shared" si="40"/>
        <v>411400119.3587501</v>
      </c>
      <c r="L75" s="345">
        <f t="shared" si="40"/>
        <v>114058884.68000001</v>
      </c>
      <c r="M75" s="345">
        <f t="shared" si="40"/>
        <v>172609430.35000008</v>
      </c>
      <c r="N75" s="345">
        <f t="shared" si="40"/>
        <v>132602666.67999995</v>
      </c>
      <c r="O75" s="345">
        <f t="shared" si="40"/>
        <v>73085855.212837011</v>
      </c>
      <c r="P75" s="346">
        <f t="shared" si="40"/>
        <v>273000000</v>
      </c>
      <c r="Q75" s="345"/>
      <c r="R75" s="346"/>
      <c r="S75" s="2"/>
      <c r="U75" s="2"/>
      <c r="V75" s="2"/>
      <c r="W75" s="2"/>
    </row>
    <row r="76" spans="1:23" ht="15" customHeight="1">
      <c r="B76" s="901" t="s">
        <v>20</v>
      </c>
      <c r="C76" s="904" t="s">
        <v>52</v>
      </c>
      <c r="D76" s="336" t="s">
        <v>22</v>
      </c>
      <c r="E76" s="343"/>
      <c r="F76" s="235"/>
      <c r="G76" s="235"/>
      <c r="H76" s="235"/>
      <c r="I76" s="235"/>
      <c r="J76" s="235">
        <v>131034331.93005374</v>
      </c>
      <c r="K76" s="235">
        <v>715028242.23972201</v>
      </c>
      <c r="L76" s="429">
        <v>500000000</v>
      </c>
      <c r="M76" s="235">
        <v>200000000</v>
      </c>
      <c r="N76" s="235">
        <v>871000000</v>
      </c>
      <c r="O76" s="235">
        <f>164548762.467163+400000000</f>
        <v>564548762.46716297</v>
      </c>
      <c r="P76" s="237">
        <v>400000000</v>
      </c>
      <c r="Q76" s="235">
        <f>500103799+600000000</f>
        <v>1100103799</v>
      </c>
      <c r="R76" s="237"/>
      <c r="U76" s="2">
        <f>+SUM(M76:P76)</f>
        <v>2035548762.4671631</v>
      </c>
    </row>
    <row r="77" spans="1:23" ht="15" customHeight="1" thickBot="1">
      <c r="B77" s="902"/>
      <c r="C77" s="905"/>
      <c r="D77" s="335" t="s">
        <v>23</v>
      </c>
      <c r="E77" s="340"/>
      <c r="G77" s="2"/>
      <c r="H77" s="2"/>
      <c r="I77" s="2"/>
      <c r="J77" s="2">
        <v>10000000</v>
      </c>
      <c r="K77" s="2">
        <v>246600000</v>
      </c>
      <c r="L77" s="2">
        <v>185467460.31999999</v>
      </c>
      <c r="M77" s="2">
        <v>207382539.69</v>
      </c>
      <c r="N77" s="2">
        <v>674057142.86000001</v>
      </c>
      <c r="O77" s="2">
        <v>260642857.16</v>
      </c>
      <c r="P77" s="375">
        <f>396500000</f>
        <v>396500000</v>
      </c>
      <c r="Q77" s="2">
        <v>1630000000</v>
      </c>
      <c r="R77" s="375"/>
      <c r="S77" s="2"/>
      <c r="T77" s="2"/>
      <c r="U77" s="2"/>
      <c r="V77" s="2"/>
      <c r="W77" s="2"/>
    </row>
    <row r="78" spans="1:23" ht="15" customHeight="1" thickBot="1">
      <c r="A78" s="200" t="s">
        <v>52</v>
      </c>
      <c r="B78" s="903"/>
      <c r="C78" s="906"/>
      <c r="D78" s="335" t="s">
        <v>11</v>
      </c>
      <c r="E78" s="344">
        <f t="shared" ref="E78:Q78" si="41">+E76-E77</f>
        <v>0</v>
      </c>
      <c r="F78" s="345">
        <f t="shared" si="41"/>
        <v>0</v>
      </c>
      <c r="G78" s="345">
        <f t="shared" si="41"/>
        <v>0</v>
      </c>
      <c r="H78" s="345">
        <f t="shared" si="41"/>
        <v>0</v>
      </c>
      <c r="I78" s="345">
        <f t="shared" si="41"/>
        <v>0</v>
      </c>
      <c r="J78" s="345">
        <f t="shared" si="41"/>
        <v>121034331.93005374</v>
      </c>
      <c r="K78" s="345">
        <f t="shared" si="41"/>
        <v>468428242.23972201</v>
      </c>
      <c r="L78" s="345">
        <f t="shared" si="41"/>
        <v>314532539.68000001</v>
      </c>
      <c r="M78" s="345">
        <f t="shared" si="41"/>
        <v>-7382539.6899999976</v>
      </c>
      <c r="N78" s="345">
        <f t="shared" si="41"/>
        <v>196942857.13999999</v>
      </c>
      <c r="O78" s="345">
        <f t="shared" si="41"/>
        <v>303905905.307163</v>
      </c>
      <c r="P78" s="346">
        <f t="shared" si="41"/>
        <v>3500000</v>
      </c>
      <c r="Q78" s="346">
        <f t="shared" si="41"/>
        <v>-529896201</v>
      </c>
      <c r="R78" s="346"/>
      <c r="S78" s="102" t="s">
        <v>53</v>
      </c>
      <c r="T78" s="2">
        <v>566361097</v>
      </c>
    </row>
    <row r="79" spans="1:23" ht="15" customHeight="1">
      <c r="B79" s="901" t="s">
        <v>20</v>
      </c>
      <c r="C79" s="904" t="s">
        <v>54</v>
      </c>
      <c r="D79" s="336" t="s">
        <v>22</v>
      </c>
      <c r="E79" s="343"/>
      <c r="F79" s="235"/>
      <c r="G79" s="235"/>
      <c r="H79" s="235"/>
      <c r="I79" s="235"/>
      <c r="J79" s="235">
        <v>131034331.93005374</v>
      </c>
      <c r="K79" s="235">
        <v>715028242.23972201</v>
      </c>
      <c r="L79" s="235"/>
      <c r="M79" s="235">
        <v>636092380</v>
      </c>
      <c r="N79" s="235">
        <v>508873903</v>
      </c>
      <c r="O79" s="235"/>
      <c r="P79" s="237">
        <v>127218476</v>
      </c>
      <c r="Q79" s="2"/>
      <c r="R79" s="375"/>
      <c r="S79" s="102" t="s">
        <v>55</v>
      </c>
      <c r="T79" s="443">
        <v>2559811847</v>
      </c>
    </row>
    <row r="80" spans="1:23" ht="15" customHeight="1" thickBot="1">
      <c r="B80" s="902"/>
      <c r="C80" s="905"/>
      <c r="D80" s="335" t="s">
        <v>23</v>
      </c>
      <c r="E80" s="340"/>
      <c r="G80" s="2"/>
      <c r="H80" s="2"/>
      <c r="I80" s="2"/>
      <c r="J80" s="2">
        <v>10000000</v>
      </c>
      <c r="K80" s="2">
        <v>246600000</v>
      </c>
      <c r="L80" s="2"/>
      <c r="M80" s="2">
        <v>357086991.83512032</v>
      </c>
      <c r="N80" s="2">
        <v>267815243.87634021</v>
      </c>
      <c r="O80" s="2">
        <v>178543495.91756016</v>
      </c>
      <c r="P80" s="375">
        <v>89271747.95878008</v>
      </c>
      <c r="Q80" s="2"/>
      <c r="R80" s="375"/>
      <c r="S80" s="102" t="s">
        <v>56</v>
      </c>
      <c r="T80" s="443">
        <v>2400000000</v>
      </c>
    </row>
    <row r="81" spans="1:23" ht="15" customHeight="1" thickBot="1">
      <c r="A81" s="200" t="s">
        <v>54</v>
      </c>
      <c r="B81" s="903"/>
      <c r="C81" s="906"/>
      <c r="D81" s="335" t="s">
        <v>11</v>
      </c>
      <c r="E81" s="344">
        <f t="shared" ref="E81:P81" si="42">+E79-E80</f>
        <v>0</v>
      </c>
      <c r="F81" s="345">
        <f t="shared" si="42"/>
        <v>0</v>
      </c>
      <c r="G81" s="345">
        <f t="shared" si="42"/>
        <v>0</v>
      </c>
      <c r="H81" s="345">
        <f t="shared" si="42"/>
        <v>0</v>
      </c>
      <c r="I81" s="345">
        <f t="shared" si="42"/>
        <v>0</v>
      </c>
      <c r="J81" s="345">
        <f t="shared" si="42"/>
        <v>121034331.93005374</v>
      </c>
      <c r="K81" s="345">
        <f t="shared" si="42"/>
        <v>468428242.23972201</v>
      </c>
      <c r="L81" s="345">
        <f t="shared" si="42"/>
        <v>0</v>
      </c>
      <c r="M81" s="345">
        <f t="shared" si="42"/>
        <v>279005388.16487968</v>
      </c>
      <c r="N81" s="345">
        <f t="shared" si="42"/>
        <v>241058659.12365979</v>
      </c>
      <c r="O81" s="345">
        <f t="shared" si="42"/>
        <v>-178543495.91756016</v>
      </c>
      <c r="P81" s="346">
        <f t="shared" si="42"/>
        <v>37946728.04121992</v>
      </c>
      <c r="Q81" s="2"/>
      <c r="R81" s="375"/>
      <c r="S81" s="2"/>
      <c r="T81" s="50"/>
    </row>
    <row r="82" spans="1:23" ht="15" customHeight="1">
      <c r="B82" s="901" t="s">
        <v>20</v>
      </c>
      <c r="C82" s="904" t="s">
        <v>57</v>
      </c>
      <c r="D82" s="336" t="s">
        <v>22</v>
      </c>
      <c r="E82" s="343"/>
      <c r="F82" s="235"/>
      <c r="G82" s="235"/>
      <c r="H82" s="235"/>
      <c r="I82" s="235"/>
      <c r="J82" s="235"/>
      <c r="K82" s="235"/>
      <c r="L82" s="235"/>
      <c r="M82" s="235"/>
      <c r="N82" s="235"/>
      <c r="O82" s="235"/>
      <c r="P82" s="237"/>
      <c r="Q82" s="235"/>
      <c r="R82" s="237"/>
      <c r="S82" s="2"/>
      <c r="T82" s="2">
        <f>+T79+T80</f>
        <v>4959811847</v>
      </c>
      <c r="U82" s="2">
        <f>+T82-U65</f>
        <v>1100103799</v>
      </c>
    </row>
    <row r="83" spans="1:23" ht="15" customHeight="1" thickBot="1">
      <c r="B83" s="902"/>
      <c r="C83" s="905"/>
      <c r="D83" s="335" t="s">
        <v>23</v>
      </c>
      <c r="E83" s="340"/>
      <c r="G83" s="2"/>
      <c r="H83" s="2"/>
      <c r="I83" s="2"/>
      <c r="J83" s="2"/>
      <c r="K83" s="2">
        <v>30000000</v>
      </c>
      <c r="L83" s="2">
        <f>+K83</f>
        <v>30000000</v>
      </c>
      <c r="M83" s="2">
        <v>68000000</v>
      </c>
      <c r="N83" s="2">
        <f>+M83</f>
        <v>68000000</v>
      </c>
      <c r="O83" s="2">
        <f>+N83</f>
        <v>68000000</v>
      </c>
      <c r="P83" s="375">
        <f>+O83</f>
        <v>68000000</v>
      </c>
      <c r="Q83" s="2"/>
      <c r="R83" s="375"/>
      <c r="S83" s="2"/>
      <c r="T83" s="50"/>
    </row>
    <row r="84" spans="1:23" ht="15" customHeight="1" thickBot="1">
      <c r="A84" s="200" t="s">
        <v>57</v>
      </c>
      <c r="B84" s="903"/>
      <c r="C84" s="906"/>
      <c r="D84" s="335" t="s">
        <v>11</v>
      </c>
      <c r="E84" s="344">
        <f t="shared" ref="E84:P84" si="43">+E82-E83</f>
        <v>0</v>
      </c>
      <c r="F84" s="345">
        <f t="shared" si="43"/>
        <v>0</v>
      </c>
      <c r="G84" s="345">
        <f t="shared" si="43"/>
        <v>0</v>
      </c>
      <c r="H84" s="345">
        <f t="shared" si="43"/>
        <v>0</v>
      </c>
      <c r="I84" s="345">
        <f t="shared" si="43"/>
        <v>0</v>
      </c>
      <c r="J84" s="345">
        <f t="shared" si="43"/>
        <v>0</v>
      </c>
      <c r="K84" s="345">
        <f t="shared" si="43"/>
        <v>-30000000</v>
      </c>
      <c r="L84" s="345">
        <f t="shared" si="43"/>
        <v>-30000000</v>
      </c>
      <c r="M84" s="345">
        <f t="shared" si="43"/>
        <v>-68000000</v>
      </c>
      <c r="N84" s="345">
        <f t="shared" si="43"/>
        <v>-68000000</v>
      </c>
      <c r="O84" s="345">
        <f t="shared" si="43"/>
        <v>-68000000</v>
      </c>
      <c r="P84" s="346">
        <f t="shared" si="43"/>
        <v>-68000000</v>
      </c>
      <c r="Q84" s="345"/>
      <c r="R84" s="346"/>
      <c r="S84" s="2"/>
      <c r="T84" s="50"/>
    </row>
    <row r="85" spans="1:23" ht="15" customHeight="1">
      <c r="R85" s="2"/>
    </row>
    <row r="86" spans="1:23" ht="15" customHeight="1">
      <c r="R86" s="2"/>
      <c r="S86" s="2"/>
      <c r="T86" s="2"/>
      <c r="U86" s="2"/>
      <c r="V86" s="2"/>
      <c r="W86" s="2"/>
    </row>
    <row r="87" spans="1:23" ht="15" customHeight="1" thickBot="1">
      <c r="R87" s="2"/>
    </row>
    <row r="88" spans="1:23" ht="15" customHeight="1" thickBot="1">
      <c r="E88" s="917" t="s">
        <v>58</v>
      </c>
      <c r="F88" s="918"/>
      <c r="G88" s="918"/>
      <c r="H88" s="918"/>
      <c r="I88" s="918"/>
      <c r="J88" s="918"/>
      <c r="K88" s="918"/>
      <c r="L88" s="918"/>
      <c r="M88" s="918"/>
      <c r="N88" s="918"/>
      <c r="O88" s="918"/>
      <c r="P88" s="919"/>
      <c r="R88" s="2"/>
      <c r="S88" s="2"/>
      <c r="T88" s="2"/>
      <c r="U88" s="2"/>
      <c r="V88" s="2"/>
      <c r="W88" s="2"/>
    </row>
    <row r="89" spans="1:23" ht="15" customHeight="1" thickBot="1">
      <c r="E89" s="334">
        <v>45292</v>
      </c>
      <c r="F89" s="334">
        <v>45323</v>
      </c>
      <c r="G89" s="334">
        <v>45352</v>
      </c>
      <c r="H89" s="334">
        <v>45383</v>
      </c>
      <c r="I89" s="334">
        <v>45413</v>
      </c>
      <c r="J89" s="334">
        <v>45444</v>
      </c>
      <c r="K89" s="334">
        <v>45474</v>
      </c>
      <c r="L89" s="334">
        <v>45505</v>
      </c>
      <c r="M89" s="334">
        <v>45536</v>
      </c>
      <c r="N89" s="334">
        <v>45566</v>
      </c>
      <c r="O89" s="334">
        <v>45597</v>
      </c>
      <c r="P89" s="334">
        <v>45627</v>
      </c>
      <c r="Q89" s="334">
        <v>45658</v>
      </c>
    </row>
    <row r="90" spans="1:23" ht="15" customHeight="1" thickBot="1">
      <c r="B90" s="910" t="s">
        <v>11</v>
      </c>
      <c r="C90" s="911"/>
      <c r="D90" s="911"/>
      <c r="E90" s="215">
        <f>+E93+E96+E99+E102+E105+E108+E111+E114</f>
        <v>-40000000</v>
      </c>
      <c r="F90" s="215">
        <f>+F93+F96+F99+F102+F105+F108+F111+F114+F117+F120+F123</f>
        <v>-63752180.43</v>
      </c>
      <c r="G90" s="215">
        <f t="shared" ref="G90:K90" si="44">+G93+G96+G99+G102+G105+G108+G111+G114+G117+G120+G123</f>
        <v>-59464250</v>
      </c>
      <c r="H90" s="215">
        <f t="shared" si="44"/>
        <v>-76921266.616813391</v>
      </c>
      <c r="I90" s="215">
        <f t="shared" si="44"/>
        <v>-335697913.50315177</v>
      </c>
      <c r="J90" s="215">
        <f t="shared" si="44"/>
        <v>0</v>
      </c>
      <c r="K90" s="215">
        <f t="shared" si="44"/>
        <v>-154505205.88235301</v>
      </c>
      <c r="L90" s="215">
        <f t="shared" ref="L90:O90" si="45">+L93+L96+L99+L102+L105+L108+L111+L114+L117+L120+L123+L126+L129</f>
        <v>-41741197.301630184</v>
      </c>
      <c r="M90" s="215">
        <f t="shared" si="45"/>
        <v>-221617000.84146529</v>
      </c>
      <c r="N90" s="215">
        <f>+N93+N96+N99+N102+N105+N108+N111+N114+N117+N120+N123+N126+N129</f>
        <v>-258695497.19042623</v>
      </c>
      <c r="O90" s="215">
        <f t="shared" si="45"/>
        <v>-366758247.22052908</v>
      </c>
      <c r="P90" s="215">
        <f>+P93+P96+P99+P102+P105+P108+P111+P114+P117+P120+P123+P126+P129</f>
        <v>-213195859.178541</v>
      </c>
      <c r="Q90" s="215">
        <f>+Q93+Q96+Q99+Q102+Q105+Q108+Q111+Q114+Q117+Q120+Q123+Q126+Q129</f>
        <v>0</v>
      </c>
    </row>
    <row r="91" spans="1:23" ht="15" customHeight="1">
      <c r="B91" s="901" t="s">
        <v>59</v>
      </c>
      <c r="C91" s="904" t="s">
        <v>60</v>
      </c>
      <c r="D91" s="289" t="s">
        <v>22</v>
      </c>
      <c r="E91" s="2"/>
      <c r="G91" s="2"/>
      <c r="H91" s="2"/>
      <c r="I91" s="2"/>
      <c r="J91" s="2"/>
      <c r="K91" s="2"/>
      <c r="P91" s="295"/>
    </row>
    <row r="92" spans="1:23" ht="15" customHeight="1" thickBot="1">
      <c r="B92" s="902"/>
      <c r="C92" s="905"/>
      <c r="D92" s="292" t="s">
        <v>23</v>
      </c>
      <c r="E92" s="236"/>
      <c r="F92" s="236"/>
      <c r="G92" s="236">
        <v>44000000</v>
      </c>
      <c r="H92" s="236">
        <v>15000000</v>
      </c>
      <c r="I92" s="236">
        <v>20000000</v>
      </c>
      <c r="J92" s="236"/>
      <c r="K92" s="236"/>
      <c r="L92" s="236"/>
      <c r="M92" s="293"/>
      <c r="N92" s="293"/>
      <c r="O92" s="293"/>
      <c r="P92" s="294"/>
    </row>
    <row r="93" spans="1:23" ht="15" customHeight="1" thickBot="1">
      <c r="A93" s="200" t="s">
        <v>60</v>
      </c>
      <c r="B93" s="903"/>
      <c r="C93" s="906"/>
      <c r="D93" s="292" t="s">
        <v>11</v>
      </c>
      <c r="E93" s="236">
        <f t="shared" ref="E93:P93" si="46">+E91-E92</f>
        <v>0</v>
      </c>
      <c r="F93" s="236">
        <f t="shared" si="46"/>
        <v>0</v>
      </c>
      <c r="G93" s="236">
        <f t="shared" si="46"/>
        <v>-44000000</v>
      </c>
      <c r="H93" s="236">
        <f t="shared" si="46"/>
        <v>-15000000</v>
      </c>
      <c r="I93" s="236">
        <f t="shared" si="46"/>
        <v>-20000000</v>
      </c>
      <c r="J93" s="236">
        <f t="shared" si="46"/>
        <v>0</v>
      </c>
      <c r="K93" s="236">
        <f t="shared" si="46"/>
        <v>0</v>
      </c>
      <c r="L93" s="236">
        <f t="shared" si="46"/>
        <v>0</v>
      </c>
      <c r="M93" s="236">
        <f t="shared" si="46"/>
        <v>0</v>
      </c>
      <c r="N93" s="236">
        <f t="shared" si="46"/>
        <v>0</v>
      </c>
      <c r="O93" s="236">
        <f t="shared" si="46"/>
        <v>0</v>
      </c>
      <c r="P93" s="236">
        <f t="shared" si="46"/>
        <v>0</v>
      </c>
    </row>
    <row r="94" spans="1:23" ht="15" customHeight="1">
      <c r="B94" s="901" t="s">
        <v>59</v>
      </c>
      <c r="C94" s="904" t="s">
        <v>61</v>
      </c>
      <c r="D94" s="289" t="s">
        <v>22</v>
      </c>
      <c r="E94" s="235"/>
      <c r="G94" s="2"/>
      <c r="H94" s="2"/>
      <c r="I94" s="2"/>
      <c r="J94" s="2"/>
      <c r="K94" s="2"/>
      <c r="L94" s="290"/>
      <c r="M94" s="290"/>
      <c r="N94" s="290"/>
      <c r="O94" s="290"/>
      <c r="P94" s="291"/>
    </row>
    <row r="95" spans="1:23" ht="15" customHeight="1" thickBot="1">
      <c r="B95" s="902"/>
      <c r="C95" s="905"/>
      <c r="D95" s="292" t="s">
        <v>23</v>
      </c>
      <c r="E95" s="2">
        <v>10000000</v>
      </c>
      <c r="F95" s="2">
        <v>20000000</v>
      </c>
      <c r="G95" s="2">
        <v>8000000</v>
      </c>
      <c r="H95" s="2">
        <v>3000000</v>
      </c>
      <c r="I95" s="2"/>
      <c r="J95" s="2"/>
      <c r="K95" s="2"/>
      <c r="P95" s="295"/>
    </row>
    <row r="96" spans="1:23" ht="15" customHeight="1" thickBot="1">
      <c r="A96" s="200" t="s">
        <v>61</v>
      </c>
      <c r="B96" s="903"/>
      <c r="C96" s="906"/>
      <c r="D96" s="335" t="s">
        <v>11</v>
      </c>
      <c r="E96" s="91">
        <f t="shared" ref="E96:P96" si="47">+E94-E95</f>
        <v>-10000000</v>
      </c>
      <c r="F96" s="91">
        <f t="shared" si="47"/>
        <v>-20000000</v>
      </c>
      <c r="G96" s="91">
        <f t="shared" si="47"/>
        <v>-8000000</v>
      </c>
      <c r="H96" s="91">
        <f t="shared" si="47"/>
        <v>-3000000</v>
      </c>
      <c r="I96" s="91">
        <f t="shared" si="47"/>
        <v>0</v>
      </c>
      <c r="J96" s="91">
        <f t="shared" si="47"/>
        <v>0</v>
      </c>
      <c r="K96" s="91">
        <f t="shared" si="47"/>
        <v>0</v>
      </c>
      <c r="L96" s="91">
        <f t="shared" si="47"/>
        <v>0</v>
      </c>
      <c r="M96" s="91">
        <f t="shared" si="47"/>
        <v>0</v>
      </c>
      <c r="N96" s="91">
        <f t="shared" si="47"/>
        <v>0</v>
      </c>
      <c r="O96" s="91">
        <f t="shared" si="47"/>
        <v>0</v>
      </c>
      <c r="P96" s="91">
        <f t="shared" si="47"/>
        <v>0</v>
      </c>
    </row>
    <row r="97" spans="1:17" ht="15" customHeight="1">
      <c r="B97" s="901" t="s">
        <v>59</v>
      </c>
      <c r="C97" s="904" t="s">
        <v>62</v>
      </c>
      <c r="D97" s="289" t="s">
        <v>22</v>
      </c>
      <c r="E97" s="2"/>
      <c r="G97" s="2"/>
      <c r="H97" s="2"/>
      <c r="I97" s="2"/>
      <c r="J97" s="2"/>
      <c r="K97" s="2"/>
      <c r="P97" s="295"/>
    </row>
    <row r="98" spans="1:17" ht="15" customHeight="1" thickBot="1">
      <c r="B98" s="902"/>
      <c r="C98" s="905"/>
      <c r="D98" s="292" t="s">
        <v>23</v>
      </c>
      <c r="E98" s="2">
        <v>30000000</v>
      </c>
      <c r="F98" s="2">
        <f>29817608.68+13934571.75</f>
        <v>43752180.43</v>
      </c>
      <c r="G98" s="2">
        <v>7464250</v>
      </c>
      <c r="H98" s="2"/>
      <c r="I98" s="2">
        <v>5000000</v>
      </c>
      <c r="J98" s="2"/>
      <c r="K98" s="2"/>
      <c r="P98" s="295"/>
    </row>
    <row r="99" spans="1:17" ht="15" customHeight="1" thickBot="1">
      <c r="A99" s="92" t="s">
        <v>63</v>
      </c>
      <c r="B99" s="903"/>
      <c r="C99" s="906"/>
      <c r="D99" s="335" t="s">
        <v>11</v>
      </c>
      <c r="E99" s="91">
        <f t="shared" ref="E99:P99" si="48">+E97-E98</f>
        <v>-30000000</v>
      </c>
      <c r="F99" s="91">
        <f t="shared" si="48"/>
        <v>-43752180.43</v>
      </c>
      <c r="G99" s="91">
        <f t="shared" si="48"/>
        <v>-7464250</v>
      </c>
      <c r="H99" s="91">
        <f t="shared" si="48"/>
        <v>0</v>
      </c>
      <c r="I99" s="91">
        <f t="shared" si="48"/>
        <v>-5000000</v>
      </c>
      <c r="J99" s="91">
        <f t="shared" si="48"/>
        <v>0</v>
      </c>
      <c r="K99" s="91">
        <f t="shared" si="48"/>
        <v>0</v>
      </c>
      <c r="L99" s="91">
        <f t="shared" si="48"/>
        <v>0</v>
      </c>
      <c r="M99" s="91">
        <f t="shared" si="48"/>
        <v>0</v>
      </c>
      <c r="N99" s="91">
        <f t="shared" si="48"/>
        <v>0</v>
      </c>
      <c r="O99" s="91">
        <f t="shared" si="48"/>
        <v>0</v>
      </c>
      <c r="P99" s="91">
        <f t="shared" si="48"/>
        <v>0</v>
      </c>
    </row>
    <row r="100" spans="1:17" ht="15" customHeight="1">
      <c r="B100" s="901" t="s">
        <v>59</v>
      </c>
      <c r="C100" s="904" t="s">
        <v>64</v>
      </c>
      <c r="D100" s="289" t="s">
        <v>22</v>
      </c>
      <c r="E100" s="2"/>
      <c r="G100" s="2"/>
      <c r="H100" s="2"/>
      <c r="I100" s="2"/>
      <c r="J100" s="2"/>
      <c r="K100" s="2"/>
      <c r="P100" s="295"/>
    </row>
    <row r="101" spans="1:17" ht="15" customHeight="1" thickBot="1">
      <c r="B101" s="902"/>
      <c r="C101" s="905"/>
      <c r="D101" s="292" t="s">
        <v>23</v>
      </c>
      <c r="E101" s="2"/>
      <c r="G101" s="2"/>
      <c r="H101" s="2">
        <f>23934571.751281+17327707.0095908-25000000</f>
        <v>16262278.760871798</v>
      </c>
      <c r="I101" s="2">
        <f>7464250+25000000</f>
        <v>32464250</v>
      </c>
      <c r="J101" s="2"/>
      <c r="K101" s="2"/>
      <c r="P101" s="295"/>
    </row>
    <row r="102" spans="1:17" ht="15" customHeight="1" thickBot="1">
      <c r="A102" s="81" t="s">
        <v>65</v>
      </c>
      <c r="B102" s="920"/>
      <c r="C102" s="906"/>
      <c r="D102" s="335" t="s">
        <v>11</v>
      </c>
      <c r="E102" s="91">
        <f t="shared" ref="E102:P102" si="49">+E100-E101</f>
        <v>0</v>
      </c>
      <c r="F102" s="91">
        <f t="shared" si="49"/>
        <v>0</v>
      </c>
      <c r="G102" s="91">
        <f t="shared" si="49"/>
        <v>0</v>
      </c>
      <c r="H102" s="91">
        <f t="shared" si="49"/>
        <v>-16262278.760871798</v>
      </c>
      <c r="I102" s="91">
        <f t="shared" si="49"/>
        <v>-32464250</v>
      </c>
      <c r="J102" s="91">
        <f t="shared" si="49"/>
        <v>0</v>
      </c>
      <c r="K102" s="91">
        <f t="shared" si="49"/>
        <v>0</v>
      </c>
      <c r="L102" s="91">
        <f t="shared" si="49"/>
        <v>0</v>
      </c>
      <c r="M102" s="91">
        <f t="shared" si="49"/>
        <v>0</v>
      </c>
      <c r="N102" s="91">
        <f t="shared" si="49"/>
        <v>0</v>
      </c>
      <c r="O102" s="91">
        <f t="shared" si="49"/>
        <v>0</v>
      </c>
      <c r="P102" s="91">
        <f t="shared" si="49"/>
        <v>0</v>
      </c>
    </row>
    <row r="103" spans="1:17" ht="15" customHeight="1">
      <c r="B103" s="901" t="s">
        <v>59</v>
      </c>
      <c r="C103" s="904" t="s">
        <v>66</v>
      </c>
      <c r="D103" s="289" t="s">
        <v>22</v>
      </c>
      <c r="E103" s="2"/>
      <c r="G103" s="2"/>
      <c r="H103" s="2"/>
      <c r="I103" s="2"/>
      <c r="J103" s="2"/>
      <c r="K103" s="2"/>
      <c r="P103" s="295"/>
    </row>
    <row r="104" spans="1:17" ht="15" customHeight="1" thickBot="1">
      <c r="B104" s="902"/>
      <c r="C104" s="905"/>
      <c r="D104" s="292" t="s">
        <v>23</v>
      </c>
      <c r="E104" s="2"/>
      <c r="G104" s="2"/>
      <c r="H104" s="2">
        <f>42921808.3411086+239737179.514833-240000000</f>
        <v>42658987.855941594</v>
      </c>
      <c r="I104" s="2">
        <f>38233663.5031518+240000000</f>
        <v>278233663.50315177</v>
      </c>
      <c r="J104" s="2"/>
      <c r="K104" s="2"/>
      <c r="L104" s="2"/>
      <c r="M104" s="2">
        <v>20000000</v>
      </c>
      <c r="P104" s="295"/>
    </row>
    <row r="105" spans="1:17" ht="15" customHeight="1" thickBot="1">
      <c r="A105" s="81" t="s">
        <v>67</v>
      </c>
      <c r="B105" s="920"/>
      <c r="C105" s="906"/>
      <c r="D105" s="335" t="s">
        <v>11</v>
      </c>
      <c r="E105" s="91">
        <f t="shared" ref="E105:P105" si="50">+E103-E104</f>
        <v>0</v>
      </c>
      <c r="F105" s="91">
        <f t="shared" si="50"/>
        <v>0</v>
      </c>
      <c r="G105" s="91">
        <f t="shared" si="50"/>
        <v>0</v>
      </c>
      <c r="H105" s="91">
        <f t="shared" si="50"/>
        <v>-42658987.855941594</v>
      </c>
      <c r="I105" s="91">
        <f t="shared" si="50"/>
        <v>-278233663.50315177</v>
      </c>
      <c r="J105" s="91">
        <f t="shared" si="50"/>
        <v>0</v>
      </c>
      <c r="K105" s="91">
        <f t="shared" si="50"/>
        <v>0</v>
      </c>
      <c r="L105" s="91">
        <f t="shared" si="50"/>
        <v>0</v>
      </c>
      <c r="M105" s="91">
        <f t="shared" si="50"/>
        <v>-20000000</v>
      </c>
      <c r="N105" s="91">
        <f t="shared" si="50"/>
        <v>0</v>
      </c>
      <c r="O105" s="91">
        <f t="shared" si="50"/>
        <v>0</v>
      </c>
      <c r="P105" s="91">
        <f t="shared" si="50"/>
        <v>0</v>
      </c>
    </row>
    <row r="106" spans="1:17" ht="15" customHeight="1">
      <c r="B106" s="901" t="s">
        <v>59</v>
      </c>
      <c r="C106" s="904" t="s">
        <v>68</v>
      </c>
      <c r="D106" s="289" t="s">
        <v>22</v>
      </c>
      <c r="E106" s="2"/>
      <c r="G106" s="2"/>
      <c r="H106" s="2"/>
      <c r="I106" s="2"/>
      <c r="J106" s="2"/>
      <c r="K106" s="2"/>
      <c r="L106" s="2"/>
      <c r="M106" s="2"/>
      <c r="P106" s="295"/>
    </row>
    <row r="107" spans="1:17" ht="15" customHeight="1" thickBot="1">
      <c r="B107" s="902"/>
      <c r="C107" s="905"/>
      <c r="D107" s="292" t="s">
        <v>23</v>
      </c>
      <c r="E107" s="2"/>
      <c r="G107" s="2"/>
      <c r="H107" s="2"/>
      <c r="I107" s="2"/>
      <c r="J107" s="2"/>
      <c r="K107" s="2">
        <v>154505205.88235301</v>
      </c>
      <c r="L107" s="2"/>
      <c r="M107" s="2">
        <v>129171258.08226</v>
      </c>
      <c r="P107" s="295"/>
    </row>
    <row r="108" spans="1:17" ht="15" customHeight="1" thickBot="1">
      <c r="A108" s="92" t="s">
        <v>69</v>
      </c>
      <c r="B108" s="903"/>
      <c r="C108" s="906"/>
      <c r="D108" s="335" t="s">
        <v>11</v>
      </c>
      <c r="E108" s="91">
        <f t="shared" ref="E108:P108" si="51">+E106-E107</f>
        <v>0</v>
      </c>
      <c r="F108" s="91">
        <f t="shared" si="51"/>
        <v>0</v>
      </c>
      <c r="G108" s="91">
        <f t="shared" si="51"/>
        <v>0</v>
      </c>
      <c r="H108" s="91">
        <f t="shared" si="51"/>
        <v>0</v>
      </c>
      <c r="I108" s="91">
        <f t="shared" si="51"/>
        <v>0</v>
      </c>
      <c r="J108" s="91">
        <f t="shared" si="51"/>
        <v>0</v>
      </c>
      <c r="K108" s="91">
        <f t="shared" si="51"/>
        <v>-154505205.88235301</v>
      </c>
      <c r="L108" s="91">
        <f t="shared" si="51"/>
        <v>0</v>
      </c>
      <c r="M108" s="91">
        <f t="shared" si="51"/>
        <v>-129171258.08226</v>
      </c>
      <c r="N108" s="91">
        <f t="shared" si="51"/>
        <v>0</v>
      </c>
      <c r="O108" s="91">
        <f t="shared" si="51"/>
        <v>0</v>
      </c>
      <c r="P108" s="91">
        <f t="shared" si="51"/>
        <v>0</v>
      </c>
    </row>
    <row r="109" spans="1:17" ht="15" customHeight="1">
      <c r="B109" s="901" t="s">
        <v>59</v>
      </c>
      <c r="C109" s="904" t="s">
        <v>70</v>
      </c>
      <c r="D109" s="289" t="s">
        <v>22</v>
      </c>
      <c r="E109" s="2"/>
      <c r="G109" s="2"/>
      <c r="H109" s="2"/>
      <c r="I109" s="2"/>
      <c r="J109" s="2"/>
      <c r="K109" s="2"/>
      <c r="P109" s="295"/>
    </row>
    <row r="110" spans="1:17" ht="15" customHeight="1" thickBot="1">
      <c r="B110" s="902"/>
      <c r="C110" s="905"/>
      <c r="D110" s="292" t="s">
        <v>23</v>
      </c>
      <c r="E110" s="2"/>
      <c r="G110" s="2"/>
      <c r="H110" s="2"/>
      <c r="I110" s="2"/>
      <c r="J110" s="2"/>
      <c r="K110" s="2"/>
      <c r="M110" s="2"/>
      <c r="N110" s="2"/>
      <c r="O110" s="2">
        <v>88089057.634288833</v>
      </c>
      <c r="P110" s="375">
        <v>71219429.7594309</v>
      </c>
      <c r="Q110" s="2"/>
    </row>
    <row r="111" spans="1:17" ht="15" customHeight="1" thickBot="1">
      <c r="A111" s="130" t="s">
        <v>71</v>
      </c>
      <c r="B111" s="903"/>
      <c r="C111" s="906"/>
      <c r="D111" s="335" t="s">
        <v>11</v>
      </c>
      <c r="E111" s="91">
        <f t="shared" ref="E111:P111" si="52">+E109-E110</f>
        <v>0</v>
      </c>
      <c r="F111" s="91">
        <f t="shared" si="52"/>
        <v>0</v>
      </c>
      <c r="G111" s="91">
        <f t="shared" si="52"/>
        <v>0</v>
      </c>
      <c r="H111" s="91">
        <f t="shared" si="52"/>
        <v>0</v>
      </c>
      <c r="I111" s="91">
        <f>+I109-I110</f>
        <v>0</v>
      </c>
      <c r="J111" s="91">
        <f>+J109-J110</f>
        <v>0</v>
      </c>
      <c r="K111" s="91">
        <f>+K109-K110</f>
        <v>0</v>
      </c>
      <c r="L111" s="91">
        <f t="shared" si="52"/>
        <v>0</v>
      </c>
      <c r="M111" s="91">
        <f>+M109-M110</f>
        <v>0</v>
      </c>
      <c r="N111" s="91">
        <f>+N109-N110</f>
        <v>0</v>
      </c>
      <c r="O111" s="91">
        <f>+O109-O110</f>
        <v>-88089057.634288833</v>
      </c>
      <c r="P111" s="91">
        <f t="shared" si="52"/>
        <v>-71219429.7594309</v>
      </c>
    </row>
    <row r="112" spans="1:17" ht="15" customHeight="1">
      <c r="B112" s="901" t="s">
        <v>72</v>
      </c>
      <c r="C112" s="904" t="s">
        <v>73</v>
      </c>
      <c r="D112" s="289" t="s">
        <v>22</v>
      </c>
      <c r="E112" s="2"/>
      <c r="G112" s="2"/>
      <c r="H112" s="2"/>
      <c r="I112" s="2"/>
      <c r="J112" s="2"/>
      <c r="K112" s="2"/>
      <c r="P112" s="295"/>
    </row>
    <row r="113" spans="1:18" ht="15" customHeight="1" thickBot="1">
      <c r="B113" s="902"/>
      <c r="C113" s="905"/>
      <c r="D113" s="292" t="s">
        <v>23</v>
      </c>
      <c r="E113" s="2"/>
      <c r="G113" s="2"/>
      <c r="H113" s="2"/>
      <c r="I113" s="2"/>
      <c r="J113" s="2"/>
      <c r="K113" s="2"/>
      <c r="N113" s="2"/>
      <c r="O113" s="2"/>
      <c r="P113" s="375"/>
    </row>
    <row r="114" spans="1:18" ht="15" customHeight="1" thickBot="1">
      <c r="A114" s="130" t="s">
        <v>74</v>
      </c>
      <c r="B114" s="903"/>
      <c r="C114" s="906"/>
      <c r="D114" s="335" t="s">
        <v>11</v>
      </c>
      <c r="E114" s="91">
        <f t="shared" ref="E114:P114" si="53">+E112-E113</f>
        <v>0</v>
      </c>
      <c r="F114" s="91">
        <f t="shared" si="53"/>
        <v>0</v>
      </c>
      <c r="G114" s="91">
        <f t="shared" si="53"/>
        <v>0</v>
      </c>
      <c r="H114" s="91">
        <f t="shared" si="53"/>
        <v>0</v>
      </c>
      <c r="I114" s="91">
        <f t="shared" si="53"/>
        <v>0</v>
      </c>
      <c r="J114" s="91">
        <f>+J112-J113</f>
        <v>0</v>
      </c>
      <c r="K114" s="91">
        <f t="shared" si="53"/>
        <v>0</v>
      </c>
      <c r="L114" s="91">
        <f t="shared" si="53"/>
        <v>0</v>
      </c>
      <c r="M114" s="91">
        <f t="shared" si="53"/>
        <v>0</v>
      </c>
      <c r="N114" s="91">
        <f t="shared" si="53"/>
        <v>0</v>
      </c>
      <c r="O114" s="91">
        <f>+O112-O113</f>
        <v>0</v>
      </c>
      <c r="P114" s="91">
        <f t="shared" si="53"/>
        <v>0</v>
      </c>
    </row>
    <row r="115" spans="1:18" ht="15" customHeight="1">
      <c r="B115" s="901" t="s">
        <v>59</v>
      </c>
      <c r="C115" s="904" t="s">
        <v>75</v>
      </c>
      <c r="D115" s="289" t="s">
        <v>22</v>
      </c>
      <c r="E115" s="2"/>
      <c r="G115" s="2"/>
      <c r="H115" s="2"/>
      <c r="I115" s="2"/>
      <c r="J115" s="2"/>
      <c r="K115" s="2"/>
      <c r="P115" s="295"/>
    </row>
    <row r="116" spans="1:18" ht="15" customHeight="1" thickBot="1">
      <c r="B116" s="902"/>
      <c r="C116" s="905"/>
      <c r="D116" s="292" t="s">
        <v>23</v>
      </c>
      <c r="E116" s="2"/>
      <c r="G116" s="2"/>
      <c r="H116" s="2"/>
      <c r="I116" s="2"/>
      <c r="J116" s="2"/>
      <c r="K116" s="2"/>
      <c r="L116" s="2"/>
      <c r="N116" s="2">
        <v>75064255.420961276</v>
      </c>
      <c r="O116" s="2">
        <v>56298191.565720953</v>
      </c>
      <c r="P116" s="2">
        <v>37532127.710480638</v>
      </c>
      <c r="Q116" s="375">
        <v>18766063.855240319</v>
      </c>
    </row>
    <row r="117" spans="1:18" ht="15" customHeight="1" thickBot="1">
      <c r="A117" s="92" t="s">
        <v>76</v>
      </c>
      <c r="B117" s="903"/>
      <c r="C117" s="906"/>
      <c r="D117" s="335" t="s">
        <v>11</v>
      </c>
      <c r="E117" s="91">
        <f t="shared" ref="E117:P117" si="54">+E115-E116</f>
        <v>0</v>
      </c>
      <c r="F117" s="91">
        <f t="shared" si="54"/>
        <v>0</v>
      </c>
      <c r="G117" s="91">
        <f t="shared" si="54"/>
        <v>0</v>
      </c>
      <c r="H117" s="91">
        <f t="shared" si="54"/>
        <v>0</v>
      </c>
      <c r="I117" s="91">
        <f t="shared" si="54"/>
        <v>0</v>
      </c>
      <c r="J117" s="91">
        <f t="shared" si="54"/>
        <v>0</v>
      </c>
      <c r="K117" s="91">
        <f t="shared" si="54"/>
        <v>0</v>
      </c>
      <c r="L117" s="91">
        <f t="shared" si="54"/>
        <v>0</v>
      </c>
      <c r="M117" s="91">
        <f t="shared" si="54"/>
        <v>0</v>
      </c>
      <c r="N117" s="91">
        <f t="shared" si="54"/>
        <v>-75064255.420961276</v>
      </c>
      <c r="O117" s="91">
        <f t="shared" si="54"/>
        <v>-56298191.565720953</v>
      </c>
      <c r="P117" s="91">
        <f t="shared" si="54"/>
        <v>-37532127.710480638</v>
      </c>
    </row>
    <row r="118" spans="1:18" ht="15" customHeight="1">
      <c r="B118" s="901" t="s">
        <v>59</v>
      </c>
      <c r="C118" s="904" t="s">
        <v>77</v>
      </c>
      <c r="D118" s="289" t="s">
        <v>22</v>
      </c>
      <c r="E118" s="2"/>
      <c r="G118" s="2"/>
      <c r="H118" s="2"/>
      <c r="I118" s="2"/>
      <c r="J118" s="2"/>
      <c r="K118" s="2"/>
      <c r="P118" s="295"/>
    </row>
    <row r="119" spans="1:18" ht="15" customHeight="1" thickBot="1">
      <c r="B119" s="902"/>
      <c r="C119" s="905"/>
      <c r="D119" s="292" t="s">
        <v>23</v>
      </c>
      <c r="E119" s="2"/>
      <c r="G119" s="2"/>
      <c r="H119" s="2"/>
      <c r="I119" s="2"/>
      <c r="J119" s="2"/>
      <c r="K119" s="2"/>
      <c r="L119" s="2">
        <v>35000000</v>
      </c>
      <c r="M119" s="2"/>
      <c r="N119" s="2"/>
      <c r="O119" s="2"/>
      <c r="P119" s="295"/>
    </row>
    <row r="120" spans="1:18" ht="15" customHeight="1" thickBot="1">
      <c r="A120" s="130" t="s">
        <v>77</v>
      </c>
      <c r="B120" s="903"/>
      <c r="C120" s="906"/>
      <c r="D120" s="335" t="s">
        <v>11</v>
      </c>
      <c r="E120" s="91">
        <f t="shared" ref="E120:P120" si="55">+E118-E119</f>
        <v>0</v>
      </c>
      <c r="F120" s="91">
        <f t="shared" si="55"/>
        <v>0</v>
      </c>
      <c r="G120" s="91">
        <f t="shared" si="55"/>
        <v>0</v>
      </c>
      <c r="H120" s="91">
        <f t="shared" si="55"/>
        <v>0</v>
      </c>
      <c r="I120" s="91">
        <f t="shared" si="55"/>
        <v>0</v>
      </c>
      <c r="J120" s="91">
        <f t="shared" si="55"/>
        <v>0</v>
      </c>
      <c r="K120" s="91">
        <f t="shared" si="55"/>
        <v>0</v>
      </c>
      <c r="L120" s="91">
        <f t="shared" si="55"/>
        <v>-35000000</v>
      </c>
      <c r="M120" s="91">
        <f t="shared" si="55"/>
        <v>0</v>
      </c>
      <c r="N120" s="91">
        <f t="shared" si="55"/>
        <v>0</v>
      </c>
      <c r="O120" s="91">
        <f t="shared" si="55"/>
        <v>0</v>
      </c>
      <c r="P120" s="91">
        <f t="shared" si="55"/>
        <v>0</v>
      </c>
    </row>
    <row r="121" spans="1:18" ht="15" customHeight="1">
      <c r="B121" s="901" t="s">
        <v>59</v>
      </c>
      <c r="C121" s="904" t="s">
        <v>78</v>
      </c>
      <c r="D121" s="289" t="s">
        <v>22</v>
      </c>
      <c r="E121" s="2"/>
      <c r="G121" s="2"/>
      <c r="H121" s="2"/>
      <c r="I121" s="2"/>
      <c r="J121" s="2"/>
      <c r="K121" s="2"/>
      <c r="P121" s="295"/>
    </row>
    <row r="122" spans="1:18" ht="15" customHeight="1" thickBot="1">
      <c r="B122" s="902"/>
      <c r="C122" s="905"/>
      <c r="D122" s="292" t="s">
        <v>23</v>
      </c>
      <c r="E122" s="2"/>
      <c r="G122" s="2"/>
      <c r="H122" s="2"/>
      <c r="I122" s="2"/>
      <c r="J122" s="2"/>
      <c r="K122" s="2"/>
      <c r="L122" s="2"/>
      <c r="M122" s="2">
        <v>34393536.015460819</v>
      </c>
      <c r="N122" s="2">
        <v>103180608.04638246</v>
      </c>
      <c r="O122" s="2">
        <v>137574144.06184328</v>
      </c>
      <c r="P122" s="375">
        <v>68787072.030921638</v>
      </c>
      <c r="Q122" s="2"/>
    </row>
    <row r="123" spans="1:18" ht="15" customHeight="1" thickBot="1">
      <c r="A123" s="130" t="s">
        <v>78</v>
      </c>
      <c r="B123" s="903"/>
      <c r="C123" s="906"/>
      <c r="D123" s="335" t="s">
        <v>11</v>
      </c>
      <c r="E123" s="91">
        <f t="shared" ref="E123:P123" si="56">+E121-E122</f>
        <v>0</v>
      </c>
      <c r="F123" s="91">
        <f t="shared" si="56"/>
        <v>0</v>
      </c>
      <c r="G123" s="91">
        <f t="shared" si="56"/>
        <v>0</v>
      </c>
      <c r="H123" s="91">
        <f t="shared" si="56"/>
        <v>0</v>
      </c>
      <c r="I123" s="91">
        <f t="shared" si="56"/>
        <v>0</v>
      </c>
      <c r="J123" s="91">
        <f t="shared" si="56"/>
        <v>0</v>
      </c>
      <c r="K123" s="91">
        <f t="shared" si="56"/>
        <v>0</v>
      </c>
      <c r="L123" s="91">
        <f t="shared" si="56"/>
        <v>0</v>
      </c>
      <c r="M123" s="91">
        <f t="shared" si="56"/>
        <v>-34393536.015460819</v>
      </c>
      <c r="N123" s="91">
        <f t="shared" si="56"/>
        <v>-103180608.04638246</v>
      </c>
      <c r="O123" s="91">
        <f t="shared" si="56"/>
        <v>-137574144.06184328</v>
      </c>
      <c r="P123" s="91">
        <f t="shared" si="56"/>
        <v>-68787072.030921638</v>
      </c>
    </row>
    <row r="124" spans="1:18" ht="15" customHeight="1">
      <c r="B124" s="901" t="s">
        <v>59</v>
      </c>
      <c r="C124" s="904" t="s">
        <v>79</v>
      </c>
      <c r="D124" s="289" t="s">
        <v>22</v>
      </c>
      <c r="E124" s="2"/>
      <c r="G124" s="2"/>
      <c r="H124" s="2"/>
      <c r="I124" s="2"/>
      <c r="J124" s="2"/>
      <c r="K124" s="2"/>
      <c r="P124" s="295"/>
    </row>
    <row r="125" spans="1:18" ht="15" customHeight="1" thickBot="1">
      <c r="B125" s="902"/>
      <c r="C125" s="905"/>
      <c r="D125" s="292" t="s">
        <v>23</v>
      </c>
      <c r="E125" s="2"/>
      <c r="G125" s="2"/>
      <c r="H125" s="2"/>
      <c r="I125" s="2"/>
      <c r="J125" s="2"/>
      <c r="K125" s="2"/>
      <c r="L125" s="2">
        <v>6741197.3016301803</v>
      </c>
      <c r="M125" s="2">
        <v>20223591.904890537</v>
      </c>
      <c r="N125" s="2">
        <v>26964789.206520721</v>
      </c>
      <c r="O125" s="2">
        <v>13482394.603260353</v>
      </c>
      <c r="P125" s="295"/>
    </row>
    <row r="126" spans="1:18" ht="15" customHeight="1" thickBot="1">
      <c r="A126" s="130" t="s">
        <v>80</v>
      </c>
      <c r="B126" s="903"/>
      <c r="C126" s="906"/>
      <c r="D126" s="335" t="s">
        <v>11</v>
      </c>
      <c r="E126" s="91">
        <f t="shared" ref="E126:P126" si="57">+E124-E125</f>
        <v>0</v>
      </c>
      <c r="F126" s="91">
        <f t="shared" si="57"/>
        <v>0</v>
      </c>
      <c r="G126" s="91">
        <f t="shared" si="57"/>
        <v>0</v>
      </c>
      <c r="H126" s="91">
        <f t="shared" si="57"/>
        <v>0</v>
      </c>
      <c r="I126" s="91">
        <f t="shared" si="57"/>
        <v>0</v>
      </c>
      <c r="J126" s="91">
        <f t="shared" si="57"/>
        <v>0</v>
      </c>
      <c r="K126" s="91">
        <f t="shared" si="57"/>
        <v>0</v>
      </c>
      <c r="L126" s="91">
        <f t="shared" si="57"/>
        <v>-6741197.3016301803</v>
      </c>
      <c r="M126" s="91">
        <f t="shared" si="57"/>
        <v>-20223591.904890537</v>
      </c>
      <c r="N126" s="91">
        <f t="shared" si="57"/>
        <v>-26964789.206520721</v>
      </c>
      <c r="O126" s="91">
        <f t="shared" si="57"/>
        <v>-13482394.603260353</v>
      </c>
      <c r="P126" s="91">
        <f t="shared" si="57"/>
        <v>0</v>
      </c>
      <c r="R126" s="2"/>
    </row>
    <row r="127" spans="1:18" ht="15" customHeight="1">
      <c r="B127" s="901" t="s">
        <v>59</v>
      </c>
      <c r="C127" s="904" t="s">
        <v>81</v>
      </c>
      <c r="D127" s="289" t="s">
        <v>22</v>
      </c>
      <c r="E127" s="2"/>
      <c r="G127" s="2"/>
      <c r="H127" s="2"/>
      <c r="I127" s="2"/>
      <c r="J127" s="2"/>
      <c r="K127" s="2"/>
      <c r="P127" s="295"/>
    </row>
    <row r="128" spans="1:18" ht="15" customHeight="1" thickBot="1">
      <c r="B128" s="902"/>
      <c r="C128" s="905"/>
      <c r="D128" s="292" t="s">
        <v>23</v>
      </c>
      <c r="E128" s="2"/>
      <c r="G128" s="2"/>
      <c r="H128" s="2"/>
      <c r="I128" s="2"/>
      <c r="J128" s="2"/>
      <c r="K128" s="2"/>
      <c r="L128" s="2"/>
      <c r="M128" s="2">
        <v>17828614.838853911</v>
      </c>
      <c r="N128" s="2">
        <v>53485844.516561732</v>
      </c>
      <c r="O128" s="2">
        <v>71314459.355415642</v>
      </c>
      <c r="P128" s="375">
        <v>35657229.677707821</v>
      </c>
    </row>
    <row r="129" spans="1:17" ht="15" customHeight="1" thickBot="1">
      <c r="A129" s="130" t="s">
        <v>81</v>
      </c>
      <c r="B129" s="903"/>
      <c r="C129" s="906"/>
      <c r="D129" s="335" t="s">
        <v>11</v>
      </c>
      <c r="E129" s="91">
        <f t="shared" ref="E129:P129" si="58">+E127-E128</f>
        <v>0</v>
      </c>
      <c r="F129" s="91">
        <f t="shared" si="58"/>
        <v>0</v>
      </c>
      <c r="G129" s="91">
        <f t="shared" si="58"/>
        <v>0</v>
      </c>
      <c r="H129" s="91">
        <f t="shared" si="58"/>
        <v>0</v>
      </c>
      <c r="I129" s="91">
        <f t="shared" si="58"/>
        <v>0</v>
      </c>
      <c r="J129" s="91">
        <f t="shared" si="58"/>
        <v>0</v>
      </c>
      <c r="K129" s="91">
        <f t="shared" si="58"/>
        <v>0</v>
      </c>
      <c r="L129" s="91">
        <f t="shared" si="58"/>
        <v>0</v>
      </c>
      <c r="M129" s="91">
        <f t="shared" si="58"/>
        <v>-17828614.838853911</v>
      </c>
      <c r="N129" s="91">
        <f t="shared" si="58"/>
        <v>-53485844.516561732</v>
      </c>
      <c r="O129" s="91">
        <f t="shared" si="58"/>
        <v>-71314459.355415642</v>
      </c>
      <c r="P129" s="91">
        <f t="shared" si="58"/>
        <v>-35657229.677707821</v>
      </c>
      <c r="Q129" s="2"/>
    </row>
    <row r="130" spans="1:17" ht="15" customHeight="1">
      <c r="A130" s="58"/>
      <c r="B130" s="435"/>
      <c r="C130" s="436"/>
      <c r="D130" s="69"/>
      <c r="E130" s="2"/>
      <c r="G130" s="2"/>
      <c r="H130" s="2"/>
      <c r="I130" s="2"/>
      <c r="J130" s="2"/>
      <c r="K130" s="2"/>
      <c r="L130" s="2"/>
      <c r="M130" s="2"/>
      <c r="N130" s="2"/>
      <c r="O130" s="2"/>
      <c r="P130" s="2"/>
    </row>
    <row r="131" spans="1:17" ht="15" customHeight="1">
      <c r="A131" s="58"/>
      <c r="B131" s="435"/>
      <c r="C131" s="436"/>
      <c r="D131" s="69"/>
      <c r="E131" s="2"/>
      <c r="G131" s="2"/>
      <c r="H131" s="2"/>
      <c r="I131" s="2"/>
      <c r="J131" s="2"/>
      <c r="K131" s="2"/>
      <c r="L131" s="2"/>
      <c r="M131" s="2"/>
      <c r="N131" s="2"/>
      <c r="O131" s="2"/>
      <c r="P131" s="2"/>
    </row>
    <row r="132" spans="1:17" ht="15" customHeight="1">
      <c r="H132" s="2"/>
      <c r="I132" s="50"/>
      <c r="J132" s="50"/>
      <c r="K132" s="50"/>
    </row>
    <row r="133" spans="1:17" s="111" customFormat="1" ht="15" customHeight="1">
      <c r="F133" s="139"/>
    </row>
    <row r="134" spans="1:17" s="111" customFormat="1" ht="15" customHeight="1">
      <c r="F134" s="139"/>
    </row>
    <row r="135" spans="1:17" s="111" customFormat="1" ht="15" customHeight="1">
      <c r="F135" s="139"/>
    </row>
    <row r="136" spans="1:17" ht="15" customHeight="1" thickBot="1"/>
    <row r="137" spans="1:17" ht="15" customHeight="1" thickBot="1">
      <c r="A137" s="910" t="s">
        <v>82</v>
      </c>
      <c r="B137" s="911"/>
      <c r="C137" s="911"/>
      <c r="D137" s="911"/>
      <c r="E137" s="911"/>
      <c r="F137" s="911"/>
      <c r="G137" s="911"/>
      <c r="H137" s="911"/>
      <c r="I137" s="911"/>
      <c r="J137" s="911"/>
      <c r="K137" s="911"/>
      <c r="L137" s="911"/>
      <c r="M137" s="911"/>
      <c r="N137" s="911"/>
      <c r="O137" s="911"/>
      <c r="P137" s="912"/>
    </row>
    <row r="139" spans="1:17" ht="15" customHeight="1">
      <c r="E139" s="337">
        <v>45292</v>
      </c>
      <c r="F139" s="297">
        <v>45323</v>
      </c>
      <c r="G139" s="297">
        <v>45352</v>
      </c>
      <c r="H139" s="297">
        <v>45383</v>
      </c>
      <c r="I139" s="297">
        <v>45413</v>
      </c>
      <c r="J139" s="297">
        <v>45444</v>
      </c>
      <c r="K139" s="297">
        <v>45474</v>
      </c>
      <c r="L139" s="297">
        <v>45505</v>
      </c>
      <c r="M139" s="297">
        <v>45536</v>
      </c>
      <c r="N139" s="297">
        <v>45566</v>
      </c>
      <c r="O139" s="297">
        <v>45597</v>
      </c>
      <c r="P139" s="338">
        <v>45627</v>
      </c>
    </row>
    <row r="140" spans="1:17" ht="15" customHeight="1">
      <c r="C140" s="913" t="s">
        <v>83</v>
      </c>
      <c r="D140" s="914"/>
      <c r="E140" s="99">
        <f>+E141+E142</f>
        <v>-50000000</v>
      </c>
      <c r="F140" s="99">
        <f t="shared" ref="F140:P140" si="59">+F141+F142</f>
        <v>0</v>
      </c>
      <c r="G140" s="99">
        <f t="shared" si="59"/>
        <v>0</v>
      </c>
      <c r="H140" s="99">
        <f t="shared" si="59"/>
        <v>0</v>
      </c>
      <c r="I140" s="99">
        <f t="shared" si="59"/>
        <v>0</v>
      </c>
      <c r="J140" s="99">
        <f t="shared" si="59"/>
        <v>0</v>
      </c>
      <c r="K140" s="99">
        <f t="shared" si="59"/>
        <v>0</v>
      </c>
      <c r="L140" s="99">
        <f t="shared" si="59"/>
        <v>0</v>
      </c>
      <c r="M140" s="99">
        <f t="shared" si="59"/>
        <v>0</v>
      </c>
      <c r="N140" s="99">
        <f t="shared" si="59"/>
        <v>0</v>
      </c>
      <c r="O140" s="99">
        <f t="shared" si="59"/>
        <v>0</v>
      </c>
      <c r="P140" s="99">
        <f t="shared" si="59"/>
        <v>0</v>
      </c>
    </row>
    <row r="141" spans="1:17" ht="15" customHeight="1">
      <c r="C141" s="913" t="s">
        <v>84</v>
      </c>
      <c r="D141" s="914"/>
      <c r="E141" s="99">
        <f>+E146+E149+E152+E155+E158+E161+E167</f>
        <v>-50000000</v>
      </c>
      <c r="F141" s="99">
        <f t="shared" ref="F141:P141" si="60">+F146+F149+F152+F155+F158+F161+F167</f>
        <v>0</v>
      </c>
      <c r="G141" s="99">
        <f t="shared" si="60"/>
        <v>0</v>
      </c>
      <c r="H141" s="99">
        <f t="shared" si="60"/>
        <v>0</v>
      </c>
      <c r="I141" s="99">
        <f t="shared" si="60"/>
        <v>0</v>
      </c>
      <c r="J141" s="99">
        <f t="shared" si="60"/>
        <v>0</v>
      </c>
      <c r="K141" s="99">
        <f t="shared" si="60"/>
        <v>0</v>
      </c>
      <c r="L141" s="99">
        <f t="shared" si="60"/>
        <v>0</v>
      </c>
      <c r="M141" s="99">
        <f t="shared" si="60"/>
        <v>0</v>
      </c>
      <c r="N141" s="99">
        <f t="shared" si="60"/>
        <v>0</v>
      </c>
      <c r="O141" s="99">
        <f t="shared" si="60"/>
        <v>0</v>
      </c>
      <c r="P141" s="99">
        <f t="shared" si="60"/>
        <v>0</v>
      </c>
    </row>
    <row r="142" spans="1:17" ht="15" customHeight="1">
      <c r="C142" s="913" t="s">
        <v>85</v>
      </c>
      <c r="D142" s="914"/>
      <c r="E142" s="99">
        <f>+E214</f>
        <v>0</v>
      </c>
      <c r="F142" s="99">
        <f t="shared" ref="F142:P142" si="61">+F214</f>
        <v>0</v>
      </c>
      <c r="G142" s="99">
        <f t="shared" si="61"/>
        <v>0</v>
      </c>
      <c r="H142" s="99">
        <f t="shared" si="61"/>
        <v>0</v>
      </c>
      <c r="I142" s="99">
        <f t="shared" si="61"/>
        <v>0</v>
      </c>
      <c r="J142" s="99">
        <f t="shared" si="61"/>
        <v>0</v>
      </c>
      <c r="K142" s="99">
        <f t="shared" si="61"/>
        <v>0</v>
      </c>
      <c r="L142" s="99">
        <f t="shared" si="61"/>
        <v>0</v>
      </c>
      <c r="M142" s="99">
        <f t="shared" si="61"/>
        <v>0</v>
      </c>
      <c r="N142" s="99">
        <f t="shared" si="61"/>
        <v>0</v>
      </c>
      <c r="O142" s="99">
        <f t="shared" si="61"/>
        <v>0</v>
      </c>
      <c r="P142" s="99">
        <f t="shared" si="61"/>
        <v>0</v>
      </c>
    </row>
    <row r="144" spans="1:17" ht="15" customHeight="1" thickBot="1">
      <c r="E144" s="337">
        <v>45292</v>
      </c>
      <c r="F144" s="297">
        <v>45323</v>
      </c>
      <c r="G144" s="297">
        <v>45352</v>
      </c>
      <c r="H144" s="297">
        <v>45383</v>
      </c>
      <c r="I144" s="297">
        <v>45413</v>
      </c>
      <c r="J144" s="297">
        <v>45444</v>
      </c>
      <c r="K144" s="297">
        <v>45474</v>
      </c>
      <c r="L144" s="297">
        <v>45505</v>
      </c>
      <c r="M144" s="297">
        <v>45536</v>
      </c>
      <c r="N144" s="297">
        <v>45566</v>
      </c>
      <c r="O144" s="297">
        <v>45597</v>
      </c>
      <c r="P144" s="338">
        <v>45627</v>
      </c>
    </row>
    <row r="145" spans="1:16" ht="15" customHeight="1" thickBot="1">
      <c r="B145" s="915" t="s">
        <v>11</v>
      </c>
      <c r="C145" s="916"/>
      <c r="D145" s="916"/>
      <c r="E145" s="347">
        <f>+E146+E149+E152+E155+E158+E161+E164+E167+E170+E173+E176+E179+E182+E185</f>
        <v>-50000000</v>
      </c>
      <c r="F145" s="347">
        <f t="shared" ref="F145:I145" si="62">+F146+F149+F152+F155+F158+F161+F164+F167+F170+F173+F176+F179+F182+F185</f>
        <v>0</v>
      </c>
      <c r="G145" s="347">
        <f t="shared" si="62"/>
        <v>0</v>
      </c>
      <c r="H145" s="347">
        <f t="shared" si="62"/>
        <v>0</v>
      </c>
      <c r="I145" s="347">
        <f t="shared" si="62"/>
        <v>0</v>
      </c>
      <c r="J145" s="347">
        <f t="shared" ref="J145" si="63">+J146+J149+J152+J155+J158+J161+J164+J167+J170+J173+J176+J179+J182+J185</f>
        <v>0</v>
      </c>
      <c r="K145" s="347">
        <f t="shared" ref="K145" si="64">+K146+K149+K152+K155+K158+K161+K164+K167+K170+K173+K176+K179+K182+K185</f>
        <v>0</v>
      </c>
      <c r="L145" s="347">
        <f t="shared" ref="L145" si="65">+L146+L149+L152+L155+L158+L161+L164+L167+L170+L173+L176+L179+L182+L185</f>
        <v>0</v>
      </c>
      <c r="M145" s="347">
        <f t="shared" ref="M145" si="66">+M146+M149+M152+M155+M158+M161+M164+M167+M170+M173+M176+M179+M182+M185</f>
        <v>0</v>
      </c>
      <c r="N145" s="347">
        <f t="shared" ref="N145" si="67">+N146+N149+N152+N155+N158+N161+N164+N167+N170+N173+N176+N179+N182+N185</f>
        <v>0</v>
      </c>
      <c r="O145" s="347">
        <f t="shared" ref="O145" si="68">+O146+O149+O152+O155+O158+O161+O164+O167+O170+O173+O176+O179+O182+O185</f>
        <v>0</v>
      </c>
      <c r="P145" s="347">
        <f t="shared" ref="P145" si="69">+P146+P149+P152+P155+P158+P161+P164+P167+P170+P173+P176+P179+P182+P185</f>
        <v>0</v>
      </c>
    </row>
    <row r="146" spans="1:16" ht="15" customHeight="1">
      <c r="B146" s="901" t="s">
        <v>20</v>
      </c>
      <c r="C146" s="904" t="s">
        <v>21</v>
      </c>
      <c r="D146" s="336" t="s">
        <v>86</v>
      </c>
      <c r="E146" s="343">
        <f>SUMIFS('Movimientos Reales'!$D$5:$D$1048576,'Movimientos Reales'!$G$5:$G$1048576,'3 Workig- Capex '!$A148,'Movimientos Reales'!$E$5:$E$1048576,'3 Workig- Capex '!E$139)</f>
        <v>0</v>
      </c>
      <c r="F146" s="235">
        <f>SUMIFS('Movimientos Reales'!$D$5:$D$1048576,'Movimientos Reales'!$G$5:$G$1048576,'3 Workig- Capex '!$A148,'Movimientos Reales'!$E$5:$E$1048576,'3 Workig- Capex '!F$139)</f>
        <v>0</v>
      </c>
      <c r="G146" s="235">
        <f>SUMIFS('Movimientos Reales'!$D$5:$D$1048576,'Movimientos Reales'!$G$5:$G$1048576,'3 Workig- Capex '!$A148,'Movimientos Reales'!$E$5:$E$1048576,'3 Workig- Capex '!G$139)</f>
        <v>0</v>
      </c>
      <c r="H146" s="235">
        <f>SUMIFS('Movimientos Reales'!$D$5:$D$1048576,'Movimientos Reales'!$G$5:$G$1048576,'3 Workig- Capex '!$A148,'Movimientos Reales'!$E$5:$E$1048576,'3 Workig- Capex '!H$139)</f>
        <v>0</v>
      </c>
      <c r="I146" s="235">
        <f>SUMIFS('Movimientos Reales'!$D$5:$D$1048576,'Movimientos Reales'!$G$5:$G$1048576,'3 Workig- Capex '!$A148,'Movimientos Reales'!$E$5:$E$1048576,'3 Workig- Capex '!I$139)</f>
        <v>0</v>
      </c>
      <c r="J146" s="235">
        <f>SUMIFS('Movimientos Reales'!$D$5:$D$1048576,'Movimientos Reales'!$G$5:$G$1048576,'3 Workig- Capex '!$A148,'Movimientos Reales'!$E$5:$E$1048576,'3 Workig- Capex '!J$139)</f>
        <v>0</v>
      </c>
      <c r="K146" s="235">
        <f>SUMIFS('Movimientos Reales'!$D$5:$D$1048576,'Movimientos Reales'!$G$5:$G$1048576,'3 Workig- Capex '!$A148,'Movimientos Reales'!$E$5:$E$1048576,'3 Workig- Capex '!K$139)</f>
        <v>0</v>
      </c>
      <c r="L146" s="235">
        <f>SUMIFS('Movimientos Reales'!$D$5:$D$1048576,'Movimientos Reales'!$G$5:$G$1048576,'3 Workig- Capex '!$A148,'Movimientos Reales'!$E$5:$E$1048576,'3 Workig- Capex '!L$139)</f>
        <v>0</v>
      </c>
      <c r="M146" s="235">
        <f>SUMIFS('Movimientos Reales'!$D$5:$D$1048576,'Movimientos Reales'!$G$5:$G$1048576,'3 Workig- Capex '!$A148,'Movimientos Reales'!$E$5:$E$1048576,'3 Workig- Capex '!M$139)</f>
        <v>0</v>
      </c>
      <c r="N146" s="235">
        <f>SUMIFS('Movimientos Reales'!$D$5:$D$1048576,'Movimientos Reales'!$G$5:$G$1048576,'3 Workig- Capex '!$A148,'Movimientos Reales'!$E$5:$E$1048576,'3 Workig- Capex '!N$139)</f>
        <v>0</v>
      </c>
      <c r="O146" s="235">
        <f>SUMIFS('Movimientos Reales'!$D$5:$D$1048576,'Movimientos Reales'!$G$5:$G$1048576,'3 Workig- Capex '!$A148,'Movimientos Reales'!$E$5:$E$1048576,'3 Workig- Capex '!O$139)</f>
        <v>0</v>
      </c>
      <c r="P146" s="237">
        <f>SUMIFS('Movimientos Reales'!$D$5:$D$1048576,'Movimientos Reales'!$G$5:$G$1048576,'3 Workig- Capex '!$A148,'Movimientos Reales'!$E$5:$E$1048576,'3 Workig- Capex '!P$139)</f>
        <v>0</v>
      </c>
    </row>
    <row r="147" spans="1:16" ht="15" customHeight="1" thickBot="1">
      <c r="B147" s="902"/>
      <c r="C147" s="905"/>
      <c r="D147" s="350" t="s">
        <v>58</v>
      </c>
      <c r="E147" s="348">
        <f t="shared" ref="E147:P147" si="70">+E15</f>
        <v>-600000</v>
      </c>
      <c r="F147" s="236">
        <f t="shared" si="70"/>
        <v>-1000000</v>
      </c>
      <c r="G147" s="236">
        <f t="shared" si="70"/>
        <v>0</v>
      </c>
      <c r="H147" s="236">
        <f t="shared" si="70"/>
        <v>0</v>
      </c>
      <c r="I147" s="236">
        <f t="shared" si="70"/>
        <v>11030106</v>
      </c>
      <c r="J147" s="236">
        <f t="shared" si="70"/>
        <v>0</v>
      </c>
      <c r="K147" s="236">
        <f t="shared" si="70"/>
        <v>0</v>
      </c>
      <c r="L147" s="236">
        <f t="shared" si="70"/>
        <v>0</v>
      </c>
      <c r="M147" s="236">
        <f t="shared" si="70"/>
        <v>0</v>
      </c>
      <c r="N147" s="236">
        <f t="shared" si="70"/>
        <v>0</v>
      </c>
      <c r="O147" s="236">
        <f t="shared" si="70"/>
        <v>0</v>
      </c>
      <c r="P147" s="238">
        <f t="shared" si="70"/>
        <v>0</v>
      </c>
    </row>
    <row r="148" spans="1:16" ht="15" customHeight="1" thickBot="1">
      <c r="A148" s="200" t="s">
        <v>24</v>
      </c>
      <c r="B148" s="903"/>
      <c r="C148" s="906"/>
      <c r="D148" s="335" t="s">
        <v>87</v>
      </c>
      <c r="E148" s="349">
        <f>+IFERROR(E146/E147,0)</f>
        <v>0</v>
      </c>
      <c r="F148" s="349">
        <f t="shared" ref="F148:P148" si="71">+IFERROR(F146/F147,0)</f>
        <v>0</v>
      </c>
      <c r="G148" s="349">
        <f t="shared" si="71"/>
        <v>0</v>
      </c>
      <c r="H148" s="349">
        <f t="shared" si="71"/>
        <v>0</v>
      </c>
      <c r="I148" s="349">
        <f t="shared" si="71"/>
        <v>0</v>
      </c>
      <c r="J148" s="349">
        <f t="shared" si="71"/>
        <v>0</v>
      </c>
      <c r="K148" s="349">
        <f t="shared" si="71"/>
        <v>0</v>
      </c>
      <c r="L148" s="349">
        <f t="shared" si="71"/>
        <v>0</v>
      </c>
      <c r="M148" s="349">
        <f t="shared" si="71"/>
        <v>0</v>
      </c>
      <c r="N148" s="349">
        <f t="shared" si="71"/>
        <v>0</v>
      </c>
      <c r="O148" s="349">
        <f t="shared" si="71"/>
        <v>0</v>
      </c>
      <c r="P148" s="351">
        <f t="shared" si="71"/>
        <v>0</v>
      </c>
    </row>
    <row r="149" spans="1:16" ht="12.95">
      <c r="B149" s="927" t="s">
        <v>20</v>
      </c>
      <c r="C149" s="904" t="s">
        <v>25</v>
      </c>
      <c r="D149" s="289" t="s">
        <v>86</v>
      </c>
      <c r="E149" s="343">
        <f>SUMIFS('Movimientos Reales'!$D$5:$D$1048576,'Movimientos Reales'!$G$5:$G$1048576,'3 Workig- Capex '!$A151,'Movimientos Reales'!$E$5:$E$1048576,'3 Workig- Capex '!E$139)</f>
        <v>0</v>
      </c>
      <c r="F149" s="235">
        <f>SUMIFS('Movimientos Reales'!$D$5:$D$1048576,'Movimientos Reales'!$G$5:$G$1048576,'3 Workig- Capex '!$A151,'Movimientos Reales'!$E$5:$E$1048576,'3 Workig- Capex '!F$139)</f>
        <v>0</v>
      </c>
      <c r="G149" s="235">
        <f>SUMIFS('Movimientos Reales'!$D$5:$D$1048576,'Movimientos Reales'!$G$5:$G$1048576,'3 Workig- Capex '!$A151,'Movimientos Reales'!$E$5:$E$1048576,'3 Workig- Capex '!G$139)</f>
        <v>0</v>
      </c>
      <c r="H149" s="235">
        <f>SUMIFS('Movimientos Reales'!$D$5:$D$1048576,'Movimientos Reales'!$G$5:$G$1048576,'3 Workig- Capex '!$A151,'Movimientos Reales'!$E$5:$E$1048576,'3 Workig- Capex '!H$139)</f>
        <v>0</v>
      </c>
      <c r="I149" s="235">
        <f>SUMIFS('Movimientos Reales'!$D$5:$D$1048576,'Movimientos Reales'!$G$5:$G$1048576,'3 Workig- Capex '!$A151,'Movimientos Reales'!$E$5:$E$1048576,'3 Workig- Capex '!I$139)</f>
        <v>0</v>
      </c>
      <c r="J149" s="235">
        <f>SUMIFS('Movimientos Reales'!$D$5:$D$1048576,'Movimientos Reales'!$G$5:$G$1048576,'3 Workig- Capex '!$A151,'Movimientos Reales'!$E$5:$E$1048576,'3 Workig- Capex '!J$139)</f>
        <v>0</v>
      </c>
      <c r="K149" s="235">
        <f>SUMIFS('Movimientos Reales'!$D$5:$D$1048576,'Movimientos Reales'!$G$5:$G$1048576,'3 Workig- Capex '!$A151,'Movimientos Reales'!$E$5:$E$1048576,'3 Workig- Capex '!K$139)</f>
        <v>0</v>
      </c>
      <c r="L149" s="235">
        <f>SUMIFS('Movimientos Reales'!$D$5:$D$1048576,'Movimientos Reales'!$G$5:$G$1048576,'3 Workig- Capex '!$A151,'Movimientos Reales'!$E$5:$E$1048576,'3 Workig- Capex '!L$139)</f>
        <v>0</v>
      </c>
      <c r="M149" s="235">
        <f>SUMIFS('Movimientos Reales'!$D$5:$D$1048576,'Movimientos Reales'!$G$5:$G$1048576,'3 Workig- Capex '!$A151,'Movimientos Reales'!$E$5:$E$1048576,'3 Workig- Capex '!M$139)</f>
        <v>0</v>
      </c>
      <c r="N149" s="235">
        <f>SUMIFS('Movimientos Reales'!$D$5:$D$1048576,'Movimientos Reales'!$G$5:$G$1048576,'3 Workig- Capex '!$A151,'Movimientos Reales'!$E$5:$E$1048576,'3 Workig- Capex '!N$139)</f>
        <v>0</v>
      </c>
      <c r="O149" s="235">
        <f>SUMIFS('Movimientos Reales'!$D$5:$D$1048576,'Movimientos Reales'!$G$5:$G$1048576,'3 Workig- Capex '!$A151,'Movimientos Reales'!$E$5:$E$1048576,'3 Workig- Capex '!O$139)</f>
        <v>0</v>
      </c>
      <c r="P149" s="237">
        <f>SUMIFS('Movimientos Reales'!$D$5:$D$1048576,'Movimientos Reales'!$G$5:$G$1048576,'3 Workig- Capex '!$A151,'Movimientos Reales'!$E$5:$E$1048576,'3 Workig- Capex '!P$139)</f>
        <v>0</v>
      </c>
    </row>
    <row r="150" spans="1:16" ht="15" customHeight="1" thickBot="1">
      <c r="B150" s="928"/>
      <c r="C150" s="905"/>
      <c r="D150" s="98" t="s">
        <v>58</v>
      </c>
      <c r="E150" s="348">
        <f t="shared" ref="E150:P150" si="72">+E18</f>
        <v>-6000000</v>
      </c>
      <c r="F150" s="236">
        <f t="shared" si="72"/>
        <v>0</v>
      </c>
      <c r="G150" s="236">
        <f t="shared" si="72"/>
        <v>0</v>
      </c>
      <c r="H150" s="236">
        <f t="shared" si="72"/>
        <v>13634255</v>
      </c>
      <c r="I150" s="236">
        <f t="shared" si="72"/>
        <v>0</v>
      </c>
      <c r="J150" s="236">
        <f t="shared" si="72"/>
        <v>0</v>
      </c>
      <c r="K150" s="236">
        <f t="shared" si="72"/>
        <v>0</v>
      </c>
      <c r="L150" s="236">
        <f t="shared" si="72"/>
        <v>0</v>
      </c>
      <c r="M150" s="236">
        <f t="shared" si="72"/>
        <v>0</v>
      </c>
      <c r="N150" s="236">
        <f t="shared" si="72"/>
        <v>0</v>
      </c>
      <c r="O150" s="236">
        <f t="shared" si="72"/>
        <v>0</v>
      </c>
      <c r="P150" s="238">
        <f t="shared" si="72"/>
        <v>0</v>
      </c>
    </row>
    <row r="151" spans="1:16" ht="15" customHeight="1" thickBot="1">
      <c r="A151" s="130" t="s">
        <v>25</v>
      </c>
      <c r="B151" s="903"/>
      <c r="C151" s="906"/>
      <c r="D151" s="335" t="s">
        <v>87</v>
      </c>
      <c r="E151" s="349">
        <f>+IFERROR(E149/E150,0)</f>
        <v>0</v>
      </c>
      <c r="F151" s="349">
        <f t="shared" ref="F151" si="73">+IFERROR(F149/F150,0)</f>
        <v>0</v>
      </c>
      <c r="G151" s="349">
        <f t="shared" ref="G151" si="74">+IFERROR(G149/G150,0)</f>
        <v>0</v>
      </c>
      <c r="H151" s="349">
        <f t="shared" ref="H151" si="75">+IFERROR(H149/H150,0)</f>
        <v>0</v>
      </c>
      <c r="I151" s="349">
        <f t="shared" ref="I151" si="76">+IFERROR(I149/I150,0)</f>
        <v>0</v>
      </c>
      <c r="J151" s="349">
        <f t="shared" ref="J151" si="77">+IFERROR(J149/J150,0)</f>
        <v>0</v>
      </c>
      <c r="K151" s="349">
        <f t="shared" ref="K151" si="78">+IFERROR(K149/K150,0)</f>
        <v>0</v>
      </c>
      <c r="L151" s="349">
        <f t="shared" ref="L151" si="79">+IFERROR(L149/L150,0)</f>
        <v>0</v>
      </c>
      <c r="M151" s="349">
        <f t="shared" ref="M151" si="80">+IFERROR(M149/M150,0)</f>
        <v>0</v>
      </c>
      <c r="N151" s="349">
        <f t="shared" ref="N151" si="81">+IFERROR(N149/N150,0)</f>
        <v>0</v>
      </c>
      <c r="O151" s="349">
        <f t="shared" ref="O151" si="82">+IFERROR(O149/O150,0)</f>
        <v>0</v>
      </c>
      <c r="P151" s="351">
        <f t="shared" ref="P151" si="83">+IFERROR(P149/P150,0)</f>
        <v>0</v>
      </c>
    </row>
    <row r="152" spans="1:16" ht="15" customHeight="1">
      <c r="B152" s="929" t="s">
        <v>20</v>
      </c>
      <c r="C152" s="930" t="s">
        <v>26</v>
      </c>
      <c r="D152" s="289" t="s">
        <v>86</v>
      </c>
      <c r="E152" s="343">
        <f>SUMIFS('Movimientos Reales'!$D$5:$D$1048576,'Movimientos Reales'!$G$5:$G$1048576,'3 Workig- Capex '!$A154,'Movimientos Reales'!$E$5:$E$1048576,'3 Workig- Capex '!E$139)</f>
        <v>0</v>
      </c>
      <c r="F152" s="235">
        <f>SUMIFS('Movimientos Reales'!$D$5:$D$1048576,'Movimientos Reales'!$G$5:$G$1048576,'3 Workig- Capex '!$A154,'Movimientos Reales'!$E$5:$E$1048576,'3 Workig- Capex '!F$139)</f>
        <v>0</v>
      </c>
      <c r="G152" s="235">
        <f>SUMIFS('Movimientos Reales'!$D$5:$D$1048576,'Movimientos Reales'!$G$5:$G$1048576,'3 Workig- Capex '!$A154,'Movimientos Reales'!$E$5:$E$1048576,'3 Workig- Capex '!G$139)</f>
        <v>0</v>
      </c>
      <c r="H152" s="235">
        <f>SUMIFS('Movimientos Reales'!$D$5:$D$1048576,'Movimientos Reales'!$G$5:$G$1048576,'3 Workig- Capex '!$A154,'Movimientos Reales'!$E$5:$E$1048576,'3 Workig- Capex '!H$139)</f>
        <v>0</v>
      </c>
      <c r="I152" s="235">
        <f>SUMIFS('Movimientos Reales'!$D$5:$D$1048576,'Movimientos Reales'!$G$5:$G$1048576,'3 Workig- Capex '!$A154,'Movimientos Reales'!$E$5:$E$1048576,'3 Workig- Capex '!I$139)</f>
        <v>0</v>
      </c>
      <c r="J152" s="235">
        <f>SUMIFS('Movimientos Reales'!$D$5:$D$1048576,'Movimientos Reales'!$G$5:$G$1048576,'3 Workig- Capex '!$A154,'Movimientos Reales'!$E$5:$E$1048576,'3 Workig- Capex '!J$139)</f>
        <v>0</v>
      </c>
      <c r="K152" s="235">
        <f>SUMIFS('Movimientos Reales'!$D$5:$D$1048576,'Movimientos Reales'!$G$5:$G$1048576,'3 Workig- Capex '!$A154,'Movimientos Reales'!$E$5:$E$1048576,'3 Workig- Capex '!K$139)</f>
        <v>0</v>
      </c>
      <c r="L152" s="235">
        <f>SUMIFS('Movimientos Reales'!$D$5:$D$1048576,'Movimientos Reales'!$G$5:$G$1048576,'3 Workig- Capex '!$A154,'Movimientos Reales'!$E$5:$E$1048576,'3 Workig- Capex '!L$139)</f>
        <v>0</v>
      </c>
      <c r="M152" s="235">
        <f>SUMIFS('Movimientos Reales'!$D$5:$D$1048576,'Movimientos Reales'!$G$5:$G$1048576,'3 Workig- Capex '!$A154,'Movimientos Reales'!$E$5:$E$1048576,'3 Workig- Capex '!M$139)</f>
        <v>0</v>
      </c>
      <c r="N152" s="235">
        <f>SUMIFS('Movimientos Reales'!$D$5:$D$1048576,'Movimientos Reales'!$G$5:$G$1048576,'3 Workig- Capex '!$A154,'Movimientos Reales'!$E$5:$E$1048576,'3 Workig- Capex '!N$139)</f>
        <v>0</v>
      </c>
      <c r="O152" s="235">
        <f>SUMIFS('Movimientos Reales'!$D$5:$D$1048576,'Movimientos Reales'!$G$5:$G$1048576,'3 Workig- Capex '!$A154,'Movimientos Reales'!$E$5:$E$1048576,'3 Workig- Capex '!O$139)</f>
        <v>0</v>
      </c>
      <c r="P152" s="237">
        <f>SUMIFS('Movimientos Reales'!$D$5:$D$1048576,'Movimientos Reales'!$G$5:$G$1048576,'3 Workig- Capex '!$A154,'Movimientos Reales'!$E$5:$E$1048576,'3 Workig- Capex '!P$139)</f>
        <v>0</v>
      </c>
    </row>
    <row r="153" spans="1:16" ht="15" customHeight="1" thickBot="1">
      <c r="B153" s="902"/>
      <c r="C153" s="905"/>
      <c r="D153" s="98" t="s">
        <v>58</v>
      </c>
      <c r="E153" s="348">
        <f t="shared" ref="E153:P153" si="84">+E21</f>
        <v>-7500000</v>
      </c>
      <c r="F153" s="236">
        <f t="shared" si="84"/>
        <v>0</v>
      </c>
      <c r="G153" s="236">
        <f t="shared" si="84"/>
        <v>0</v>
      </c>
      <c r="H153" s="236">
        <f t="shared" si="84"/>
        <v>16333772</v>
      </c>
      <c r="I153" s="236">
        <f t="shared" si="84"/>
        <v>0</v>
      </c>
      <c r="J153" s="236">
        <f t="shared" si="84"/>
        <v>0</v>
      </c>
      <c r="K153" s="236">
        <f t="shared" si="84"/>
        <v>0</v>
      </c>
      <c r="L153" s="236">
        <f t="shared" si="84"/>
        <v>0</v>
      </c>
      <c r="M153" s="236">
        <f t="shared" si="84"/>
        <v>0</v>
      </c>
      <c r="N153" s="236">
        <f t="shared" si="84"/>
        <v>0</v>
      </c>
      <c r="O153" s="236">
        <f t="shared" si="84"/>
        <v>0</v>
      </c>
      <c r="P153" s="238">
        <f t="shared" si="84"/>
        <v>0</v>
      </c>
    </row>
    <row r="154" spans="1:16" ht="15" customHeight="1" thickBot="1">
      <c r="A154" s="130" t="s">
        <v>26</v>
      </c>
      <c r="B154" s="903"/>
      <c r="C154" s="906"/>
      <c r="D154" s="335" t="s">
        <v>87</v>
      </c>
      <c r="E154" s="349">
        <f>+IFERROR(E152/E153,0)</f>
        <v>0</v>
      </c>
      <c r="F154" s="349">
        <f t="shared" ref="F154" si="85">+IFERROR(F152/F153,0)</f>
        <v>0</v>
      </c>
      <c r="G154" s="349">
        <f t="shared" ref="G154" si="86">+IFERROR(G152/G153,0)</f>
        <v>0</v>
      </c>
      <c r="H154" s="349">
        <f t="shared" ref="H154" si="87">+IFERROR(H152/H153,0)</f>
        <v>0</v>
      </c>
      <c r="I154" s="349">
        <f t="shared" ref="I154" si="88">+IFERROR(I152/I153,0)</f>
        <v>0</v>
      </c>
      <c r="J154" s="349">
        <f t="shared" ref="J154" si="89">+IFERROR(J152/J153,0)</f>
        <v>0</v>
      </c>
      <c r="K154" s="349">
        <f t="shared" ref="K154" si="90">+IFERROR(K152/K153,0)</f>
        <v>0</v>
      </c>
      <c r="L154" s="349">
        <f t="shared" ref="L154" si="91">+IFERROR(L152/L153,0)</f>
        <v>0</v>
      </c>
      <c r="M154" s="349">
        <f t="shared" ref="M154" si="92">+IFERROR(M152/M153,0)</f>
        <v>0</v>
      </c>
      <c r="N154" s="349">
        <f t="shared" ref="N154" si="93">+IFERROR(N152/N153,0)</f>
        <v>0</v>
      </c>
      <c r="O154" s="349">
        <f t="shared" ref="O154" si="94">+IFERROR(O152/O153,0)</f>
        <v>0</v>
      </c>
      <c r="P154" s="351">
        <f t="shared" ref="P154" si="95">+IFERROR(P152/P153,0)</f>
        <v>0</v>
      </c>
    </row>
    <row r="155" spans="1:16" ht="15" customHeight="1">
      <c r="B155" s="901" t="s">
        <v>20</v>
      </c>
      <c r="C155" s="904" t="s">
        <v>27</v>
      </c>
      <c r="D155" s="289" t="s">
        <v>86</v>
      </c>
      <c r="E155" s="343">
        <f>SUMIFS('Movimientos Reales'!$D$5:$D$1048576,'Movimientos Reales'!$G$5:$G$1048576,'3 Workig- Capex '!$A157,'Movimientos Reales'!$E$5:$E$1048576,'3 Workig- Capex '!E$139)</f>
        <v>0</v>
      </c>
      <c r="F155" s="235">
        <f>SUMIFS('Movimientos Reales'!$D$5:$D$1048576,'Movimientos Reales'!$G$5:$G$1048576,'3 Workig- Capex '!$A157,'Movimientos Reales'!$E$5:$E$1048576,'3 Workig- Capex '!F$139)</f>
        <v>0</v>
      </c>
      <c r="G155" s="235">
        <f>SUMIFS('Movimientos Reales'!$D$5:$D$1048576,'Movimientos Reales'!$G$5:$G$1048576,'3 Workig- Capex '!$A157,'Movimientos Reales'!$E$5:$E$1048576,'3 Workig- Capex '!G$139)</f>
        <v>0</v>
      </c>
      <c r="H155" s="235">
        <f>SUMIFS('Movimientos Reales'!$D$5:$D$1048576,'Movimientos Reales'!$G$5:$G$1048576,'3 Workig- Capex '!$A157,'Movimientos Reales'!$E$5:$E$1048576,'3 Workig- Capex '!H$139)</f>
        <v>0</v>
      </c>
      <c r="I155" s="235">
        <f>SUMIFS('Movimientos Reales'!$D$5:$D$1048576,'Movimientos Reales'!$G$5:$G$1048576,'3 Workig- Capex '!$A157,'Movimientos Reales'!$E$5:$E$1048576,'3 Workig- Capex '!I$139)</f>
        <v>0</v>
      </c>
      <c r="J155" s="235">
        <f>SUMIFS('Movimientos Reales'!$D$5:$D$1048576,'Movimientos Reales'!$G$5:$G$1048576,'3 Workig- Capex '!$A157,'Movimientos Reales'!$E$5:$E$1048576,'3 Workig- Capex '!J$139)</f>
        <v>0</v>
      </c>
      <c r="K155" s="235">
        <f>SUMIFS('Movimientos Reales'!$D$5:$D$1048576,'Movimientos Reales'!$G$5:$G$1048576,'3 Workig- Capex '!$A157,'Movimientos Reales'!$E$5:$E$1048576,'3 Workig- Capex '!K$139)</f>
        <v>0</v>
      </c>
      <c r="L155" s="235">
        <f>SUMIFS('Movimientos Reales'!$D$5:$D$1048576,'Movimientos Reales'!$G$5:$G$1048576,'3 Workig- Capex '!$A157,'Movimientos Reales'!$E$5:$E$1048576,'3 Workig- Capex '!L$139)</f>
        <v>0</v>
      </c>
      <c r="M155" s="235">
        <f>SUMIFS('Movimientos Reales'!$D$5:$D$1048576,'Movimientos Reales'!$G$5:$G$1048576,'3 Workig- Capex '!$A157,'Movimientos Reales'!$E$5:$E$1048576,'3 Workig- Capex '!M$139)</f>
        <v>0</v>
      </c>
      <c r="N155" s="235">
        <f>SUMIFS('Movimientos Reales'!$D$5:$D$1048576,'Movimientos Reales'!$G$5:$G$1048576,'3 Workig- Capex '!$A157,'Movimientos Reales'!$E$5:$E$1048576,'3 Workig- Capex '!N$139)</f>
        <v>0</v>
      </c>
      <c r="O155" s="235">
        <f>SUMIFS('Movimientos Reales'!$D$5:$D$1048576,'Movimientos Reales'!$G$5:$G$1048576,'3 Workig- Capex '!$A157,'Movimientos Reales'!$E$5:$E$1048576,'3 Workig- Capex '!O$139)</f>
        <v>0</v>
      </c>
      <c r="P155" s="237">
        <f>SUMIFS('Movimientos Reales'!$D$5:$D$1048576,'Movimientos Reales'!$G$5:$G$1048576,'3 Workig- Capex '!$A157,'Movimientos Reales'!$E$5:$E$1048576,'3 Workig- Capex '!P$139)</f>
        <v>0</v>
      </c>
    </row>
    <row r="156" spans="1:16" ht="15" customHeight="1" thickBot="1">
      <c r="B156" s="902"/>
      <c r="C156" s="905"/>
      <c r="D156" s="98" t="s">
        <v>58</v>
      </c>
      <c r="E156" s="348">
        <f t="shared" ref="E156:P156" si="96">+E24</f>
        <v>1710353</v>
      </c>
      <c r="F156" s="236">
        <f t="shared" si="96"/>
        <v>0</v>
      </c>
      <c r="G156" s="236">
        <f t="shared" si="96"/>
        <v>0</v>
      </c>
      <c r="H156" s="236">
        <f t="shared" si="96"/>
        <v>0</v>
      </c>
      <c r="I156" s="236">
        <f t="shared" si="96"/>
        <v>0</v>
      </c>
      <c r="J156" s="236">
        <f t="shared" si="96"/>
        <v>0</v>
      </c>
      <c r="K156" s="236">
        <f t="shared" si="96"/>
        <v>0</v>
      </c>
      <c r="L156" s="236">
        <f t="shared" si="96"/>
        <v>-1000000</v>
      </c>
      <c r="M156" s="236">
        <f t="shared" si="96"/>
        <v>10927588</v>
      </c>
      <c r="N156" s="236">
        <f t="shared" si="96"/>
        <v>0</v>
      </c>
      <c r="O156" s="236">
        <f t="shared" si="96"/>
        <v>0</v>
      </c>
      <c r="P156" s="238">
        <f t="shared" si="96"/>
        <v>0</v>
      </c>
    </row>
    <row r="157" spans="1:16" ht="15" customHeight="1" thickBot="1">
      <c r="A157" s="130" t="s">
        <v>28</v>
      </c>
      <c r="B157" s="903"/>
      <c r="C157" s="906"/>
      <c r="D157" s="335" t="s">
        <v>87</v>
      </c>
      <c r="E157" s="349">
        <f>+IFERROR(E155/E156,0)</f>
        <v>0</v>
      </c>
      <c r="F157" s="349">
        <f>+IFERROR(F155/F156,0)</f>
        <v>0</v>
      </c>
      <c r="G157" s="349">
        <f t="shared" ref="G157" si="97">+IFERROR(G155/G156,0)</f>
        <v>0</v>
      </c>
      <c r="H157" s="349">
        <f t="shared" ref="H157" si="98">+IFERROR(H155/H156,0)</f>
        <v>0</v>
      </c>
      <c r="I157" s="349">
        <f t="shared" ref="I157" si="99">+IFERROR(I155/I156,0)</f>
        <v>0</v>
      </c>
      <c r="J157" s="349">
        <f t="shared" ref="J157" si="100">+IFERROR(J155/J156,0)</f>
        <v>0</v>
      </c>
      <c r="K157" s="349">
        <f t="shared" ref="K157" si="101">+IFERROR(K155/K156,0)</f>
        <v>0</v>
      </c>
      <c r="L157" s="349">
        <f t="shared" ref="L157" si="102">+IFERROR(L155/L156,0)</f>
        <v>0</v>
      </c>
      <c r="M157" s="349">
        <f t="shared" ref="M157" si="103">+IFERROR(M155/M156,0)</f>
        <v>0</v>
      </c>
      <c r="N157" s="349">
        <f t="shared" ref="N157" si="104">+IFERROR(N155/N156,0)</f>
        <v>0</v>
      </c>
      <c r="O157" s="349">
        <f t="shared" ref="O157" si="105">+IFERROR(O155/O156,0)</f>
        <v>0</v>
      </c>
      <c r="P157" s="351">
        <f t="shared" ref="P157" si="106">+IFERROR(P155/P156,0)</f>
        <v>0</v>
      </c>
    </row>
    <row r="158" spans="1:16" ht="15" customHeight="1">
      <c r="B158" s="901" t="s">
        <v>20</v>
      </c>
      <c r="C158" s="907" t="s">
        <v>29</v>
      </c>
      <c r="D158" s="289" t="s">
        <v>86</v>
      </c>
      <c r="E158" s="343">
        <f>SUMIFS('Movimientos Reales'!$D$5:$D$1048576,'Movimientos Reales'!$G$5:$G$1048576,'3 Workig- Capex '!$A160,'Movimientos Reales'!$E$5:$E$1048576,'3 Workig- Capex '!E$139)</f>
        <v>0</v>
      </c>
      <c r="F158" s="235">
        <f>SUMIFS('Movimientos Reales'!$D$5:$D$1048576,'Movimientos Reales'!$G$5:$G$1048576,'3 Workig- Capex '!$A160,'Movimientos Reales'!$E$5:$E$1048576,'3 Workig- Capex '!F$139)</f>
        <v>0</v>
      </c>
      <c r="G158" s="235">
        <f>SUMIFS('Movimientos Reales'!$D$5:$D$1048576,'Movimientos Reales'!$G$5:$G$1048576,'3 Workig- Capex '!$A160,'Movimientos Reales'!$E$5:$E$1048576,'3 Workig- Capex '!G$139)</f>
        <v>0</v>
      </c>
      <c r="H158" s="235">
        <f>SUMIFS('Movimientos Reales'!$D$5:$D$1048576,'Movimientos Reales'!$G$5:$G$1048576,'3 Workig- Capex '!$A160,'Movimientos Reales'!$E$5:$E$1048576,'3 Workig- Capex '!H$139)</f>
        <v>0</v>
      </c>
      <c r="I158" s="235">
        <f>SUMIFS('Movimientos Reales'!$D$5:$D$1048576,'Movimientos Reales'!$G$5:$G$1048576,'3 Workig- Capex '!$A160,'Movimientos Reales'!$E$5:$E$1048576,'3 Workig- Capex '!I$139)</f>
        <v>0</v>
      </c>
      <c r="J158" s="235">
        <f>SUMIFS('Movimientos Reales'!$D$5:$D$1048576,'Movimientos Reales'!$G$5:$G$1048576,'3 Workig- Capex '!$A160,'Movimientos Reales'!$E$5:$E$1048576,'3 Workig- Capex '!J$139)</f>
        <v>0</v>
      </c>
      <c r="K158" s="235">
        <f>SUMIFS('Movimientos Reales'!$D$5:$D$1048576,'Movimientos Reales'!$G$5:$G$1048576,'3 Workig- Capex '!$A160,'Movimientos Reales'!$E$5:$E$1048576,'3 Workig- Capex '!K$139)</f>
        <v>0</v>
      </c>
      <c r="L158" s="235">
        <f>SUMIFS('Movimientos Reales'!$D$5:$D$1048576,'Movimientos Reales'!$G$5:$G$1048576,'3 Workig- Capex '!$A160,'Movimientos Reales'!$E$5:$E$1048576,'3 Workig- Capex '!L$139)</f>
        <v>0</v>
      </c>
      <c r="M158" s="235">
        <f>SUMIFS('Movimientos Reales'!$D$5:$D$1048576,'Movimientos Reales'!$G$5:$G$1048576,'3 Workig- Capex '!$A160,'Movimientos Reales'!$E$5:$E$1048576,'3 Workig- Capex '!M$139)</f>
        <v>0</v>
      </c>
      <c r="N158" s="235">
        <f>SUMIFS('Movimientos Reales'!$D$5:$D$1048576,'Movimientos Reales'!$G$5:$G$1048576,'3 Workig- Capex '!$A160,'Movimientos Reales'!$E$5:$E$1048576,'3 Workig- Capex '!N$139)</f>
        <v>0</v>
      </c>
      <c r="O158" s="235">
        <f>SUMIFS('Movimientos Reales'!$D$5:$D$1048576,'Movimientos Reales'!$G$5:$G$1048576,'3 Workig- Capex '!$A160,'Movimientos Reales'!$E$5:$E$1048576,'3 Workig- Capex '!O$139)</f>
        <v>0</v>
      </c>
      <c r="P158" s="237">
        <f>SUMIFS('Movimientos Reales'!$D$5:$D$1048576,'Movimientos Reales'!$G$5:$G$1048576,'3 Workig- Capex '!$A160,'Movimientos Reales'!$E$5:$E$1048576,'3 Workig- Capex '!P$139)</f>
        <v>0</v>
      </c>
    </row>
    <row r="159" spans="1:16" ht="15" customHeight="1" thickBot="1">
      <c r="B159" s="902"/>
      <c r="C159" s="908"/>
      <c r="D159" s="98" t="s">
        <v>58</v>
      </c>
      <c r="E159" s="348">
        <f t="shared" ref="E159:P159" si="107">+E27</f>
        <v>-70000000</v>
      </c>
      <c r="F159" s="236">
        <f t="shared" si="107"/>
        <v>-15000000</v>
      </c>
      <c r="G159" s="236">
        <f t="shared" si="107"/>
        <v>-4000000</v>
      </c>
      <c r="H159" s="236">
        <f t="shared" si="107"/>
        <v>68844396</v>
      </c>
      <c r="I159" s="236">
        <f t="shared" si="107"/>
        <v>0</v>
      </c>
      <c r="J159" s="236">
        <f t="shared" si="107"/>
        <v>0</v>
      </c>
      <c r="K159" s="236">
        <f t="shared" si="107"/>
        <v>0</v>
      </c>
      <c r="L159" s="236">
        <f t="shared" si="107"/>
        <v>18211099</v>
      </c>
      <c r="M159" s="236">
        <f t="shared" si="107"/>
        <v>0</v>
      </c>
      <c r="N159" s="236">
        <f t="shared" si="107"/>
        <v>0</v>
      </c>
      <c r="O159" s="236">
        <f t="shared" si="107"/>
        <v>0</v>
      </c>
      <c r="P159" s="238">
        <f t="shared" si="107"/>
        <v>0</v>
      </c>
    </row>
    <row r="160" spans="1:16" ht="15" customHeight="1" thickBot="1">
      <c r="A160" s="92" t="s">
        <v>30</v>
      </c>
      <c r="B160" s="903"/>
      <c r="C160" s="909"/>
      <c r="D160" s="335" t="s">
        <v>87</v>
      </c>
      <c r="E160" s="349">
        <f>+IFERROR(E158/E159,0)</f>
        <v>0</v>
      </c>
      <c r="F160" s="349">
        <f>+IFERROR(F158/F159,0)</f>
        <v>0</v>
      </c>
      <c r="G160" s="349">
        <f t="shared" ref="G160" si="108">+IFERROR(G158/G159,0)</f>
        <v>0</v>
      </c>
      <c r="H160" s="349">
        <f t="shared" ref="H160" si="109">+IFERROR(H158/H159,0)</f>
        <v>0</v>
      </c>
      <c r="I160" s="349">
        <f t="shared" ref="I160" si="110">+IFERROR(I158/I159,0)</f>
        <v>0</v>
      </c>
      <c r="J160" s="349">
        <f t="shared" ref="J160" si="111">+IFERROR(J158/J159,0)</f>
        <v>0</v>
      </c>
      <c r="K160" s="349">
        <f t="shared" ref="K160" si="112">+IFERROR(K158/K159,0)</f>
        <v>0</v>
      </c>
      <c r="L160" s="349">
        <f t="shared" ref="L160" si="113">+IFERROR(L158/L159,0)</f>
        <v>0</v>
      </c>
      <c r="M160" s="349">
        <f t="shared" ref="M160" si="114">+IFERROR(M158/M159,0)</f>
        <v>0</v>
      </c>
      <c r="N160" s="349">
        <f t="shared" ref="N160" si="115">+IFERROR(N158/N159,0)</f>
        <v>0</v>
      </c>
      <c r="O160" s="349">
        <f t="shared" ref="O160" si="116">+IFERROR(O158/O159,0)</f>
        <v>0</v>
      </c>
      <c r="P160" s="351">
        <f t="shared" ref="P160" si="117">+IFERROR(P158/P159,0)</f>
        <v>0</v>
      </c>
    </row>
    <row r="161" spans="1:16" ht="15" customHeight="1">
      <c r="B161" s="901" t="s">
        <v>20</v>
      </c>
      <c r="C161" s="904" t="s">
        <v>31</v>
      </c>
      <c r="D161" s="289" t="s">
        <v>86</v>
      </c>
      <c r="E161" s="343">
        <f>SUMIFS('Movimientos Reales'!$D$5:$D$1048576,'Movimientos Reales'!$G$5:$G$1048576,'3 Workig- Capex '!$A163,'Movimientos Reales'!$E$5:$E$1048576,'3 Workig- Capex '!E$139)</f>
        <v>0</v>
      </c>
      <c r="F161" s="235">
        <f>SUMIFS('Movimientos Reales'!$D$5:$D$1048576,'Movimientos Reales'!$G$5:$G$1048576,'3 Workig- Capex '!$A163,'Movimientos Reales'!$E$5:$E$1048576,'3 Workig- Capex '!F$139)</f>
        <v>0</v>
      </c>
      <c r="G161" s="235">
        <f>SUMIFS('Movimientos Reales'!$D$5:$D$1048576,'Movimientos Reales'!$G$5:$G$1048576,'3 Workig- Capex '!$A163,'Movimientos Reales'!$E$5:$E$1048576,'3 Workig- Capex '!G$139)</f>
        <v>0</v>
      </c>
      <c r="H161" s="235">
        <f>SUMIFS('Movimientos Reales'!$D$5:$D$1048576,'Movimientos Reales'!$G$5:$G$1048576,'3 Workig- Capex '!$A163,'Movimientos Reales'!$E$5:$E$1048576,'3 Workig- Capex '!H$139)</f>
        <v>0</v>
      </c>
      <c r="I161" s="235">
        <f>SUMIFS('Movimientos Reales'!$D$5:$D$1048576,'Movimientos Reales'!$G$5:$G$1048576,'3 Workig- Capex '!$A163,'Movimientos Reales'!$E$5:$E$1048576,'3 Workig- Capex '!I$139)</f>
        <v>0</v>
      </c>
      <c r="J161" s="235">
        <f>SUMIFS('Movimientos Reales'!$D$5:$D$1048576,'Movimientos Reales'!$G$5:$G$1048576,'3 Workig- Capex '!$A163,'Movimientos Reales'!$E$5:$E$1048576,'3 Workig- Capex '!J$139)</f>
        <v>0</v>
      </c>
      <c r="K161" s="235">
        <f>SUMIFS('Movimientos Reales'!$D$5:$D$1048576,'Movimientos Reales'!$G$5:$G$1048576,'3 Workig- Capex '!$A163,'Movimientos Reales'!$E$5:$E$1048576,'3 Workig- Capex '!K$139)</f>
        <v>0</v>
      </c>
      <c r="L161" s="235">
        <f>SUMIFS('Movimientos Reales'!$D$5:$D$1048576,'Movimientos Reales'!$G$5:$G$1048576,'3 Workig- Capex '!$A163,'Movimientos Reales'!$E$5:$E$1048576,'3 Workig- Capex '!L$139)</f>
        <v>0</v>
      </c>
      <c r="M161" s="235">
        <f>SUMIFS('Movimientos Reales'!$D$5:$D$1048576,'Movimientos Reales'!$G$5:$G$1048576,'3 Workig- Capex '!$A163,'Movimientos Reales'!$E$5:$E$1048576,'3 Workig- Capex '!M$139)</f>
        <v>0</v>
      </c>
      <c r="N161" s="235">
        <f>SUMIFS('Movimientos Reales'!$D$5:$D$1048576,'Movimientos Reales'!$G$5:$G$1048576,'3 Workig- Capex '!$A163,'Movimientos Reales'!$E$5:$E$1048576,'3 Workig- Capex '!N$139)</f>
        <v>0</v>
      </c>
      <c r="O161" s="235">
        <f>SUMIFS('Movimientos Reales'!$D$5:$D$1048576,'Movimientos Reales'!$G$5:$G$1048576,'3 Workig- Capex '!$A163,'Movimientos Reales'!$E$5:$E$1048576,'3 Workig- Capex '!O$139)</f>
        <v>0</v>
      </c>
      <c r="P161" s="237">
        <f>SUMIFS('Movimientos Reales'!$D$5:$D$1048576,'Movimientos Reales'!$G$5:$G$1048576,'3 Workig- Capex '!$A163,'Movimientos Reales'!$E$5:$E$1048576,'3 Workig- Capex '!P$139)</f>
        <v>0</v>
      </c>
    </row>
    <row r="162" spans="1:16" ht="15" customHeight="1" thickBot="1">
      <c r="B162" s="902"/>
      <c r="C162" s="905"/>
      <c r="D162" s="98" t="s">
        <v>58</v>
      </c>
      <c r="E162" s="348">
        <f t="shared" ref="E162:P162" si="118">+E30</f>
        <v>116257243</v>
      </c>
      <c r="F162" s="236">
        <f t="shared" si="118"/>
        <v>-54000000</v>
      </c>
      <c r="G162" s="236">
        <f t="shared" si="118"/>
        <v>-23308900</v>
      </c>
      <c r="H162" s="236">
        <f t="shared" si="118"/>
        <v>-5000000</v>
      </c>
      <c r="I162" s="236">
        <f t="shared" si="118"/>
        <v>177219900</v>
      </c>
      <c r="J162" s="236">
        <f t="shared" si="118"/>
        <v>0</v>
      </c>
      <c r="K162" s="236">
        <f t="shared" si="118"/>
        <v>0</v>
      </c>
      <c r="L162" s="236">
        <f t="shared" si="118"/>
        <v>0</v>
      </c>
      <c r="M162" s="236">
        <f t="shared" si="118"/>
        <v>59073300</v>
      </c>
      <c r="N162" s="236">
        <f t="shared" si="118"/>
        <v>19691100</v>
      </c>
      <c r="O162" s="236">
        <f t="shared" si="118"/>
        <v>0</v>
      </c>
      <c r="P162" s="238">
        <f t="shared" si="118"/>
        <v>0</v>
      </c>
    </row>
    <row r="163" spans="1:16" ht="15" customHeight="1" thickBot="1">
      <c r="A163" s="92" t="s">
        <v>31</v>
      </c>
      <c r="B163" s="903"/>
      <c r="C163" s="906"/>
      <c r="D163" s="335" t="s">
        <v>87</v>
      </c>
      <c r="E163" s="349">
        <f>+IFERROR(E161/E162,0)</f>
        <v>0</v>
      </c>
      <c r="F163" s="349">
        <f t="shared" ref="F163" si="119">+IFERROR(F161/F162,0)</f>
        <v>0</v>
      </c>
      <c r="G163" s="349">
        <f t="shared" ref="G163" si="120">+IFERROR(G161/G162,0)</f>
        <v>0</v>
      </c>
      <c r="H163" s="349">
        <f t="shared" ref="H163" si="121">+IFERROR(H161/H162,0)</f>
        <v>0</v>
      </c>
      <c r="I163" s="349">
        <f t="shared" ref="I163" si="122">+IFERROR(I161/I162,0)</f>
        <v>0</v>
      </c>
      <c r="J163" s="349">
        <f t="shared" ref="J163" si="123">+IFERROR(J161/J162,0)</f>
        <v>0</v>
      </c>
      <c r="K163" s="349">
        <f t="shared" ref="K163" si="124">+IFERROR(K161/K162,0)</f>
        <v>0</v>
      </c>
      <c r="L163" s="349">
        <f t="shared" ref="L163" si="125">+IFERROR(L161/L162,0)</f>
        <v>0</v>
      </c>
      <c r="M163" s="349">
        <f t="shared" ref="M163" si="126">+IFERROR(M161/M162,0)</f>
        <v>0</v>
      </c>
      <c r="N163" s="349">
        <f t="shared" ref="N163" si="127">+IFERROR(N161/N162,0)</f>
        <v>0</v>
      </c>
      <c r="O163" s="349">
        <f t="shared" ref="O163" si="128">+IFERROR(O161/O162,0)</f>
        <v>0</v>
      </c>
      <c r="P163" s="351">
        <f t="shared" ref="P163" si="129">+IFERROR(P161/P162,0)</f>
        <v>0</v>
      </c>
    </row>
    <row r="164" spans="1:16" ht="15" customHeight="1">
      <c r="B164" s="901" t="s">
        <v>20</v>
      </c>
      <c r="C164" s="904" t="s">
        <v>32</v>
      </c>
      <c r="D164" s="289" t="s">
        <v>86</v>
      </c>
      <c r="E164" s="343">
        <f>SUMIFS('Movimientos Reales'!$D$5:$D$1048576,'Movimientos Reales'!$G$5:$G$1048576,'3 Workig- Capex '!$A166,'Movimientos Reales'!$E$5:$E$1048576,'3 Workig- Capex '!E$139)</f>
        <v>0</v>
      </c>
      <c r="F164" s="235">
        <f>SUMIFS('Movimientos Reales'!$D$5:$D$1048576,'Movimientos Reales'!$G$5:$G$1048576,'3 Workig- Capex '!$A166,'Movimientos Reales'!$E$5:$E$1048576,'3 Workig- Capex '!F$139)</f>
        <v>0</v>
      </c>
      <c r="G164" s="235">
        <f>SUMIFS('Movimientos Reales'!$D$5:$D$1048576,'Movimientos Reales'!$G$5:$G$1048576,'3 Workig- Capex '!$A166,'Movimientos Reales'!$E$5:$E$1048576,'3 Workig- Capex '!G$139)</f>
        <v>0</v>
      </c>
      <c r="H164" s="235">
        <f>SUMIFS('Movimientos Reales'!$D$5:$D$1048576,'Movimientos Reales'!$G$5:$G$1048576,'3 Workig- Capex '!$A166,'Movimientos Reales'!$E$5:$E$1048576,'3 Workig- Capex '!H$139)</f>
        <v>0</v>
      </c>
      <c r="I164" s="235">
        <f>SUMIFS('Movimientos Reales'!$D$5:$D$1048576,'Movimientos Reales'!$G$5:$G$1048576,'3 Workig- Capex '!$A166,'Movimientos Reales'!$E$5:$E$1048576,'3 Workig- Capex '!I$139)</f>
        <v>0</v>
      </c>
      <c r="J164" s="235">
        <f>SUMIFS('Movimientos Reales'!$D$5:$D$1048576,'Movimientos Reales'!$G$5:$G$1048576,'3 Workig- Capex '!$A166,'Movimientos Reales'!$E$5:$E$1048576,'3 Workig- Capex '!J$139)</f>
        <v>0</v>
      </c>
      <c r="K164" s="235">
        <f>SUMIFS('Movimientos Reales'!$D$5:$D$1048576,'Movimientos Reales'!$G$5:$G$1048576,'3 Workig- Capex '!$A166,'Movimientos Reales'!$E$5:$E$1048576,'3 Workig- Capex '!K$139)</f>
        <v>0</v>
      </c>
      <c r="L164" s="235">
        <f>SUMIFS('Movimientos Reales'!$D$5:$D$1048576,'Movimientos Reales'!$G$5:$G$1048576,'3 Workig- Capex '!$A166,'Movimientos Reales'!$E$5:$E$1048576,'3 Workig- Capex '!L$139)</f>
        <v>0</v>
      </c>
      <c r="M164" s="235">
        <f>SUMIFS('Movimientos Reales'!$D$5:$D$1048576,'Movimientos Reales'!$G$5:$G$1048576,'3 Workig- Capex '!$A166,'Movimientos Reales'!$E$5:$E$1048576,'3 Workig- Capex '!M$139)</f>
        <v>0</v>
      </c>
      <c r="N164" s="235">
        <f>SUMIFS('Movimientos Reales'!$D$5:$D$1048576,'Movimientos Reales'!$G$5:$G$1048576,'3 Workig- Capex '!$A166,'Movimientos Reales'!$E$5:$E$1048576,'3 Workig- Capex '!N$139)</f>
        <v>0</v>
      </c>
      <c r="O164" s="235">
        <f>SUMIFS('Movimientos Reales'!$D$5:$D$1048576,'Movimientos Reales'!$G$5:$G$1048576,'3 Workig- Capex '!$A166,'Movimientos Reales'!$E$5:$E$1048576,'3 Workig- Capex '!O$139)</f>
        <v>0</v>
      </c>
      <c r="P164" s="237">
        <f>SUMIFS('Movimientos Reales'!$D$5:$D$1048576,'Movimientos Reales'!$G$5:$G$1048576,'3 Workig- Capex '!$A166,'Movimientos Reales'!$E$5:$E$1048576,'3 Workig- Capex '!P$139)</f>
        <v>0</v>
      </c>
    </row>
    <row r="165" spans="1:16" ht="15" customHeight="1" thickBot="1">
      <c r="B165" s="902"/>
      <c r="C165" s="905"/>
      <c r="D165" s="98" t="s">
        <v>58</v>
      </c>
      <c r="E165" s="348">
        <f t="shared" ref="E165:P165" si="130">+E33</f>
        <v>0</v>
      </c>
      <c r="F165" s="236">
        <f t="shared" si="130"/>
        <v>0</v>
      </c>
      <c r="G165" s="236">
        <f t="shared" si="130"/>
        <v>-31270712.287292793</v>
      </c>
      <c r="H165" s="236">
        <f t="shared" si="130"/>
        <v>128878275.8234717</v>
      </c>
      <c r="I165" s="236">
        <f t="shared" si="130"/>
        <v>21967059.599999994</v>
      </c>
      <c r="J165" s="236">
        <f t="shared" si="130"/>
        <v>0</v>
      </c>
      <c r="K165" s="236">
        <f t="shared" si="130"/>
        <v>0</v>
      </c>
      <c r="L165" s="236">
        <f t="shared" si="130"/>
        <v>0</v>
      </c>
      <c r="M165" s="236">
        <f t="shared" si="130"/>
        <v>0</v>
      </c>
      <c r="N165" s="236">
        <f t="shared" si="130"/>
        <v>88709044</v>
      </c>
      <c r="O165" s="236">
        <f t="shared" si="130"/>
        <v>0</v>
      </c>
      <c r="P165" s="238">
        <f t="shared" si="130"/>
        <v>0</v>
      </c>
    </row>
    <row r="166" spans="1:16" ht="15" customHeight="1" thickBot="1">
      <c r="A166" s="200" t="s">
        <v>33</v>
      </c>
      <c r="B166" s="903"/>
      <c r="C166" s="906"/>
      <c r="D166" s="335" t="s">
        <v>87</v>
      </c>
      <c r="E166" s="349">
        <f>+IFERROR(E164/E165,0)</f>
        <v>0</v>
      </c>
      <c r="F166" s="349">
        <f t="shared" ref="F166" si="131">+IFERROR(F164/F165,0)</f>
        <v>0</v>
      </c>
      <c r="G166" s="349">
        <f t="shared" ref="G166" si="132">+IFERROR(G164/G165,0)</f>
        <v>0</v>
      </c>
      <c r="H166" s="349">
        <f t="shared" ref="H166" si="133">+IFERROR(H164/H165,0)</f>
        <v>0</v>
      </c>
      <c r="I166" s="349">
        <f t="shared" ref="I166" si="134">+IFERROR(I164/I165,0)</f>
        <v>0</v>
      </c>
      <c r="J166" s="349">
        <f t="shared" ref="J166" si="135">+IFERROR(J164/J165,0)</f>
        <v>0</v>
      </c>
      <c r="K166" s="349">
        <f t="shared" ref="K166" si="136">+IFERROR(K164/K165,0)</f>
        <v>0</v>
      </c>
      <c r="L166" s="349">
        <f t="shared" ref="L166" si="137">+IFERROR(L164/L165,0)</f>
        <v>0</v>
      </c>
      <c r="M166" s="349">
        <f t="shared" ref="M166" si="138">+IFERROR(M164/M165,0)</f>
        <v>0</v>
      </c>
      <c r="N166" s="349">
        <f t="shared" ref="N166" si="139">+IFERROR(N164/N165,0)</f>
        <v>0</v>
      </c>
      <c r="O166" s="349">
        <f t="shared" ref="O166" si="140">+IFERROR(O164/O165,0)</f>
        <v>0</v>
      </c>
      <c r="P166" s="351">
        <f t="shared" ref="P166" si="141">+IFERROR(P164/P165,0)</f>
        <v>0</v>
      </c>
    </row>
    <row r="167" spans="1:16" ht="12.95">
      <c r="B167" s="901" t="s">
        <v>34</v>
      </c>
      <c r="C167" s="904" t="s">
        <v>35</v>
      </c>
      <c r="D167" s="289" t="s">
        <v>86</v>
      </c>
      <c r="E167" s="343">
        <f>SUMIFS('Movimientos Reales'!$D$5:$D$1048576,'Movimientos Reales'!$G$5:$G$1048576,'3 Workig- Capex '!$A169,'Movimientos Reales'!$E$5:$E$1048576,'3 Workig- Capex '!E$139)-50000000</f>
        <v>-50000000</v>
      </c>
      <c r="F167" s="235">
        <f>SUMIFS('Movimientos Reales'!$D$5:$D$1048576,'Movimientos Reales'!$G$5:$G$1048576,'3 Workig- Capex '!$A169,'Movimientos Reales'!$E$5:$E$1048576,'3 Workig- Capex '!F$139)</f>
        <v>0</v>
      </c>
      <c r="G167" s="235">
        <f>SUMIFS('Movimientos Reales'!$D$5:$D$1048576,'Movimientos Reales'!$G$5:$G$1048576,'3 Workig- Capex '!$A169,'Movimientos Reales'!$E$5:$E$1048576,'3 Workig- Capex '!G$139)</f>
        <v>0</v>
      </c>
      <c r="H167" s="235">
        <f>SUMIFS('Movimientos Reales'!$D$5:$D$1048576,'Movimientos Reales'!$G$5:$G$1048576,'3 Workig- Capex '!$A169,'Movimientos Reales'!$E$5:$E$1048576,'3 Workig- Capex '!H$139)</f>
        <v>0</v>
      </c>
      <c r="I167" s="235">
        <f>SUMIFS('Movimientos Reales'!$D$5:$D$1048576,'Movimientos Reales'!$G$5:$G$1048576,'3 Workig- Capex '!$A169,'Movimientos Reales'!$E$5:$E$1048576,'3 Workig- Capex '!I$139)</f>
        <v>0</v>
      </c>
      <c r="J167" s="235">
        <f>SUMIFS('Movimientos Reales'!$D$5:$D$1048576,'Movimientos Reales'!$G$5:$G$1048576,'3 Workig- Capex '!$A169,'Movimientos Reales'!$E$5:$E$1048576,'3 Workig- Capex '!J$139)</f>
        <v>0</v>
      </c>
      <c r="K167" s="235">
        <f>SUMIFS('Movimientos Reales'!$D$5:$D$1048576,'Movimientos Reales'!$G$5:$G$1048576,'3 Workig- Capex '!$A169,'Movimientos Reales'!$E$5:$E$1048576,'3 Workig- Capex '!K$139)</f>
        <v>0</v>
      </c>
      <c r="L167" s="235">
        <f>SUMIFS('Movimientos Reales'!$D$5:$D$1048576,'Movimientos Reales'!$G$5:$G$1048576,'3 Workig- Capex '!$A169,'Movimientos Reales'!$E$5:$E$1048576,'3 Workig- Capex '!L$139)</f>
        <v>0</v>
      </c>
      <c r="M167" s="235">
        <f>SUMIFS('Movimientos Reales'!$D$5:$D$1048576,'Movimientos Reales'!$G$5:$G$1048576,'3 Workig- Capex '!$A169,'Movimientos Reales'!$E$5:$E$1048576,'3 Workig- Capex '!M$139)</f>
        <v>0</v>
      </c>
      <c r="N167" s="235">
        <f>SUMIFS('Movimientos Reales'!$D$5:$D$1048576,'Movimientos Reales'!$G$5:$G$1048576,'3 Workig- Capex '!$A169,'Movimientos Reales'!$E$5:$E$1048576,'3 Workig- Capex '!N$139)</f>
        <v>0</v>
      </c>
      <c r="O167" s="235">
        <f>SUMIFS('Movimientos Reales'!$D$5:$D$1048576,'Movimientos Reales'!$G$5:$G$1048576,'3 Workig- Capex '!$A169,'Movimientos Reales'!$E$5:$E$1048576,'3 Workig- Capex '!O$139)</f>
        <v>0</v>
      </c>
      <c r="P167" s="237">
        <f>SUMIFS('Movimientos Reales'!$D$5:$D$1048576,'Movimientos Reales'!$G$5:$G$1048576,'3 Workig- Capex '!$A169,'Movimientos Reales'!$E$5:$E$1048576,'3 Workig- Capex '!P$139)</f>
        <v>0</v>
      </c>
    </row>
    <row r="168" spans="1:16" ht="15" customHeight="1" thickBot="1">
      <c r="B168" s="902"/>
      <c r="C168" s="905"/>
      <c r="D168" s="98" t="s">
        <v>58</v>
      </c>
      <c r="E168" s="348">
        <f t="shared" ref="E168:P168" si="142">+E36</f>
        <v>-493674352</v>
      </c>
      <c r="F168" s="236">
        <f t="shared" si="142"/>
        <v>-288034225</v>
      </c>
      <c r="G168" s="236">
        <f t="shared" si="142"/>
        <v>232160210.55999994</v>
      </c>
      <c r="H168" s="236">
        <f t="shared" si="142"/>
        <v>-159196118.16999999</v>
      </c>
      <c r="I168" s="236">
        <f t="shared" si="142"/>
        <v>-250000000</v>
      </c>
      <c r="J168" s="236">
        <f t="shared" si="142"/>
        <v>-100000000</v>
      </c>
      <c r="K168" s="236">
        <f t="shared" si="142"/>
        <v>0</v>
      </c>
      <c r="L168" s="236">
        <f t="shared" si="142"/>
        <v>0</v>
      </c>
      <c r="M168" s="236">
        <f t="shared" si="142"/>
        <v>0</v>
      </c>
      <c r="N168" s="236">
        <f t="shared" si="142"/>
        <v>0</v>
      </c>
      <c r="O168" s="236">
        <f t="shared" si="142"/>
        <v>0</v>
      </c>
      <c r="P168" s="238">
        <f t="shared" si="142"/>
        <v>0</v>
      </c>
    </row>
    <row r="169" spans="1:16" ht="15" customHeight="1" thickBot="1">
      <c r="A169" s="200" t="s">
        <v>36</v>
      </c>
      <c r="B169" s="903"/>
      <c r="C169" s="906"/>
      <c r="D169" s="335" t="s">
        <v>87</v>
      </c>
      <c r="E169" s="349">
        <f>+IFERROR(E167/E168,0)</f>
        <v>0.10128134021432816</v>
      </c>
      <c r="F169" s="349">
        <f t="shared" ref="F169" si="143">+IFERROR(F167/F168,0)</f>
        <v>0</v>
      </c>
      <c r="G169" s="349">
        <f t="shared" ref="G169" si="144">+IFERROR(G167/G168,0)</f>
        <v>0</v>
      </c>
      <c r="H169" s="349">
        <f t="shared" ref="H169" si="145">+IFERROR(H167/H168,0)</f>
        <v>0</v>
      </c>
      <c r="I169" s="349">
        <f t="shared" ref="I169" si="146">+IFERROR(I167/I168,0)</f>
        <v>0</v>
      </c>
      <c r="J169" s="349">
        <f t="shared" ref="J169" si="147">+IFERROR(J167/J168,0)</f>
        <v>0</v>
      </c>
      <c r="K169" s="349">
        <f t="shared" ref="K169" si="148">+IFERROR(K167/K168,0)</f>
        <v>0</v>
      </c>
      <c r="L169" s="349">
        <f t="shared" ref="L169" si="149">+IFERROR(L167/L168,0)</f>
        <v>0</v>
      </c>
      <c r="M169" s="349">
        <f t="shared" ref="M169" si="150">+IFERROR(M167/M168,0)</f>
        <v>0</v>
      </c>
      <c r="N169" s="349">
        <f t="shared" ref="N169" si="151">+IFERROR(N167/N168,0)</f>
        <v>0</v>
      </c>
      <c r="O169" s="349">
        <f t="shared" ref="O169" si="152">+IFERROR(O167/O168,0)</f>
        <v>0</v>
      </c>
      <c r="P169" s="351">
        <f t="shared" ref="P169" si="153">+IFERROR(P167/P168,0)</f>
        <v>0</v>
      </c>
    </row>
    <row r="170" spans="1:16" ht="15" customHeight="1">
      <c r="A170" s="184"/>
      <c r="B170" s="901" t="s">
        <v>20</v>
      </c>
      <c r="C170" s="907" t="s">
        <v>38</v>
      </c>
      <c r="D170" s="289" t="s">
        <v>86</v>
      </c>
      <c r="E170" s="343">
        <f>SUMIFS('Movimientos Reales'!$D$5:$D$1048576,'Movimientos Reales'!$G$5:$G$1048576,'3 Workig- Capex '!$A172,'Movimientos Reales'!$E$5:$E$1048576,'3 Workig- Capex '!E$139)</f>
        <v>0</v>
      </c>
      <c r="F170" s="235">
        <f>SUMIFS('Movimientos Reales'!$D$5:$D$1048576,'Movimientos Reales'!$G$5:$G$1048576,'3 Workig- Capex '!$A172,'Movimientos Reales'!$E$5:$E$1048576,'3 Workig- Capex '!F$139)</f>
        <v>0</v>
      </c>
      <c r="G170" s="235">
        <f>SUMIFS('Movimientos Reales'!$D$5:$D$1048576,'Movimientos Reales'!$G$5:$G$1048576,'3 Workig- Capex '!$A172,'Movimientos Reales'!$E$5:$E$1048576,'3 Workig- Capex '!G$139)</f>
        <v>0</v>
      </c>
      <c r="H170" s="235">
        <f>SUMIFS('Movimientos Reales'!$D$5:$D$1048576,'Movimientos Reales'!$G$5:$G$1048576,'3 Workig- Capex '!$A172,'Movimientos Reales'!$E$5:$E$1048576,'3 Workig- Capex '!H$139)</f>
        <v>0</v>
      </c>
      <c r="I170" s="235">
        <f>SUMIFS('Movimientos Reales'!$D$5:$D$1048576,'Movimientos Reales'!$G$5:$G$1048576,'3 Workig- Capex '!$A172,'Movimientos Reales'!$E$5:$E$1048576,'3 Workig- Capex '!I$139)</f>
        <v>0</v>
      </c>
      <c r="J170" s="235">
        <f>SUMIFS('Movimientos Reales'!$D$5:$D$1048576,'Movimientos Reales'!$G$5:$G$1048576,'3 Workig- Capex '!$A172,'Movimientos Reales'!$E$5:$E$1048576,'3 Workig- Capex '!J$139)</f>
        <v>0</v>
      </c>
      <c r="K170" s="235">
        <f>SUMIFS('Movimientos Reales'!$D$5:$D$1048576,'Movimientos Reales'!$G$5:$G$1048576,'3 Workig- Capex '!$A172,'Movimientos Reales'!$E$5:$E$1048576,'3 Workig- Capex '!K$139)</f>
        <v>0</v>
      </c>
      <c r="L170" s="235">
        <f>SUMIFS('Movimientos Reales'!$D$5:$D$1048576,'Movimientos Reales'!$G$5:$G$1048576,'3 Workig- Capex '!$A172,'Movimientos Reales'!$E$5:$E$1048576,'3 Workig- Capex '!L$139)</f>
        <v>0</v>
      </c>
      <c r="M170" s="235">
        <f>SUMIFS('Movimientos Reales'!$D$5:$D$1048576,'Movimientos Reales'!$G$5:$G$1048576,'3 Workig- Capex '!$A172,'Movimientos Reales'!$E$5:$E$1048576,'3 Workig- Capex '!M$139)</f>
        <v>0</v>
      </c>
      <c r="N170" s="235">
        <f>SUMIFS('Movimientos Reales'!$D$5:$D$1048576,'Movimientos Reales'!$G$5:$G$1048576,'3 Workig- Capex '!$A172,'Movimientos Reales'!$E$5:$E$1048576,'3 Workig- Capex '!N$139)</f>
        <v>0</v>
      </c>
      <c r="O170" s="235">
        <f>SUMIFS('Movimientos Reales'!$D$5:$D$1048576,'Movimientos Reales'!$G$5:$G$1048576,'3 Workig- Capex '!$A172,'Movimientos Reales'!$E$5:$E$1048576,'3 Workig- Capex '!O$139)</f>
        <v>0</v>
      </c>
      <c r="P170" s="237">
        <f>SUMIFS('Movimientos Reales'!$D$5:$D$1048576,'Movimientos Reales'!$G$5:$G$1048576,'3 Workig- Capex '!$A172,'Movimientos Reales'!$E$5:$E$1048576,'3 Workig- Capex '!P$139)</f>
        <v>0</v>
      </c>
    </row>
    <row r="171" spans="1:16" ht="15" customHeight="1" thickBot="1">
      <c r="A171" s="184"/>
      <c r="B171" s="902"/>
      <c r="C171" s="908"/>
      <c r="D171" s="98" t="s">
        <v>58</v>
      </c>
      <c r="E171" s="348">
        <f t="shared" ref="E171:P171" si="154">+E39</f>
        <v>40475010</v>
      </c>
      <c r="F171" s="236">
        <f t="shared" si="154"/>
        <v>0</v>
      </c>
      <c r="G171" s="236">
        <f t="shared" si="154"/>
        <v>0</v>
      </c>
      <c r="H171" s="236">
        <f t="shared" si="154"/>
        <v>-16842070.192760698</v>
      </c>
      <c r="I171" s="236">
        <f t="shared" si="154"/>
        <v>-24739505</v>
      </c>
      <c r="J171" s="236">
        <f t="shared" si="154"/>
        <v>0</v>
      </c>
      <c r="K171" s="236">
        <f t="shared" si="154"/>
        <v>0</v>
      </c>
      <c r="L171" s="236">
        <f t="shared" si="154"/>
        <v>0</v>
      </c>
      <c r="M171" s="236">
        <f t="shared" si="154"/>
        <v>17346432.759315699</v>
      </c>
      <c r="N171" s="236">
        <f t="shared" si="154"/>
        <v>0</v>
      </c>
      <c r="O171" s="236">
        <f t="shared" si="154"/>
        <v>0</v>
      </c>
      <c r="P171" s="238">
        <f t="shared" si="154"/>
        <v>0</v>
      </c>
    </row>
    <row r="172" spans="1:16" ht="15" customHeight="1" thickBot="1">
      <c r="A172" s="200" t="s">
        <v>88</v>
      </c>
      <c r="B172" s="903"/>
      <c r="C172" s="909"/>
      <c r="D172" s="335" t="s">
        <v>87</v>
      </c>
      <c r="E172" s="349">
        <f t="shared" ref="E172:P172" si="155">+IFERROR(E170/E171,0)</f>
        <v>0</v>
      </c>
      <c r="F172" s="349">
        <f t="shared" si="155"/>
        <v>0</v>
      </c>
      <c r="G172" s="349">
        <f t="shared" si="155"/>
        <v>0</v>
      </c>
      <c r="H172" s="349">
        <f t="shared" si="155"/>
        <v>0</v>
      </c>
      <c r="I172" s="349">
        <f t="shared" si="155"/>
        <v>0</v>
      </c>
      <c r="J172" s="349">
        <f t="shared" si="155"/>
        <v>0</v>
      </c>
      <c r="K172" s="349">
        <f t="shared" si="155"/>
        <v>0</v>
      </c>
      <c r="L172" s="349">
        <f t="shared" si="155"/>
        <v>0</v>
      </c>
      <c r="M172" s="349">
        <f t="shared" si="155"/>
        <v>0</v>
      </c>
      <c r="N172" s="349">
        <f t="shared" si="155"/>
        <v>0</v>
      </c>
      <c r="O172" s="349">
        <f t="shared" si="155"/>
        <v>0</v>
      </c>
      <c r="P172" s="351">
        <f t="shared" si="155"/>
        <v>0</v>
      </c>
    </row>
    <row r="173" spans="1:16" ht="15" customHeight="1">
      <c r="B173" s="901" t="s">
        <v>20</v>
      </c>
      <c r="C173" s="904" t="s">
        <v>39</v>
      </c>
      <c r="D173" s="289" t="s">
        <v>86</v>
      </c>
      <c r="E173" s="343">
        <f>SUMIFS('Movimientos Reales'!$D$5:$D$1048576,'Movimientos Reales'!$G$5:$G$1048576,'3 Workig- Capex '!$A175,'Movimientos Reales'!$E$5:$E$1048576,'3 Workig- Capex '!E$139)</f>
        <v>0</v>
      </c>
      <c r="F173" s="235">
        <f>SUMIFS('Movimientos Reales'!$D$5:$D$1048576,'Movimientos Reales'!$G$5:$G$1048576,'3 Workig- Capex '!$A175,'Movimientos Reales'!$E$5:$E$1048576,'3 Workig- Capex '!F$139)</f>
        <v>0</v>
      </c>
      <c r="G173" s="235">
        <f>SUMIFS('Movimientos Reales'!$D$5:$D$1048576,'Movimientos Reales'!$G$5:$G$1048576,'3 Workig- Capex '!$A175,'Movimientos Reales'!$E$5:$E$1048576,'3 Workig- Capex '!G$139)</f>
        <v>0</v>
      </c>
      <c r="H173" s="235">
        <f>SUMIFS('Movimientos Reales'!$D$5:$D$1048576,'Movimientos Reales'!$G$5:$G$1048576,'3 Workig- Capex '!$A175,'Movimientos Reales'!$E$5:$E$1048576,'3 Workig- Capex '!H$139)</f>
        <v>0</v>
      </c>
      <c r="I173" s="235">
        <f>SUMIFS('Movimientos Reales'!$D$5:$D$1048576,'Movimientos Reales'!$G$5:$G$1048576,'3 Workig- Capex '!$A175,'Movimientos Reales'!$E$5:$E$1048576,'3 Workig- Capex '!I$139)</f>
        <v>0</v>
      </c>
      <c r="J173" s="235">
        <f>SUMIFS('Movimientos Reales'!$D$5:$D$1048576,'Movimientos Reales'!$G$5:$G$1048576,'3 Workig- Capex '!$A175,'Movimientos Reales'!$E$5:$E$1048576,'3 Workig- Capex '!J$139)</f>
        <v>0</v>
      </c>
      <c r="K173" s="235">
        <f>SUMIFS('Movimientos Reales'!$D$5:$D$1048576,'Movimientos Reales'!$G$5:$G$1048576,'3 Workig- Capex '!$A175,'Movimientos Reales'!$E$5:$E$1048576,'3 Workig- Capex '!K$139)</f>
        <v>0</v>
      </c>
      <c r="L173" s="235">
        <f>SUMIFS('Movimientos Reales'!$D$5:$D$1048576,'Movimientos Reales'!$G$5:$G$1048576,'3 Workig- Capex '!$A175,'Movimientos Reales'!$E$5:$E$1048576,'3 Workig- Capex '!L$139)</f>
        <v>0</v>
      </c>
      <c r="M173" s="235">
        <f>SUMIFS('Movimientos Reales'!$D$5:$D$1048576,'Movimientos Reales'!$G$5:$G$1048576,'3 Workig- Capex '!$A175,'Movimientos Reales'!$E$5:$E$1048576,'3 Workig- Capex '!M$139)</f>
        <v>0</v>
      </c>
      <c r="N173" s="235">
        <f>SUMIFS('Movimientos Reales'!$D$5:$D$1048576,'Movimientos Reales'!$G$5:$G$1048576,'3 Workig- Capex '!$A175,'Movimientos Reales'!$E$5:$E$1048576,'3 Workig- Capex '!N$139)</f>
        <v>0</v>
      </c>
      <c r="O173" s="235">
        <f>SUMIFS('Movimientos Reales'!$D$5:$D$1048576,'Movimientos Reales'!$G$5:$G$1048576,'3 Workig- Capex '!$A175,'Movimientos Reales'!$E$5:$E$1048576,'3 Workig- Capex '!O$139)</f>
        <v>0</v>
      </c>
      <c r="P173" s="237">
        <f>SUMIFS('Movimientos Reales'!$D$5:$D$1048576,'Movimientos Reales'!$G$5:$G$1048576,'3 Workig- Capex '!$A175,'Movimientos Reales'!$E$5:$E$1048576,'3 Workig- Capex '!P$139)</f>
        <v>0</v>
      </c>
    </row>
    <row r="174" spans="1:16" ht="15" customHeight="1" thickBot="1">
      <c r="B174" s="902"/>
      <c r="C174" s="905"/>
      <c r="D174" s="98" t="s">
        <v>58</v>
      </c>
      <c r="E174" s="348">
        <f t="shared" ref="E174:P174" si="156">+E42</f>
        <v>0</v>
      </c>
      <c r="F174" s="236">
        <f t="shared" si="156"/>
        <v>-2000000</v>
      </c>
      <c r="G174" s="236">
        <f t="shared" si="156"/>
        <v>-2500000</v>
      </c>
      <c r="H174" s="236">
        <f t="shared" si="156"/>
        <v>0</v>
      </c>
      <c r="I174" s="236">
        <f t="shared" si="156"/>
        <v>0</v>
      </c>
      <c r="J174" s="236">
        <f t="shared" si="156"/>
        <v>0</v>
      </c>
      <c r="K174" s="236">
        <f t="shared" si="156"/>
        <v>0</v>
      </c>
      <c r="L174" s="236">
        <f t="shared" si="156"/>
        <v>0</v>
      </c>
      <c r="M174" s="236">
        <f t="shared" si="156"/>
        <v>0</v>
      </c>
      <c r="N174" s="236">
        <f t="shared" si="156"/>
        <v>0</v>
      </c>
      <c r="O174" s="236">
        <f t="shared" si="156"/>
        <v>0</v>
      </c>
      <c r="P174" s="238">
        <f t="shared" si="156"/>
        <v>0</v>
      </c>
    </row>
    <row r="175" spans="1:16" ht="15" customHeight="1" thickBot="1">
      <c r="A175" s="200" t="s">
        <v>39</v>
      </c>
      <c r="B175" s="903"/>
      <c r="C175" s="906"/>
      <c r="D175" s="335" t="s">
        <v>87</v>
      </c>
      <c r="E175" s="349">
        <f t="shared" ref="E175:P175" si="157">+IFERROR(E173/E174,0)</f>
        <v>0</v>
      </c>
      <c r="F175" s="349">
        <f t="shared" si="157"/>
        <v>0</v>
      </c>
      <c r="G175" s="349">
        <f t="shared" si="157"/>
        <v>0</v>
      </c>
      <c r="H175" s="349">
        <f t="shared" si="157"/>
        <v>0</v>
      </c>
      <c r="I175" s="349">
        <f t="shared" si="157"/>
        <v>0</v>
      </c>
      <c r="J175" s="349">
        <f t="shared" si="157"/>
        <v>0</v>
      </c>
      <c r="K175" s="349">
        <f t="shared" si="157"/>
        <v>0</v>
      </c>
      <c r="L175" s="349">
        <f t="shared" si="157"/>
        <v>0</v>
      </c>
      <c r="M175" s="349">
        <f t="shared" si="157"/>
        <v>0</v>
      </c>
      <c r="N175" s="349">
        <f t="shared" si="157"/>
        <v>0</v>
      </c>
      <c r="O175" s="349">
        <f t="shared" si="157"/>
        <v>0</v>
      </c>
      <c r="P175" s="351">
        <f t="shared" si="157"/>
        <v>0</v>
      </c>
    </row>
    <row r="176" spans="1:16" ht="12.95">
      <c r="B176" s="901" t="s">
        <v>20</v>
      </c>
      <c r="C176" s="907" t="s">
        <v>40</v>
      </c>
      <c r="D176" s="289" t="s">
        <v>86</v>
      </c>
      <c r="E176" s="343">
        <f>SUMIFS('Movimientos Reales'!$D$5:$D$1048576,'Movimientos Reales'!$G$5:$G$1048576,'3 Workig- Capex '!$A178,'Movimientos Reales'!$E$5:$E$1048576,'3 Workig- Capex '!E$139)</f>
        <v>0</v>
      </c>
      <c r="F176" s="235">
        <f>SUMIFS('Movimientos Reales'!$D$5:$D$1048576,'Movimientos Reales'!$G$5:$G$1048576,'3 Workig- Capex '!$A178,'Movimientos Reales'!$E$5:$E$1048576,'3 Workig- Capex '!F$139)</f>
        <v>0</v>
      </c>
      <c r="G176" s="235">
        <f>SUMIFS('Movimientos Reales'!$D$5:$D$1048576,'Movimientos Reales'!$G$5:$G$1048576,'3 Workig- Capex '!$A178,'Movimientos Reales'!$E$5:$E$1048576,'3 Workig- Capex '!G$139)</f>
        <v>0</v>
      </c>
      <c r="H176" s="235">
        <f>SUMIFS('Movimientos Reales'!$D$5:$D$1048576,'Movimientos Reales'!$G$5:$G$1048576,'3 Workig- Capex '!$A178,'Movimientos Reales'!$E$5:$E$1048576,'3 Workig- Capex '!H$139)</f>
        <v>0</v>
      </c>
      <c r="I176" s="235">
        <f>SUMIFS('Movimientos Reales'!$D$5:$D$1048576,'Movimientos Reales'!$G$5:$G$1048576,'3 Workig- Capex '!$A178,'Movimientos Reales'!$E$5:$E$1048576,'3 Workig- Capex '!I$139)</f>
        <v>0</v>
      </c>
      <c r="J176" s="235">
        <f>SUMIFS('Movimientos Reales'!$D$5:$D$1048576,'Movimientos Reales'!$G$5:$G$1048576,'3 Workig- Capex '!$A178,'Movimientos Reales'!$E$5:$E$1048576,'3 Workig- Capex '!J$139)</f>
        <v>0</v>
      </c>
      <c r="K176" s="235">
        <f>SUMIFS('Movimientos Reales'!$D$5:$D$1048576,'Movimientos Reales'!$G$5:$G$1048576,'3 Workig- Capex '!$A178,'Movimientos Reales'!$E$5:$E$1048576,'3 Workig- Capex '!K$139)</f>
        <v>0</v>
      </c>
      <c r="L176" s="235">
        <f>SUMIFS('Movimientos Reales'!$D$5:$D$1048576,'Movimientos Reales'!$G$5:$G$1048576,'3 Workig- Capex '!$A178,'Movimientos Reales'!$E$5:$E$1048576,'3 Workig- Capex '!L$139)</f>
        <v>0</v>
      </c>
      <c r="M176" s="235">
        <f>SUMIFS('Movimientos Reales'!$D$5:$D$1048576,'Movimientos Reales'!$G$5:$G$1048576,'3 Workig- Capex '!$A178,'Movimientos Reales'!$E$5:$E$1048576,'3 Workig- Capex '!M$139)</f>
        <v>0</v>
      </c>
      <c r="N176" s="235">
        <f>SUMIFS('Movimientos Reales'!$D$5:$D$1048576,'Movimientos Reales'!$G$5:$G$1048576,'3 Workig- Capex '!$A178,'Movimientos Reales'!$E$5:$E$1048576,'3 Workig- Capex '!N$139)</f>
        <v>0</v>
      </c>
      <c r="O176" s="235">
        <f>SUMIFS('Movimientos Reales'!$D$5:$D$1048576,'Movimientos Reales'!$G$5:$G$1048576,'3 Workig- Capex '!$A178,'Movimientos Reales'!$E$5:$E$1048576,'3 Workig- Capex '!O$139)</f>
        <v>0</v>
      </c>
      <c r="P176" s="237">
        <f>SUMIFS('Movimientos Reales'!$D$5:$D$1048576,'Movimientos Reales'!$G$5:$G$1048576,'3 Workig- Capex '!$A178,'Movimientos Reales'!$E$5:$E$1048576,'3 Workig- Capex '!P$139)</f>
        <v>0</v>
      </c>
    </row>
    <row r="177" spans="1:16" ht="13.5" thickBot="1">
      <c r="B177" s="902"/>
      <c r="C177" s="908"/>
      <c r="D177" s="98" t="s">
        <v>58</v>
      </c>
      <c r="E177" s="348">
        <f t="shared" ref="E177:P177" si="158">+E45</f>
        <v>0</v>
      </c>
      <c r="F177" s="236">
        <f t="shared" si="158"/>
        <v>50000000</v>
      </c>
      <c r="G177" s="236">
        <f t="shared" si="158"/>
        <v>0</v>
      </c>
      <c r="H177" s="236">
        <f t="shared" si="158"/>
        <v>-32211026.734526426</v>
      </c>
      <c r="I177" s="236">
        <f t="shared" si="158"/>
        <v>-7767240.7201477997</v>
      </c>
      <c r="J177" s="236">
        <f t="shared" si="158"/>
        <v>-9084837.5</v>
      </c>
      <c r="K177" s="236">
        <f t="shared" si="158"/>
        <v>0</v>
      </c>
      <c r="L177" s="236">
        <f t="shared" si="158"/>
        <v>0</v>
      </c>
      <c r="M177" s="236">
        <f t="shared" si="158"/>
        <v>55000000</v>
      </c>
      <c r="N177" s="236">
        <f t="shared" si="158"/>
        <v>0</v>
      </c>
      <c r="O177" s="236">
        <f t="shared" si="158"/>
        <v>0</v>
      </c>
      <c r="P177" s="238">
        <f t="shared" si="158"/>
        <v>0</v>
      </c>
    </row>
    <row r="178" spans="1:16" ht="14.45" thickBot="1">
      <c r="A178" s="200" t="s">
        <v>89</v>
      </c>
      <c r="B178" s="903"/>
      <c r="C178" s="909"/>
      <c r="D178" s="335" t="s">
        <v>87</v>
      </c>
      <c r="E178" s="349">
        <f t="shared" ref="E178:P178" si="159">+IFERROR(E176/E177,0)</f>
        <v>0</v>
      </c>
      <c r="F178" s="349">
        <f t="shared" si="159"/>
        <v>0</v>
      </c>
      <c r="G178" s="349">
        <f t="shared" si="159"/>
        <v>0</v>
      </c>
      <c r="H178" s="349">
        <f t="shared" si="159"/>
        <v>0</v>
      </c>
      <c r="I178" s="349">
        <f t="shared" si="159"/>
        <v>0</v>
      </c>
      <c r="J178" s="349">
        <f t="shared" si="159"/>
        <v>0</v>
      </c>
      <c r="K178" s="349">
        <f>+IFERROR(K176/K177,0)</f>
        <v>0</v>
      </c>
      <c r="L178" s="349">
        <f t="shared" si="159"/>
        <v>0</v>
      </c>
      <c r="M178" s="349">
        <f t="shared" si="159"/>
        <v>0</v>
      </c>
      <c r="N178" s="349">
        <f t="shared" si="159"/>
        <v>0</v>
      </c>
      <c r="O178" s="349">
        <f t="shared" si="159"/>
        <v>0</v>
      </c>
      <c r="P178" s="351">
        <f t="shared" si="159"/>
        <v>0</v>
      </c>
    </row>
    <row r="179" spans="1:16" ht="12.95">
      <c r="B179" s="901" t="s">
        <v>20</v>
      </c>
      <c r="C179" s="907" t="s">
        <v>41</v>
      </c>
      <c r="D179" s="289" t="s">
        <v>86</v>
      </c>
      <c r="E179" s="343">
        <f>SUMIFS('Movimientos Reales'!$D$5:$D$1048576,'Movimientos Reales'!$G$5:$G$1048576,'3 Workig- Capex '!$A181,'Movimientos Reales'!$E$5:$E$1048576,'3 Workig- Capex '!E$139)</f>
        <v>0</v>
      </c>
      <c r="F179" s="235">
        <f>SUMIFS('Movimientos Reales'!$D$5:$D$1048576,'Movimientos Reales'!$G$5:$G$1048576,'3 Workig- Capex '!$A181,'Movimientos Reales'!$E$5:$E$1048576,'3 Workig- Capex '!F$139)</f>
        <v>0</v>
      </c>
      <c r="G179" s="235">
        <f>SUMIFS('Movimientos Reales'!$D$5:$D$1048576,'Movimientos Reales'!$G$5:$G$1048576,'3 Workig- Capex '!$A181,'Movimientos Reales'!$E$5:$E$1048576,'3 Workig- Capex '!G$139)</f>
        <v>0</v>
      </c>
      <c r="H179" s="235">
        <f>SUMIFS('Movimientos Reales'!$D$5:$D$1048576,'Movimientos Reales'!$G$5:$G$1048576,'3 Workig- Capex '!$A181,'Movimientos Reales'!$E$5:$E$1048576,'3 Workig- Capex '!H$139)</f>
        <v>0</v>
      </c>
      <c r="I179" s="235">
        <f>SUMIFS('Movimientos Reales'!$D$5:$D$1048576,'Movimientos Reales'!$G$5:$G$1048576,'3 Workig- Capex '!$A181,'Movimientos Reales'!$E$5:$E$1048576,'3 Workig- Capex '!I$139)</f>
        <v>0</v>
      </c>
      <c r="J179" s="235">
        <f>SUMIFS('Movimientos Reales'!$D$5:$D$1048576,'Movimientos Reales'!$G$5:$G$1048576,'3 Workig- Capex '!$A181,'Movimientos Reales'!$E$5:$E$1048576,'3 Workig- Capex '!J$139)</f>
        <v>0</v>
      </c>
      <c r="K179" s="235">
        <f>SUMIFS('Movimientos Reales'!$D$5:$D$1048576,'Movimientos Reales'!$G$5:$G$1048576,'3 Workig- Capex '!$A181,'Movimientos Reales'!$E$5:$E$1048576,'3 Workig- Capex '!K$139)</f>
        <v>0</v>
      </c>
      <c r="L179" s="235">
        <f>SUMIFS('Movimientos Reales'!$D$5:$D$1048576,'Movimientos Reales'!$G$5:$G$1048576,'3 Workig- Capex '!$A181,'Movimientos Reales'!$E$5:$E$1048576,'3 Workig- Capex '!L$139)</f>
        <v>0</v>
      </c>
      <c r="M179" s="235">
        <f>SUMIFS('Movimientos Reales'!$D$5:$D$1048576,'Movimientos Reales'!$G$5:$G$1048576,'3 Workig- Capex '!$A181,'Movimientos Reales'!$E$5:$E$1048576,'3 Workig- Capex '!M$139)</f>
        <v>0</v>
      </c>
      <c r="N179" s="235">
        <f>SUMIFS('Movimientos Reales'!$D$5:$D$1048576,'Movimientos Reales'!$G$5:$G$1048576,'3 Workig- Capex '!$A181,'Movimientos Reales'!$E$5:$E$1048576,'3 Workig- Capex '!N$139)</f>
        <v>0</v>
      </c>
      <c r="O179" s="235">
        <f>SUMIFS('Movimientos Reales'!$D$5:$D$1048576,'Movimientos Reales'!$G$5:$G$1048576,'3 Workig- Capex '!$A181,'Movimientos Reales'!$E$5:$E$1048576,'3 Workig- Capex '!O$139)</f>
        <v>0</v>
      </c>
      <c r="P179" s="237">
        <f>SUMIFS('Movimientos Reales'!$D$5:$D$1048576,'Movimientos Reales'!$G$5:$G$1048576,'3 Workig- Capex '!$A181,'Movimientos Reales'!$E$5:$E$1048576,'3 Workig- Capex '!P$139)</f>
        <v>0</v>
      </c>
    </row>
    <row r="180" spans="1:16" ht="13.5" thickBot="1">
      <c r="B180" s="902"/>
      <c r="C180" s="908"/>
      <c r="D180" s="98" t="s">
        <v>58</v>
      </c>
      <c r="E180" s="348">
        <f t="shared" ref="E180:P180" si="160">+E48</f>
        <v>0</v>
      </c>
      <c r="F180" s="236">
        <f t="shared" si="160"/>
        <v>0</v>
      </c>
      <c r="G180" s="236">
        <f t="shared" si="160"/>
        <v>129971586.96065731</v>
      </c>
      <c r="H180" s="236">
        <f t="shared" si="160"/>
        <v>-45948709.927477002</v>
      </c>
      <c r="I180" s="236">
        <f t="shared" si="160"/>
        <v>-26299441.506790996</v>
      </c>
      <c r="J180" s="236">
        <f t="shared" si="160"/>
        <v>-8932352.5</v>
      </c>
      <c r="K180" s="236">
        <f t="shared" si="160"/>
        <v>0</v>
      </c>
      <c r="L180" s="236">
        <f t="shared" si="160"/>
        <v>0</v>
      </c>
      <c r="M180" s="236">
        <f t="shared" si="160"/>
        <v>0</v>
      </c>
      <c r="N180" s="236">
        <f t="shared" si="160"/>
        <v>27940200</v>
      </c>
      <c r="O180" s="236">
        <f t="shared" si="160"/>
        <v>0</v>
      </c>
      <c r="P180" s="238">
        <f t="shared" si="160"/>
        <v>0</v>
      </c>
    </row>
    <row r="181" spans="1:16" ht="14.45" thickBot="1">
      <c r="A181" s="200" t="s">
        <v>41</v>
      </c>
      <c r="B181" s="903"/>
      <c r="C181" s="909"/>
      <c r="D181" s="335" t="s">
        <v>87</v>
      </c>
      <c r="E181" s="349">
        <f t="shared" ref="E181:P181" si="161">+IFERROR(E179/E180,0)</f>
        <v>0</v>
      </c>
      <c r="F181" s="349">
        <f t="shared" si="161"/>
        <v>0</v>
      </c>
      <c r="G181" s="349">
        <f t="shared" si="161"/>
        <v>0</v>
      </c>
      <c r="H181" s="349">
        <f t="shared" si="161"/>
        <v>0</v>
      </c>
      <c r="I181" s="349">
        <f t="shared" si="161"/>
        <v>0</v>
      </c>
      <c r="J181" s="349">
        <f t="shared" si="161"/>
        <v>0</v>
      </c>
      <c r="K181" s="349">
        <f t="shared" si="161"/>
        <v>0</v>
      </c>
      <c r="L181" s="349">
        <f t="shared" si="161"/>
        <v>0</v>
      </c>
      <c r="M181" s="349">
        <f t="shared" si="161"/>
        <v>0</v>
      </c>
      <c r="N181" s="349">
        <f t="shared" si="161"/>
        <v>0</v>
      </c>
      <c r="O181" s="349">
        <f t="shared" si="161"/>
        <v>0</v>
      </c>
      <c r="P181" s="351">
        <f t="shared" si="161"/>
        <v>0</v>
      </c>
    </row>
    <row r="182" spans="1:16" ht="12.95">
      <c r="B182" s="901" t="s">
        <v>20</v>
      </c>
      <c r="C182" s="904" t="s">
        <v>42</v>
      </c>
      <c r="D182" s="289" t="s">
        <v>86</v>
      </c>
      <c r="E182" s="343">
        <f>SUMIFS('Movimientos Reales'!$D$5:$D$1048576,'Movimientos Reales'!$G$5:$G$1048576,'3 Workig- Capex '!$A184,'Movimientos Reales'!$E$5:$E$1048576,'3 Workig- Capex '!E$139)</f>
        <v>0</v>
      </c>
      <c r="F182" s="235">
        <f>SUMIFS('Movimientos Reales'!$D$5:$D$1048576,'Movimientos Reales'!$G$5:$G$1048576,'3 Workig- Capex '!$A184,'Movimientos Reales'!$E$5:$E$1048576,'3 Workig- Capex '!F$139)</f>
        <v>0</v>
      </c>
      <c r="G182" s="235">
        <f>SUMIFS('Movimientos Reales'!$D$5:$D$1048576,'Movimientos Reales'!$G$5:$G$1048576,'3 Workig- Capex '!$A184,'Movimientos Reales'!$E$5:$E$1048576,'3 Workig- Capex '!G$139)</f>
        <v>0</v>
      </c>
      <c r="H182" s="235">
        <f>SUMIFS('Movimientos Reales'!$D$5:$D$1048576,'Movimientos Reales'!$G$5:$G$1048576,'3 Workig- Capex '!$A184,'Movimientos Reales'!$E$5:$E$1048576,'3 Workig- Capex '!H$139)</f>
        <v>0</v>
      </c>
      <c r="I182" s="235">
        <f>SUMIFS('Movimientos Reales'!$D$5:$D$1048576,'Movimientos Reales'!$G$5:$G$1048576,'3 Workig- Capex '!$A184,'Movimientos Reales'!$E$5:$E$1048576,'3 Workig- Capex '!I$139)</f>
        <v>0</v>
      </c>
      <c r="J182" s="235">
        <f>SUMIFS('Movimientos Reales'!$D$5:$D$1048576,'Movimientos Reales'!$G$5:$G$1048576,'3 Workig- Capex '!$A184,'Movimientos Reales'!$E$5:$E$1048576,'3 Workig- Capex '!J$139)</f>
        <v>0</v>
      </c>
      <c r="K182" s="235">
        <f>SUMIFS('Movimientos Reales'!$D$5:$D$1048576,'Movimientos Reales'!$G$5:$G$1048576,'3 Workig- Capex '!$A184,'Movimientos Reales'!$E$5:$E$1048576,'3 Workig- Capex '!K$139)</f>
        <v>0</v>
      </c>
      <c r="L182" s="235">
        <f>SUMIFS('Movimientos Reales'!$D$5:$D$1048576,'Movimientos Reales'!$G$5:$G$1048576,'3 Workig- Capex '!$A184,'Movimientos Reales'!$E$5:$E$1048576,'3 Workig- Capex '!L$139)</f>
        <v>0</v>
      </c>
      <c r="M182" s="235">
        <f>SUMIFS('Movimientos Reales'!$D$5:$D$1048576,'Movimientos Reales'!$G$5:$G$1048576,'3 Workig- Capex '!$A184,'Movimientos Reales'!$E$5:$E$1048576,'3 Workig- Capex '!M$139)</f>
        <v>0</v>
      </c>
      <c r="N182" s="235">
        <f>SUMIFS('Movimientos Reales'!$D$5:$D$1048576,'Movimientos Reales'!$G$5:$G$1048576,'3 Workig- Capex '!$A184,'Movimientos Reales'!$E$5:$E$1048576,'3 Workig- Capex '!N$139)</f>
        <v>0</v>
      </c>
      <c r="O182" s="235">
        <f>SUMIFS('Movimientos Reales'!$D$5:$D$1048576,'Movimientos Reales'!$G$5:$G$1048576,'3 Workig- Capex '!$A184,'Movimientos Reales'!$E$5:$E$1048576,'3 Workig- Capex '!O$139)</f>
        <v>0</v>
      </c>
      <c r="P182" s="237">
        <f>SUMIFS('Movimientos Reales'!$D$5:$D$1048576,'Movimientos Reales'!$G$5:$G$1048576,'3 Workig- Capex '!$A184,'Movimientos Reales'!$E$5:$E$1048576,'3 Workig- Capex '!P$139)</f>
        <v>0</v>
      </c>
    </row>
    <row r="183" spans="1:16" ht="13.5" thickBot="1">
      <c r="B183" s="902"/>
      <c r="C183" s="905"/>
      <c r="D183" s="98" t="s">
        <v>58</v>
      </c>
      <c r="E183" s="348">
        <f t="shared" ref="E183:P183" si="162">+E51</f>
        <v>0</v>
      </c>
      <c r="F183" s="236">
        <f t="shared" si="162"/>
        <v>0</v>
      </c>
      <c r="G183" s="236">
        <f t="shared" si="162"/>
        <v>0</v>
      </c>
      <c r="H183" s="236">
        <f t="shared" si="162"/>
        <v>0</v>
      </c>
      <c r="I183" s="236">
        <f t="shared" si="162"/>
        <v>0</v>
      </c>
      <c r="J183" s="236">
        <f t="shared" si="162"/>
        <v>0</v>
      </c>
      <c r="K183" s="236">
        <f t="shared" si="162"/>
        <v>0</v>
      </c>
      <c r="L183" s="236">
        <f t="shared" si="162"/>
        <v>0</v>
      </c>
      <c r="M183" s="236">
        <f t="shared" si="162"/>
        <v>0</v>
      </c>
      <c r="N183" s="236">
        <f t="shared" si="162"/>
        <v>0</v>
      </c>
      <c r="O183" s="236">
        <f t="shared" si="162"/>
        <v>0</v>
      </c>
      <c r="P183" s="238">
        <f t="shared" si="162"/>
        <v>0</v>
      </c>
    </row>
    <row r="184" spans="1:16" ht="14.45" thickBot="1">
      <c r="A184" s="200" t="s">
        <v>42</v>
      </c>
      <c r="B184" s="903"/>
      <c r="C184" s="906"/>
      <c r="D184" s="335" t="s">
        <v>87</v>
      </c>
      <c r="E184" s="349">
        <f t="shared" ref="E184:P184" si="163">+IFERROR(E182/E183,0)</f>
        <v>0</v>
      </c>
      <c r="F184" s="349">
        <f t="shared" si="163"/>
        <v>0</v>
      </c>
      <c r="G184" s="349">
        <f t="shared" si="163"/>
        <v>0</v>
      </c>
      <c r="H184" s="349">
        <f t="shared" si="163"/>
        <v>0</v>
      </c>
      <c r="I184" s="349">
        <f t="shared" si="163"/>
        <v>0</v>
      </c>
      <c r="J184" s="349">
        <f t="shared" si="163"/>
        <v>0</v>
      </c>
      <c r="K184" s="349">
        <f t="shared" si="163"/>
        <v>0</v>
      </c>
      <c r="L184" s="349">
        <f t="shared" si="163"/>
        <v>0</v>
      </c>
      <c r="M184" s="349">
        <f t="shared" si="163"/>
        <v>0</v>
      </c>
      <c r="N184" s="349">
        <f t="shared" si="163"/>
        <v>0</v>
      </c>
      <c r="O184" s="349">
        <f t="shared" si="163"/>
        <v>0</v>
      </c>
      <c r="P184" s="351">
        <f t="shared" si="163"/>
        <v>0</v>
      </c>
    </row>
    <row r="185" spans="1:16" ht="12.95">
      <c r="B185" s="901" t="s">
        <v>20</v>
      </c>
      <c r="C185" s="907" t="s">
        <v>43</v>
      </c>
      <c r="D185" s="289" t="s">
        <v>86</v>
      </c>
      <c r="E185" s="343">
        <f>SUMIFS('Movimientos Reales'!$D$5:$D$1048576,'Movimientos Reales'!$G$5:$G$1048576,'3 Workig- Capex '!$A187,'Movimientos Reales'!$E$5:$E$1048576,'3 Workig- Capex '!E$139)</f>
        <v>0</v>
      </c>
      <c r="F185" s="235">
        <f>SUMIFS('Movimientos Reales'!$D$5:$D$1048576,'Movimientos Reales'!$G$5:$G$1048576,'3 Workig- Capex '!$A187,'Movimientos Reales'!$E$5:$E$1048576,'3 Workig- Capex '!F$139)</f>
        <v>0</v>
      </c>
      <c r="G185" s="235">
        <f>SUMIFS('Movimientos Reales'!$D$5:$D$1048576,'Movimientos Reales'!$G$5:$G$1048576,'3 Workig- Capex '!$A187,'Movimientos Reales'!$E$5:$E$1048576,'3 Workig- Capex '!G$139)</f>
        <v>0</v>
      </c>
      <c r="H185" s="235">
        <f>SUMIFS('Movimientos Reales'!$D$5:$D$1048576,'Movimientos Reales'!$G$5:$G$1048576,'3 Workig- Capex '!$A187,'Movimientos Reales'!$E$5:$E$1048576,'3 Workig- Capex '!H$139)</f>
        <v>0</v>
      </c>
      <c r="I185" s="235">
        <f>SUMIFS('Movimientos Reales'!$D$5:$D$1048576,'Movimientos Reales'!$G$5:$G$1048576,'3 Workig- Capex '!$A187,'Movimientos Reales'!$E$5:$E$1048576,'3 Workig- Capex '!I$139)</f>
        <v>0</v>
      </c>
      <c r="J185" s="235">
        <f>SUMIFS('Movimientos Reales'!$D$5:$D$1048576,'Movimientos Reales'!$G$5:$G$1048576,'3 Workig- Capex '!$A187,'Movimientos Reales'!$E$5:$E$1048576,'3 Workig- Capex '!J$139)</f>
        <v>0</v>
      </c>
      <c r="K185" s="235">
        <f>SUMIFS('Movimientos Reales'!$D$5:$D$1048576,'Movimientos Reales'!$G$5:$G$1048576,'3 Workig- Capex '!$A187,'Movimientos Reales'!$E$5:$E$1048576,'3 Workig- Capex '!K$139)</f>
        <v>0</v>
      </c>
      <c r="L185" s="235">
        <f>SUMIFS('Movimientos Reales'!$D$5:$D$1048576,'Movimientos Reales'!$G$5:$G$1048576,'3 Workig- Capex '!$A187,'Movimientos Reales'!$E$5:$E$1048576,'3 Workig- Capex '!L$139)</f>
        <v>0</v>
      </c>
      <c r="M185" s="235">
        <f>SUMIFS('Movimientos Reales'!$D$5:$D$1048576,'Movimientos Reales'!$G$5:$G$1048576,'3 Workig- Capex '!$A187,'Movimientos Reales'!$E$5:$E$1048576,'3 Workig- Capex '!M$139)</f>
        <v>0</v>
      </c>
      <c r="N185" s="235">
        <f>SUMIFS('Movimientos Reales'!$D$5:$D$1048576,'Movimientos Reales'!$G$5:$G$1048576,'3 Workig- Capex '!$A187,'Movimientos Reales'!$E$5:$E$1048576,'3 Workig- Capex '!N$139)</f>
        <v>0</v>
      </c>
      <c r="O185" s="235">
        <f>SUMIFS('Movimientos Reales'!$D$5:$D$1048576,'Movimientos Reales'!$G$5:$G$1048576,'3 Workig- Capex '!$A187,'Movimientos Reales'!$E$5:$E$1048576,'3 Workig- Capex '!O$139)</f>
        <v>0</v>
      </c>
      <c r="P185" s="237">
        <f>SUMIFS('Movimientos Reales'!$D$5:$D$1048576,'Movimientos Reales'!$G$5:$G$1048576,'3 Workig- Capex '!$A187,'Movimientos Reales'!$E$5:$E$1048576,'3 Workig- Capex '!P$139)</f>
        <v>0</v>
      </c>
    </row>
    <row r="186" spans="1:16" ht="13.5" thickBot="1">
      <c r="B186" s="902"/>
      <c r="C186" s="908"/>
      <c r="D186" s="98" t="s">
        <v>58</v>
      </c>
      <c r="E186" s="348">
        <f t="shared" ref="E186:P186" si="164">+E54</f>
        <v>0</v>
      </c>
      <c r="F186" s="236">
        <f t="shared" si="164"/>
        <v>0</v>
      </c>
      <c r="G186" s="236">
        <f t="shared" si="164"/>
        <v>43075831.190823749</v>
      </c>
      <c r="H186" s="236">
        <f t="shared" si="164"/>
        <v>0</v>
      </c>
      <c r="I186" s="236">
        <f t="shared" si="164"/>
        <v>0</v>
      </c>
      <c r="J186" s="236">
        <f t="shared" si="164"/>
        <v>0</v>
      </c>
      <c r="K186" s="236">
        <f t="shared" si="164"/>
        <v>5496694.0823751464</v>
      </c>
      <c r="L186" s="236">
        <f t="shared" si="164"/>
        <v>-3971400</v>
      </c>
      <c r="M186" s="236">
        <f t="shared" si="164"/>
        <v>0</v>
      </c>
      <c r="N186" s="236">
        <f t="shared" si="164"/>
        <v>9000000</v>
      </c>
      <c r="O186" s="236">
        <f t="shared" si="164"/>
        <v>0</v>
      </c>
      <c r="P186" s="238">
        <f t="shared" si="164"/>
        <v>0</v>
      </c>
    </row>
    <row r="187" spans="1:16" ht="14.45" thickBot="1">
      <c r="A187" s="200" t="s">
        <v>43</v>
      </c>
      <c r="B187" s="903"/>
      <c r="C187" s="909"/>
      <c r="D187" s="335" t="s">
        <v>87</v>
      </c>
      <c r="E187" s="349">
        <f t="shared" ref="E187:P187" si="165">+IFERROR(E185/E186,0)</f>
        <v>0</v>
      </c>
      <c r="F187" s="349">
        <f t="shared" si="165"/>
        <v>0</v>
      </c>
      <c r="G187" s="349">
        <f t="shared" si="165"/>
        <v>0</v>
      </c>
      <c r="H187" s="349">
        <f t="shared" si="165"/>
        <v>0</v>
      </c>
      <c r="I187" s="349">
        <f t="shared" si="165"/>
        <v>0</v>
      </c>
      <c r="J187" s="349">
        <f t="shared" si="165"/>
        <v>0</v>
      </c>
      <c r="K187" s="349">
        <f t="shared" si="165"/>
        <v>0</v>
      </c>
      <c r="L187" s="349">
        <f t="shared" si="165"/>
        <v>0</v>
      </c>
      <c r="M187" s="349">
        <f t="shared" si="165"/>
        <v>0</v>
      </c>
      <c r="N187" s="349">
        <f t="shared" si="165"/>
        <v>0</v>
      </c>
      <c r="O187" s="349">
        <f t="shared" si="165"/>
        <v>0</v>
      </c>
      <c r="P187" s="351">
        <f t="shared" si="165"/>
        <v>0</v>
      </c>
    </row>
    <row r="188" spans="1:16" ht="12.95">
      <c r="B188" s="901" t="s">
        <v>20</v>
      </c>
      <c r="C188" s="907" t="s">
        <v>44</v>
      </c>
      <c r="D188" s="289" t="s">
        <v>86</v>
      </c>
      <c r="E188" s="343">
        <f>SUMIFS('Movimientos Reales'!$D$5:$D$1048576,'Movimientos Reales'!$G$5:$G$1048576,'3 Workig- Capex '!$A190,'Movimientos Reales'!$E$5:$E$1048576,'3 Workig- Capex '!E$139)</f>
        <v>0</v>
      </c>
      <c r="F188" s="235">
        <f>SUMIFS('Movimientos Reales'!$D$5:$D$1048576,'Movimientos Reales'!$G$5:$G$1048576,'3 Workig- Capex '!$A190,'Movimientos Reales'!$E$5:$E$1048576,'3 Workig- Capex '!F$139)</f>
        <v>0</v>
      </c>
      <c r="G188" s="235">
        <f>SUMIFS('Movimientos Reales'!$D$5:$D$1048576,'Movimientos Reales'!$G$5:$G$1048576,'3 Workig- Capex '!$A190,'Movimientos Reales'!$E$5:$E$1048576,'3 Workig- Capex '!G$139)</f>
        <v>0</v>
      </c>
      <c r="H188" s="235">
        <f>SUMIFS('Movimientos Reales'!$D$5:$D$1048576,'Movimientos Reales'!$G$5:$G$1048576,'3 Workig- Capex '!$A190,'Movimientos Reales'!$E$5:$E$1048576,'3 Workig- Capex '!H$139)</f>
        <v>0</v>
      </c>
      <c r="I188" s="235">
        <f>SUMIFS('Movimientos Reales'!$D$5:$D$1048576,'Movimientos Reales'!$G$5:$G$1048576,'3 Workig- Capex '!$A190,'Movimientos Reales'!$E$5:$E$1048576,'3 Workig- Capex '!I$139)</f>
        <v>0</v>
      </c>
      <c r="J188" s="235">
        <f>SUMIFS('Movimientos Reales'!$D$5:$D$1048576,'Movimientos Reales'!$G$5:$G$1048576,'3 Workig- Capex '!$A190,'Movimientos Reales'!$E$5:$E$1048576,'3 Workig- Capex '!J$139)</f>
        <v>0</v>
      </c>
      <c r="K188" s="235">
        <f>SUMIFS('Movimientos Reales'!$D$5:$D$1048576,'Movimientos Reales'!$G$5:$G$1048576,'3 Workig- Capex '!$A190,'Movimientos Reales'!$E$5:$E$1048576,'3 Workig- Capex '!K$139)</f>
        <v>0</v>
      </c>
      <c r="L188" s="235">
        <f>SUMIFS('Movimientos Reales'!$D$5:$D$1048576,'Movimientos Reales'!$G$5:$G$1048576,'3 Workig- Capex '!$A190,'Movimientos Reales'!$E$5:$E$1048576,'3 Workig- Capex '!L$139)</f>
        <v>0</v>
      </c>
      <c r="M188" s="235">
        <f>SUMIFS('Movimientos Reales'!$D$5:$D$1048576,'Movimientos Reales'!$G$5:$G$1048576,'3 Workig- Capex '!$A190,'Movimientos Reales'!$E$5:$E$1048576,'3 Workig- Capex '!M$139)</f>
        <v>0</v>
      </c>
      <c r="N188" s="235">
        <f>SUMIFS('Movimientos Reales'!$D$5:$D$1048576,'Movimientos Reales'!$G$5:$G$1048576,'3 Workig- Capex '!$A190,'Movimientos Reales'!$E$5:$E$1048576,'3 Workig- Capex '!N$139)</f>
        <v>0</v>
      </c>
      <c r="O188" s="235">
        <f>SUMIFS('Movimientos Reales'!$D$5:$D$1048576,'Movimientos Reales'!$G$5:$G$1048576,'3 Workig- Capex '!$A190,'Movimientos Reales'!$E$5:$E$1048576,'3 Workig- Capex '!O$139)</f>
        <v>0</v>
      </c>
      <c r="P188" s="237">
        <f>SUMIFS('Movimientos Reales'!$D$5:$D$1048576,'Movimientos Reales'!$G$5:$G$1048576,'3 Workig- Capex '!$A190,'Movimientos Reales'!$E$5:$E$1048576,'3 Workig- Capex '!P$139)</f>
        <v>0</v>
      </c>
    </row>
    <row r="189" spans="1:16" ht="13.5" thickBot="1">
      <c r="B189" s="902"/>
      <c r="C189" s="908"/>
      <c r="D189" s="98" t="s">
        <v>58</v>
      </c>
      <c r="E189" s="348">
        <f t="shared" ref="E189:P189" si="166">+E57</f>
        <v>0</v>
      </c>
      <c r="F189" s="236">
        <f t="shared" si="166"/>
        <v>0</v>
      </c>
      <c r="G189" s="236">
        <f t="shared" si="166"/>
        <v>0</v>
      </c>
      <c r="H189" s="236">
        <f t="shared" si="166"/>
        <v>0</v>
      </c>
      <c r="I189" s="236">
        <f t="shared" si="166"/>
        <v>0</v>
      </c>
      <c r="J189" s="236">
        <f t="shared" si="166"/>
        <v>0</v>
      </c>
      <c r="K189" s="236">
        <f t="shared" si="166"/>
        <v>0</v>
      </c>
      <c r="L189" s="236">
        <f t="shared" si="166"/>
        <v>0</v>
      </c>
      <c r="M189" s="236">
        <f t="shared" si="166"/>
        <v>-40000000</v>
      </c>
      <c r="N189" s="236">
        <f t="shared" si="166"/>
        <v>582512500</v>
      </c>
      <c r="O189" s="236">
        <f t="shared" si="166"/>
        <v>325507500</v>
      </c>
      <c r="P189" s="238">
        <f t="shared" si="166"/>
        <v>217005000</v>
      </c>
    </row>
    <row r="190" spans="1:16" ht="14.45" thickBot="1">
      <c r="A190" s="200" t="s">
        <v>44</v>
      </c>
      <c r="B190" s="903"/>
      <c r="C190" s="909"/>
      <c r="D190" s="335" t="s">
        <v>87</v>
      </c>
      <c r="E190" s="349">
        <f t="shared" ref="E190:P190" si="167">+IFERROR(E188/E189,0)</f>
        <v>0</v>
      </c>
      <c r="F190" s="349">
        <f t="shared" si="167"/>
        <v>0</v>
      </c>
      <c r="G190" s="349">
        <f t="shared" si="167"/>
        <v>0</v>
      </c>
      <c r="H190" s="349">
        <f t="shared" si="167"/>
        <v>0</v>
      </c>
      <c r="I190" s="349">
        <f t="shared" si="167"/>
        <v>0</v>
      </c>
      <c r="J190" s="349">
        <f t="shared" si="167"/>
        <v>0</v>
      </c>
      <c r="K190" s="349">
        <f t="shared" si="167"/>
        <v>0</v>
      </c>
      <c r="L190" s="349">
        <f t="shared" si="167"/>
        <v>0</v>
      </c>
      <c r="M190" s="349">
        <f t="shared" si="167"/>
        <v>0</v>
      </c>
      <c r="N190" s="349">
        <f t="shared" si="167"/>
        <v>0</v>
      </c>
      <c r="O190" s="349">
        <f t="shared" si="167"/>
        <v>0</v>
      </c>
      <c r="P190" s="351">
        <f t="shared" si="167"/>
        <v>0</v>
      </c>
    </row>
    <row r="191" spans="1:16" ht="12.95">
      <c r="B191" s="901" t="s">
        <v>20</v>
      </c>
      <c r="C191" s="907" t="s">
        <v>45</v>
      </c>
      <c r="D191" s="289" t="s">
        <v>86</v>
      </c>
      <c r="E191" s="343">
        <f>SUMIFS('Movimientos Reales'!$D$5:$D$1048576,'Movimientos Reales'!$G$5:$G$1048576,'3 Workig- Capex '!$A193,'Movimientos Reales'!$E$5:$E$1048576,'3 Workig- Capex '!E$139)</f>
        <v>0</v>
      </c>
      <c r="F191" s="235">
        <f>SUMIFS('Movimientos Reales'!$D$5:$D$1048576,'Movimientos Reales'!$G$5:$G$1048576,'3 Workig- Capex '!$A193,'Movimientos Reales'!$E$5:$E$1048576,'3 Workig- Capex '!F$139)</f>
        <v>0</v>
      </c>
      <c r="G191" s="235">
        <f>SUMIFS('Movimientos Reales'!$D$5:$D$1048576,'Movimientos Reales'!$G$5:$G$1048576,'3 Workig- Capex '!$A193,'Movimientos Reales'!$E$5:$E$1048576,'3 Workig- Capex '!G$139)</f>
        <v>0</v>
      </c>
      <c r="H191" s="235">
        <f>SUMIFS('Movimientos Reales'!$D$5:$D$1048576,'Movimientos Reales'!$G$5:$G$1048576,'3 Workig- Capex '!$A193,'Movimientos Reales'!$E$5:$E$1048576,'3 Workig- Capex '!H$139)</f>
        <v>0</v>
      </c>
      <c r="I191" s="235">
        <f>SUMIFS('Movimientos Reales'!$D$5:$D$1048576,'Movimientos Reales'!$G$5:$G$1048576,'3 Workig- Capex '!$A193,'Movimientos Reales'!$E$5:$E$1048576,'3 Workig- Capex '!I$139)</f>
        <v>0</v>
      </c>
      <c r="J191" s="235">
        <f>SUMIFS('Movimientos Reales'!$D$5:$D$1048576,'Movimientos Reales'!$G$5:$G$1048576,'3 Workig- Capex '!$A193,'Movimientos Reales'!$E$5:$E$1048576,'3 Workig- Capex '!J$139)</f>
        <v>0</v>
      </c>
      <c r="K191" s="235">
        <f>SUMIFS('Movimientos Reales'!$D$5:$D$1048576,'Movimientos Reales'!$G$5:$G$1048576,'3 Workig- Capex '!$A193,'Movimientos Reales'!$E$5:$E$1048576,'3 Workig- Capex '!K$139)</f>
        <v>0</v>
      </c>
      <c r="L191" s="235">
        <f>SUMIFS('Movimientos Reales'!$D$5:$D$1048576,'Movimientos Reales'!$G$5:$G$1048576,'3 Workig- Capex '!$A193,'Movimientos Reales'!$E$5:$E$1048576,'3 Workig- Capex '!L$139)</f>
        <v>0</v>
      </c>
      <c r="M191" s="235">
        <f>SUMIFS('Movimientos Reales'!$D$5:$D$1048576,'Movimientos Reales'!$G$5:$G$1048576,'3 Workig- Capex '!$A193,'Movimientos Reales'!$E$5:$E$1048576,'3 Workig- Capex '!M$139)</f>
        <v>0</v>
      </c>
      <c r="N191" s="235">
        <f>SUMIFS('Movimientos Reales'!$D$5:$D$1048576,'Movimientos Reales'!$G$5:$G$1048576,'3 Workig- Capex '!$A193,'Movimientos Reales'!$E$5:$E$1048576,'3 Workig- Capex '!N$139)</f>
        <v>0</v>
      </c>
      <c r="O191" s="235">
        <f>SUMIFS('Movimientos Reales'!$D$5:$D$1048576,'Movimientos Reales'!$G$5:$G$1048576,'3 Workig- Capex '!$A193,'Movimientos Reales'!$E$5:$E$1048576,'3 Workig- Capex '!O$139)</f>
        <v>0</v>
      </c>
      <c r="P191" s="237">
        <f>SUMIFS('Movimientos Reales'!$D$5:$D$1048576,'Movimientos Reales'!$G$5:$G$1048576,'3 Workig- Capex '!$A193,'Movimientos Reales'!$E$5:$E$1048576,'3 Workig- Capex '!P$139)</f>
        <v>0</v>
      </c>
    </row>
    <row r="192" spans="1:16" ht="13.5" thickBot="1">
      <c r="B192" s="902"/>
      <c r="C192" s="908"/>
      <c r="D192" s="98" t="s">
        <v>58</v>
      </c>
      <c r="E192" s="348">
        <f t="shared" ref="E192:P192" si="168">+E60</f>
        <v>0</v>
      </c>
      <c r="F192" s="236">
        <f t="shared" si="168"/>
        <v>0</v>
      </c>
      <c r="G192" s="236">
        <f t="shared" si="168"/>
        <v>0</v>
      </c>
      <c r="H192" s="236">
        <f t="shared" si="168"/>
        <v>0</v>
      </c>
      <c r="I192" s="236">
        <f t="shared" si="168"/>
        <v>188391682</v>
      </c>
      <c r="J192" s="236">
        <f t="shared" si="168"/>
        <v>0</v>
      </c>
      <c r="K192" s="236">
        <f t="shared" si="168"/>
        <v>-111982250.33333334</v>
      </c>
      <c r="L192" s="236">
        <f t="shared" si="168"/>
        <v>-4145248.5630789995</v>
      </c>
      <c r="M192" s="236">
        <f t="shared" si="168"/>
        <v>-21102197.61123604</v>
      </c>
      <c r="N192" s="236">
        <f t="shared" si="168"/>
        <v>31016346</v>
      </c>
      <c r="O192" s="236">
        <f t="shared" si="168"/>
        <v>0</v>
      </c>
      <c r="P192" s="238">
        <f t="shared" si="168"/>
        <v>0</v>
      </c>
    </row>
    <row r="193" spans="1:16" ht="14.45" thickBot="1">
      <c r="A193" s="200" t="s">
        <v>45</v>
      </c>
      <c r="B193" s="903"/>
      <c r="C193" s="909"/>
      <c r="D193" s="335" t="s">
        <v>87</v>
      </c>
      <c r="E193" s="349">
        <f t="shared" ref="E193:P193" si="169">+IFERROR(E191/E192,0)</f>
        <v>0</v>
      </c>
      <c r="F193" s="349">
        <f t="shared" si="169"/>
        <v>0</v>
      </c>
      <c r="G193" s="349">
        <f t="shared" si="169"/>
        <v>0</v>
      </c>
      <c r="H193" s="349">
        <f t="shared" si="169"/>
        <v>0</v>
      </c>
      <c r="I193" s="349">
        <f t="shared" si="169"/>
        <v>0</v>
      </c>
      <c r="J193" s="349">
        <f t="shared" si="169"/>
        <v>0</v>
      </c>
      <c r="K193" s="349">
        <f t="shared" si="169"/>
        <v>0</v>
      </c>
      <c r="L193" s="349">
        <f t="shared" si="169"/>
        <v>0</v>
      </c>
      <c r="M193" s="349">
        <f t="shared" si="169"/>
        <v>0</v>
      </c>
      <c r="N193" s="349">
        <f t="shared" si="169"/>
        <v>0</v>
      </c>
      <c r="O193" s="349">
        <f t="shared" si="169"/>
        <v>0</v>
      </c>
      <c r="P193" s="351">
        <f t="shared" si="169"/>
        <v>0</v>
      </c>
    </row>
    <row r="194" spans="1:16" ht="12.95">
      <c r="B194" s="901" t="s">
        <v>20</v>
      </c>
      <c r="C194" s="907" t="s">
        <v>46</v>
      </c>
      <c r="D194" s="289" t="s">
        <v>86</v>
      </c>
      <c r="E194" s="343">
        <f>SUMIFS('Movimientos Reales'!$D$5:$D$1048576,'Movimientos Reales'!$G$5:$G$1048576,'3 Workig- Capex '!$A196,'Movimientos Reales'!$E$5:$E$1048576,'3 Workig- Capex '!E$139)</f>
        <v>0</v>
      </c>
      <c r="F194" s="235">
        <f>SUMIFS('Movimientos Reales'!$D$5:$D$1048576,'Movimientos Reales'!$G$5:$G$1048576,'3 Workig- Capex '!$A196,'Movimientos Reales'!$E$5:$E$1048576,'3 Workig- Capex '!F$139)</f>
        <v>0</v>
      </c>
      <c r="G194" s="235">
        <f>SUMIFS('Movimientos Reales'!$D$5:$D$1048576,'Movimientos Reales'!$G$5:$G$1048576,'3 Workig- Capex '!$A196,'Movimientos Reales'!$E$5:$E$1048576,'3 Workig- Capex '!G$139)</f>
        <v>0</v>
      </c>
      <c r="H194" s="235">
        <f>SUMIFS('Movimientos Reales'!$D$5:$D$1048576,'Movimientos Reales'!$G$5:$G$1048576,'3 Workig- Capex '!$A196,'Movimientos Reales'!$E$5:$E$1048576,'3 Workig- Capex '!H$139)</f>
        <v>0</v>
      </c>
      <c r="I194" s="235">
        <f>SUMIFS('Movimientos Reales'!$D$5:$D$1048576,'Movimientos Reales'!$G$5:$G$1048576,'3 Workig- Capex '!$A196,'Movimientos Reales'!$E$5:$E$1048576,'3 Workig- Capex '!I$139)</f>
        <v>0</v>
      </c>
      <c r="J194" s="235">
        <f>SUMIFS('Movimientos Reales'!$D$5:$D$1048576,'Movimientos Reales'!$G$5:$G$1048576,'3 Workig- Capex '!$A196,'Movimientos Reales'!$E$5:$E$1048576,'3 Workig- Capex '!J$139)</f>
        <v>0</v>
      </c>
      <c r="K194" s="235">
        <f>SUMIFS('Movimientos Reales'!$D$5:$D$1048576,'Movimientos Reales'!$G$5:$G$1048576,'3 Workig- Capex '!$A196,'Movimientos Reales'!$E$5:$E$1048576,'3 Workig- Capex '!K$139)</f>
        <v>0</v>
      </c>
      <c r="L194" s="235">
        <f>SUMIFS('Movimientos Reales'!$D$5:$D$1048576,'Movimientos Reales'!$G$5:$G$1048576,'3 Workig- Capex '!$A196,'Movimientos Reales'!$E$5:$E$1048576,'3 Workig- Capex '!L$139)</f>
        <v>0</v>
      </c>
      <c r="M194" s="235">
        <f>SUMIFS('Movimientos Reales'!$D$5:$D$1048576,'Movimientos Reales'!$G$5:$G$1048576,'3 Workig- Capex '!$A196,'Movimientos Reales'!$E$5:$E$1048576,'3 Workig- Capex '!M$139)</f>
        <v>0</v>
      </c>
      <c r="N194" s="235">
        <f>SUMIFS('Movimientos Reales'!$D$5:$D$1048576,'Movimientos Reales'!$G$5:$G$1048576,'3 Workig- Capex '!$A196,'Movimientos Reales'!$E$5:$E$1048576,'3 Workig- Capex '!N$139)</f>
        <v>0</v>
      </c>
      <c r="O194" s="235">
        <f>SUMIFS('Movimientos Reales'!$D$5:$D$1048576,'Movimientos Reales'!$G$5:$G$1048576,'3 Workig- Capex '!$A196,'Movimientos Reales'!$E$5:$E$1048576,'3 Workig- Capex '!O$139)</f>
        <v>0</v>
      </c>
      <c r="P194" s="237">
        <f>SUMIFS('Movimientos Reales'!$D$5:$D$1048576,'Movimientos Reales'!$G$5:$G$1048576,'3 Workig- Capex '!$A196,'Movimientos Reales'!$E$5:$E$1048576,'3 Workig- Capex '!P$139)</f>
        <v>0</v>
      </c>
    </row>
    <row r="195" spans="1:16" ht="13.5" thickBot="1">
      <c r="B195" s="902"/>
      <c r="C195" s="908"/>
      <c r="D195" s="98" t="s">
        <v>58</v>
      </c>
      <c r="E195" s="348">
        <f t="shared" ref="E195:P195" si="170">+E63</f>
        <v>0</v>
      </c>
      <c r="F195" s="236">
        <f t="shared" si="170"/>
        <v>0</v>
      </c>
      <c r="G195" s="236">
        <f t="shared" si="170"/>
        <v>0</v>
      </c>
      <c r="H195" s="236">
        <f t="shared" si="170"/>
        <v>0</v>
      </c>
      <c r="I195" s="236">
        <f t="shared" si="170"/>
        <v>0</v>
      </c>
      <c r="J195" s="236">
        <f t="shared" si="170"/>
        <v>0</v>
      </c>
      <c r="K195" s="236">
        <f t="shared" si="170"/>
        <v>11401934</v>
      </c>
      <c r="L195" s="236">
        <f t="shared" si="170"/>
        <v>67707862.699824437</v>
      </c>
      <c r="M195" s="236">
        <f t="shared" si="170"/>
        <v>-43588564.64985995</v>
      </c>
      <c r="N195" s="236">
        <f t="shared" si="170"/>
        <v>-25154759.00573796</v>
      </c>
      <c r="O195" s="236">
        <f t="shared" si="170"/>
        <v>-5565906.3619585065</v>
      </c>
      <c r="P195" s="238">
        <f t="shared" si="170"/>
        <v>30395932</v>
      </c>
    </row>
    <row r="196" spans="1:16" ht="14.45" thickBot="1">
      <c r="A196" s="200" t="s">
        <v>46</v>
      </c>
      <c r="B196" s="903"/>
      <c r="C196" s="909"/>
      <c r="D196" s="335" t="s">
        <v>87</v>
      </c>
      <c r="E196" s="349">
        <f t="shared" ref="E196:P196" si="171">+IFERROR(E194/E195,0)</f>
        <v>0</v>
      </c>
      <c r="F196" s="349">
        <f t="shared" si="171"/>
        <v>0</v>
      </c>
      <c r="G196" s="349">
        <f t="shared" si="171"/>
        <v>0</v>
      </c>
      <c r="H196" s="349">
        <f t="shared" si="171"/>
        <v>0</v>
      </c>
      <c r="I196" s="349">
        <f t="shared" si="171"/>
        <v>0</v>
      </c>
      <c r="J196" s="349">
        <f t="shared" si="171"/>
        <v>0</v>
      </c>
      <c r="K196" s="349">
        <f t="shared" si="171"/>
        <v>0</v>
      </c>
      <c r="L196" s="349">
        <f t="shared" si="171"/>
        <v>0</v>
      </c>
      <c r="M196" s="349">
        <f t="shared" si="171"/>
        <v>0</v>
      </c>
      <c r="N196" s="349">
        <f t="shared" si="171"/>
        <v>0</v>
      </c>
      <c r="O196" s="349">
        <f t="shared" si="171"/>
        <v>0</v>
      </c>
      <c r="P196" s="351">
        <f t="shared" si="171"/>
        <v>0</v>
      </c>
    </row>
    <row r="197" spans="1:16" ht="12.95">
      <c r="B197" s="901" t="s">
        <v>20</v>
      </c>
      <c r="C197" s="904" t="s">
        <v>47</v>
      </c>
      <c r="D197" s="289" t="s">
        <v>86</v>
      </c>
      <c r="E197" s="343">
        <f>SUMIFS('Movimientos Reales'!$D$5:$D$1048576,'Movimientos Reales'!$G$5:$G$1048576,'3 Workig- Capex '!$A199,'Movimientos Reales'!$E$5:$E$1048576,'3 Workig- Capex '!E$139)</f>
        <v>0</v>
      </c>
      <c r="F197" s="235">
        <f>SUMIFS('Movimientos Reales'!$D$5:$D$1048576,'Movimientos Reales'!$G$5:$G$1048576,'3 Workig- Capex '!$A199,'Movimientos Reales'!$E$5:$E$1048576,'3 Workig- Capex '!F$139)</f>
        <v>0</v>
      </c>
      <c r="G197" s="235">
        <f>SUMIFS('Movimientos Reales'!$D$5:$D$1048576,'Movimientos Reales'!$G$5:$G$1048576,'3 Workig- Capex '!$A199,'Movimientos Reales'!$E$5:$E$1048576,'3 Workig- Capex '!G$139)</f>
        <v>0</v>
      </c>
      <c r="H197" s="235">
        <f>SUMIFS('Movimientos Reales'!$D$5:$D$1048576,'Movimientos Reales'!$G$5:$G$1048576,'3 Workig- Capex '!$A199,'Movimientos Reales'!$E$5:$E$1048576,'3 Workig- Capex '!H$139)</f>
        <v>0</v>
      </c>
      <c r="I197" s="235">
        <f>SUMIFS('Movimientos Reales'!$D$5:$D$1048576,'Movimientos Reales'!$G$5:$G$1048576,'3 Workig- Capex '!$A199,'Movimientos Reales'!$E$5:$E$1048576,'3 Workig- Capex '!I$139)</f>
        <v>0</v>
      </c>
      <c r="J197" s="235">
        <f>SUMIFS('Movimientos Reales'!$D$5:$D$1048576,'Movimientos Reales'!$G$5:$G$1048576,'3 Workig- Capex '!$A199,'Movimientos Reales'!$E$5:$E$1048576,'3 Workig- Capex '!J$139)</f>
        <v>0</v>
      </c>
      <c r="K197" s="235">
        <f>SUMIFS('Movimientos Reales'!$D$5:$D$1048576,'Movimientos Reales'!$G$5:$G$1048576,'3 Workig- Capex '!$A199,'Movimientos Reales'!$E$5:$E$1048576,'3 Workig- Capex '!K$139)</f>
        <v>0</v>
      </c>
      <c r="L197" s="235">
        <f>SUMIFS('Movimientos Reales'!$D$5:$D$1048576,'Movimientos Reales'!$G$5:$G$1048576,'3 Workig- Capex '!$A199,'Movimientos Reales'!$E$5:$E$1048576,'3 Workig- Capex '!L$139)</f>
        <v>0</v>
      </c>
      <c r="M197" s="235">
        <f>SUMIFS('Movimientos Reales'!$D$5:$D$1048576,'Movimientos Reales'!$G$5:$G$1048576,'3 Workig- Capex '!$A199,'Movimientos Reales'!$E$5:$E$1048576,'3 Workig- Capex '!M$139)</f>
        <v>0</v>
      </c>
      <c r="N197" s="235">
        <f>SUMIFS('Movimientos Reales'!$D$5:$D$1048576,'Movimientos Reales'!$G$5:$G$1048576,'3 Workig- Capex '!$A199,'Movimientos Reales'!$E$5:$E$1048576,'3 Workig- Capex '!N$139)</f>
        <v>0</v>
      </c>
      <c r="O197" s="235">
        <f>SUMIFS('Movimientos Reales'!$D$5:$D$1048576,'Movimientos Reales'!$G$5:$G$1048576,'3 Workig- Capex '!$A199,'Movimientos Reales'!$E$5:$E$1048576,'3 Workig- Capex '!O$139)</f>
        <v>0</v>
      </c>
      <c r="P197" s="237">
        <f>SUMIFS('Movimientos Reales'!$D$5:$D$1048576,'Movimientos Reales'!$G$5:$G$1048576,'3 Workig- Capex '!$A199,'Movimientos Reales'!$E$5:$E$1048576,'3 Workig- Capex '!P$139)</f>
        <v>0</v>
      </c>
    </row>
    <row r="198" spans="1:16" ht="13.5" thickBot="1">
      <c r="B198" s="902"/>
      <c r="C198" s="905"/>
      <c r="D198" s="98" t="s">
        <v>58</v>
      </c>
      <c r="E198" s="348">
        <f t="shared" ref="E198:P198" si="172">+E66</f>
        <v>0</v>
      </c>
      <c r="F198" s="236">
        <f t="shared" si="172"/>
        <v>0</v>
      </c>
      <c r="G198" s="236">
        <f t="shared" si="172"/>
        <v>0</v>
      </c>
      <c r="H198" s="236">
        <f t="shared" si="172"/>
        <v>0</v>
      </c>
      <c r="I198" s="236">
        <f t="shared" si="172"/>
        <v>0</v>
      </c>
      <c r="J198" s="236">
        <f t="shared" si="172"/>
        <v>0</v>
      </c>
      <c r="K198" s="236">
        <f t="shared" si="172"/>
        <v>0</v>
      </c>
      <c r="L198" s="236">
        <f t="shared" si="172"/>
        <v>0</v>
      </c>
      <c r="M198" s="236">
        <f t="shared" si="172"/>
        <v>0</v>
      </c>
      <c r="N198" s="236">
        <f t="shared" si="172"/>
        <v>-3000000</v>
      </c>
      <c r="O198" s="236">
        <f t="shared" si="172"/>
        <v>0</v>
      </c>
      <c r="P198" s="238">
        <f t="shared" si="172"/>
        <v>0</v>
      </c>
    </row>
    <row r="199" spans="1:16" ht="14.45" thickBot="1">
      <c r="A199" s="200" t="s">
        <v>90</v>
      </c>
      <c r="B199" s="903"/>
      <c r="C199" s="906"/>
      <c r="D199" s="335" t="s">
        <v>87</v>
      </c>
      <c r="E199" s="349">
        <f t="shared" ref="E199:P199" si="173">+IFERROR(E197/E198,0)</f>
        <v>0</v>
      </c>
      <c r="F199" s="349">
        <f t="shared" si="173"/>
        <v>0</v>
      </c>
      <c r="G199" s="349">
        <f t="shared" si="173"/>
        <v>0</v>
      </c>
      <c r="H199" s="349">
        <f t="shared" si="173"/>
        <v>0</v>
      </c>
      <c r="I199" s="349">
        <f t="shared" si="173"/>
        <v>0</v>
      </c>
      <c r="J199" s="349">
        <f t="shared" si="173"/>
        <v>0</v>
      </c>
      <c r="K199" s="349">
        <f t="shared" si="173"/>
        <v>0</v>
      </c>
      <c r="L199" s="349">
        <f t="shared" si="173"/>
        <v>0</v>
      </c>
      <c r="M199" s="349">
        <f t="shared" si="173"/>
        <v>0</v>
      </c>
      <c r="N199" s="349">
        <f t="shared" si="173"/>
        <v>0</v>
      </c>
      <c r="O199" s="349">
        <f t="shared" si="173"/>
        <v>0</v>
      </c>
      <c r="P199" s="351">
        <f t="shared" si="173"/>
        <v>0</v>
      </c>
    </row>
    <row r="200" spans="1:16" ht="12.95">
      <c r="B200" s="901" t="s">
        <v>20</v>
      </c>
      <c r="C200" s="904" t="s">
        <v>51</v>
      </c>
      <c r="D200" s="289" t="s">
        <v>86</v>
      </c>
      <c r="E200" s="343">
        <f>SUMIFS('Movimientos Reales'!$D$5:$D$1048576,'Movimientos Reales'!$G$5:$G$1048576,'3 Workig- Capex '!$A202,'Movimientos Reales'!$E$5:$E$1048576,'3 Workig- Capex '!E$139)</f>
        <v>0</v>
      </c>
      <c r="F200" s="235">
        <f>SUMIFS('Movimientos Reales'!$D$5:$D$1048576,'Movimientos Reales'!$G$5:$G$1048576,'3 Workig- Capex '!$A202,'Movimientos Reales'!$E$5:$E$1048576,'3 Workig- Capex '!F$139)</f>
        <v>0</v>
      </c>
      <c r="G200" s="235">
        <f>SUMIFS('Movimientos Reales'!$D$5:$D$1048576,'Movimientos Reales'!$G$5:$G$1048576,'3 Workig- Capex '!$A202,'Movimientos Reales'!$E$5:$E$1048576,'3 Workig- Capex '!G$139)</f>
        <v>0</v>
      </c>
      <c r="H200" s="235">
        <f>SUMIFS('Movimientos Reales'!$D$5:$D$1048576,'Movimientos Reales'!$G$5:$G$1048576,'3 Workig- Capex '!$A202,'Movimientos Reales'!$E$5:$E$1048576,'3 Workig- Capex '!H$139)</f>
        <v>0</v>
      </c>
      <c r="I200" s="235">
        <f>SUMIFS('Movimientos Reales'!$D$5:$D$1048576,'Movimientos Reales'!$G$5:$G$1048576,'3 Workig- Capex '!$A202,'Movimientos Reales'!$E$5:$E$1048576,'3 Workig- Capex '!I$139)</f>
        <v>0</v>
      </c>
      <c r="J200" s="235">
        <f>SUMIFS('Movimientos Reales'!$D$5:$D$1048576,'Movimientos Reales'!$G$5:$G$1048576,'3 Workig- Capex '!$A202,'Movimientos Reales'!$E$5:$E$1048576,'3 Workig- Capex '!J$139)</f>
        <v>0</v>
      </c>
      <c r="K200" s="235">
        <f>SUMIFS('Movimientos Reales'!$D$5:$D$1048576,'Movimientos Reales'!$G$5:$G$1048576,'3 Workig- Capex '!$A202,'Movimientos Reales'!$E$5:$E$1048576,'3 Workig- Capex '!K$139)</f>
        <v>0</v>
      </c>
      <c r="L200" s="235">
        <f>SUMIFS('Movimientos Reales'!$D$5:$D$1048576,'Movimientos Reales'!$G$5:$G$1048576,'3 Workig- Capex '!$A202,'Movimientos Reales'!$E$5:$E$1048576,'3 Workig- Capex '!L$139)</f>
        <v>0</v>
      </c>
      <c r="M200" s="235">
        <f>SUMIFS('Movimientos Reales'!$D$5:$D$1048576,'Movimientos Reales'!$G$5:$G$1048576,'3 Workig- Capex '!$A202,'Movimientos Reales'!$E$5:$E$1048576,'3 Workig- Capex '!M$139)</f>
        <v>0</v>
      </c>
      <c r="N200" s="235">
        <f>SUMIFS('Movimientos Reales'!$D$5:$D$1048576,'Movimientos Reales'!$G$5:$G$1048576,'3 Workig- Capex '!$A202,'Movimientos Reales'!$E$5:$E$1048576,'3 Workig- Capex '!N$139)</f>
        <v>0</v>
      </c>
      <c r="O200" s="235">
        <f>SUMIFS('Movimientos Reales'!$D$5:$D$1048576,'Movimientos Reales'!$G$5:$G$1048576,'3 Workig- Capex '!$A202,'Movimientos Reales'!$E$5:$E$1048576,'3 Workig- Capex '!O$139)</f>
        <v>0</v>
      </c>
      <c r="P200" s="237">
        <f>SUMIFS('Movimientos Reales'!$D$5:$D$1048576,'Movimientos Reales'!$G$5:$G$1048576,'3 Workig- Capex '!$A202,'Movimientos Reales'!$E$5:$E$1048576,'3 Workig- Capex '!P$139)</f>
        <v>0</v>
      </c>
    </row>
    <row r="201" spans="1:16" ht="13.5" thickBot="1">
      <c r="B201" s="902"/>
      <c r="C201" s="905"/>
      <c r="D201" s="98" t="s">
        <v>58</v>
      </c>
      <c r="E201" s="348">
        <f t="shared" ref="E201:P201" si="174">+E75</f>
        <v>0</v>
      </c>
      <c r="F201" s="236">
        <f t="shared" si="174"/>
        <v>0</v>
      </c>
      <c r="G201" s="236">
        <f t="shared" si="174"/>
        <v>0</v>
      </c>
      <c r="H201" s="236">
        <f t="shared" si="174"/>
        <v>0</v>
      </c>
      <c r="I201" s="236">
        <f t="shared" si="174"/>
        <v>0</v>
      </c>
      <c r="J201" s="236">
        <f t="shared" si="174"/>
        <v>-409182429.8200537</v>
      </c>
      <c r="K201" s="236">
        <f t="shared" si="174"/>
        <v>411400119.3587501</v>
      </c>
      <c r="L201" s="236">
        <f t="shared" si="174"/>
        <v>114058884.68000001</v>
      </c>
      <c r="M201" s="236">
        <f t="shared" si="174"/>
        <v>172609430.35000008</v>
      </c>
      <c r="N201" s="236">
        <f t="shared" si="174"/>
        <v>132602666.67999995</v>
      </c>
      <c r="O201" s="236">
        <f t="shared" si="174"/>
        <v>73085855.212837011</v>
      </c>
      <c r="P201" s="238">
        <f t="shared" si="174"/>
        <v>273000000</v>
      </c>
    </row>
    <row r="202" spans="1:16" ht="14.45" thickBot="1">
      <c r="A202" s="200" t="s">
        <v>51</v>
      </c>
      <c r="B202" s="903"/>
      <c r="C202" s="906"/>
      <c r="D202" s="335" t="s">
        <v>87</v>
      </c>
      <c r="E202" s="349">
        <f t="shared" ref="E202:P202" si="175">+IFERROR(E200/E201,0)</f>
        <v>0</v>
      </c>
      <c r="F202" s="349">
        <f t="shared" si="175"/>
        <v>0</v>
      </c>
      <c r="G202" s="349">
        <f t="shared" si="175"/>
        <v>0</v>
      </c>
      <c r="H202" s="349">
        <f t="shared" si="175"/>
        <v>0</v>
      </c>
      <c r="I202" s="349">
        <f t="shared" si="175"/>
        <v>0</v>
      </c>
      <c r="J202" s="349">
        <f t="shared" si="175"/>
        <v>0</v>
      </c>
      <c r="K202" s="349">
        <f t="shared" si="175"/>
        <v>0</v>
      </c>
      <c r="L202" s="349">
        <f t="shared" si="175"/>
        <v>0</v>
      </c>
      <c r="M202" s="349">
        <f t="shared" si="175"/>
        <v>0</v>
      </c>
      <c r="N202" s="349">
        <f t="shared" si="175"/>
        <v>0</v>
      </c>
      <c r="O202" s="349">
        <f t="shared" si="175"/>
        <v>0</v>
      </c>
      <c r="P202" s="351">
        <f t="shared" si="175"/>
        <v>0</v>
      </c>
    </row>
    <row r="203" spans="1:16" ht="12.95">
      <c r="B203" s="901" t="s">
        <v>20</v>
      </c>
      <c r="C203" s="904" t="s">
        <v>52</v>
      </c>
      <c r="D203" s="289" t="s">
        <v>86</v>
      </c>
      <c r="E203" s="343">
        <f>SUMIFS('Movimientos Reales'!$D$5:$D$1048576,'Movimientos Reales'!$G$5:$G$1048576,'3 Workig- Capex '!$A205,'Movimientos Reales'!$E$5:$E$1048576,'3 Workig- Capex '!E$139)</f>
        <v>0</v>
      </c>
      <c r="F203" s="235">
        <f>SUMIFS('Movimientos Reales'!$D$5:$D$1048576,'Movimientos Reales'!$G$5:$G$1048576,'3 Workig- Capex '!$A205,'Movimientos Reales'!$E$5:$E$1048576,'3 Workig- Capex '!F$139)</f>
        <v>0</v>
      </c>
      <c r="G203" s="235">
        <f>SUMIFS('Movimientos Reales'!$D$5:$D$1048576,'Movimientos Reales'!$G$5:$G$1048576,'3 Workig- Capex '!$A205,'Movimientos Reales'!$E$5:$E$1048576,'3 Workig- Capex '!G$139)</f>
        <v>0</v>
      </c>
      <c r="H203" s="235">
        <f>SUMIFS('Movimientos Reales'!$D$5:$D$1048576,'Movimientos Reales'!$G$5:$G$1048576,'3 Workig- Capex '!$A205,'Movimientos Reales'!$E$5:$E$1048576,'3 Workig- Capex '!H$139)</f>
        <v>0</v>
      </c>
      <c r="I203" s="235">
        <f>SUMIFS('Movimientos Reales'!$D$5:$D$1048576,'Movimientos Reales'!$G$5:$G$1048576,'3 Workig- Capex '!$A205,'Movimientos Reales'!$E$5:$E$1048576,'3 Workig- Capex '!I$139)</f>
        <v>0</v>
      </c>
      <c r="J203" s="235">
        <f>SUMIFS('Movimientos Reales'!$D$5:$D$1048576,'Movimientos Reales'!$G$5:$G$1048576,'3 Workig- Capex '!$A205,'Movimientos Reales'!$E$5:$E$1048576,'3 Workig- Capex '!J$139)</f>
        <v>0</v>
      </c>
      <c r="K203" s="235">
        <f>SUMIFS('Movimientos Reales'!$D$5:$D$1048576,'Movimientos Reales'!$G$5:$G$1048576,'3 Workig- Capex '!$A205,'Movimientos Reales'!$E$5:$E$1048576,'3 Workig- Capex '!K$139)</f>
        <v>0</v>
      </c>
      <c r="L203" s="235">
        <f>SUMIFS('Movimientos Reales'!$D$5:$D$1048576,'Movimientos Reales'!$G$5:$G$1048576,'3 Workig- Capex '!$A205,'Movimientos Reales'!$E$5:$E$1048576,'3 Workig- Capex '!L$139)</f>
        <v>0</v>
      </c>
      <c r="M203" s="235">
        <f>SUMIFS('Movimientos Reales'!$D$5:$D$1048576,'Movimientos Reales'!$G$5:$G$1048576,'3 Workig- Capex '!$A205,'Movimientos Reales'!$E$5:$E$1048576,'3 Workig- Capex '!M$139)</f>
        <v>0</v>
      </c>
      <c r="N203" s="235">
        <f>SUMIFS('Movimientos Reales'!$D$5:$D$1048576,'Movimientos Reales'!$G$5:$G$1048576,'3 Workig- Capex '!$A205,'Movimientos Reales'!$E$5:$E$1048576,'3 Workig- Capex '!N$139)</f>
        <v>0</v>
      </c>
      <c r="O203" s="235">
        <f>SUMIFS('Movimientos Reales'!$D$5:$D$1048576,'Movimientos Reales'!$G$5:$G$1048576,'3 Workig- Capex '!$A205,'Movimientos Reales'!$E$5:$E$1048576,'3 Workig- Capex '!O$139)</f>
        <v>0</v>
      </c>
      <c r="P203" s="237">
        <f>SUMIFS('Movimientos Reales'!$D$5:$D$1048576,'Movimientos Reales'!$G$5:$G$1048576,'3 Workig- Capex '!$A205,'Movimientos Reales'!$E$5:$E$1048576,'3 Workig- Capex '!P$139)</f>
        <v>0</v>
      </c>
    </row>
    <row r="204" spans="1:16" ht="13.5" thickBot="1">
      <c r="B204" s="902"/>
      <c r="C204" s="905"/>
      <c r="D204" s="98" t="s">
        <v>58</v>
      </c>
      <c r="E204" s="348">
        <f t="shared" ref="E204:P204" si="176">+E78</f>
        <v>0</v>
      </c>
      <c r="F204" s="236">
        <f t="shared" si="176"/>
        <v>0</v>
      </c>
      <c r="G204" s="236">
        <f t="shared" si="176"/>
        <v>0</v>
      </c>
      <c r="H204" s="236">
        <f t="shared" si="176"/>
        <v>0</v>
      </c>
      <c r="I204" s="236">
        <f t="shared" si="176"/>
        <v>0</v>
      </c>
      <c r="J204" s="236">
        <f t="shared" si="176"/>
        <v>121034331.93005374</v>
      </c>
      <c r="K204" s="236">
        <f t="shared" si="176"/>
        <v>468428242.23972201</v>
      </c>
      <c r="L204" s="236">
        <f t="shared" si="176"/>
        <v>314532539.68000001</v>
      </c>
      <c r="M204" s="236">
        <f t="shared" si="176"/>
        <v>-7382539.6899999976</v>
      </c>
      <c r="N204" s="236">
        <f t="shared" si="176"/>
        <v>196942857.13999999</v>
      </c>
      <c r="O204" s="236">
        <f t="shared" si="176"/>
        <v>303905905.307163</v>
      </c>
      <c r="P204" s="238">
        <f t="shared" si="176"/>
        <v>3500000</v>
      </c>
    </row>
    <row r="205" spans="1:16" ht="14.45" thickBot="1">
      <c r="A205" s="200" t="s">
        <v>52</v>
      </c>
      <c r="B205" s="903"/>
      <c r="C205" s="906"/>
      <c r="D205" s="335" t="s">
        <v>87</v>
      </c>
      <c r="E205" s="349">
        <f t="shared" ref="E205:P205" si="177">+IFERROR(E203/E204,0)</f>
        <v>0</v>
      </c>
      <c r="F205" s="349">
        <f t="shared" si="177"/>
        <v>0</v>
      </c>
      <c r="G205" s="349">
        <f t="shared" si="177"/>
        <v>0</v>
      </c>
      <c r="H205" s="349">
        <f t="shared" si="177"/>
        <v>0</v>
      </c>
      <c r="I205" s="349">
        <f t="shared" si="177"/>
        <v>0</v>
      </c>
      <c r="J205" s="349">
        <f t="shared" si="177"/>
        <v>0</v>
      </c>
      <c r="K205" s="349">
        <f t="shared" si="177"/>
        <v>0</v>
      </c>
      <c r="L205" s="349">
        <f t="shared" si="177"/>
        <v>0</v>
      </c>
      <c r="M205" s="349">
        <f t="shared" si="177"/>
        <v>0</v>
      </c>
      <c r="N205" s="349">
        <f t="shared" si="177"/>
        <v>0</v>
      </c>
      <c r="O205" s="349">
        <f t="shared" si="177"/>
        <v>0</v>
      </c>
      <c r="P205" s="351">
        <f t="shared" si="177"/>
        <v>0</v>
      </c>
    </row>
    <row r="206" spans="1:16" ht="12.95">
      <c r="B206" s="901" t="s">
        <v>20</v>
      </c>
      <c r="C206" s="904" t="s">
        <v>52</v>
      </c>
      <c r="D206" s="289" t="s">
        <v>86</v>
      </c>
      <c r="E206" s="343">
        <f>SUMIFS('Movimientos Reales'!$D$5:$D$1048576,'Movimientos Reales'!$G$5:$G$1048576,'3 Workig- Capex '!$A208,'Movimientos Reales'!$E$5:$E$1048576,'3 Workig- Capex '!E$139)</f>
        <v>0</v>
      </c>
      <c r="F206" s="235">
        <f>SUMIFS('Movimientos Reales'!$D$5:$D$1048576,'Movimientos Reales'!$G$5:$G$1048576,'3 Workig- Capex '!$A208,'Movimientos Reales'!$E$5:$E$1048576,'3 Workig- Capex '!F$139)</f>
        <v>0</v>
      </c>
      <c r="G206" s="235">
        <f>SUMIFS('Movimientos Reales'!$D$5:$D$1048576,'Movimientos Reales'!$G$5:$G$1048576,'3 Workig- Capex '!$A208,'Movimientos Reales'!$E$5:$E$1048576,'3 Workig- Capex '!G$139)</f>
        <v>0</v>
      </c>
      <c r="H206" s="235">
        <f>SUMIFS('Movimientos Reales'!$D$5:$D$1048576,'Movimientos Reales'!$G$5:$G$1048576,'3 Workig- Capex '!$A208,'Movimientos Reales'!$E$5:$E$1048576,'3 Workig- Capex '!H$139)</f>
        <v>0</v>
      </c>
      <c r="I206" s="235">
        <f>SUMIFS('Movimientos Reales'!$D$5:$D$1048576,'Movimientos Reales'!$G$5:$G$1048576,'3 Workig- Capex '!$A208,'Movimientos Reales'!$E$5:$E$1048576,'3 Workig- Capex '!I$139)</f>
        <v>0</v>
      </c>
      <c r="J206" s="235">
        <f>SUMIFS('Movimientos Reales'!$D$5:$D$1048576,'Movimientos Reales'!$G$5:$G$1048576,'3 Workig- Capex '!$A208,'Movimientos Reales'!$E$5:$E$1048576,'3 Workig- Capex '!J$139)</f>
        <v>0</v>
      </c>
      <c r="K206" s="235">
        <f>SUMIFS('Movimientos Reales'!$D$5:$D$1048576,'Movimientos Reales'!$G$5:$G$1048576,'3 Workig- Capex '!$A208,'Movimientos Reales'!$E$5:$E$1048576,'3 Workig- Capex '!K$139)</f>
        <v>0</v>
      </c>
      <c r="L206" s="235">
        <f>SUMIFS('Movimientos Reales'!$D$5:$D$1048576,'Movimientos Reales'!$G$5:$G$1048576,'3 Workig- Capex '!$A208,'Movimientos Reales'!$E$5:$E$1048576,'3 Workig- Capex '!L$139)</f>
        <v>0</v>
      </c>
      <c r="M206" s="235">
        <f>SUMIFS('Movimientos Reales'!$D$5:$D$1048576,'Movimientos Reales'!$G$5:$G$1048576,'3 Workig- Capex '!$A208,'Movimientos Reales'!$E$5:$E$1048576,'3 Workig- Capex '!M$139)</f>
        <v>0</v>
      </c>
      <c r="N206" s="235">
        <f>SUMIFS('Movimientos Reales'!$D$5:$D$1048576,'Movimientos Reales'!$G$5:$G$1048576,'3 Workig- Capex '!$A208,'Movimientos Reales'!$E$5:$E$1048576,'3 Workig- Capex '!N$139)</f>
        <v>0</v>
      </c>
      <c r="O206" s="235">
        <f>SUMIFS('Movimientos Reales'!$D$5:$D$1048576,'Movimientos Reales'!$G$5:$G$1048576,'3 Workig- Capex '!$A208,'Movimientos Reales'!$E$5:$E$1048576,'3 Workig- Capex '!O$139)</f>
        <v>0</v>
      </c>
      <c r="P206" s="237">
        <f>SUMIFS('Movimientos Reales'!$D$5:$D$1048576,'Movimientos Reales'!$G$5:$G$1048576,'3 Workig- Capex '!$A208,'Movimientos Reales'!$E$5:$E$1048576,'3 Workig- Capex '!P$139)</f>
        <v>0</v>
      </c>
    </row>
    <row r="207" spans="1:16" ht="13.5" thickBot="1">
      <c r="B207" s="902"/>
      <c r="C207" s="905"/>
      <c r="D207" s="98" t="s">
        <v>58</v>
      </c>
      <c r="E207" s="348">
        <f t="shared" ref="E207:P207" si="178">+E84</f>
        <v>0</v>
      </c>
      <c r="F207" s="236">
        <f t="shared" si="178"/>
        <v>0</v>
      </c>
      <c r="G207" s="236">
        <f t="shared" si="178"/>
        <v>0</v>
      </c>
      <c r="H207" s="236">
        <f t="shared" si="178"/>
        <v>0</v>
      </c>
      <c r="I207" s="236">
        <f t="shared" si="178"/>
        <v>0</v>
      </c>
      <c r="J207" s="236">
        <f t="shared" si="178"/>
        <v>0</v>
      </c>
      <c r="K207" s="236">
        <f t="shared" si="178"/>
        <v>-30000000</v>
      </c>
      <c r="L207" s="236">
        <f t="shared" si="178"/>
        <v>-30000000</v>
      </c>
      <c r="M207" s="236">
        <f t="shared" si="178"/>
        <v>-68000000</v>
      </c>
      <c r="N207" s="236">
        <f t="shared" si="178"/>
        <v>-68000000</v>
      </c>
      <c r="O207" s="236">
        <f t="shared" si="178"/>
        <v>-68000000</v>
      </c>
      <c r="P207" s="238">
        <f t="shared" si="178"/>
        <v>-68000000</v>
      </c>
    </row>
    <row r="208" spans="1:16" ht="14.45" thickBot="1">
      <c r="A208" s="200" t="s">
        <v>57</v>
      </c>
      <c r="B208" s="903"/>
      <c r="C208" s="906"/>
      <c r="D208" s="335" t="s">
        <v>87</v>
      </c>
      <c r="E208" s="349">
        <f t="shared" ref="E208:P208" si="179">+IFERROR(E206/E207,0)</f>
        <v>0</v>
      </c>
      <c r="F208" s="349">
        <f t="shared" si="179"/>
        <v>0</v>
      </c>
      <c r="G208" s="349">
        <f t="shared" si="179"/>
        <v>0</v>
      </c>
      <c r="H208" s="349">
        <f t="shared" si="179"/>
        <v>0</v>
      </c>
      <c r="I208" s="349">
        <f t="shared" si="179"/>
        <v>0</v>
      </c>
      <c r="J208" s="349">
        <f t="shared" si="179"/>
        <v>0</v>
      </c>
      <c r="K208" s="349">
        <f t="shared" si="179"/>
        <v>0</v>
      </c>
      <c r="L208" s="349">
        <f t="shared" si="179"/>
        <v>0</v>
      </c>
      <c r="M208" s="349">
        <f t="shared" si="179"/>
        <v>0</v>
      </c>
      <c r="N208" s="349">
        <f t="shared" si="179"/>
        <v>0</v>
      </c>
      <c r="O208" s="349">
        <f t="shared" si="179"/>
        <v>0</v>
      </c>
      <c r="P208" s="351">
        <f t="shared" si="179"/>
        <v>0</v>
      </c>
    </row>
    <row r="212" spans="1:16" ht="15" customHeight="1" thickBot="1">
      <c r="E212" s="917" t="s">
        <v>58</v>
      </c>
      <c r="F212" s="918"/>
      <c r="G212" s="918"/>
      <c r="H212" s="918"/>
      <c r="I212" s="918"/>
      <c r="J212" s="918"/>
      <c r="K212" s="918"/>
      <c r="L212" s="918"/>
      <c r="M212" s="918"/>
      <c r="N212" s="918"/>
      <c r="O212" s="918"/>
      <c r="P212" s="919"/>
    </row>
    <row r="213" spans="1:16" ht="15" customHeight="1" thickBot="1">
      <c r="E213" s="334">
        <v>45292</v>
      </c>
      <c r="F213" s="334">
        <v>45323</v>
      </c>
      <c r="G213" s="334">
        <v>45352</v>
      </c>
      <c r="H213" s="334">
        <v>45383</v>
      </c>
      <c r="I213" s="334">
        <v>45413</v>
      </c>
      <c r="J213" s="334">
        <v>45444</v>
      </c>
      <c r="K213" s="334">
        <v>45474</v>
      </c>
      <c r="L213" s="334">
        <v>45505</v>
      </c>
      <c r="M213" s="334">
        <v>45536</v>
      </c>
      <c r="N213" s="334">
        <v>45566</v>
      </c>
      <c r="O213" s="334">
        <v>45597</v>
      </c>
      <c r="P213" s="334">
        <v>45627</v>
      </c>
    </row>
    <row r="214" spans="1:16" ht="15" customHeight="1" thickBot="1">
      <c r="B214" s="910" t="s">
        <v>11</v>
      </c>
      <c r="C214" s="911"/>
      <c r="D214" s="911"/>
      <c r="E214" s="215">
        <f>+E215+E218+E221+E224+E227+E230+E233+E236</f>
        <v>0</v>
      </c>
      <c r="F214" s="215">
        <f t="shared" ref="F214:J214" si="180">+F215+F218+F221+F224+F227+F230+F233+F236</f>
        <v>0</v>
      </c>
      <c r="G214" s="215">
        <f t="shared" si="180"/>
        <v>0</v>
      </c>
      <c r="H214" s="215">
        <f t="shared" si="180"/>
        <v>0</v>
      </c>
      <c r="I214" s="215">
        <f t="shared" si="180"/>
        <v>0</v>
      </c>
      <c r="J214" s="215">
        <f t="shared" si="180"/>
        <v>0</v>
      </c>
      <c r="K214" s="215">
        <f t="shared" ref="K214:P214" si="181">+K215+K218+K221+K224</f>
        <v>0</v>
      </c>
      <c r="L214" s="215">
        <f t="shared" si="181"/>
        <v>0</v>
      </c>
      <c r="M214" s="215">
        <f t="shared" si="181"/>
        <v>0</v>
      </c>
      <c r="N214" s="215">
        <f t="shared" si="181"/>
        <v>0</v>
      </c>
      <c r="O214" s="215">
        <f t="shared" si="181"/>
        <v>0</v>
      </c>
      <c r="P214" s="215">
        <f t="shared" si="181"/>
        <v>0</v>
      </c>
    </row>
    <row r="215" spans="1:16" ht="15" customHeight="1">
      <c r="B215" s="901" t="s">
        <v>59</v>
      </c>
      <c r="C215" s="904" t="s">
        <v>60</v>
      </c>
      <c r="D215" s="336" t="s">
        <v>86</v>
      </c>
      <c r="E215" s="343">
        <f>SUMIFS('Movimientos Reales'!$D$5:$D$1048576,'Movimientos Reales'!$G$5:$G$1048576,'3 Workig- Capex '!$A217,'Movimientos Reales'!$E$5:$E$1048576,'3 Workig- Capex '!E$139)</f>
        <v>0</v>
      </c>
      <c r="F215" s="235">
        <f>SUMIFS('Movimientos Reales'!$D$5:$D$1048576,'Movimientos Reales'!$G$5:$G$1048576,'3 Workig- Capex '!$A217,'Movimientos Reales'!$E$5:$E$1048576,'3 Workig- Capex '!F$139)</f>
        <v>0</v>
      </c>
      <c r="G215" s="235">
        <f>SUMIFS('Movimientos Reales'!$D$5:$D$1048576,'Movimientos Reales'!$G$5:$G$1048576,'3 Workig- Capex '!$A217,'Movimientos Reales'!$E$5:$E$1048576,'3 Workig- Capex '!G$139)</f>
        <v>0</v>
      </c>
      <c r="H215" s="235">
        <f>SUMIFS('Movimientos Reales'!$D$5:$D$1048576,'Movimientos Reales'!$G$5:$G$1048576,'3 Workig- Capex '!$A217,'Movimientos Reales'!$E$5:$E$1048576,'3 Workig- Capex '!H$139)</f>
        <v>0</v>
      </c>
      <c r="I215" s="235">
        <f>SUMIFS('Movimientos Reales'!$D$5:$D$1048576,'Movimientos Reales'!$G$5:$G$1048576,'3 Workig- Capex '!$A217,'Movimientos Reales'!$E$5:$E$1048576,'3 Workig- Capex '!I$139)</f>
        <v>0</v>
      </c>
      <c r="J215" s="235">
        <f>SUMIFS('Movimientos Reales'!$D$5:$D$1048576,'Movimientos Reales'!$G$5:$G$1048576,'3 Workig- Capex '!$A217,'Movimientos Reales'!$E$5:$E$1048576,'3 Workig- Capex '!J$139)</f>
        <v>0</v>
      </c>
      <c r="K215" s="235">
        <f>SUMIFS('Movimientos Reales'!$D$5:$D$1048576,'Movimientos Reales'!$G$5:$G$1048576,'3 Workig- Capex '!$A217,'Movimientos Reales'!$E$5:$E$1048576,'3 Workig- Capex '!K$139)</f>
        <v>0</v>
      </c>
      <c r="L215" s="235">
        <f>SUMIFS('Movimientos Reales'!$D$5:$D$1048576,'Movimientos Reales'!$G$5:$G$1048576,'3 Workig- Capex '!$A217,'Movimientos Reales'!$E$5:$E$1048576,'3 Workig- Capex '!L$139)</f>
        <v>0</v>
      </c>
      <c r="M215" s="235">
        <f>SUMIFS('Movimientos Reales'!$D$5:$D$1048576,'Movimientos Reales'!$G$5:$G$1048576,'3 Workig- Capex '!$A217,'Movimientos Reales'!$E$5:$E$1048576,'3 Workig- Capex '!M$139)</f>
        <v>0</v>
      </c>
      <c r="N215" s="235">
        <f>SUMIFS('Movimientos Reales'!$D$5:$D$1048576,'Movimientos Reales'!$G$5:$G$1048576,'3 Workig- Capex '!$A217,'Movimientos Reales'!$E$5:$E$1048576,'3 Workig- Capex '!N$139)</f>
        <v>0</v>
      </c>
      <c r="O215" s="235">
        <f>SUMIFS('Movimientos Reales'!$D$5:$D$1048576,'Movimientos Reales'!$G$5:$G$1048576,'3 Workig- Capex '!$A217,'Movimientos Reales'!$E$5:$E$1048576,'3 Workig- Capex '!O$139)</f>
        <v>0</v>
      </c>
      <c r="P215" s="237">
        <f>SUMIFS('Movimientos Reales'!$D$5:$D$1048576,'Movimientos Reales'!$G$5:$G$1048576,'3 Workig- Capex '!$A217,'Movimientos Reales'!$E$5:$E$1048576,'3 Workig- Capex '!P$139)</f>
        <v>0</v>
      </c>
    </row>
    <row r="216" spans="1:16" ht="15" customHeight="1" thickBot="1">
      <c r="B216" s="902"/>
      <c r="C216" s="905"/>
      <c r="D216" s="350" t="s">
        <v>58</v>
      </c>
      <c r="E216" s="348">
        <f>+E93</f>
        <v>0</v>
      </c>
      <c r="F216" s="236">
        <f t="shared" ref="F216:P216" si="182">+F93</f>
        <v>0</v>
      </c>
      <c r="G216" s="236">
        <f t="shared" si="182"/>
        <v>-44000000</v>
      </c>
      <c r="H216" s="236">
        <f t="shared" si="182"/>
        <v>-15000000</v>
      </c>
      <c r="I216" s="236">
        <f t="shared" si="182"/>
        <v>-20000000</v>
      </c>
      <c r="J216" s="236">
        <f t="shared" si="182"/>
        <v>0</v>
      </c>
      <c r="K216" s="236">
        <f t="shared" si="182"/>
        <v>0</v>
      </c>
      <c r="L216" s="236">
        <f t="shared" si="182"/>
        <v>0</v>
      </c>
      <c r="M216" s="236">
        <f t="shared" si="182"/>
        <v>0</v>
      </c>
      <c r="N216" s="236">
        <f t="shared" si="182"/>
        <v>0</v>
      </c>
      <c r="O216" s="236">
        <f t="shared" si="182"/>
        <v>0</v>
      </c>
      <c r="P216" s="238">
        <f t="shared" si="182"/>
        <v>0</v>
      </c>
    </row>
    <row r="217" spans="1:16" ht="15" customHeight="1" thickBot="1">
      <c r="A217" s="200" t="s">
        <v>60</v>
      </c>
      <c r="B217" s="903"/>
      <c r="C217" s="906"/>
      <c r="D217" s="335" t="s">
        <v>87</v>
      </c>
      <c r="E217" s="349">
        <f>+IFERROR(E215/E216,0)</f>
        <v>0</v>
      </c>
      <c r="F217" s="349">
        <f t="shared" ref="F217" si="183">+IFERROR(F215/F216,0)</f>
        <v>0</v>
      </c>
      <c r="G217" s="349">
        <f t="shared" ref="G217" si="184">+IFERROR(G215/G216,0)</f>
        <v>0</v>
      </c>
      <c r="H217" s="349">
        <f t="shared" ref="H217" si="185">+IFERROR(H215/H216,0)</f>
        <v>0</v>
      </c>
      <c r="I217" s="349">
        <f t="shared" ref="I217" si="186">+IFERROR(I215/I216,0)</f>
        <v>0</v>
      </c>
      <c r="J217" s="349">
        <f t="shared" ref="J217" si="187">+IFERROR(J215/J216,0)</f>
        <v>0</v>
      </c>
      <c r="K217" s="349">
        <f t="shared" ref="K217" si="188">+IFERROR(K215/K216,0)</f>
        <v>0</v>
      </c>
      <c r="L217" s="349">
        <f t="shared" ref="L217" si="189">+IFERROR(L215/L216,0)</f>
        <v>0</v>
      </c>
      <c r="M217" s="349">
        <f t="shared" ref="M217" si="190">+IFERROR(M215/M216,0)</f>
        <v>0</v>
      </c>
      <c r="N217" s="349">
        <f t="shared" ref="N217" si="191">+IFERROR(N215/N216,0)</f>
        <v>0</v>
      </c>
      <c r="O217" s="349">
        <f t="shared" ref="O217" si="192">+IFERROR(O215/O216,0)</f>
        <v>0</v>
      </c>
      <c r="P217" s="351">
        <f t="shared" ref="P217" si="193">+IFERROR(P215/P216,0)</f>
        <v>0</v>
      </c>
    </row>
    <row r="218" spans="1:16" ht="12.95">
      <c r="B218" s="901" t="s">
        <v>59</v>
      </c>
      <c r="C218" s="904" t="s">
        <v>61</v>
      </c>
      <c r="D218" s="336" t="s">
        <v>86</v>
      </c>
      <c r="E218" s="343">
        <f>SUMIFS('Movimientos Reales'!$D$5:$D$1048576,'Movimientos Reales'!$G$5:$G$1048576,'3 Workig- Capex '!$A220,'Movimientos Reales'!$E$5:$E$1048576,'3 Workig- Capex '!E$139)</f>
        <v>0</v>
      </c>
      <c r="F218" s="235">
        <f>SUMIFS('Movimientos Reales'!$D$5:$D$1048576,'Movimientos Reales'!$G$5:$G$1048576,'3 Workig- Capex '!$A220,'Movimientos Reales'!$E$5:$E$1048576,'3 Workig- Capex '!F$139)</f>
        <v>0</v>
      </c>
      <c r="G218" s="235">
        <f>SUMIFS('Movimientos Reales'!$D$5:$D$1048576,'Movimientos Reales'!$G$5:$G$1048576,'3 Workig- Capex '!$A220,'Movimientos Reales'!$E$5:$E$1048576,'3 Workig- Capex '!G$139)</f>
        <v>0</v>
      </c>
      <c r="H218" s="235">
        <f>SUMIFS('Movimientos Reales'!$D$5:$D$1048576,'Movimientos Reales'!$G$5:$G$1048576,'3 Workig- Capex '!$A220,'Movimientos Reales'!$E$5:$E$1048576,'3 Workig- Capex '!H$139)</f>
        <v>0</v>
      </c>
      <c r="I218" s="235">
        <f>SUMIFS('Movimientos Reales'!$D$5:$D$1048576,'Movimientos Reales'!$G$5:$G$1048576,'3 Workig- Capex '!$A220,'Movimientos Reales'!$E$5:$E$1048576,'3 Workig- Capex '!I$139)</f>
        <v>0</v>
      </c>
      <c r="J218" s="235">
        <f>SUMIFS('Movimientos Reales'!$D$5:$D$1048576,'Movimientos Reales'!$G$5:$G$1048576,'3 Workig- Capex '!$A220,'Movimientos Reales'!$E$5:$E$1048576,'3 Workig- Capex '!J$139)</f>
        <v>0</v>
      </c>
      <c r="K218" s="235">
        <f>SUMIFS('Movimientos Reales'!$D$5:$D$1048576,'Movimientos Reales'!$G$5:$G$1048576,'3 Workig- Capex '!$A220,'Movimientos Reales'!$E$5:$E$1048576,'3 Workig- Capex '!K$139)</f>
        <v>0</v>
      </c>
      <c r="L218" s="235">
        <f>SUMIFS('Movimientos Reales'!$D$5:$D$1048576,'Movimientos Reales'!$G$5:$G$1048576,'3 Workig- Capex '!$A220,'Movimientos Reales'!$E$5:$E$1048576,'3 Workig- Capex '!L$139)</f>
        <v>0</v>
      </c>
      <c r="M218" s="235">
        <f>SUMIFS('Movimientos Reales'!$D$5:$D$1048576,'Movimientos Reales'!$G$5:$G$1048576,'3 Workig- Capex '!$A220,'Movimientos Reales'!$E$5:$E$1048576,'3 Workig- Capex '!M$139)</f>
        <v>0</v>
      </c>
      <c r="N218" s="235">
        <f>SUMIFS('Movimientos Reales'!$D$5:$D$1048576,'Movimientos Reales'!$G$5:$G$1048576,'3 Workig- Capex '!$A220,'Movimientos Reales'!$E$5:$E$1048576,'3 Workig- Capex '!N$139)</f>
        <v>0</v>
      </c>
      <c r="O218" s="235">
        <f>SUMIFS('Movimientos Reales'!$D$5:$D$1048576,'Movimientos Reales'!$G$5:$G$1048576,'3 Workig- Capex '!$A220,'Movimientos Reales'!$E$5:$E$1048576,'3 Workig- Capex '!O$139)</f>
        <v>0</v>
      </c>
      <c r="P218" s="237">
        <f>SUMIFS('Movimientos Reales'!$D$5:$D$1048576,'Movimientos Reales'!$G$5:$G$1048576,'3 Workig- Capex '!$A220,'Movimientos Reales'!$E$5:$E$1048576,'3 Workig- Capex '!P$139)</f>
        <v>0</v>
      </c>
    </row>
    <row r="219" spans="1:16" ht="15" customHeight="1" thickBot="1">
      <c r="B219" s="902"/>
      <c r="C219" s="905"/>
      <c r="D219" s="350" t="s">
        <v>58</v>
      </c>
      <c r="E219" s="348">
        <f>+E96</f>
        <v>-10000000</v>
      </c>
      <c r="F219" s="236">
        <f t="shared" ref="F219:P219" si="194">+F96</f>
        <v>-20000000</v>
      </c>
      <c r="G219" s="236">
        <f>+G96</f>
        <v>-8000000</v>
      </c>
      <c r="H219" s="236">
        <f t="shared" si="194"/>
        <v>-3000000</v>
      </c>
      <c r="I219" s="236">
        <f t="shared" si="194"/>
        <v>0</v>
      </c>
      <c r="J219" s="236">
        <f t="shared" si="194"/>
        <v>0</v>
      </c>
      <c r="K219" s="236">
        <f t="shared" si="194"/>
        <v>0</v>
      </c>
      <c r="L219" s="236">
        <f t="shared" si="194"/>
        <v>0</v>
      </c>
      <c r="M219" s="236">
        <f t="shared" si="194"/>
        <v>0</v>
      </c>
      <c r="N219" s="236">
        <f t="shared" si="194"/>
        <v>0</v>
      </c>
      <c r="O219" s="236">
        <f t="shared" si="194"/>
        <v>0</v>
      </c>
      <c r="P219" s="238">
        <f t="shared" si="194"/>
        <v>0</v>
      </c>
    </row>
    <row r="220" spans="1:16" ht="15" customHeight="1" thickBot="1">
      <c r="A220" s="200" t="s">
        <v>61</v>
      </c>
      <c r="B220" s="903"/>
      <c r="C220" s="906"/>
      <c r="D220" s="335" t="s">
        <v>87</v>
      </c>
      <c r="E220" s="349">
        <f>+IFERROR(E218/E219,0)</f>
        <v>0</v>
      </c>
      <c r="F220" s="349">
        <f t="shared" ref="F220" si="195">+IFERROR(F218/F219,0)</f>
        <v>0</v>
      </c>
      <c r="G220" s="349">
        <f t="shared" ref="G220" si="196">+IFERROR(G218/G219,0)</f>
        <v>0</v>
      </c>
      <c r="H220" s="349">
        <f t="shared" ref="H220" si="197">+IFERROR(H218/H219,0)</f>
        <v>0</v>
      </c>
      <c r="I220" s="349">
        <f t="shared" ref="I220" si="198">+IFERROR(I218/I219,0)</f>
        <v>0</v>
      </c>
      <c r="J220" s="349">
        <f t="shared" ref="J220" si="199">+IFERROR(J218/J219,0)</f>
        <v>0</v>
      </c>
      <c r="K220" s="349">
        <f t="shared" ref="K220" si="200">+IFERROR(K218/K219,0)</f>
        <v>0</v>
      </c>
      <c r="L220" s="349">
        <f t="shared" ref="L220" si="201">+IFERROR(L218/L219,0)</f>
        <v>0</v>
      </c>
      <c r="M220" s="349">
        <f t="shared" ref="M220" si="202">+IFERROR(M218/M219,0)</f>
        <v>0</v>
      </c>
      <c r="N220" s="349">
        <f t="shared" ref="N220" si="203">+IFERROR(N218/N219,0)</f>
        <v>0</v>
      </c>
      <c r="O220" s="349">
        <f t="shared" ref="O220" si="204">+IFERROR(O218/O219,0)</f>
        <v>0</v>
      </c>
      <c r="P220" s="351">
        <f t="shared" ref="P220" si="205">+IFERROR(P218/P219,0)</f>
        <v>0</v>
      </c>
    </row>
    <row r="221" spans="1:16" ht="12.95">
      <c r="B221" s="901" t="s">
        <v>59</v>
      </c>
      <c r="C221" s="904" t="s">
        <v>62</v>
      </c>
      <c r="D221" s="336" t="s">
        <v>86</v>
      </c>
      <c r="E221" s="343">
        <f>SUMIFS('Movimientos Reales'!$D$5:$D$1048576,'Movimientos Reales'!$G$5:$G$1048576,'3 Workig- Capex '!$A223,'Movimientos Reales'!$E$5:$E$1048576,'3 Workig- Capex '!E$139)</f>
        <v>0</v>
      </c>
      <c r="F221" s="235">
        <f>SUMIFS('Movimientos Reales'!$D$5:$D$1048576,'Movimientos Reales'!$G$5:$G$1048576,'3 Workig- Capex '!$A223,'Movimientos Reales'!$E$5:$E$1048576,'3 Workig- Capex '!F$139)</f>
        <v>0</v>
      </c>
      <c r="G221" s="235">
        <f>SUMIFS('Movimientos Reales'!$D$5:$D$1048576,'Movimientos Reales'!$G$5:$G$1048576,'3 Workig- Capex '!$A223,'Movimientos Reales'!$E$5:$E$1048576,'3 Workig- Capex '!G$139)</f>
        <v>0</v>
      </c>
      <c r="H221" s="235">
        <f>SUMIFS('Movimientos Reales'!$D$5:$D$1048576,'Movimientos Reales'!$G$5:$G$1048576,'3 Workig- Capex '!$A223,'Movimientos Reales'!$E$5:$E$1048576,'3 Workig- Capex '!H$139)</f>
        <v>0</v>
      </c>
      <c r="I221" s="235">
        <f>SUMIFS('Movimientos Reales'!$D$5:$D$1048576,'Movimientos Reales'!$G$5:$G$1048576,'3 Workig- Capex '!$A223,'Movimientos Reales'!$E$5:$E$1048576,'3 Workig- Capex '!I$139)</f>
        <v>0</v>
      </c>
      <c r="J221" s="235">
        <f>SUMIFS('Movimientos Reales'!$D$5:$D$1048576,'Movimientos Reales'!$G$5:$G$1048576,'3 Workig- Capex '!$A223,'Movimientos Reales'!$E$5:$E$1048576,'3 Workig- Capex '!J$139)</f>
        <v>0</v>
      </c>
      <c r="K221" s="235">
        <f>SUMIFS('Movimientos Reales'!$D$5:$D$1048576,'Movimientos Reales'!$G$5:$G$1048576,'3 Workig- Capex '!$A223,'Movimientos Reales'!$E$5:$E$1048576,'3 Workig- Capex '!K$139)</f>
        <v>0</v>
      </c>
      <c r="L221" s="235">
        <f>SUMIFS('Movimientos Reales'!$D$5:$D$1048576,'Movimientos Reales'!$G$5:$G$1048576,'3 Workig- Capex '!$A223,'Movimientos Reales'!$E$5:$E$1048576,'3 Workig- Capex '!L$139)</f>
        <v>0</v>
      </c>
      <c r="M221" s="235">
        <f>SUMIFS('Movimientos Reales'!$D$5:$D$1048576,'Movimientos Reales'!$G$5:$G$1048576,'3 Workig- Capex '!$A223,'Movimientos Reales'!$E$5:$E$1048576,'3 Workig- Capex '!M$139)</f>
        <v>0</v>
      </c>
      <c r="N221" s="235">
        <f>SUMIFS('Movimientos Reales'!$D$5:$D$1048576,'Movimientos Reales'!$G$5:$G$1048576,'3 Workig- Capex '!$A223,'Movimientos Reales'!$E$5:$E$1048576,'3 Workig- Capex '!N$139)</f>
        <v>0</v>
      </c>
      <c r="O221" s="235">
        <f>SUMIFS('Movimientos Reales'!$D$5:$D$1048576,'Movimientos Reales'!$G$5:$G$1048576,'3 Workig- Capex '!$A223,'Movimientos Reales'!$E$5:$E$1048576,'3 Workig- Capex '!O$139)</f>
        <v>0</v>
      </c>
      <c r="P221" s="237">
        <f>SUMIFS('Movimientos Reales'!$D$5:$D$1048576,'Movimientos Reales'!$G$5:$G$1048576,'3 Workig- Capex '!$A223,'Movimientos Reales'!$E$5:$E$1048576,'3 Workig- Capex '!P$139)</f>
        <v>0</v>
      </c>
    </row>
    <row r="222" spans="1:16" ht="15" customHeight="1" thickBot="1">
      <c r="B222" s="902"/>
      <c r="C222" s="905"/>
      <c r="D222" s="350" t="s">
        <v>58</v>
      </c>
      <c r="E222" s="348">
        <f>+E99</f>
        <v>-30000000</v>
      </c>
      <c r="F222" s="236">
        <f t="shared" ref="F222:P222" si="206">+F99</f>
        <v>-43752180.43</v>
      </c>
      <c r="G222" s="236">
        <f t="shared" si="206"/>
        <v>-7464250</v>
      </c>
      <c r="H222" s="236">
        <f t="shared" si="206"/>
        <v>0</v>
      </c>
      <c r="I222" s="236">
        <f t="shared" si="206"/>
        <v>-5000000</v>
      </c>
      <c r="J222" s="236">
        <f t="shared" si="206"/>
        <v>0</v>
      </c>
      <c r="K222" s="236">
        <f t="shared" si="206"/>
        <v>0</v>
      </c>
      <c r="L222" s="236">
        <f t="shared" si="206"/>
        <v>0</v>
      </c>
      <c r="M222" s="236">
        <f t="shared" si="206"/>
        <v>0</v>
      </c>
      <c r="N222" s="236">
        <f t="shared" si="206"/>
        <v>0</v>
      </c>
      <c r="O222" s="236">
        <f t="shared" si="206"/>
        <v>0</v>
      </c>
      <c r="P222" s="238">
        <f t="shared" si="206"/>
        <v>0</v>
      </c>
    </row>
    <row r="223" spans="1:16" ht="15" customHeight="1" thickBot="1">
      <c r="A223" s="130" t="s">
        <v>63</v>
      </c>
      <c r="B223" s="903"/>
      <c r="C223" s="906"/>
      <c r="D223" s="335" t="s">
        <v>87</v>
      </c>
      <c r="E223" s="349">
        <f>+IFERROR(E221/E222,0)</f>
        <v>0</v>
      </c>
      <c r="F223" s="349">
        <f>+IFERROR(F221/F222,0)</f>
        <v>0</v>
      </c>
      <c r="G223" s="349">
        <f t="shared" ref="G223" si="207">+IFERROR(G221/G222,0)</f>
        <v>0</v>
      </c>
      <c r="H223" s="349">
        <f t="shared" ref="H223" si="208">+IFERROR(H221/H222,0)</f>
        <v>0</v>
      </c>
      <c r="I223" s="349">
        <f t="shared" ref="I223" si="209">+IFERROR(I221/I222,0)</f>
        <v>0</v>
      </c>
      <c r="J223" s="349">
        <f t="shared" ref="J223" si="210">+IFERROR(J221/J222,0)</f>
        <v>0</v>
      </c>
      <c r="K223" s="349">
        <f t="shared" ref="K223" si="211">+IFERROR(K221/K222,0)</f>
        <v>0</v>
      </c>
      <c r="L223" s="349">
        <f t="shared" ref="L223" si="212">+IFERROR(L221/L222,0)</f>
        <v>0</v>
      </c>
      <c r="M223" s="349">
        <f t="shared" ref="M223" si="213">+IFERROR(M221/M222,0)</f>
        <v>0</v>
      </c>
      <c r="N223" s="349">
        <f t="shared" ref="N223" si="214">+IFERROR(N221/N222,0)</f>
        <v>0</v>
      </c>
      <c r="O223" s="349">
        <f t="shared" ref="O223" si="215">+IFERROR(O221/O222,0)</f>
        <v>0</v>
      </c>
      <c r="P223" s="351">
        <f t="shared" ref="P223" si="216">+IFERROR(P221/P222,0)</f>
        <v>0</v>
      </c>
    </row>
    <row r="224" spans="1:16" ht="15" customHeight="1">
      <c r="B224" s="901" t="s">
        <v>59</v>
      </c>
      <c r="C224" s="904" t="s">
        <v>64</v>
      </c>
      <c r="D224" s="336" t="s">
        <v>86</v>
      </c>
      <c r="E224" s="343">
        <f>SUMIFS('Movimientos Reales'!$D$5:$D$1048576,'Movimientos Reales'!$G$5:$G$1048576,'3 Workig- Capex '!$A226,'Movimientos Reales'!$E$5:$E$1048576,'3 Workig- Capex '!E$139)</f>
        <v>0</v>
      </c>
      <c r="F224" s="235">
        <f>SUMIFS('Movimientos Reales'!$D$5:$D$1048576,'Movimientos Reales'!$G$5:$G$1048576,'3 Workig- Capex '!$A226,'Movimientos Reales'!$E$5:$E$1048576,'3 Workig- Capex '!F$139)</f>
        <v>0</v>
      </c>
      <c r="G224" s="235">
        <f>SUMIFS('Movimientos Reales'!$D$5:$D$1048576,'Movimientos Reales'!$G$5:$G$1048576,'3 Workig- Capex '!$A226,'Movimientos Reales'!$E$5:$E$1048576,'3 Workig- Capex '!G$139)</f>
        <v>0</v>
      </c>
      <c r="H224" s="235">
        <f>SUMIFS('Movimientos Reales'!$D$5:$D$1048576,'Movimientos Reales'!$G$5:$G$1048576,'3 Workig- Capex '!$A226,'Movimientos Reales'!$E$5:$E$1048576,'3 Workig- Capex '!H$139)</f>
        <v>0</v>
      </c>
      <c r="I224" s="235">
        <f>SUMIFS('Movimientos Reales'!$D$5:$D$1048576,'Movimientos Reales'!$G$5:$G$1048576,'3 Workig- Capex '!$A226,'Movimientos Reales'!$E$5:$E$1048576,'3 Workig- Capex '!I$139)</f>
        <v>0</v>
      </c>
      <c r="J224" s="235">
        <f>SUMIFS('Movimientos Reales'!$D$5:$D$1048576,'Movimientos Reales'!$G$5:$G$1048576,'3 Workig- Capex '!$A226,'Movimientos Reales'!$E$5:$E$1048576,'3 Workig- Capex '!J$139)</f>
        <v>0</v>
      </c>
      <c r="K224" s="235">
        <f>SUMIFS('Movimientos Reales'!$D$5:$D$1048576,'Movimientos Reales'!$G$5:$G$1048576,'3 Workig- Capex '!$A226,'Movimientos Reales'!$E$5:$E$1048576,'3 Workig- Capex '!K$139)</f>
        <v>0</v>
      </c>
      <c r="L224" s="235">
        <f>SUMIFS('Movimientos Reales'!$D$5:$D$1048576,'Movimientos Reales'!$G$5:$G$1048576,'3 Workig- Capex '!$A226,'Movimientos Reales'!$E$5:$E$1048576,'3 Workig- Capex '!L$139)</f>
        <v>0</v>
      </c>
      <c r="M224" s="235">
        <f>SUMIFS('Movimientos Reales'!$D$5:$D$1048576,'Movimientos Reales'!$G$5:$G$1048576,'3 Workig- Capex '!$A226,'Movimientos Reales'!$E$5:$E$1048576,'3 Workig- Capex '!M$139)</f>
        <v>0</v>
      </c>
      <c r="N224" s="235">
        <f>SUMIFS('Movimientos Reales'!$D$5:$D$1048576,'Movimientos Reales'!$G$5:$G$1048576,'3 Workig- Capex '!$A226,'Movimientos Reales'!$E$5:$E$1048576,'3 Workig- Capex '!N$139)</f>
        <v>0</v>
      </c>
      <c r="O224" s="235">
        <f>SUMIFS('Movimientos Reales'!$D$5:$D$1048576,'Movimientos Reales'!$G$5:$G$1048576,'3 Workig- Capex '!$A226,'Movimientos Reales'!$E$5:$E$1048576,'3 Workig- Capex '!O$139)</f>
        <v>0</v>
      </c>
      <c r="P224" s="237">
        <f>SUMIFS('Movimientos Reales'!$D$5:$D$1048576,'Movimientos Reales'!$G$5:$G$1048576,'3 Workig- Capex '!$A226,'Movimientos Reales'!$E$5:$E$1048576,'3 Workig- Capex '!P$139)</f>
        <v>0</v>
      </c>
    </row>
    <row r="225" spans="1:16" ht="15" customHeight="1" thickBot="1">
      <c r="B225" s="902"/>
      <c r="C225" s="905"/>
      <c r="D225" s="350" t="s">
        <v>58</v>
      </c>
      <c r="E225" s="348">
        <f>+E102</f>
        <v>0</v>
      </c>
      <c r="F225" s="236">
        <f t="shared" ref="F225:P225" si="217">+F102</f>
        <v>0</v>
      </c>
      <c r="G225" s="236">
        <f t="shared" si="217"/>
        <v>0</v>
      </c>
      <c r="H225" s="236">
        <f t="shared" si="217"/>
        <v>-16262278.760871798</v>
      </c>
      <c r="I225" s="236">
        <f t="shared" si="217"/>
        <v>-32464250</v>
      </c>
      <c r="J225" s="236">
        <f t="shared" si="217"/>
        <v>0</v>
      </c>
      <c r="K225" s="236">
        <f t="shared" si="217"/>
        <v>0</v>
      </c>
      <c r="L225" s="236">
        <f t="shared" si="217"/>
        <v>0</v>
      </c>
      <c r="M225" s="236">
        <f t="shared" si="217"/>
        <v>0</v>
      </c>
      <c r="N225" s="236">
        <f t="shared" si="217"/>
        <v>0</v>
      </c>
      <c r="O225" s="236">
        <f t="shared" si="217"/>
        <v>0</v>
      </c>
      <c r="P225" s="238">
        <f t="shared" si="217"/>
        <v>0</v>
      </c>
    </row>
    <row r="226" spans="1:16" ht="15" customHeight="1" thickBot="1">
      <c r="A226" s="92" t="s">
        <v>64</v>
      </c>
      <c r="B226" s="903"/>
      <c r="C226" s="906"/>
      <c r="D226" s="335" t="s">
        <v>87</v>
      </c>
      <c r="E226" s="349">
        <f>+IFERROR(E224/E225,0)</f>
        <v>0</v>
      </c>
      <c r="F226" s="349">
        <f t="shared" ref="F226" si="218">+IFERROR(F224/F225,0)</f>
        <v>0</v>
      </c>
      <c r="G226" s="349">
        <f t="shared" ref="G226" si="219">+IFERROR(G224/G225,0)</f>
        <v>0</v>
      </c>
      <c r="H226" s="349">
        <f t="shared" ref="H226" si="220">+IFERROR(H224/H225,0)</f>
        <v>0</v>
      </c>
      <c r="I226" s="349">
        <f t="shared" ref="I226" si="221">+IFERROR(I224/I225,0)</f>
        <v>0</v>
      </c>
      <c r="J226" s="349">
        <f t="shared" ref="J226" si="222">+IFERROR(J224/J225,0)</f>
        <v>0</v>
      </c>
      <c r="K226" s="349">
        <f t="shared" ref="K226" si="223">+IFERROR(K224/K225,0)</f>
        <v>0</v>
      </c>
      <c r="L226" s="349">
        <f t="shared" ref="L226" si="224">+IFERROR(L224/L225,0)</f>
        <v>0</v>
      </c>
      <c r="M226" s="349">
        <f t="shared" ref="M226" si="225">+IFERROR(M224/M225,0)</f>
        <v>0</v>
      </c>
      <c r="N226" s="349">
        <f t="shared" ref="N226" si="226">+IFERROR(N224/N225,0)</f>
        <v>0</v>
      </c>
      <c r="O226" s="349">
        <f t="shared" ref="O226" si="227">+IFERROR(O224/O225,0)</f>
        <v>0</v>
      </c>
      <c r="P226" s="351">
        <f t="shared" ref="P226" si="228">+IFERROR(P224/P225,0)</f>
        <v>0</v>
      </c>
    </row>
    <row r="227" spans="1:16" ht="15" customHeight="1">
      <c r="B227" s="901" t="s">
        <v>59</v>
      </c>
      <c r="C227" s="904" t="s">
        <v>66</v>
      </c>
      <c r="D227" s="336" t="s">
        <v>86</v>
      </c>
      <c r="E227" s="343">
        <f>SUMIFS('Movimientos Reales'!$D$5:$D$1048576,'Movimientos Reales'!$G$5:$G$1048576,'3 Workig- Capex '!$A229,'Movimientos Reales'!$E$5:$E$1048576,'3 Workig- Capex '!E$139)</f>
        <v>0</v>
      </c>
      <c r="F227" s="235">
        <f>SUMIFS('Movimientos Reales'!$D$5:$D$1048576,'Movimientos Reales'!$G$5:$G$1048576,'3 Workig- Capex '!$A229,'Movimientos Reales'!$E$5:$E$1048576,'3 Workig- Capex '!F$139)</f>
        <v>0</v>
      </c>
      <c r="G227" s="235">
        <f>SUMIFS('Movimientos Reales'!$D$5:$D$1048576,'Movimientos Reales'!$G$5:$G$1048576,'3 Workig- Capex '!$A229,'Movimientos Reales'!$E$5:$E$1048576,'3 Workig- Capex '!G$139)</f>
        <v>0</v>
      </c>
      <c r="H227" s="235">
        <f>SUMIFS('Movimientos Reales'!$D$5:$D$1048576,'Movimientos Reales'!$G$5:$G$1048576,'3 Workig- Capex '!$A229,'Movimientos Reales'!$E$5:$E$1048576,'3 Workig- Capex '!H$139)</f>
        <v>0</v>
      </c>
      <c r="I227" s="235">
        <f>SUMIFS('Movimientos Reales'!$D$5:$D$1048576,'Movimientos Reales'!$G$5:$G$1048576,'3 Workig- Capex '!$A229,'Movimientos Reales'!$E$5:$E$1048576,'3 Workig- Capex '!I$139)</f>
        <v>0</v>
      </c>
      <c r="J227" s="235">
        <f>SUMIFS('Movimientos Reales'!$D$5:$D$1048576,'Movimientos Reales'!$G$5:$G$1048576,'3 Workig- Capex '!$A229,'Movimientos Reales'!$E$5:$E$1048576,'3 Workig- Capex '!J$139)</f>
        <v>0</v>
      </c>
      <c r="K227" s="235">
        <f>SUMIFS('Movimientos Reales'!$D$5:$D$1048576,'Movimientos Reales'!$G$5:$G$1048576,'3 Workig- Capex '!$A229,'Movimientos Reales'!$E$5:$E$1048576,'3 Workig- Capex '!K$139)</f>
        <v>0</v>
      </c>
      <c r="L227" s="235">
        <f>SUMIFS('Movimientos Reales'!$D$5:$D$1048576,'Movimientos Reales'!$G$5:$G$1048576,'3 Workig- Capex '!$A229,'Movimientos Reales'!$E$5:$E$1048576,'3 Workig- Capex '!L$139)</f>
        <v>0</v>
      </c>
      <c r="M227" s="235">
        <f>SUMIFS('Movimientos Reales'!$D$5:$D$1048576,'Movimientos Reales'!$G$5:$G$1048576,'3 Workig- Capex '!$A229,'Movimientos Reales'!$E$5:$E$1048576,'3 Workig- Capex '!M$139)</f>
        <v>0</v>
      </c>
      <c r="N227" s="235">
        <f>SUMIFS('Movimientos Reales'!$D$5:$D$1048576,'Movimientos Reales'!$G$5:$G$1048576,'3 Workig- Capex '!$A229,'Movimientos Reales'!$E$5:$E$1048576,'3 Workig- Capex '!N$139)</f>
        <v>0</v>
      </c>
      <c r="O227" s="235">
        <f>SUMIFS('Movimientos Reales'!$D$5:$D$1048576,'Movimientos Reales'!$G$5:$G$1048576,'3 Workig- Capex '!$A229,'Movimientos Reales'!$E$5:$E$1048576,'3 Workig- Capex '!O$139)</f>
        <v>0</v>
      </c>
      <c r="P227" s="237">
        <f>SUMIFS('Movimientos Reales'!$D$5:$D$1048576,'Movimientos Reales'!$G$5:$G$1048576,'3 Workig- Capex '!$A229,'Movimientos Reales'!$E$5:$E$1048576,'3 Workig- Capex '!P$139)</f>
        <v>0</v>
      </c>
    </row>
    <row r="228" spans="1:16" ht="15" customHeight="1" thickBot="1">
      <c r="B228" s="902"/>
      <c r="C228" s="905"/>
      <c r="D228" s="350" t="s">
        <v>58</v>
      </c>
      <c r="E228" s="348">
        <f t="shared" ref="E228:P228" si="229">+E105</f>
        <v>0</v>
      </c>
      <c r="F228" s="236">
        <f t="shared" si="229"/>
        <v>0</v>
      </c>
      <c r="G228" s="236">
        <f t="shared" si="229"/>
        <v>0</v>
      </c>
      <c r="H228" s="236">
        <f t="shared" si="229"/>
        <v>-42658987.855941594</v>
      </c>
      <c r="I228" s="236">
        <f t="shared" si="229"/>
        <v>-278233663.50315177</v>
      </c>
      <c r="J228" s="236">
        <f t="shared" si="229"/>
        <v>0</v>
      </c>
      <c r="K228" s="236">
        <f t="shared" si="229"/>
        <v>0</v>
      </c>
      <c r="L228" s="236">
        <f t="shared" si="229"/>
        <v>0</v>
      </c>
      <c r="M228" s="236">
        <f t="shared" si="229"/>
        <v>-20000000</v>
      </c>
      <c r="N228" s="236">
        <f t="shared" si="229"/>
        <v>0</v>
      </c>
      <c r="O228" s="236">
        <f t="shared" si="229"/>
        <v>0</v>
      </c>
      <c r="P228" s="238">
        <f t="shared" si="229"/>
        <v>0</v>
      </c>
    </row>
    <row r="229" spans="1:16" ht="15" customHeight="1" thickBot="1">
      <c r="A229" s="81" t="s">
        <v>66</v>
      </c>
      <c r="B229" s="920"/>
      <c r="C229" s="906"/>
      <c r="D229" s="335" t="s">
        <v>87</v>
      </c>
      <c r="E229" s="349">
        <f t="shared" ref="E229:P229" si="230">+IFERROR(E227/E228,0)</f>
        <v>0</v>
      </c>
      <c r="F229" s="349">
        <f t="shared" si="230"/>
        <v>0</v>
      </c>
      <c r="G229" s="349">
        <f>+IFERROR(G227/G228,0)</f>
        <v>0</v>
      </c>
      <c r="H229" s="349">
        <f t="shared" si="230"/>
        <v>0</v>
      </c>
      <c r="I229" s="349">
        <f t="shared" si="230"/>
        <v>0</v>
      </c>
      <c r="J229" s="349">
        <f t="shared" si="230"/>
        <v>0</v>
      </c>
      <c r="K229" s="349">
        <f t="shared" si="230"/>
        <v>0</v>
      </c>
      <c r="L229" s="349">
        <f t="shared" si="230"/>
        <v>0</v>
      </c>
      <c r="M229" s="349">
        <f t="shared" si="230"/>
        <v>0</v>
      </c>
      <c r="N229" s="349">
        <f t="shared" si="230"/>
        <v>0</v>
      </c>
      <c r="O229" s="349">
        <f t="shared" si="230"/>
        <v>0</v>
      </c>
      <c r="P229" s="351">
        <f t="shared" si="230"/>
        <v>0</v>
      </c>
    </row>
    <row r="230" spans="1:16" ht="15" customHeight="1">
      <c r="B230" s="901" t="s">
        <v>59</v>
      </c>
      <c r="C230" s="904" t="s">
        <v>68</v>
      </c>
      <c r="D230" s="336" t="s">
        <v>86</v>
      </c>
      <c r="E230" s="343">
        <f>SUMIFS('Movimientos Reales'!$D$5:$D$1048576,'Movimientos Reales'!$G$5:$G$1048576,'3 Workig- Capex '!$A232,'Movimientos Reales'!$E$5:$E$1048576,'3 Workig- Capex '!E$139)</f>
        <v>0</v>
      </c>
      <c r="F230" s="235">
        <f>SUMIFS('Movimientos Reales'!$D$5:$D$1048576,'Movimientos Reales'!$G$5:$G$1048576,'3 Workig- Capex '!$A232,'Movimientos Reales'!$E$5:$E$1048576,'3 Workig- Capex '!F$139)</f>
        <v>0</v>
      </c>
      <c r="G230" s="235">
        <f>SUMIFS('Movimientos Reales'!$D$5:$D$1048576,'Movimientos Reales'!$G$5:$G$1048576,'3 Workig- Capex '!$A232,'Movimientos Reales'!$E$5:$E$1048576,'3 Workig- Capex '!G$139)</f>
        <v>0</v>
      </c>
      <c r="H230" s="235">
        <f>SUMIFS('Movimientos Reales'!$D$5:$D$1048576,'Movimientos Reales'!$G$5:$G$1048576,'3 Workig- Capex '!$A232,'Movimientos Reales'!$E$5:$E$1048576,'3 Workig- Capex '!H$139)</f>
        <v>0</v>
      </c>
      <c r="I230" s="235">
        <f>SUMIFS('Movimientos Reales'!$D$5:$D$1048576,'Movimientos Reales'!$G$5:$G$1048576,'3 Workig- Capex '!$A232,'Movimientos Reales'!$E$5:$E$1048576,'3 Workig- Capex '!I$139)</f>
        <v>0</v>
      </c>
      <c r="J230" s="235">
        <f>SUMIFS('Movimientos Reales'!$D$5:$D$1048576,'Movimientos Reales'!$G$5:$G$1048576,'3 Workig- Capex '!$A232,'Movimientos Reales'!$E$5:$E$1048576,'3 Workig- Capex '!J$139)</f>
        <v>0</v>
      </c>
      <c r="K230" s="235">
        <f>SUMIFS('Movimientos Reales'!$D$5:$D$1048576,'Movimientos Reales'!$G$5:$G$1048576,'3 Workig- Capex '!$A232,'Movimientos Reales'!$E$5:$E$1048576,'3 Workig- Capex '!K$139)</f>
        <v>0</v>
      </c>
      <c r="L230" s="235">
        <f>SUMIFS('Movimientos Reales'!$D$5:$D$1048576,'Movimientos Reales'!$G$5:$G$1048576,'3 Workig- Capex '!$A232,'Movimientos Reales'!$E$5:$E$1048576,'3 Workig- Capex '!L$139)</f>
        <v>0</v>
      </c>
      <c r="M230" s="235">
        <f>SUMIFS('Movimientos Reales'!$D$5:$D$1048576,'Movimientos Reales'!$G$5:$G$1048576,'3 Workig- Capex '!$A232,'Movimientos Reales'!$E$5:$E$1048576,'3 Workig- Capex '!M$139)</f>
        <v>0</v>
      </c>
      <c r="N230" s="235">
        <f>SUMIFS('Movimientos Reales'!$D$5:$D$1048576,'Movimientos Reales'!$G$5:$G$1048576,'3 Workig- Capex '!$A232,'Movimientos Reales'!$E$5:$E$1048576,'3 Workig- Capex '!N$139)</f>
        <v>0</v>
      </c>
      <c r="O230" s="235">
        <f>SUMIFS('Movimientos Reales'!$D$5:$D$1048576,'Movimientos Reales'!$G$5:$G$1048576,'3 Workig- Capex '!$A232,'Movimientos Reales'!$E$5:$E$1048576,'3 Workig- Capex '!O$139)</f>
        <v>0</v>
      </c>
      <c r="P230" s="237">
        <f>SUMIFS('Movimientos Reales'!$D$5:$D$1048576,'Movimientos Reales'!$G$5:$G$1048576,'3 Workig- Capex '!$A232,'Movimientos Reales'!$E$5:$E$1048576,'3 Workig- Capex '!P$139)</f>
        <v>0</v>
      </c>
    </row>
    <row r="231" spans="1:16" ht="15" customHeight="1" thickBot="1">
      <c r="B231" s="902"/>
      <c r="C231" s="905"/>
      <c r="D231" s="350" t="s">
        <v>58</v>
      </c>
      <c r="E231" s="236">
        <f t="shared" ref="E231:P231" si="231">+E108</f>
        <v>0</v>
      </c>
      <c r="F231" s="236">
        <f t="shared" si="231"/>
        <v>0</v>
      </c>
      <c r="G231" s="236">
        <f t="shared" si="231"/>
        <v>0</v>
      </c>
      <c r="H231" s="236">
        <f t="shared" si="231"/>
        <v>0</v>
      </c>
      <c r="I231" s="236">
        <f t="shared" si="231"/>
        <v>0</v>
      </c>
      <c r="J231" s="236">
        <f t="shared" si="231"/>
        <v>0</v>
      </c>
      <c r="K231" s="236">
        <f t="shared" si="231"/>
        <v>-154505205.88235301</v>
      </c>
      <c r="L231" s="236">
        <f t="shared" si="231"/>
        <v>0</v>
      </c>
      <c r="M231" s="236">
        <f t="shared" si="231"/>
        <v>-129171258.08226</v>
      </c>
      <c r="N231" s="236">
        <f t="shared" si="231"/>
        <v>0</v>
      </c>
      <c r="O231" s="236">
        <f t="shared" si="231"/>
        <v>0</v>
      </c>
      <c r="P231" s="236">
        <f t="shared" si="231"/>
        <v>0</v>
      </c>
    </row>
    <row r="232" spans="1:16" ht="15" customHeight="1" thickBot="1">
      <c r="A232" s="92" t="s">
        <v>69</v>
      </c>
      <c r="B232" s="903"/>
      <c r="C232" s="906"/>
      <c r="D232" s="335" t="s">
        <v>87</v>
      </c>
      <c r="E232" s="349">
        <f t="shared" ref="E232:P232" si="232">+IFERROR(E230/E231,0)</f>
        <v>0</v>
      </c>
      <c r="F232" s="349">
        <f t="shared" si="232"/>
        <v>0</v>
      </c>
      <c r="G232" s="349">
        <f t="shared" si="232"/>
        <v>0</v>
      </c>
      <c r="H232" s="349">
        <f t="shared" si="232"/>
        <v>0</v>
      </c>
      <c r="I232" s="349">
        <f t="shared" si="232"/>
        <v>0</v>
      </c>
      <c r="J232" s="349">
        <f t="shared" si="232"/>
        <v>0</v>
      </c>
      <c r="K232" s="349">
        <f t="shared" si="232"/>
        <v>0</v>
      </c>
      <c r="L232" s="349">
        <f t="shared" si="232"/>
        <v>0</v>
      </c>
      <c r="M232" s="349">
        <f t="shared" si="232"/>
        <v>0</v>
      </c>
      <c r="N232" s="349">
        <f t="shared" si="232"/>
        <v>0</v>
      </c>
      <c r="O232" s="349">
        <f t="shared" si="232"/>
        <v>0</v>
      </c>
      <c r="P232" s="351">
        <f t="shared" si="232"/>
        <v>0</v>
      </c>
    </row>
    <row r="233" spans="1:16" ht="15" customHeight="1">
      <c r="B233" s="901" t="s">
        <v>59</v>
      </c>
      <c r="C233" s="904" t="s">
        <v>70</v>
      </c>
      <c r="D233" s="336" t="s">
        <v>86</v>
      </c>
      <c r="E233" s="343">
        <f>SUMIFS('Movimientos Reales'!$D$5:$D$1048576,'Movimientos Reales'!$G$5:$G$1048576,'3 Workig- Capex '!$A235,'Movimientos Reales'!$E$5:$E$1048576,'3 Workig- Capex '!E$139)</f>
        <v>0</v>
      </c>
      <c r="F233" s="235">
        <f>SUMIFS('Movimientos Reales'!$D$5:$D$1048576,'Movimientos Reales'!$G$5:$G$1048576,'3 Workig- Capex '!$A235,'Movimientos Reales'!$E$5:$E$1048576,'3 Workig- Capex '!F$139)</f>
        <v>0</v>
      </c>
      <c r="G233" s="235">
        <f>SUMIFS('Movimientos Reales'!$D$5:$D$1048576,'Movimientos Reales'!$G$5:$G$1048576,'3 Workig- Capex '!$A235,'Movimientos Reales'!$E$5:$E$1048576,'3 Workig- Capex '!G$139)</f>
        <v>0</v>
      </c>
      <c r="H233" s="235">
        <f>SUMIFS('Movimientos Reales'!$D$5:$D$1048576,'Movimientos Reales'!$G$5:$G$1048576,'3 Workig- Capex '!$A235,'Movimientos Reales'!$E$5:$E$1048576,'3 Workig- Capex '!H$139)</f>
        <v>0</v>
      </c>
      <c r="I233" s="235">
        <f>SUMIFS('Movimientos Reales'!$D$5:$D$1048576,'Movimientos Reales'!$G$5:$G$1048576,'3 Workig- Capex '!$A235,'Movimientos Reales'!$E$5:$E$1048576,'3 Workig- Capex '!I$139)</f>
        <v>0</v>
      </c>
      <c r="J233" s="235">
        <f>SUMIFS('Movimientos Reales'!$D$5:$D$1048576,'Movimientos Reales'!$G$5:$G$1048576,'3 Workig- Capex '!$A235,'Movimientos Reales'!$E$5:$E$1048576,'3 Workig- Capex '!J$139)</f>
        <v>0</v>
      </c>
      <c r="K233" s="235">
        <f>SUMIFS('Movimientos Reales'!$D$5:$D$1048576,'Movimientos Reales'!$G$5:$G$1048576,'3 Workig- Capex '!$A235,'Movimientos Reales'!$E$5:$E$1048576,'3 Workig- Capex '!K$139)</f>
        <v>0</v>
      </c>
      <c r="L233" s="235">
        <f>SUMIFS('Movimientos Reales'!$D$5:$D$1048576,'Movimientos Reales'!$G$5:$G$1048576,'3 Workig- Capex '!$A235,'Movimientos Reales'!$E$5:$E$1048576,'3 Workig- Capex '!L$139)</f>
        <v>0</v>
      </c>
      <c r="M233" s="235">
        <f>SUMIFS('Movimientos Reales'!$D$5:$D$1048576,'Movimientos Reales'!$G$5:$G$1048576,'3 Workig- Capex '!$A235,'Movimientos Reales'!$E$5:$E$1048576,'3 Workig- Capex '!M$139)</f>
        <v>0</v>
      </c>
      <c r="N233" s="235">
        <f>SUMIFS('Movimientos Reales'!$D$5:$D$1048576,'Movimientos Reales'!$G$5:$G$1048576,'3 Workig- Capex '!$A235,'Movimientos Reales'!$E$5:$E$1048576,'3 Workig- Capex '!N$139)</f>
        <v>0</v>
      </c>
      <c r="O233" s="235">
        <f>SUMIFS('Movimientos Reales'!$D$5:$D$1048576,'Movimientos Reales'!$G$5:$G$1048576,'3 Workig- Capex '!$A235,'Movimientos Reales'!$E$5:$E$1048576,'3 Workig- Capex '!O$139)</f>
        <v>0</v>
      </c>
      <c r="P233" s="237">
        <f>SUMIFS('Movimientos Reales'!$D$5:$D$1048576,'Movimientos Reales'!$G$5:$G$1048576,'3 Workig- Capex '!$A235,'Movimientos Reales'!$E$5:$E$1048576,'3 Workig- Capex '!P$139)</f>
        <v>0</v>
      </c>
    </row>
    <row r="234" spans="1:16" ht="15" customHeight="1" thickBot="1">
      <c r="B234" s="902"/>
      <c r="C234" s="905"/>
      <c r="D234" s="350" t="s">
        <v>58</v>
      </c>
      <c r="E234" s="236">
        <f t="shared" ref="E234:P234" si="233">+E111</f>
        <v>0</v>
      </c>
      <c r="F234" s="236">
        <f t="shared" si="233"/>
        <v>0</v>
      </c>
      <c r="G234" s="236">
        <f t="shared" si="233"/>
        <v>0</v>
      </c>
      <c r="H234" s="236">
        <f t="shared" si="233"/>
        <v>0</v>
      </c>
      <c r="I234" s="236">
        <f t="shared" si="233"/>
        <v>0</v>
      </c>
      <c r="J234" s="236">
        <f t="shared" si="233"/>
        <v>0</v>
      </c>
      <c r="K234" s="236">
        <f t="shared" si="233"/>
        <v>0</v>
      </c>
      <c r="L234" s="236">
        <f t="shared" si="233"/>
        <v>0</v>
      </c>
      <c r="M234" s="236">
        <f t="shared" si="233"/>
        <v>0</v>
      </c>
      <c r="N234" s="236">
        <f t="shared" si="233"/>
        <v>0</v>
      </c>
      <c r="O234" s="236">
        <f t="shared" si="233"/>
        <v>-88089057.634288833</v>
      </c>
      <c r="P234" s="236">
        <f t="shared" si="233"/>
        <v>-71219429.7594309</v>
      </c>
    </row>
    <row r="235" spans="1:16" ht="15" customHeight="1" thickBot="1">
      <c r="A235" s="130" t="s">
        <v>71</v>
      </c>
      <c r="B235" s="903"/>
      <c r="C235" s="906"/>
      <c r="D235" s="335" t="s">
        <v>87</v>
      </c>
      <c r="E235" s="349">
        <f t="shared" ref="E235:P235" si="234">+IFERROR(E233/E234,0)</f>
        <v>0</v>
      </c>
      <c r="F235" s="349">
        <f t="shared" si="234"/>
        <v>0</v>
      </c>
      <c r="G235" s="349">
        <f t="shared" si="234"/>
        <v>0</v>
      </c>
      <c r="H235" s="349">
        <f t="shared" si="234"/>
        <v>0</v>
      </c>
      <c r="I235" s="349">
        <f t="shared" si="234"/>
        <v>0</v>
      </c>
      <c r="J235" s="349">
        <f t="shared" si="234"/>
        <v>0</v>
      </c>
      <c r="K235" s="349">
        <f t="shared" si="234"/>
        <v>0</v>
      </c>
      <c r="L235" s="349">
        <f t="shared" si="234"/>
        <v>0</v>
      </c>
      <c r="M235" s="349">
        <f t="shared" si="234"/>
        <v>0</v>
      </c>
      <c r="N235" s="349">
        <f t="shared" si="234"/>
        <v>0</v>
      </c>
      <c r="O235" s="349">
        <f t="shared" si="234"/>
        <v>0</v>
      </c>
      <c r="P235" s="351">
        <f t="shared" si="234"/>
        <v>0</v>
      </c>
    </row>
    <row r="236" spans="1:16" ht="15" customHeight="1">
      <c r="B236" s="901" t="s">
        <v>59</v>
      </c>
      <c r="C236" s="904" t="s">
        <v>73</v>
      </c>
      <c r="D236" s="336" t="s">
        <v>86</v>
      </c>
      <c r="E236" s="343">
        <f>SUMIFS('Movimientos Reales'!$D$5:$D$1048576,'Movimientos Reales'!$G$5:$G$1048576,'3 Workig- Capex '!$A238,'Movimientos Reales'!$E$5:$E$1048576,'3 Workig- Capex '!E$139)</f>
        <v>0</v>
      </c>
      <c r="F236" s="235">
        <f>SUMIFS('Movimientos Reales'!$D$5:$D$1048576,'Movimientos Reales'!$G$5:$G$1048576,'3 Workig- Capex '!$A238,'Movimientos Reales'!$E$5:$E$1048576,'3 Workig- Capex '!F$139)</f>
        <v>0</v>
      </c>
      <c r="G236" s="235">
        <f>SUMIFS('Movimientos Reales'!$D$5:$D$1048576,'Movimientos Reales'!$G$5:$G$1048576,'3 Workig- Capex '!$A238,'Movimientos Reales'!$E$5:$E$1048576,'3 Workig- Capex '!G$139)</f>
        <v>0</v>
      </c>
      <c r="H236" s="235">
        <f>SUMIFS('Movimientos Reales'!$D$5:$D$1048576,'Movimientos Reales'!$G$5:$G$1048576,'3 Workig- Capex '!$A238,'Movimientos Reales'!$E$5:$E$1048576,'3 Workig- Capex '!H$139)</f>
        <v>0</v>
      </c>
      <c r="I236" s="235">
        <f>SUMIFS('Movimientos Reales'!$D$5:$D$1048576,'Movimientos Reales'!$G$5:$G$1048576,'3 Workig- Capex '!$A238,'Movimientos Reales'!$E$5:$E$1048576,'3 Workig- Capex '!I$139)</f>
        <v>0</v>
      </c>
      <c r="J236" s="235">
        <f>SUMIFS('Movimientos Reales'!$D$5:$D$1048576,'Movimientos Reales'!$G$5:$G$1048576,'3 Workig- Capex '!$A238,'Movimientos Reales'!$E$5:$E$1048576,'3 Workig- Capex '!J$139)</f>
        <v>0</v>
      </c>
      <c r="K236" s="235">
        <f>SUMIFS('Movimientos Reales'!$D$5:$D$1048576,'Movimientos Reales'!$G$5:$G$1048576,'3 Workig- Capex '!$A238,'Movimientos Reales'!$E$5:$E$1048576,'3 Workig- Capex '!K$139)</f>
        <v>0</v>
      </c>
      <c r="L236" s="235">
        <f>SUMIFS('Movimientos Reales'!$D$5:$D$1048576,'Movimientos Reales'!$G$5:$G$1048576,'3 Workig- Capex '!$A238,'Movimientos Reales'!$E$5:$E$1048576,'3 Workig- Capex '!L$139)</f>
        <v>0</v>
      </c>
      <c r="M236" s="235">
        <f>SUMIFS('Movimientos Reales'!$D$5:$D$1048576,'Movimientos Reales'!$G$5:$G$1048576,'3 Workig- Capex '!$A238,'Movimientos Reales'!$E$5:$E$1048576,'3 Workig- Capex '!M$139)</f>
        <v>0</v>
      </c>
      <c r="N236" s="235">
        <f>SUMIFS('Movimientos Reales'!$D$5:$D$1048576,'Movimientos Reales'!$G$5:$G$1048576,'3 Workig- Capex '!$A238,'Movimientos Reales'!$E$5:$E$1048576,'3 Workig- Capex '!N$139)</f>
        <v>0</v>
      </c>
      <c r="O236" s="235">
        <f>SUMIFS('Movimientos Reales'!$D$5:$D$1048576,'Movimientos Reales'!$G$5:$G$1048576,'3 Workig- Capex '!$A238,'Movimientos Reales'!$E$5:$E$1048576,'3 Workig- Capex '!O$139)</f>
        <v>0</v>
      </c>
      <c r="P236" s="237">
        <f>SUMIFS('Movimientos Reales'!$D$5:$D$1048576,'Movimientos Reales'!$G$5:$G$1048576,'3 Workig- Capex '!$A238,'Movimientos Reales'!$E$5:$E$1048576,'3 Workig- Capex '!P$139)</f>
        <v>0</v>
      </c>
    </row>
    <row r="237" spans="1:16" ht="15" customHeight="1" thickBot="1">
      <c r="B237" s="902"/>
      <c r="C237" s="905"/>
      <c r="D237" s="350" t="s">
        <v>58</v>
      </c>
      <c r="E237" s="236">
        <f t="shared" ref="E237:P237" si="235">+E114</f>
        <v>0</v>
      </c>
      <c r="F237" s="236">
        <f t="shared" si="235"/>
        <v>0</v>
      </c>
      <c r="G237" s="236">
        <f>+G114</f>
        <v>0</v>
      </c>
      <c r="H237" s="236">
        <f t="shared" si="235"/>
        <v>0</v>
      </c>
      <c r="I237" s="236">
        <f t="shared" si="235"/>
        <v>0</v>
      </c>
      <c r="J237" s="236">
        <f t="shared" si="235"/>
        <v>0</v>
      </c>
      <c r="K237" s="236">
        <f t="shared" si="235"/>
        <v>0</v>
      </c>
      <c r="L237" s="236">
        <f t="shared" si="235"/>
        <v>0</v>
      </c>
      <c r="M237" s="236">
        <f t="shared" si="235"/>
        <v>0</v>
      </c>
      <c r="N237" s="236">
        <f t="shared" si="235"/>
        <v>0</v>
      </c>
      <c r="O237" s="236">
        <f t="shared" si="235"/>
        <v>0</v>
      </c>
      <c r="P237" s="236">
        <f t="shared" si="235"/>
        <v>0</v>
      </c>
    </row>
    <row r="238" spans="1:16" ht="15" customHeight="1" thickBot="1">
      <c r="A238" s="130" t="s">
        <v>91</v>
      </c>
      <c r="B238" s="903"/>
      <c r="C238" s="906"/>
      <c r="D238" s="335" t="s">
        <v>87</v>
      </c>
      <c r="E238" s="349">
        <f t="shared" ref="E238:P238" si="236">+IFERROR(E236/E237,0)</f>
        <v>0</v>
      </c>
      <c r="F238" s="349">
        <f t="shared" si="236"/>
        <v>0</v>
      </c>
      <c r="G238" s="349">
        <f t="shared" si="236"/>
        <v>0</v>
      </c>
      <c r="H238" s="349">
        <f t="shared" si="236"/>
        <v>0</v>
      </c>
      <c r="I238" s="349">
        <f t="shared" si="236"/>
        <v>0</v>
      </c>
      <c r="J238" s="349">
        <f t="shared" si="236"/>
        <v>0</v>
      </c>
      <c r="K238" s="349">
        <f t="shared" si="236"/>
        <v>0</v>
      </c>
      <c r="L238" s="349">
        <f t="shared" si="236"/>
        <v>0</v>
      </c>
      <c r="M238" s="349">
        <f t="shared" si="236"/>
        <v>0</v>
      </c>
      <c r="N238" s="349">
        <f t="shared" si="236"/>
        <v>0</v>
      </c>
      <c r="O238" s="349">
        <f t="shared" si="236"/>
        <v>0</v>
      </c>
      <c r="P238" s="351">
        <f t="shared" si="236"/>
        <v>0</v>
      </c>
    </row>
    <row r="239" spans="1:16" ht="15" customHeight="1">
      <c r="B239" s="901" t="s">
        <v>59</v>
      </c>
      <c r="C239" s="904" t="s">
        <v>92</v>
      </c>
      <c r="D239" s="336" t="s">
        <v>86</v>
      </c>
      <c r="E239" s="343">
        <f>SUMIFS('Movimientos Reales'!$D$5:$D$1048576,'Movimientos Reales'!$G$5:$G$1048576,'3 Workig- Capex '!$A241,'Movimientos Reales'!$E$5:$E$1048576,'3 Workig- Capex '!E$139)</f>
        <v>0</v>
      </c>
      <c r="F239" s="235">
        <f>SUMIFS('Movimientos Reales'!$D$5:$D$1048576,'Movimientos Reales'!$G$5:$G$1048576,'3 Workig- Capex '!$A241,'Movimientos Reales'!$E$5:$E$1048576,'3 Workig- Capex '!F$139)</f>
        <v>0</v>
      </c>
      <c r="G239" s="235">
        <f>SUMIFS('Movimientos Reales'!$D$5:$D$1048576,'Movimientos Reales'!$G$5:$G$1048576,'3 Workig- Capex '!$A241,'Movimientos Reales'!$E$5:$E$1048576,'3 Workig- Capex '!G$139)</f>
        <v>0</v>
      </c>
      <c r="H239" s="235">
        <f>SUMIFS('Movimientos Reales'!$D$5:$D$1048576,'Movimientos Reales'!$G$5:$G$1048576,'3 Workig- Capex '!$A241,'Movimientos Reales'!$E$5:$E$1048576,'3 Workig- Capex '!H$139)</f>
        <v>0</v>
      </c>
      <c r="I239" s="235">
        <f>SUMIFS('Movimientos Reales'!$D$5:$D$1048576,'Movimientos Reales'!$G$5:$G$1048576,'3 Workig- Capex '!$A241,'Movimientos Reales'!$E$5:$E$1048576,'3 Workig- Capex '!I$139)</f>
        <v>0</v>
      </c>
      <c r="J239" s="235">
        <f>SUMIFS('Movimientos Reales'!$D$5:$D$1048576,'Movimientos Reales'!$G$5:$G$1048576,'3 Workig- Capex '!$A241,'Movimientos Reales'!$E$5:$E$1048576,'3 Workig- Capex '!J$139)</f>
        <v>0</v>
      </c>
      <c r="K239" s="235">
        <f>SUMIFS('Movimientos Reales'!$D$5:$D$1048576,'Movimientos Reales'!$G$5:$G$1048576,'3 Workig- Capex '!$A241,'Movimientos Reales'!$E$5:$E$1048576,'3 Workig- Capex '!K$139)</f>
        <v>0</v>
      </c>
      <c r="L239" s="235">
        <f>SUMIFS('Movimientos Reales'!$D$5:$D$1048576,'Movimientos Reales'!$G$5:$G$1048576,'3 Workig- Capex '!$A241,'Movimientos Reales'!$E$5:$E$1048576,'3 Workig- Capex '!L$139)</f>
        <v>0</v>
      </c>
      <c r="M239" s="235">
        <f>SUMIFS('Movimientos Reales'!$D$5:$D$1048576,'Movimientos Reales'!$G$5:$G$1048576,'3 Workig- Capex '!$A241,'Movimientos Reales'!$E$5:$E$1048576,'3 Workig- Capex '!M$139)</f>
        <v>0</v>
      </c>
      <c r="N239" s="235">
        <f>SUMIFS('Movimientos Reales'!$D$5:$D$1048576,'Movimientos Reales'!$G$5:$G$1048576,'3 Workig- Capex '!$A241,'Movimientos Reales'!$E$5:$E$1048576,'3 Workig- Capex '!N$139)</f>
        <v>0</v>
      </c>
      <c r="O239" s="235">
        <f>SUMIFS('Movimientos Reales'!$D$5:$D$1048576,'Movimientos Reales'!$G$5:$G$1048576,'3 Workig- Capex '!$A241,'Movimientos Reales'!$E$5:$E$1048576,'3 Workig- Capex '!O$139)</f>
        <v>0</v>
      </c>
      <c r="P239" s="237">
        <f>SUMIFS('Movimientos Reales'!$D$5:$D$1048576,'Movimientos Reales'!$G$5:$G$1048576,'3 Workig- Capex '!$A241,'Movimientos Reales'!$E$5:$E$1048576,'3 Workig- Capex '!P$139)</f>
        <v>0</v>
      </c>
    </row>
    <row r="240" spans="1:16" ht="15" customHeight="1" thickBot="1">
      <c r="B240" s="902"/>
      <c r="C240" s="905"/>
      <c r="D240" s="350" t="s">
        <v>58</v>
      </c>
      <c r="E240" s="236">
        <f t="shared" ref="E240:F240" si="237">+E117</f>
        <v>0</v>
      </c>
      <c r="F240" s="236">
        <f t="shared" si="237"/>
        <v>0</v>
      </c>
      <c r="G240" s="236">
        <f>+G117</f>
        <v>0</v>
      </c>
      <c r="H240" s="236">
        <f t="shared" ref="H240:P240" si="238">+H117</f>
        <v>0</v>
      </c>
      <c r="I240" s="236">
        <f t="shared" si="238"/>
        <v>0</v>
      </c>
      <c r="J240" s="236">
        <f t="shared" si="238"/>
        <v>0</v>
      </c>
      <c r="K240" s="236">
        <f t="shared" si="238"/>
        <v>0</v>
      </c>
      <c r="L240" s="236">
        <f t="shared" si="238"/>
        <v>0</v>
      </c>
      <c r="M240" s="236">
        <f t="shared" si="238"/>
        <v>0</v>
      </c>
      <c r="N240" s="236">
        <f t="shared" si="238"/>
        <v>-75064255.420961276</v>
      </c>
      <c r="O240" s="236">
        <f t="shared" si="238"/>
        <v>-56298191.565720953</v>
      </c>
      <c r="P240" s="236">
        <f t="shared" si="238"/>
        <v>-37532127.710480638</v>
      </c>
    </row>
    <row r="241" spans="1:16" ht="15" customHeight="1" thickBot="1">
      <c r="A241" s="92" t="s">
        <v>76</v>
      </c>
      <c r="B241" s="903"/>
      <c r="C241" s="906"/>
      <c r="D241" s="335" t="s">
        <v>87</v>
      </c>
      <c r="E241" s="349">
        <f t="shared" ref="E241:P241" si="239">+IFERROR(E239/E240,0)</f>
        <v>0</v>
      </c>
      <c r="F241" s="349">
        <f t="shared" si="239"/>
        <v>0</v>
      </c>
      <c r="G241" s="349">
        <f t="shared" si="239"/>
        <v>0</v>
      </c>
      <c r="H241" s="349">
        <f t="shared" si="239"/>
        <v>0</v>
      </c>
      <c r="I241" s="349">
        <f t="shared" si="239"/>
        <v>0</v>
      </c>
      <c r="J241" s="349">
        <f t="shared" si="239"/>
        <v>0</v>
      </c>
      <c r="K241" s="349">
        <f t="shared" si="239"/>
        <v>0</v>
      </c>
      <c r="L241" s="349">
        <f t="shared" si="239"/>
        <v>0</v>
      </c>
      <c r="M241" s="349">
        <f t="shared" si="239"/>
        <v>0</v>
      </c>
      <c r="N241" s="349">
        <f t="shared" si="239"/>
        <v>0</v>
      </c>
      <c r="O241" s="349">
        <f t="shared" si="239"/>
        <v>0</v>
      </c>
      <c r="P241" s="351">
        <f t="shared" si="239"/>
        <v>0</v>
      </c>
    </row>
    <row r="242" spans="1:16" ht="15" customHeight="1">
      <c r="B242" s="901" t="s">
        <v>59</v>
      </c>
      <c r="C242" s="904" t="s">
        <v>77</v>
      </c>
      <c r="D242" s="336" t="s">
        <v>86</v>
      </c>
      <c r="E242" s="343">
        <f>SUMIFS('Movimientos Reales'!$D$5:$D$1048576,'Movimientos Reales'!$G$5:$G$1048576,'3 Workig- Capex '!$A244,'Movimientos Reales'!$E$5:$E$1048576,'3 Workig- Capex '!E$139)</f>
        <v>0</v>
      </c>
      <c r="F242" s="235">
        <f>SUMIFS('Movimientos Reales'!$D$5:$D$1048576,'Movimientos Reales'!$G$5:$G$1048576,'3 Workig- Capex '!$A244,'Movimientos Reales'!$E$5:$E$1048576,'3 Workig- Capex '!F$139)</f>
        <v>0</v>
      </c>
      <c r="G242" s="235">
        <f>SUMIFS('Movimientos Reales'!$D$5:$D$1048576,'Movimientos Reales'!$G$5:$G$1048576,'3 Workig- Capex '!$A244,'Movimientos Reales'!$E$5:$E$1048576,'3 Workig- Capex '!G$139)</f>
        <v>0</v>
      </c>
      <c r="H242" s="235">
        <f>SUMIFS('Movimientos Reales'!$D$5:$D$1048576,'Movimientos Reales'!$G$5:$G$1048576,'3 Workig- Capex '!$A244,'Movimientos Reales'!$E$5:$E$1048576,'3 Workig- Capex '!H$139)</f>
        <v>0</v>
      </c>
      <c r="I242" s="235">
        <f>SUMIFS('Movimientos Reales'!$D$5:$D$1048576,'Movimientos Reales'!$G$5:$G$1048576,'3 Workig- Capex '!$A244,'Movimientos Reales'!$E$5:$E$1048576,'3 Workig- Capex '!I$139)</f>
        <v>0</v>
      </c>
      <c r="J242" s="235">
        <f>SUMIFS('Movimientos Reales'!$D$5:$D$1048576,'Movimientos Reales'!$G$5:$G$1048576,'3 Workig- Capex '!$A244,'Movimientos Reales'!$E$5:$E$1048576,'3 Workig- Capex '!J$139)</f>
        <v>0</v>
      </c>
      <c r="K242" s="235">
        <f>SUMIFS('Movimientos Reales'!$D$5:$D$1048576,'Movimientos Reales'!$G$5:$G$1048576,'3 Workig- Capex '!$A244,'Movimientos Reales'!$E$5:$E$1048576,'3 Workig- Capex '!K$139)</f>
        <v>0</v>
      </c>
      <c r="L242" s="235">
        <f>SUMIFS('Movimientos Reales'!$D$5:$D$1048576,'Movimientos Reales'!$G$5:$G$1048576,'3 Workig- Capex '!$A244,'Movimientos Reales'!$E$5:$E$1048576,'3 Workig- Capex '!L$139)</f>
        <v>0</v>
      </c>
      <c r="M242" s="235">
        <f>SUMIFS('Movimientos Reales'!$D$5:$D$1048576,'Movimientos Reales'!$G$5:$G$1048576,'3 Workig- Capex '!$A244,'Movimientos Reales'!$E$5:$E$1048576,'3 Workig- Capex '!M$139)</f>
        <v>0</v>
      </c>
      <c r="N242" s="235">
        <f>SUMIFS('Movimientos Reales'!$D$5:$D$1048576,'Movimientos Reales'!$G$5:$G$1048576,'3 Workig- Capex '!$A244,'Movimientos Reales'!$E$5:$E$1048576,'3 Workig- Capex '!N$139)</f>
        <v>0</v>
      </c>
      <c r="O242" s="235">
        <f>SUMIFS('Movimientos Reales'!$D$5:$D$1048576,'Movimientos Reales'!$G$5:$G$1048576,'3 Workig- Capex '!$A244,'Movimientos Reales'!$E$5:$E$1048576,'3 Workig- Capex '!O$139)</f>
        <v>0</v>
      </c>
      <c r="P242" s="237">
        <f>SUMIFS('Movimientos Reales'!$D$5:$D$1048576,'Movimientos Reales'!$G$5:$G$1048576,'3 Workig- Capex '!$A244,'Movimientos Reales'!$E$5:$E$1048576,'3 Workig- Capex '!P$139)</f>
        <v>0</v>
      </c>
    </row>
    <row r="243" spans="1:16" ht="15" customHeight="1" thickBot="1">
      <c r="B243" s="902"/>
      <c r="C243" s="905"/>
      <c r="D243" s="350" t="s">
        <v>58</v>
      </c>
      <c r="E243" s="236">
        <f t="shared" ref="E243:F243" si="240">+E120</f>
        <v>0</v>
      </c>
      <c r="F243" s="236">
        <f t="shared" si="240"/>
        <v>0</v>
      </c>
      <c r="G243" s="236">
        <f>+G120</f>
        <v>0</v>
      </c>
      <c r="H243" s="236">
        <f t="shared" ref="H243:P243" si="241">+H120</f>
        <v>0</v>
      </c>
      <c r="I243" s="236">
        <f t="shared" si="241"/>
        <v>0</v>
      </c>
      <c r="J243" s="236">
        <f t="shared" si="241"/>
        <v>0</v>
      </c>
      <c r="K243" s="236">
        <f t="shared" si="241"/>
        <v>0</v>
      </c>
      <c r="L243" s="236">
        <f t="shared" si="241"/>
        <v>-35000000</v>
      </c>
      <c r="M243" s="236">
        <f t="shared" si="241"/>
        <v>0</v>
      </c>
      <c r="N243" s="236">
        <f t="shared" si="241"/>
        <v>0</v>
      </c>
      <c r="O243" s="236">
        <f t="shared" si="241"/>
        <v>0</v>
      </c>
      <c r="P243" s="236">
        <f t="shared" si="241"/>
        <v>0</v>
      </c>
    </row>
    <row r="244" spans="1:16" ht="15" customHeight="1" thickBot="1">
      <c r="A244" s="130" t="s">
        <v>77</v>
      </c>
      <c r="B244" s="903"/>
      <c r="C244" s="906"/>
      <c r="D244" s="335" t="s">
        <v>87</v>
      </c>
      <c r="E244" s="349">
        <f t="shared" ref="E244:P244" si="242">+IFERROR(E242/E243,0)</f>
        <v>0</v>
      </c>
      <c r="F244" s="349">
        <f t="shared" si="242"/>
        <v>0</v>
      </c>
      <c r="G244" s="349">
        <f t="shared" si="242"/>
        <v>0</v>
      </c>
      <c r="H244" s="349">
        <f t="shared" si="242"/>
        <v>0</v>
      </c>
      <c r="I244" s="349">
        <f t="shared" si="242"/>
        <v>0</v>
      </c>
      <c r="J244" s="349">
        <f t="shared" si="242"/>
        <v>0</v>
      </c>
      <c r="K244" s="349">
        <f t="shared" si="242"/>
        <v>0</v>
      </c>
      <c r="L244" s="349">
        <f t="shared" si="242"/>
        <v>0</v>
      </c>
      <c r="M244" s="349">
        <f t="shared" si="242"/>
        <v>0</v>
      </c>
      <c r="N244" s="349">
        <f t="shared" si="242"/>
        <v>0</v>
      </c>
      <c r="O244" s="349">
        <f t="shared" si="242"/>
        <v>0</v>
      </c>
      <c r="P244" s="351">
        <f t="shared" si="242"/>
        <v>0</v>
      </c>
    </row>
    <row r="245" spans="1:16" ht="15" customHeight="1">
      <c r="B245" s="901" t="s">
        <v>59</v>
      </c>
      <c r="C245" s="904" t="s">
        <v>78</v>
      </c>
      <c r="D245" s="336" t="s">
        <v>86</v>
      </c>
      <c r="E245" s="343">
        <f>SUMIFS('Movimientos Reales'!$D$5:$D$1048576,'Movimientos Reales'!$G$5:$G$1048576,'3 Workig- Capex '!$A247,'Movimientos Reales'!$E$5:$E$1048576,'3 Workig- Capex '!E$139)</f>
        <v>0</v>
      </c>
      <c r="F245" s="235">
        <f>SUMIFS('Movimientos Reales'!$D$5:$D$1048576,'Movimientos Reales'!$G$5:$G$1048576,'3 Workig- Capex '!$A247,'Movimientos Reales'!$E$5:$E$1048576,'3 Workig- Capex '!F$139)</f>
        <v>0</v>
      </c>
      <c r="G245" s="235">
        <f>SUMIFS('Movimientos Reales'!$D$5:$D$1048576,'Movimientos Reales'!$G$5:$G$1048576,'3 Workig- Capex '!$A247,'Movimientos Reales'!$E$5:$E$1048576,'3 Workig- Capex '!G$139)</f>
        <v>0</v>
      </c>
      <c r="H245" s="235">
        <f>SUMIFS('Movimientos Reales'!$D$5:$D$1048576,'Movimientos Reales'!$G$5:$G$1048576,'3 Workig- Capex '!$A247,'Movimientos Reales'!$E$5:$E$1048576,'3 Workig- Capex '!H$139)</f>
        <v>0</v>
      </c>
      <c r="I245" s="235">
        <f>SUMIFS('Movimientos Reales'!$D$5:$D$1048576,'Movimientos Reales'!$G$5:$G$1048576,'3 Workig- Capex '!$A247,'Movimientos Reales'!$E$5:$E$1048576,'3 Workig- Capex '!I$139)</f>
        <v>0</v>
      </c>
      <c r="J245" s="235">
        <f>SUMIFS('Movimientos Reales'!$D$5:$D$1048576,'Movimientos Reales'!$G$5:$G$1048576,'3 Workig- Capex '!$A247,'Movimientos Reales'!$E$5:$E$1048576,'3 Workig- Capex '!J$139)</f>
        <v>0</v>
      </c>
      <c r="K245" s="235">
        <f>SUMIFS('Movimientos Reales'!$D$5:$D$1048576,'Movimientos Reales'!$G$5:$G$1048576,'3 Workig- Capex '!$A247,'Movimientos Reales'!$E$5:$E$1048576,'3 Workig- Capex '!K$139)</f>
        <v>0</v>
      </c>
      <c r="L245" s="235">
        <f>SUMIFS('Movimientos Reales'!$D$5:$D$1048576,'Movimientos Reales'!$G$5:$G$1048576,'3 Workig- Capex '!$A247,'Movimientos Reales'!$E$5:$E$1048576,'3 Workig- Capex '!L$139)</f>
        <v>0</v>
      </c>
      <c r="M245" s="235">
        <f>SUMIFS('Movimientos Reales'!$D$5:$D$1048576,'Movimientos Reales'!$G$5:$G$1048576,'3 Workig- Capex '!$A247,'Movimientos Reales'!$E$5:$E$1048576,'3 Workig- Capex '!M$139)</f>
        <v>0</v>
      </c>
      <c r="N245" s="235">
        <f>SUMIFS('Movimientos Reales'!$D$5:$D$1048576,'Movimientos Reales'!$G$5:$G$1048576,'3 Workig- Capex '!$A247,'Movimientos Reales'!$E$5:$E$1048576,'3 Workig- Capex '!N$139)</f>
        <v>0</v>
      </c>
      <c r="O245" s="235">
        <f>SUMIFS('Movimientos Reales'!$D$5:$D$1048576,'Movimientos Reales'!$G$5:$G$1048576,'3 Workig- Capex '!$A247,'Movimientos Reales'!$E$5:$E$1048576,'3 Workig- Capex '!O$139)</f>
        <v>0</v>
      </c>
      <c r="P245" s="237">
        <f>SUMIFS('Movimientos Reales'!$D$5:$D$1048576,'Movimientos Reales'!$G$5:$G$1048576,'3 Workig- Capex '!$A247,'Movimientos Reales'!$E$5:$E$1048576,'3 Workig- Capex '!P$139)</f>
        <v>0</v>
      </c>
    </row>
    <row r="246" spans="1:16" ht="15" customHeight="1" thickBot="1">
      <c r="B246" s="902"/>
      <c r="C246" s="905"/>
      <c r="D246" s="350" t="s">
        <v>58</v>
      </c>
      <c r="E246" s="236">
        <f t="shared" ref="E246:F246" si="243">+E123</f>
        <v>0</v>
      </c>
      <c r="F246" s="236">
        <f t="shared" si="243"/>
        <v>0</v>
      </c>
      <c r="G246" s="236">
        <f>+G123</f>
        <v>0</v>
      </c>
      <c r="H246" s="236">
        <f t="shared" ref="H246:P246" si="244">+H123</f>
        <v>0</v>
      </c>
      <c r="I246" s="236">
        <f t="shared" si="244"/>
        <v>0</v>
      </c>
      <c r="J246" s="236">
        <f t="shared" si="244"/>
        <v>0</v>
      </c>
      <c r="K246" s="236">
        <f t="shared" si="244"/>
        <v>0</v>
      </c>
      <c r="L246" s="236">
        <f t="shared" si="244"/>
        <v>0</v>
      </c>
      <c r="M246" s="236">
        <f t="shared" si="244"/>
        <v>-34393536.015460819</v>
      </c>
      <c r="N246" s="236">
        <f t="shared" si="244"/>
        <v>-103180608.04638246</v>
      </c>
      <c r="O246" s="236">
        <f t="shared" si="244"/>
        <v>-137574144.06184328</v>
      </c>
      <c r="P246" s="236">
        <f t="shared" si="244"/>
        <v>-68787072.030921638</v>
      </c>
    </row>
    <row r="247" spans="1:16" ht="15" customHeight="1" thickBot="1">
      <c r="A247" s="130" t="s">
        <v>78</v>
      </c>
      <c r="B247" s="903"/>
      <c r="C247" s="906"/>
      <c r="D247" s="335" t="s">
        <v>87</v>
      </c>
      <c r="E247" s="349">
        <f t="shared" ref="E247:P247" si="245">+IFERROR(E245/E246,0)</f>
        <v>0</v>
      </c>
      <c r="F247" s="349">
        <f t="shared" si="245"/>
        <v>0</v>
      </c>
      <c r="G247" s="349">
        <f t="shared" si="245"/>
        <v>0</v>
      </c>
      <c r="H247" s="349">
        <f t="shared" si="245"/>
        <v>0</v>
      </c>
      <c r="I247" s="349">
        <f t="shared" si="245"/>
        <v>0</v>
      </c>
      <c r="J247" s="349">
        <f t="shared" si="245"/>
        <v>0</v>
      </c>
      <c r="K247" s="349">
        <f t="shared" si="245"/>
        <v>0</v>
      </c>
      <c r="L247" s="349">
        <f t="shared" si="245"/>
        <v>0</v>
      </c>
      <c r="M247" s="349">
        <f t="shared" si="245"/>
        <v>0</v>
      </c>
      <c r="N247" s="349">
        <f t="shared" si="245"/>
        <v>0</v>
      </c>
      <c r="O247" s="349">
        <f t="shared" si="245"/>
        <v>0</v>
      </c>
      <c r="P247" s="351">
        <f t="shared" si="245"/>
        <v>0</v>
      </c>
    </row>
    <row r="248" spans="1:16" ht="15" customHeight="1">
      <c r="B248" s="901" t="s">
        <v>59</v>
      </c>
      <c r="C248" s="904" t="s">
        <v>79</v>
      </c>
      <c r="D248" s="336" t="s">
        <v>86</v>
      </c>
      <c r="E248" s="343">
        <f>SUMIFS('Movimientos Reales'!$D$5:$D$1048576,'Movimientos Reales'!$G$5:$G$1048576,'3 Workig- Capex '!$A250,'Movimientos Reales'!$E$5:$E$1048576,'3 Workig- Capex '!E$139)</f>
        <v>0</v>
      </c>
      <c r="F248" s="235">
        <f>SUMIFS('Movimientos Reales'!$D$5:$D$1048576,'Movimientos Reales'!$G$5:$G$1048576,'3 Workig- Capex '!$A250,'Movimientos Reales'!$E$5:$E$1048576,'3 Workig- Capex '!F$139)</f>
        <v>0</v>
      </c>
      <c r="G248" s="235">
        <f>SUMIFS('Movimientos Reales'!$D$5:$D$1048576,'Movimientos Reales'!$G$5:$G$1048576,'3 Workig- Capex '!$A250,'Movimientos Reales'!$E$5:$E$1048576,'3 Workig- Capex '!G$139)</f>
        <v>0</v>
      </c>
      <c r="H248" s="235">
        <f>SUMIFS('Movimientos Reales'!$D$5:$D$1048576,'Movimientos Reales'!$G$5:$G$1048576,'3 Workig- Capex '!$A250,'Movimientos Reales'!$E$5:$E$1048576,'3 Workig- Capex '!H$139)</f>
        <v>0</v>
      </c>
      <c r="I248" s="235">
        <f>SUMIFS('Movimientos Reales'!$D$5:$D$1048576,'Movimientos Reales'!$G$5:$G$1048576,'3 Workig- Capex '!$A250,'Movimientos Reales'!$E$5:$E$1048576,'3 Workig- Capex '!I$139)</f>
        <v>0</v>
      </c>
      <c r="J248" s="235">
        <f>SUMIFS('Movimientos Reales'!$D$5:$D$1048576,'Movimientos Reales'!$G$5:$G$1048576,'3 Workig- Capex '!$A250,'Movimientos Reales'!$E$5:$E$1048576,'3 Workig- Capex '!J$139)</f>
        <v>0</v>
      </c>
      <c r="K248" s="235">
        <f>SUMIFS('Movimientos Reales'!$D$5:$D$1048576,'Movimientos Reales'!$G$5:$G$1048576,'3 Workig- Capex '!$A250,'Movimientos Reales'!$E$5:$E$1048576,'3 Workig- Capex '!K$139)</f>
        <v>0</v>
      </c>
      <c r="L248" s="235">
        <f>SUMIFS('Movimientos Reales'!$D$5:$D$1048576,'Movimientos Reales'!$G$5:$G$1048576,'3 Workig- Capex '!$A250,'Movimientos Reales'!$E$5:$E$1048576,'3 Workig- Capex '!L$139)</f>
        <v>0</v>
      </c>
      <c r="M248" s="235">
        <f>SUMIFS('Movimientos Reales'!$D$5:$D$1048576,'Movimientos Reales'!$G$5:$G$1048576,'3 Workig- Capex '!$A250,'Movimientos Reales'!$E$5:$E$1048576,'3 Workig- Capex '!M$139)</f>
        <v>0</v>
      </c>
      <c r="N248" s="235">
        <f>SUMIFS('Movimientos Reales'!$D$5:$D$1048576,'Movimientos Reales'!$G$5:$G$1048576,'3 Workig- Capex '!$A250,'Movimientos Reales'!$E$5:$E$1048576,'3 Workig- Capex '!N$139)</f>
        <v>0</v>
      </c>
      <c r="O248" s="235">
        <f>SUMIFS('Movimientos Reales'!$D$5:$D$1048576,'Movimientos Reales'!$G$5:$G$1048576,'3 Workig- Capex '!$A250,'Movimientos Reales'!$E$5:$E$1048576,'3 Workig- Capex '!O$139)</f>
        <v>0</v>
      </c>
      <c r="P248" s="237">
        <f>SUMIFS('Movimientos Reales'!$D$5:$D$1048576,'Movimientos Reales'!$G$5:$G$1048576,'3 Workig- Capex '!$A250,'Movimientos Reales'!$E$5:$E$1048576,'3 Workig- Capex '!P$139)</f>
        <v>0</v>
      </c>
    </row>
    <row r="249" spans="1:16" ht="15" customHeight="1" thickBot="1">
      <c r="B249" s="902"/>
      <c r="C249" s="905"/>
      <c r="D249" s="350" t="s">
        <v>58</v>
      </c>
      <c r="E249" s="236">
        <f t="shared" ref="E249:F249" si="246">+E126</f>
        <v>0</v>
      </c>
      <c r="F249" s="236">
        <f t="shared" si="246"/>
        <v>0</v>
      </c>
      <c r="G249" s="236">
        <f>+G126</f>
        <v>0</v>
      </c>
      <c r="H249" s="236">
        <f t="shared" ref="H249:P249" si="247">+H126</f>
        <v>0</v>
      </c>
      <c r="I249" s="236">
        <f t="shared" si="247"/>
        <v>0</v>
      </c>
      <c r="J249" s="236">
        <f t="shared" si="247"/>
        <v>0</v>
      </c>
      <c r="K249" s="236">
        <f t="shared" si="247"/>
        <v>0</v>
      </c>
      <c r="L249" s="236">
        <f t="shared" si="247"/>
        <v>-6741197.3016301803</v>
      </c>
      <c r="M249" s="236">
        <f t="shared" si="247"/>
        <v>-20223591.904890537</v>
      </c>
      <c r="N249" s="236">
        <f t="shared" si="247"/>
        <v>-26964789.206520721</v>
      </c>
      <c r="O249" s="236">
        <f t="shared" si="247"/>
        <v>-13482394.603260353</v>
      </c>
      <c r="P249" s="236">
        <f t="shared" si="247"/>
        <v>0</v>
      </c>
    </row>
    <row r="250" spans="1:16" ht="15" customHeight="1" thickBot="1">
      <c r="A250" s="130" t="s">
        <v>80</v>
      </c>
      <c r="B250" s="903"/>
      <c r="C250" s="906"/>
      <c r="D250" s="335" t="s">
        <v>87</v>
      </c>
      <c r="E250" s="349">
        <f t="shared" ref="E250:P250" si="248">+IFERROR(E248/E249,0)</f>
        <v>0</v>
      </c>
      <c r="F250" s="349">
        <f t="shared" si="248"/>
        <v>0</v>
      </c>
      <c r="G250" s="349">
        <f t="shared" si="248"/>
        <v>0</v>
      </c>
      <c r="H250" s="349">
        <f t="shared" si="248"/>
        <v>0</v>
      </c>
      <c r="I250" s="349">
        <f t="shared" si="248"/>
        <v>0</v>
      </c>
      <c r="J250" s="349">
        <f t="shared" si="248"/>
        <v>0</v>
      </c>
      <c r="K250" s="349">
        <f t="shared" si="248"/>
        <v>0</v>
      </c>
      <c r="L250" s="349">
        <f t="shared" si="248"/>
        <v>0</v>
      </c>
      <c r="M250" s="349">
        <f t="shared" si="248"/>
        <v>0</v>
      </c>
      <c r="N250" s="349">
        <f t="shared" si="248"/>
        <v>0</v>
      </c>
      <c r="O250" s="349">
        <f t="shared" si="248"/>
        <v>0</v>
      </c>
      <c r="P250" s="351">
        <f t="shared" si="248"/>
        <v>0</v>
      </c>
    </row>
    <row r="251" spans="1:16" ht="15" customHeight="1">
      <c r="B251" s="901" t="s">
        <v>59</v>
      </c>
      <c r="C251" s="904" t="s">
        <v>79</v>
      </c>
      <c r="D251" s="336" t="s">
        <v>86</v>
      </c>
      <c r="E251" s="343">
        <f>SUMIFS('Movimientos Reales'!$D$5:$D$1048576,'Movimientos Reales'!$G$5:$G$1048576,'3 Workig- Capex '!$A253,'Movimientos Reales'!$E$5:$E$1048576,'3 Workig- Capex '!E$139)</f>
        <v>0</v>
      </c>
      <c r="F251" s="235">
        <f>SUMIFS('Movimientos Reales'!$D$5:$D$1048576,'Movimientos Reales'!$G$5:$G$1048576,'3 Workig- Capex '!$A253,'Movimientos Reales'!$E$5:$E$1048576,'3 Workig- Capex '!F$139)</f>
        <v>0</v>
      </c>
      <c r="G251" s="235">
        <f>SUMIFS('Movimientos Reales'!$D$5:$D$1048576,'Movimientos Reales'!$G$5:$G$1048576,'3 Workig- Capex '!$A253,'Movimientos Reales'!$E$5:$E$1048576,'3 Workig- Capex '!G$139)</f>
        <v>0</v>
      </c>
      <c r="H251" s="235">
        <f>SUMIFS('Movimientos Reales'!$D$5:$D$1048576,'Movimientos Reales'!$G$5:$G$1048576,'3 Workig- Capex '!$A253,'Movimientos Reales'!$E$5:$E$1048576,'3 Workig- Capex '!H$139)</f>
        <v>0</v>
      </c>
      <c r="I251" s="235">
        <f>SUMIFS('Movimientos Reales'!$D$5:$D$1048576,'Movimientos Reales'!$G$5:$G$1048576,'3 Workig- Capex '!$A253,'Movimientos Reales'!$E$5:$E$1048576,'3 Workig- Capex '!I$139)</f>
        <v>0</v>
      </c>
      <c r="J251" s="235">
        <f>SUMIFS('Movimientos Reales'!$D$5:$D$1048576,'Movimientos Reales'!$G$5:$G$1048576,'3 Workig- Capex '!$A253,'Movimientos Reales'!$E$5:$E$1048576,'3 Workig- Capex '!J$139)</f>
        <v>0</v>
      </c>
      <c r="K251" s="235">
        <f>SUMIFS('Movimientos Reales'!$D$5:$D$1048576,'Movimientos Reales'!$G$5:$G$1048576,'3 Workig- Capex '!$A253,'Movimientos Reales'!$E$5:$E$1048576,'3 Workig- Capex '!K$139)</f>
        <v>0</v>
      </c>
      <c r="L251" s="235">
        <f>SUMIFS('Movimientos Reales'!$D$5:$D$1048576,'Movimientos Reales'!$G$5:$G$1048576,'3 Workig- Capex '!$A253,'Movimientos Reales'!$E$5:$E$1048576,'3 Workig- Capex '!L$139)</f>
        <v>0</v>
      </c>
      <c r="M251" s="235">
        <f>SUMIFS('Movimientos Reales'!$D$5:$D$1048576,'Movimientos Reales'!$G$5:$G$1048576,'3 Workig- Capex '!$A253,'Movimientos Reales'!$E$5:$E$1048576,'3 Workig- Capex '!M$139)</f>
        <v>0</v>
      </c>
      <c r="N251" s="235">
        <f>SUMIFS('Movimientos Reales'!$D$5:$D$1048576,'Movimientos Reales'!$G$5:$G$1048576,'3 Workig- Capex '!$A253,'Movimientos Reales'!$E$5:$E$1048576,'3 Workig- Capex '!N$139)</f>
        <v>0</v>
      </c>
      <c r="O251" s="235">
        <f>SUMIFS('Movimientos Reales'!$D$5:$D$1048576,'Movimientos Reales'!$G$5:$G$1048576,'3 Workig- Capex '!$A253,'Movimientos Reales'!$E$5:$E$1048576,'3 Workig- Capex '!O$139)</f>
        <v>0</v>
      </c>
      <c r="P251" s="237">
        <f>SUMIFS('Movimientos Reales'!$D$5:$D$1048576,'Movimientos Reales'!$G$5:$G$1048576,'3 Workig- Capex '!$A253,'Movimientos Reales'!$E$5:$E$1048576,'3 Workig- Capex '!P$139)</f>
        <v>0</v>
      </c>
    </row>
    <row r="252" spans="1:16" ht="15" customHeight="1" thickBot="1">
      <c r="B252" s="902"/>
      <c r="C252" s="905"/>
      <c r="D252" s="350" t="s">
        <v>58</v>
      </c>
      <c r="E252" s="236">
        <f t="shared" ref="E252:F252" si="249">+E129</f>
        <v>0</v>
      </c>
      <c r="F252" s="236">
        <f t="shared" si="249"/>
        <v>0</v>
      </c>
      <c r="G252" s="236">
        <f>+G129</f>
        <v>0</v>
      </c>
      <c r="H252" s="236">
        <f t="shared" ref="H252:P252" si="250">+H129</f>
        <v>0</v>
      </c>
      <c r="I252" s="236">
        <f t="shared" si="250"/>
        <v>0</v>
      </c>
      <c r="J252" s="236">
        <f t="shared" si="250"/>
        <v>0</v>
      </c>
      <c r="K252" s="236">
        <f t="shared" si="250"/>
        <v>0</v>
      </c>
      <c r="L252" s="236">
        <f t="shared" si="250"/>
        <v>0</v>
      </c>
      <c r="M252" s="236">
        <f t="shared" si="250"/>
        <v>-17828614.838853911</v>
      </c>
      <c r="N252" s="236">
        <f t="shared" si="250"/>
        <v>-53485844.516561732</v>
      </c>
      <c r="O252" s="236">
        <f t="shared" si="250"/>
        <v>-71314459.355415642</v>
      </c>
      <c r="P252" s="236">
        <f t="shared" si="250"/>
        <v>-35657229.677707821</v>
      </c>
    </row>
    <row r="253" spans="1:16" ht="15" customHeight="1" thickBot="1">
      <c r="A253" s="130" t="s">
        <v>81</v>
      </c>
      <c r="B253" s="903"/>
      <c r="C253" s="906"/>
      <c r="D253" s="335" t="s">
        <v>87</v>
      </c>
      <c r="E253" s="349">
        <f t="shared" ref="E253:P253" si="251">+IFERROR(E251/E252,0)</f>
        <v>0</v>
      </c>
      <c r="F253" s="349">
        <f t="shared" si="251"/>
        <v>0</v>
      </c>
      <c r="G253" s="349">
        <f t="shared" si="251"/>
        <v>0</v>
      </c>
      <c r="H253" s="349">
        <f t="shared" si="251"/>
        <v>0</v>
      </c>
      <c r="I253" s="349">
        <f t="shared" si="251"/>
        <v>0</v>
      </c>
      <c r="J253" s="349">
        <f t="shared" si="251"/>
        <v>0</v>
      </c>
      <c r="K253" s="349">
        <f t="shared" si="251"/>
        <v>0</v>
      </c>
      <c r="L253" s="349">
        <f t="shared" si="251"/>
        <v>0</v>
      </c>
      <c r="M253" s="349">
        <f t="shared" si="251"/>
        <v>0</v>
      </c>
      <c r="N253" s="349">
        <f t="shared" si="251"/>
        <v>0</v>
      </c>
      <c r="O253" s="349">
        <f t="shared" si="251"/>
        <v>0</v>
      </c>
      <c r="P253" s="351">
        <f t="shared" si="251"/>
        <v>0</v>
      </c>
    </row>
  </sheetData>
  <mergeCells count="160">
    <mergeCell ref="B124:B126"/>
    <mergeCell ref="C124:C126"/>
    <mergeCell ref="B248:B250"/>
    <mergeCell ref="C248:C250"/>
    <mergeCell ref="B242:B244"/>
    <mergeCell ref="C242:C244"/>
    <mergeCell ref="B245:B247"/>
    <mergeCell ref="C245:C247"/>
    <mergeCell ref="B200:B202"/>
    <mergeCell ref="C200:C202"/>
    <mergeCell ref="B203:B205"/>
    <mergeCell ref="C203:C205"/>
    <mergeCell ref="C218:C220"/>
    <mergeCell ref="B215:B217"/>
    <mergeCell ref="C215:C217"/>
    <mergeCell ref="B218:B220"/>
    <mergeCell ref="B239:B241"/>
    <mergeCell ref="C239:C241"/>
    <mergeCell ref="B149:B151"/>
    <mergeCell ref="C149:C151"/>
    <mergeCell ref="B127:B129"/>
    <mergeCell ref="C127:C129"/>
    <mergeCell ref="B236:B238"/>
    <mergeCell ref="C236:C238"/>
    <mergeCell ref="B233:B235"/>
    <mergeCell ref="C233:C235"/>
    <mergeCell ref="C140:D140"/>
    <mergeCell ref="C142:D142"/>
    <mergeCell ref="B152:B154"/>
    <mergeCell ref="C152:C154"/>
    <mergeCell ref="B230:B232"/>
    <mergeCell ref="C230:C232"/>
    <mergeCell ref="B227:B229"/>
    <mergeCell ref="C227:C229"/>
    <mergeCell ref="B221:B223"/>
    <mergeCell ref="C221:C223"/>
    <mergeCell ref="B224:B226"/>
    <mergeCell ref="C224:C226"/>
    <mergeCell ref="C167:C169"/>
    <mergeCell ref="B185:B187"/>
    <mergeCell ref="C185:C187"/>
    <mergeCell ref="B158:B160"/>
    <mergeCell ref="B179:B181"/>
    <mergeCell ref="C179:C181"/>
    <mergeCell ref="B197:B199"/>
    <mergeCell ref="C197:C199"/>
    <mergeCell ref="B46:B48"/>
    <mergeCell ref="C46:C48"/>
    <mergeCell ref="B103:B105"/>
    <mergeCell ref="A2:P2"/>
    <mergeCell ref="C16:C18"/>
    <mergeCell ref="C6:D6"/>
    <mergeCell ref="C7:D7"/>
    <mergeCell ref="C5:D5"/>
    <mergeCell ref="B12:D12"/>
    <mergeCell ref="B13:B15"/>
    <mergeCell ref="C13:C15"/>
    <mergeCell ref="B6:B7"/>
    <mergeCell ref="B8:B9"/>
    <mergeCell ref="C8:D8"/>
    <mergeCell ref="C9:D9"/>
    <mergeCell ref="B16:B18"/>
    <mergeCell ref="B34:B36"/>
    <mergeCell ref="C34:C36"/>
    <mergeCell ref="B90:D90"/>
    <mergeCell ref="C91:C93"/>
    <mergeCell ref="C28:C30"/>
    <mergeCell ref="B19:B21"/>
    <mergeCell ref="C19:C21"/>
    <mergeCell ref="C31:C33"/>
    <mergeCell ref="C22:C24"/>
    <mergeCell ref="C49:C51"/>
    <mergeCell ref="B109:B111"/>
    <mergeCell ref="C109:C111"/>
    <mergeCell ref="B55:B57"/>
    <mergeCell ref="C55:C57"/>
    <mergeCell ref="B61:B63"/>
    <mergeCell ref="C61:C63"/>
    <mergeCell ref="B73:B75"/>
    <mergeCell ref="C73:C75"/>
    <mergeCell ref="B76:B78"/>
    <mergeCell ref="C76:C78"/>
    <mergeCell ref="C25:C27"/>
    <mergeCell ref="B49:B51"/>
    <mergeCell ref="B22:B24"/>
    <mergeCell ref="B82:B84"/>
    <mergeCell ref="C82:C84"/>
    <mergeCell ref="B79:B81"/>
    <mergeCell ref="B52:B54"/>
    <mergeCell ref="C52:C54"/>
    <mergeCell ref="B43:B45"/>
    <mergeCell ref="B58:B60"/>
    <mergeCell ref="C43:C45"/>
    <mergeCell ref="C58:C60"/>
    <mergeCell ref="E212:P212"/>
    <mergeCell ref="B214:D214"/>
    <mergeCell ref="B25:B27"/>
    <mergeCell ref="B94:B96"/>
    <mergeCell ref="E88:P88"/>
    <mergeCell ref="B100:B102"/>
    <mergeCell ref="C100:C102"/>
    <mergeCell ref="C94:C96"/>
    <mergeCell ref="B37:B39"/>
    <mergeCell ref="C37:C39"/>
    <mergeCell ref="B40:B42"/>
    <mergeCell ref="C40:C42"/>
    <mergeCell ref="B161:B163"/>
    <mergeCell ref="B167:B169"/>
    <mergeCell ref="B173:B175"/>
    <mergeCell ref="C173:C175"/>
    <mergeCell ref="B28:B30"/>
    <mergeCell ref="B91:B93"/>
    <mergeCell ref="B31:B33"/>
    <mergeCell ref="C176:C178"/>
    <mergeCell ref="B170:B172"/>
    <mergeCell ref="C170:C172"/>
    <mergeCell ref="B206:B208"/>
    <mergeCell ref="C206:C208"/>
    <mergeCell ref="B118:B120"/>
    <mergeCell ref="C118:C120"/>
    <mergeCell ref="C103:C105"/>
    <mergeCell ref="B106:B108"/>
    <mergeCell ref="C106:C108"/>
    <mergeCell ref="B112:B114"/>
    <mergeCell ref="C112:C114"/>
    <mergeCell ref="B97:B99"/>
    <mergeCell ref="B64:B66"/>
    <mergeCell ref="C64:C66"/>
    <mergeCell ref="C79:C81"/>
    <mergeCell ref="B67:B69"/>
    <mergeCell ref="C67:C69"/>
    <mergeCell ref="B70:B72"/>
    <mergeCell ref="C70:C72"/>
    <mergeCell ref="B115:B117"/>
    <mergeCell ref="C115:C117"/>
    <mergeCell ref="C97:C99"/>
    <mergeCell ref="B251:B253"/>
    <mergeCell ref="C251:C253"/>
    <mergeCell ref="C158:C160"/>
    <mergeCell ref="B121:B123"/>
    <mergeCell ref="C121:C123"/>
    <mergeCell ref="B146:B148"/>
    <mergeCell ref="C146:C148"/>
    <mergeCell ref="C161:C163"/>
    <mergeCell ref="B188:B190"/>
    <mergeCell ref="C188:C190"/>
    <mergeCell ref="B191:B193"/>
    <mergeCell ref="C191:C193"/>
    <mergeCell ref="B194:B196"/>
    <mergeCell ref="C194:C196"/>
    <mergeCell ref="B182:B184"/>
    <mergeCell ref="C182:C184"/>
    <mergeCell ref="C164:C166"/>
    <mergeCell ref="B164:B166"/>
    <mergeCell ref="B176:B178"/>
    <mergeCell ref="B155:B157"/>
    <mergeCell ref="C155:C157"/>
    <mergeCell ref="A137:P137"/>
    <mergeCell ref="C141:D141"/>
    <mergeCell ref="B145:D145"/>
  </mergeCells>
  <conditionalFormatting sqref="E148:P148">
    <cfRule type="colorScale" priority="63">
      <colorScale>
        <cfvo type="min"/>
        <cfvo type="percentile" val="50"/>
        <cfvo type="max"/>
        <color rgb="FF63BE7B"/>
        <color rgb="FFFFEB84"/>
        <color rgb="FFF8696B"/>
      </colorScale>
    </cfRule>
    <cfRule type="colorScale" priority="53">
      <colorScale>
        <cfvo type="min"/>
        <cfvo type="max"/>
        <color rgb="FF63BE7B"/>
        <color rgb="FFFFEF9C"/>
      </colorScale>
    </cfRule>
  </conditionalFormatting>
  <conditionalFormatting sqref="E151:P151">
    <cfRule type="colorScale" priority="51">
      <colorScale>
        <cfvo type="min"/>
        <cfvo type="max"/>
        <color rgb="FF63BE7B"/>
        <color rgb="FFFFEF9C"/>
      </colorScale>
    </cfRule>
    <cfRule type="colorScale" priority="52">
      <colorScale>
        <cfvo type="min"/>
        <cfvo type="percentile" val="50"/>
        <cfvo type="max"/>
        <color rgb="FF63BE7B"/>
        <color rgb="FFFFEB84"/>
        <color rgb="FFF8696B"/>
      </colorScale>
    </cfRule>
  </conditionalFormatting>
  <conditionalFormatting sqref="E154:P154">
    <cfRule type="colorScale" priority="49">
      <colorScale>
        <cfvo type="min"/>
        <cfvo type="max"/>
        <color rgb="FF63BE7B"/>
        <color rgb="FFFFEF9C"/>
      </colorScale>
    </cfRule>
    <cfRule type="colorScale" priority="50">
      <colorScale>
        <cfvo type="min"/>
        <cfvo type="percentile" val="50"/>
        <cfvo type="max"/>
        <color rgb="FF63BE7B"/>
        <color rgb="FFFFEB84"/>
        <color rgb="FFF8696B"/>
      </colorScale>
    </cfRule>
  </conditionalFormatting>
  <conditionalFormatting sqref="E157:P157">
    <cfRule type="colorScale" priority="48">
      <colorScale>
        <cfvo type="min"/>
        <cfvo type="percentile" val="50"/>
        <cfvo type="max"/>
        <color rgb="FF63BE7B"/>
        <color rgb="FFFFEB84"/>
        <color rgb="FFF8696B"/>
      </colorScale>
    </cfRule>
    <cfRule type="colorScale" priority="47">
      <colorScale>
        <cfvo type="min"/>
        <cfvo type="max"/>
        <color rgb="FF63BE7B"/>
        <color rgb="FFFFEF9C"/>
      </colorScale>
    </cfRule>
  </conditionalFormatting>
  <conditionalFormatting sqref="E160:P160">
    <cfRule type="colorScale" priority="45">
      <colorScale>
        <cfvo type="min"/>
        <cfvo type="max"/>
        <color rgb="FF63BE7B"/>
        <color rgb="FFFFEF9C"/>
      </colorScale>
    </cfRule>
    <cfRule type="colorScale" priority="46">
      <colorScale>
        <cfvo type="min"/>
        <cfvo type="percentile" val="50"/>
        <cfvo type="max"/>
        <color rgb="FF63BE7B"/>
        <color rgb="FFFFEB84"/>
        <color rgb="FFF8696B"/>
      </colorScale>
    </cfRule>
  </conditionalFormatting>
  <conditionalFormatting sqref="E163:P163">
    <cfRule type="colorScale" priority="44">
      <colorScale>
        <cfvo type="min"/>
        <cfvo type="percentile" val="50"/>
        <cfvo type="max"/>
        <color rgb="FF63BE7B"/>
        <color rgb="FFFFEB84"/>
        <color rgb="FFF8696B"/>
      </colorScale>
    </cfRule>
    <cfRule type="colorScale" priority="43">
      <colorScale>
        <cfvo type="min"/>
        <cfvo type="max"/>
        <color rgb="FF63BE7B"/>
        <color rgb="FFFFEF9C"/>
      </colorScale>
    </cfRule>
  </conditionalFormatting>
  <conditionalFormatting sqref="E166:P166">
    <cfRule type="colorScale" priority="41">
      <colorScale>
        <cfvo type="min"/>
        <cfvo type="max"/>
        <color rgb="FF63BE7B"/>
        <color rgb="FFFFEF9C"/>
      </colorScale>
    </cfRule>
    <cfRule type="colorScale" priority="42">
      <colorScale>
        <cfvo type="min"/>
        <cfvo type="percentile" val="50"/>
        <cfvo type="max"/>
        <color rgb="FF63BE7B"/>
        <color rgb="FFFFEB84"/>
        <color rgb="FFF8696B"/>
      </colorScale>
    </cfRule>
  </conditionalFormatting>
  <conditionalFormatting sqref="E169:P169 E172:P172">
    <cfRule type="colorScale" priority="40">
      <colorScale>
        <cfvo type="min"/>
        <cfvo type="percentile" val="50"/>
        <cfvo type="max"/>
        <color rgb="FF63BE7B"/>
        <color rgb="FFFFEB84"/>
        <color rgb="FFF8696B"/>
      </colorScale>
    </cfRule>
    <cfRule type="colorScale" priority="39">
      <colorScale>
        <cfvo type="min"/>
        <cfvo type="max"/>
        <color rgb="FF63BE7B"/>
        <color rgb="FFFFEF9C"/>
      </colorScale>
    </cfRule>
  </conditionalFormatting>
  <conditionalFormatting sqref="E175:P175">
    <cfRule type="colorScale" priority="23">
      <colorScale>
        <cfvo type="min"/>
        <cfvo type="max"/>
        <color rgb="FF63BE7B"/>
        <color rgb="FFFFEF9C"/>
      </colorScale>
    </cfRule>
    <cfRule type="colorScale" priority="24">
      <colorScale>
        <cfvo type="min"/>
        <cfvo type="percentile" val="50"/>
        <cfvo type="max"/>
        <color rgb="FF63BE7B"/>
        <color rgb="FFFFEB84"/>
        <color rgb="FFF8696B"/>
      </colorScale>
    </cfRule>
  </conditionalFormatting>
  <conditionalFormatting sqref="E178:P178 E181:P181 E184:P184 E187:P187 E190:P190 E193:P193 E196:P196 E199:P199">
    <cfRule type="colorScale" priority="21">
      <colorScale>
        <cfvo type="min"/>
        <cfvo type="max"/>
        <color rgb="FF63BE7B"/>
        <color rgb="FFFFEF9C"/>
      </colorScale>
    </cfRule>
    <cfRule type="colorScale" priority="22">
      <colorScale>
        <cfvo type="min"/>
        <cfvo type="percentile" val="50"/>
        <cfvo type="max"/>
        <color rgb="FF63BE7B"/>
        <color rgb="FFFFEB84"/>
        <color rgb="FFF8696B"/>
      </colorScale>
    </cfRule>
  </conditionalFormatting>
  <conditionalFormatting sqref="E202:P202 E205:P205">
    <cfRule type="colorScale" priority="13">
      <colorScale>
        <cfvo type="min"/>
        <cfvo type="max"/>
        <color rgb="FF63BE7B"/>
        <color rgb="FFFFEF9C"/>
      </colorScale>
    </cfRule>
    <cfRule type="colorScale" priority="14">
      <colorScale>
        <cfvo type="min"/>
        <cfvo type="percentile" val="50"/>
        <cfvo type="max"/>
        <color rgb="FF63BE7B"/>
        <color rgb="FFFFEB84"/>
        <color rgb="FFF8696B"/>
      </colorScale>
    </cfRule>
  </conditionalFormatting>
  <conditionalFormatting sqref="E208:P208">
    <cfRule type="colorScale" priority="3">
      <colorScale>
        <cfvo type="min"/>
        <cfvo type="max"/>
        <color rgb="FF63BE7B"/>
        <color rgb="FFFFEF9C"/>
      </colorScale>
    </cfRule>
    <cfRule type="colorScale" priority="4">
      <colorScale>
        <cfvo type="min"/>
        <cfvo type="percentile" val="50"/>
        <cfvo type="max"/>
        <color rgb="FF63BE7B"/>
        <color rgb="FFFFEB84"/>
        <color rgb="FFF8696B"/>
      </colorScale>
    </cfRule>
  </conditionalFormatting>
  <conditionalFormatting sqref="E217:P217">
    <cfRule type="colorScale" priority="38">
      <colorScale>
        <cfvo type="min"/>
        <cfvo type="percentile" val="50"/>
        <cfvo type="max"/>
        <color rgb="FF63BE7B"/>
        <color rgb="FFFFEB84"/>
        <color rgb="FFF8696B"/>
      </colorScale>
    </cfRule>
    <cfRule type="colorScale" priority="37">
      <colorScale>
        <cfvo type="min"/>
        <cfvo type="max"/>
        <color rgb="FF63BE7B"/>
        <color rgb="FFFFEF9C"/>
      </colorScale>
    </cfRule>
  </conditionalFormatting>
  <conditionalFormatting sqref="E220:P220">
    <cfRule type="colorScale" priority="35">
      <colorScale>
        <cfvo type="min"/>
        <cfvo type="max"/>
        <color rgb="FF63BE7B"/>
        <color rgb="FFFFEF9C"/>
      </colorScale>
    </cfRule>
    <cfRule type="colorScale" priority="36">
      <colorScale>
        <cfvo type="min"/>
        <cfvo type="percentile" val="50"/>
        <cfvo type="max"/>
        <color rgb="FF63BE7B"/>
        <color rgb="FFFFEB84"/>
        <color rgb="FFF8696B"/>
      </colorScale>
    </cfRule>
  </conditionalFormatting>
  <conditionalFormatting sqref="E223:P223">
    <cfRule type="colorScale" priority="34">
      <colorScale>
        <cfvo type="min"/>
        <cfvo type="percentile" val="50"/>
        <cfvo type="max"/>
        <color rgb="FF63BE7B"/>
        <color rgb="FFFFEB84"/>
        <color rgb="FFF8696B"/>
      </colorScale>
    </cfRule>
    <cfRule type="colorScale" priority="33">
      <colorScale>
        <cfvo type="min"/>
        <cfvo type="max"/>
        <color rgb="FF63BE7B"/>
        <color rgb="FFFFEF9C"/>
      </colorScale>
    </cfRule>
  </conditionalFormatting>
  <conditionalFormatting sqref="E226:P226">
    <cfRule type="colorScale" priority="32">
      <colorScale>
        <cfvo type="min"/>
        <cfvo type="percentile" val="50"/>
        <cfvo type="max"/>
        <color rgb="FF63BE7B"/>
        <color rgb="FFFFEB84"/>
        <color rgb="FFF8696B"/>
      </colorScale>
    </cfRule>
    <cfRule type="colorScale" priority="31">
      <colorScale>
        <cfvo type="min"/>
        <cfvo type="max"/>
        <color rgb="FF63BE7B"/>
        <color rgb="FFFFEF9C"/>
      </colorScale>
    </cfRule>
  </conditionalFormatting>
  <conditionalFormatting sqref="E229:P229">
    <cfRule type="colorScale" priority="27">
      <colorScale>
        <cfvo type="min"/>
        <cfvo type="max"/>
        <color rgb="FF63BE7B"/>
        <color rgb="FFFFEF9C"/>
      </colorScale>
    </cfRule>
    <cfRule type="colorScale" priority="28">
      <colorScale>
        <cfvo type="min"/>
        <cfvo type="percentile" val="50"/>
        <cfvo type="max"/>
        <color rgb="FF63BE7B"/>
        <color rgb="FFFFEB84"/>
        <color rgb="FFF8696B"/>
      </colorScale>
    </cfRule>
  </conditionalFormatting>
  <conditionalFormatting sqref="E232:P232">
    <cfRule type="colorScale" priority="19">
      <colorScale>
        <cfvo type="min"/>
        <cfvo type="max"/>
        <color rgb="FF63BE7B"/>
        <color rgb="FFFFEF9C"/>
      </colorScale>
    </cfRule>
    <cfRule type="colorScale" priority="20">
      <colorScale>
        <cfvo type="min"/>
        <cfvo type="percentile" val="50"/>
        <cfvo type="max"/>
        <color rgb="FF63BE7B"/>
        <color rgb="FFFFEB84"/>
        <color rgb="FFF8696B"/>
      </colorScale>
    </cfRule>
  </conditionalFormatting>
  <conditionalFormatting sqref="E235:P235">
    <cfRule type="colorScale" priority="18">
      <colorScale>
        <cfvo type="min"/>
        <cfvo type="percentile" val="50"/>
        <cfvo type="max"/>
        <color rgb="FF63BE7B"/>
        <color rgb="FFFFEB84"/>
        <color rgb="FFF8696B"/>
      </colorScale>
    </cfRule>
    <cfRule type="colorScale" priority="17">
      <colorScale>
        <cfvo type="min"/>
        <cfvo type="max"/>
        <color rgb="FF63BE7B"/>
        <color rgb="FFFFEF9C"/>
      </colorScale>
    </cfRule>
  </conditionalFormatting>
  <conditionalFormatting sqref="E238:P238">
    <cfRule type="colorScale" priority="16">
      <colorScale>
        <cfvo type="min"/>
        <cfvo type="percentile" val="50"/>
        <cfvo type="max"/>
        <color rgb="FF63BE7B"/>
        <color rgb="FFFFEB84"/>
        <color rgb="FFF8696B"/>
      </colorScale>
    </cfRule>
    <cfRule type="colorScale" priority="15">
      <colorScale>
        <cfvo type="min"/>
        <cfvo type="max"/>
        <color rgb="FF63BE7B"/>
        <color rgb="FFFFEF9C"/>
      </colorScale>
    </cfRule>
  </conditionalFormatting>
  <conditionalFormatting sqref="E241:P241">
    <cfRule type="colorScale" priority="11">
      <colorScale>
        <cfvo type="min"/>
        <cfvo type="max"/>
        <color rgb="FF63BE7B"/>
        <color rgb="FFFFEF9C"/>
      </colorScale>
    </cfRule>
    <cfRule type="colorScale" priority="12">
      <colorScale>
        <cfvo type="min"/>
        <cfvo type="percentile" val="50"/>
        <cfvo type="max"/>
        <color rgb="FF63BE7B"/>
        <color rgb="FFFFEB84"/>
        <color rgb="FFF8696B"/>
      </colorScale>
    </cfRule>
  </conditionalFormatting>
  <conditionalFormatting sqref="E244:P244">
    <cfRule type="colorScale" priority="10">
      <colorScale>
        <cfvo type="min"/>
        <cfvo type="percentile" val="50"/>
        <cfvo type="max"/>
        <color rgb="FF63BE7B"/>
        <color rgb="FFFFEB84"/>
        <color rgb="FFF8696B"/>
      </colorScale>
    </cfRule>
    <cfRule type="colorScale" priority="9">
      <colorScale>
        <cfvo type="min"/>
        <cfvo type="max"/>
        <color rgb="FF63BE7B"/>
        <color rgb="FFFFEF9C"/>
      </colorScale>
    </cfRule>
  </conditionalFormatting>
  <conditionalFormatting sqref="E247:P247">
    <cfRule type="colorScale" priority="8">
      <colorScale>
        <cfvo type="min"/>
        <cfvo type="percentile" val="50"/>
        <cfvo type="max"/>
        <color rgb="FF63BE7B"/>
        <color rgb="FFFFEB84"/>
        <color rgb="FFF8696B"/>
      </colorScale>
    </cfRule>
    <cfRule type="colorScale" priority="7">
      <colorScale>
        <cfvo type="min"/>
        <cfvo type="max"/>
        <color rgb="FF63BE7B"/>
        <color rgb="FFFFEF9C"/>
      </colorScale>
    </cfRule>
  </conditionalFormatting>
  <conditionalFormatting sqref="E250:P250">
    <cfRule type="colorScale" priority="6">
      <colorScale>
        <cfvo type="min"/>
        <cfvo type="percentile" val="50"/>
        <cfvo type="max"/>
        <color rgb="FF63BE7B"/>
        <color rgb="FFFFEB84"/>
        <color rgb="FFF8696B"/>
      </colorScale>
    </cfRule>
    <cfRule type="colorScale" priority="5">
      <colorScale>
        <cfvo type="min"/>
        <cfvo type="max"/>
        <color rgb="FF63BE7B"/>
        <color rgb="FFFFEF9C"/>
      </colorScale>
    </cfRule>
  </conditionalFormatting>
  <conditionalFormatting sqref="E253:P253">
    <cfRule type="colorScale" priority="2">
      <colorScale>
        <cfvo type="min"/>
        <cfvo type="percentile" val="50"/>
        <cfvo type="max"/>
        <color rgb="FF63BE7B"/>
        <color rgb="FFFFEB84"/>
        <color rgb="FFF8696B"/>
      </colorScale>
    </cfRule>
    <cfRule type="colorScale" priority="1">
      <colorScale>
        <cfvo type="min"/>
        <cfvo type="max"/>
        <color rgb="FF63BE7B"/>
        <color rgb="FFFFEF9C"/>
      </colorScale>
    </cfRule>
  </conditionalFormatting>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EDA47-C556-4C5B-BD14-5CA1289E056D}">
  <dimension ref="B1:AD64"/>
  <sheetViews>
    <sheetView topLeftCell="G1" zoomScale="95" zoomScaleNormal="95" workbookViewId="0">
      <selection activeCell="T10" sqref="T10"/>
    </sheetView>
  </sheetViews>
  <sheetFormatPr defaultColWidth="11.42578125" defaultRowHeight="12.6"/>
  <cols>
    <col min="1" max="1" width="1.140625" style="6" customWidth="1"/>
    <col min="2" max="2" width="25.5703125" style="6" customWidth="1"/>
    <col min="3" max="3" width="15.42578125" style="6" hidden="1" customWidth="1"/>
    <col min="4" max="4" width="14.140625" style="6" hidden="1" customWidth="1"/>
    <col min="5" max="5" width="13.42578125" style="6" hidden="1" customWidth="1"/>
    <col min="6" max="6" width="13.5703125" style="6" customWidth="1"/>
    <col min="7" max="7" width="13.85546875" style="6" customWidth="1"/>
    <col min="8" max="8" width="16.42578125" style="6" customWidth="1"/>
    <col min="9" max="9" width="13.5703125" style="6" customWidth="1"/>
    <col min="10" max="10" width="14.28515625" style="6" hidden="1" customWidth="1"/>
    <col min="11" max="13" width="13.28515625" style="6" hidden="1" customWidth="1"/>
    <col min="14" max="14" width="11.42578125" style="6" hidden="1" customWidth="1"/>
    <col min="15" max="15" width="12.5703125" style="6" customWidth="1"/>
    <col min="16" max="16" width="13.85546875" style="6" hidden="1" customWidth="1"/>
    <col min="17" max="17" width="25.42578125" style="6" bestFit="1" customWidth="1"/>
    <col min="18" max="18" width="13.7109375" style="6" hidden="1" customWidth="1"/>
    <col min="19" max="19" width="12.85546875" style="6" hidden="1" customWidth="1"/>
    <col min="20" max="20" width="13.7109375" style="6" hidden="1" customWidth="1"/>
    <col min="21" max="22" width="12.85546875" style="6" bestFit="1" customWidth="1"/>
    <col min="23" max="23" width="13.7109375" style="6" bestFit="1" customWidth="1"/>
    <col min="24" max="24" width="12.85546875" style="6" bestFit="1" customWidth="1"/>
    <col min="25" max="25" width="13.28515625" style="6" hidden="1" customWidth="1"/>
    <col min="26" max="26" width="13" style="6" hidden="1" customWidth="1"/>
    <col min="27" max="27" width="17.42578125" style="6" hidden="1" customWidth="1"/>
    <col min="28" max="28" width="14.28515625" style="6" hidden="1" customWidth="1"/>
    <col min="29" max="29" width="13.7109375" style="6" hidden="1" customWidth="1"/>
    <col min="30" max="30" width="13.7109375" style="6" bestFit="1" customWidth="1"/>
    <col min="31" max="16384" width="11.42578125" style="6"/>
  </cols>
  <sheetData>
    <row r="1" spans="2:29">
      <c r="Q1" s="6" t="s">
        <v>57</v>
      </c>
    </row>
    <row r="2" spans="2:29" ht="12.95">
      <c r="B2" s="898" t="s">
        <v>93</v>
      </c>
      <c r="C2" s="899"/>
      <c r="D2" s="899"/>
      <c r="E2" s="899"/>
      <c r="F2" s="899"/>
      <c r="G2" s="899"/>
      <c r="H2" s="899"/>
      <c r="I2" s="899"/>
      <c r="J2" s="899"/>
      <c r="K2" s="899"/>
      <c r="L2" s="899"/>
      <c r="M2" s="899"/>
      <c r="N2" s="900"/>
      <c r="Q2" s="932" t="s">
        <v>94</v>
      </c>
      <c r="R2" s="932"/>
      <c r="S2" s="932"/>
      <c r="T2" s="932"/>
      <c r="U2" s="932"/>
      <c r="V2" s="932"/>
      <c r="W2" s="932"/>
      <c r="X2" s="932"/>
      <c r="Y2" s="932"/>
      <c r="Z2" s="932"/>
      <c r="AA2" s="932"/>
      <c r="AB2" s="932"/>
      <c r="AC2" s="932"/>
    </row>
    <row r="3" spans="2:29" ht="12.95">
      <c r="C3" s="286">
        <v>45658</v>
      </c>
      <c r="D3" s="286">
        <v>45689</v>
      </c>
      <c r="E3" s="286">
        <v>45717</v>
      </c>
      <c r="F3" s="286">
        <v>45748</v>
      </c>
      <c r="G3" s="286">
        <v>45778</v>
      </c>
      <c r="H3" s="286">
        <v>45809</v>
      </c>
      <c r="I3" s="286">
        <v>45839</v>
      </c>
      <c r="J3" s="286">
        <v>45870</v>
      </c>
      <c r="K3" s="286">
        <v>45901</v>
      </c>
      <c r="L3" s="286">
        <v>45931</v>
      </c>
      <c r="M3" s="286">
        <v>45962</v>
      </c>
      <c r="N3" s="286">
        <v>45992</v>
      </c>
      <c r="Q3" s="834"/>
      <c r="R3" s="836">
        <v>45658</v>
      </c>
      <c r="S3" s="836">
        <v>45689</v>
      </c>
      <c r="T3" s="836">
        <v>45717</v>
      </c>
      <c r="U3" s="836">
        <v>45748</v>
      </c>
      <c r="V3" s="836">
        <v>45778</v>
      </c>
      <c r="W3" s="836">
        <v>45809</v>
      </c>
      <c r="X3" s="836">
        <v>45839</v>
      </c>
      <c r="Y3" s="836">
        <v>45870</v>
      </c>
      <c r="Z3" s="836">
        <v>45901</v>
      </c>
      <c r="AA3" s="836">
        <v>45931</v>
      </c>
      <c r="AB3" s="836">
        <v>45962</v>
      </c>
      <c r="AC3" s="836">
        <v>45992</v>
      </c>
    </row>
    <row r="4" spans="2:29" ht="12.95">
      <c r="B4" s="98" t="s">
        <v>95</v>
      </c>
      <c r="C4" s="2">
        <v>800000</v>
      </c>
      <c r="D4" s="2">
        <v>800000</v>
      </c>
      <c r="E4" s="2">
        <v>800000</v>
      </c>
      <c r="F4" s="2">
        <v>800000</v>
      </c>
      <c r="G4" s="2">
        <v>800000</v>
      </c>
      <c r="H4" s="2">
        <v>800000</v>
      </c>
      <c r="I4" s="2">
        <v>800000</v>
      </c>
      <c r="J4" s="2">
        <v>800000</v>
      </c>
      <c r="K4" s="2">
        <f t="shared" ref="K4:K13" si="0">+J4</f>
        <v>800000</v>
      </c>
      <c r="L4" s="2">
        <f t="shared" ref="L4:N4" si="1">+K4</f>
        <v>800000</v>
      </c>
      <c r="M4" s="2">
        <f t="shared" si="1"/>
        <v>800000</v>
      </c>
      <c r="N4" s="2">
        <f t="shared" si="1"/>
        <v>800000</v>
      </c>
      <c r="Q4" s="837" t="str">
        <f t="shared" ref="Q4:Q15" si="2">+B4</f>
        <v>Topografias</v>
      </c>
      <c r="R4" s="838">
        <f>-SUMIFS('Movimientos Reales'!$D$5:$D$1048576,'Movimientos Reales'!$E$5:$E$1048576,Estructuracion!R$3,'Movimientos Reales'!$H$5:$H$1048576,Estructuracion!$Q4,'Movimientos Reales'!$G$5:$G$1048576,Estructuracion!$Q$1)</f>
        <v>2207900</v>
      </c>
      <c r="S4" s="838">
        <f>-SUMIFS('Movimientos Reales'!$D$5:$D$1048576,'Movimientos Reales'!$E$5:$E$1048576,Estructuracion!S$3,'Movimientos Reales'!$H$5:$H$1048576,Estructuracion!$Q4,'Movimientos Reales'!$G$5:$G$1048576,Estructuracion!$Q$1)</f>
        <v>0</v>
      </c>
      <c r="T4" s="838">
        <f>-SUMIFS('Movimientos Reales'!$D$5:$D$1048576,'Movimientos Reales'!$E$5:$E$1048576,Estructuracion!T$3,'Movimientos Reales'!$H$5:$H$1048576,Estructuracion!$Q4,'Movimientos Reales'!$G$5:$G$1048576,Estructuracion!$Q$1)</f>
        <v>11854000</v>
      </c>
      <c r="U4" s="838">
        <f>-SUMIFS('Movimientos Reales'!$D$5:$D$1048576,'Movimientos Reales'!$E$5:$E$1048576,Estructuracion!U$3,'Movimientos Reales'!$H$5:$H$1048576,Estructuracion!$Q4,'Movimientos Reales'!$G$5:$G$1048576,Estructuracion!$Q$1)</f>
        <v>0</v>
      </c>
      <c r="V4" s="838">
        <f>-SUMIFS('Movimientos Reales'!$D$5:$D$1048576,'Movimientos Reales'!$E$5:$E$1048576,Estructuracion!V$3,'Movimientos Reales'!$H$5:$H$1048576,Estructuracion!$Q4,'Movimientos Reales'!$G$5:$G$1048576,Estructuracion!$Q$1)</f>
        <v>0</v>
      </c>
      <c r="W4" s="838">
        <f>-SUMIFS('Movimientos Reales'!$D$5:$D$1048576,'Movimientos Reales'!$E$5:$E$1048576,Estructuracion!W$3,'Movimientos Reales'!$H$5:$H$1048576,Estructuracion!$Q4,'Movimientos Reales'!$G$5:$G$1048576,Estructuracion!$Q$1)</f>
        <v>36758273</v>
      </c>
      <c r="X4" s="838">
        <f>-SUMIFS('Movimientos Reales'!$D$5:$D$1048576,'Movimientos Reales'!$E$5:$E$1048576,Estructuracion!X$3,'Movimientos Reales'!$H$5:$H$1048576,Estructuracion!$Q4,'Movimientos Reales'!$G$5:$G$1048576,Estructuracion!$Q$1)</f>
        <v>0</v>
      </c>
      <c r="Y4" s="838">
        <f>-SUMIFS('Movimientos Reales'!$D$5:$D$1048576,'Movimientos Reales'!$E$5:$E$1048576,Estructuracion!Y$3,'Movimientos Reales'!$H$5:$H$1048576,Estructuracion!$Q4,'Movimientos Reales'!$G$5:$G$1048576,Estructuracion!$Q$1)</f>
        <v>0</v>
      </c>
      <c r="Z4" s="838">
        <f>-SUMIFS('Movimientos Reales'!$D$5:$D$1048576,'Movimientos Reales'!$E$5:$E$1048576,Estructuracion!Z$3,'Movimientos Reales'!$H$5:$H$1048576,Estructuracion!$Q4,'Movimientos Reales'!$G$5:$G$1048576,Estructuracion!$Q$1)</f>
        <v>0</v>
      </c>
      <c r="AA4" s="838">
        <f>-SUMIFS('Movimientos Reales'!$D$5:$D$1048576,'Movimientos Reales'!$E$5:$E$1048576,Estructuracion!AA$3,'Movimientos Reales'!$H$5:$H$1048576,Estructuracion!$Q4,'Movimientos Reales'!$G$5:$G$1048576,Estructuracion!$Q$1)</f>
        <v>0</v>
      </c>
      <c r="AB4" s="838">
        <f>-SUMIFS('Movimientos Reales'!$D$5:$D$1048576,'Movimientos Reales'!$E$5:$E$1048576,Estructuracion!AB$3,'Movimientos Reales'!$H$5:$H$1048576,Estructuracion!$Q4,'Movimientos Reales'!$G$5:$G$1048576,Estructuracion!$Q$1)</f>
        <v>0</v>
      </c>
      <c r="AC4" s="838">
        <f>-SUMIFS('Movimientos Reales'!$D$5:$D$1048576,'Movimientos Reales'!$E$5:$E$1048576,Estructuracion!AC$3,'Movimientos Reales'!$H$5:$H$1048576,Estructuracion!$Q4,'Movimientos Reales'!$G$5:$G$1048576,Estructuracion!$Q$1)</f>
        <v>0</v>
      </c>
    </row>
    <row r="5" spans="2:29" ht="12.95">
      <c r="B5" s="284" t="s">
        <v>96</v>
      </c>
      <c r="C5" s="2">
        <v>6600000</v>
      </c>
      <c r="D5" s="2">
        <v>6600000</v>
      </c>
      <c r="E5" s="2">
        <v>6600000</v>
      </c>
      <c r="F5" s="2">
        <v>6600000</v>
      </c>
      <c r="G5" s="2">
        <v>6600000</v>
      </c>
      <c r="H5" s="2">
        <v>6600000</v>
      </c>
      <c r="I5" s="2">
        <v>6600000</v>
      </c>
      <c r="J5" s="2">
        <v>6600000</v>
      </c>
      <c r="K5" s="2">
        <f t="shared" si="0"/>
        <v>6600000</v>
      </c>
      <c r="L5" s="2">
        <f t="shared" ref="L5:L13" si="3">+J5</f>
        <v>6600000</v>
      </c>
      <c r="M5" s="2">
        <f t="shared" ref="M5:M13" si="4">+J5</f>
        <v>6600000</v>
      </c>
      <c r="N5" s="2">
        <f t="shared" ref="N5:N13" si="5">+J5</f>
        <v>6600000</v>
      </c>
      <c r="Q5" s="837" t="str">
        <f t="shared" si="2"/>
        <v>Estudios  de conexión</v>
      </c>
      <c r="R5" s="838">
        <f>-SUMIFS('Movimientos Reales'!$D$5:$D$1048576,'Movimientos Reales'!$E$5:$E$1048576,Estructuracion!R$3,'Movimientos Reales'!$H$5:$H$1048576,Estructuracion!$Q5,'Movimientos Reales'!$G$5:$G$1048576,Estructuracion!$Q$1)</f>
        <v>0</v>
      </c>
      <c r="S5" s="838">
        <f>-SUMIFS('Movimientos Reales'!$D$5:$D$1048576,'Movimientos Reales'!$E$5:$E$1048576,Estructuracion!S$3,'Movimientos Reales'!$H$5:$H$1048576,Estructuracion!$Q5,'Movimientos Reales'!$G$5:$G$1048576,Estructuracion!$Q$1)</f>
        <v>0</v>
      </c>
      <c r="T5" s="838">
        <f>-SUMIFS('Movimientos Reales'!$D$5:$D$1048576,'Movimientos Reales'!$E$5:$E$1048576,Estructuracion!T$3,'Movimientos Reales'!$H$5:$H$1048576,Estructuracion!$Q5,'Movimientos Reales'!$G$5:$G$1048576,Estructuracion!$Q$1)</f>
        <v>53284000</v>
      </c>
      <c r="U5" s="838">
        <f>-SUMIFS('Movimientos Reales'!$D$5:$D$1048576,'Movimientos Reales'!$E$5:$E$1048576,Estructuracion!U$3,'Movimientos Reales'!$H$5:$H$1048576,Estructuracion!$Q5,'Movimientos Reales'!$G$5:$G$1048576,Estructuracion!$Q$1)</f>
        <v>0</v>
      </c>
      <c r="V5" s="838">
        <f>-SUMIFS('Movimientos Reales'!$D$5:$D$1048576,'Movimientos Reales'!$E$5:$E$1048576,Estructuracion!V$3,'Movimientos Reales'!$H$5:$H$1048576,Estructuracion!$Q5,'Movimientos Reales'!$G$5:$G$1048576,Estructuracion!$Q$1)</f>
        <v>16427006</v>
      </c>
      <c r="W5" s="838">
        <f>-SUMIFS('Movimientos Reales'!$D$5:$D$1048576,'Movimientos Reales'!$E$5:$E$1048576,Estructuracion!W$3,'Movimientos Reales'!$H$5:$H$1048576,Estructuracion!$Q5,'Movimientos Reales'!$G$5:$G$1048576,Estructuracion!$Q$1)</f>
        <v>26880600</v>
      </c>
      <c r="X5" s="838">
        <f>-SUMIFS('Movimientos Reales'!$D$5:$D$1048576,'Movimientos Reales'!$E$5:$E$1048576,Estructuracion!X$3,'Movimientos Reales'!$H$5:$H$1048576,Estructuracion!$Q5,'Movimientos Reales'!$G$5:$G$1048576,Estructuracion!$Q$1)</f>
        <v>54511200</v>
      </c>
      <c r="Y5" s="838">
        <f>-SUMIFS('Movimientos Reales'!$D$5:$D$1048576,'Movimientos Reales'!$E$5:$E$1048576,Estructuracion!Y$3,'Movimientos Reales'!$H$5:$H$1048576,Estructuracion!$Q5,'Movimientos Reales'!$G$5:$G$1048576,Estructuracion!$Q$1)</f>
        <v>0</v>
      </c>
      <c r="Z5" s="838">
        <f>-SUMIFS('Movimientos Reales'!$D$5:$D$1048576,'Movimientos Reales'!$E$5:$E$1048576,Estructuracion!Z$3,'Movimientos Reales'!$H$5:$H$1048576,Estructuracion!$Q5,'Movimientos Reales'!$G$5:$G$1048576,Estructuracion!$Q$1)</f>
        <v>0</v>
      </c>
      <c r="AA5" s="838">
        <f>-SUMIFS('Movimientos Reales'!$D$5:$D$1048576,'Movimientos Reales'!$E$5:$E$1048576,Estructuracion!AA$3,'Movimientos Reales'!$H$5:$H$1048576,Estructuracion!$Q5,'Movimientos Reales'!$G$5:$G$1048576,Estructuracion!$Q$1)</f>
        <v>0</v>
      </c>
      <c r="AB5" s="838">
        <f>-SUMIFS('Movimientos Reales'!$D$5:$D$1048576,'Movimientos Reales'!$E$5:$E$1048576,Estructuracion!AB$3,'Movimientos Reales'!$H$5:$H$1048576,Estructuracion!$Q5,'Movimientos Reales'!$G$5:$G$1048576,Estructuracion!$Q$1)</f>
        <v>0</v>
      </c>
      <c r="AC5" s="838">
        <f>-SUMIFS('Movimientos Reales'!$D$5:$D$1048576,'Movimientos Reales'!$E$5:$E$1048576,Estructuracion!AC$3,'Movimientos Reales'!$H$5:$H$1048576,Estructuracion!$Q5,'Movimientos Reales'!$G$5:$G$1048576,Estructuracion!$Q$1)</f>
        <v>0</v>
      </c>
    </row>
    <row r="6" spans="2:29" ht="12.95">
      <c r="B6" s="284" t="s">
        <v>97</v>
      </c>
      <c r="C6" s="2">
        <v>2100000</v>
      </c>
      <c r="D6" s="2">
        <v>2100000</v>
      </c>
      <c r="E6" s="2">
        <v>2100000</v>
      </c>
      <c r="F6" s="2">
        <v>2100000</v>
      </c>
      <c r="G6" s="2">
        <v>2100000</v>
      </c>
      <c r="H6" s="2">
        <v>2100000</v>
      </c>
      <c r="I6" s="2">
        <v>2100000</v>
      </c>
      <c r="J6" s="2">
        <v>2100000</v>
      </c>
      <c r="K6" s="2">
        <f t="shared" si="0"/>
        <v>2100000</v>
      </c>
      <c r="L6" s="2">
        <f t="shared" si="3"/>
        <v>2100000</v>
      </c>
      <c r="M6" s="2">
        <f t="shared" si="4"/>
        <v>2100000</v>
      </c>
      <c r="N6" s="2">
        <f t="shared" si="5"/>
        <v>2100000</v>
      </c>
      <c r="Q6" s="837" t="str">
        <f t="shared" si="2"/>
        <v>Visitas a terrenos</v>
      </c>
      <c r="R6" s="838">
        <f>-SUMIFS('Movimientos Reales'!$D$5:$D$1048576,'Movimientos Reales'!$E$5:$E$1048576,Estructuracion!R$3,'Movimientos Reales'!$H$5:$H$1048576,Estructuracion!$Q6,'Movimientos Reales'!$G$5:$G$1048576,Estructuracion!$Q$1)</f>
        <v>3978280</v>
      </c>
      <c r="S6" s="838">
        <f>-SUMIFS('Movimientos Reales'!$D$5:$D$1048576,'Movimientos Reales'!$E$5:$E$1048576,Estructuracion!S$3,'Movimientos Reales'!$H$5:$H$1048576,Estructuracion!$Q6,'Movimientos Reales'!$G$5:$G$1048576,Estructuracion!$Q$1)</f>
        <v>6625486</v>
      </c>
      <c r="T6" s="838">
        <f>-SUMIFS('Movimientos Reales'!$D$5:$D$1048576,'Movimientos Reales'!$E$5:$E$1048576,Estructuracion!T$3,'Movimientos Reales'!$H$5:$H$1048576,Estructuracion!$Q6,'Movimientos Reales'!$G$5:$G$1048576,Estructuracion!$Q$1)</f>
        <v>7009300</v>
      </c>
      <c r="U6" s="838">
        <f>-SUMIFS('Movimientos Reales'!$D$5:$D$1048576,'Movimientos Reales'!$E$5:$E$1048576,Estructuracion!U$3,'Movimientos Reales'!$H$5:$H$1048576,Estructuracion!$Q6,'Movimientos Reales'!$G$5:$G$1048576,Estructuracion!$Q$1)</f>
        <v>6763153</v>
      </c>
      <c r="V6" s="838">
        <f>-SUMIFS('Movimientos Reales'!$D$5:$D$1048576,'Movimientos Reales'!$E$5:$E$1048576,Estructuracion!V$3,'Movimientos Reales'!$H$5:$H$1048576,Estructuracion!$Q6,'Movimientos Reales'!$G$5:$G$1048576,Estructuracion!$Q$1)</f>
        <v>11307525</v>
      </c>
      <c r="W6" s="838">
        <f>-SUMIFS('Movimientos Reales'!$D$5:$D$1048576,'Movimientos Reales'!$E$5:$E$1048576,Estructuracion!W$3,'Movimientos Reales'!$H$5:$H$1048576,Estructuracion!$Q6,'Movimientos Reales'!$G$5:$G$1048576,Estructuracion!$Q$1)</f>
        <v>7391345</v>
      </c>
      <c r="X6" s="838">
        <f>-SUMIFS('Movimientos Reales'!$D$5:$D$1048576,'Movimientos Reales'!$E$5:$E$1048576,Estructuracion!X$3,'Movimientos Reales'!$H$5:$H$1048576,Estructuracion!$Q6,'Movimientos Reales'!$G$5:$G$1048576,Estructuracion!$Q$1)</f>
        <v>7792515</v>
      </c>
      <c r="Y6" s="838">
        <f>-SUMIFS('Movimientos Reales'!$D$5:$D$1048576,'Movimientos Reales'!$E$5:$E$1048576,Estructuracion!Y$3,'Movimientos Reales'!$H$5:$H$1048576,Estructuracion!$Q6,'Movimientos Reales'!$G$5:$G$1048576,Estructuracion!$Q$1)</f>
        <v>0</v>
      </c>
      <c r="Z6" s="838">
        <f>-SUMIFS('Movimientos Reales'!$D$5:$D$1048576,'Movimientos Reales'!$E$5:$E$1048576,Estructuracion!Z$3,'Movimientos Reales'!$H$5:$H$1048576,Estructuracion!$Q6,'Movimientos Reales'!$G$5:$G$1048576,Estructuracion!$Q$1)</f>
        <v>0</v>
      </c>
      <c r="AA6" s="838">
        <f>-SUMIFS('Movimientos Reales'!$D$5:$D$1048576,'Movimientos Reales'!$E$5:$E$1048576,Estructuracion!AA$3,'Movimientos Reales'!$H$5:$H$1048576,Estructuracion!$Q6,'Movimientos Reales'!$G$5:$G$1048576,Estructuracion!$Q$1)</f>
        <v>0</v>
      </c>
      <c r="AB6" s="838">
        <f>-SUMIFS('Movimientos Reales'!$D$5:$D$1048576,'Movimientos Reales'!$E$5:$E$1048576,Estructuracion!AB$3,'Movimientos Reales'!$H$5:$H$1048576,Estructuracion!$Q6,'Movimientos Reales'!$G$5:$G$1048576,Estructuracion!$Q$1)</f>
        <v>0</v>
      </c>
      <c r="AC6" s="838">
        <f>-SUMIFS('Movimientos Reales'!$D$5:$D$1048576,'Movimientos Reales'!$E$5:$E$1048576,Estructuracion!AC$3,'Movimientos Reales'!$H$5:$H$1048576,Estructuracion!$Q6,'Movimientos Reales'!$G$5:$G$1048576,Estructuracion!$Q$1)</f>
        <v>0</v>
      </c>
    </row>
    <row r="7" spans="2:29" ht="12.95">
      <c r="B7" s="284" t="s">
        <v>98</v>
      </c>
      <c r="C7" s="2">
        <v>7500000</v>
      </c>
      <c r="D7" s="2">
        <v>7500000</v>
      </c>
      <c r="E7" s="2">
        <v>7500000</v>
      </c>
      <c r="F7" s="2">
        <v>7500000</v>
      </c>
      <c r="G7" s="2">
        <v>7500000</v>
      </c>
      <c r="H7" s="2">
        <v>7500000</v>
      </c>
      <c r="I7" s="2">
        <v>7500000</v>
      </c>
      <c r="J7" s="2">
        <v>7500000</v>
      </c>
      <c r="K7" s="2">
        <f t="shared" si="0"/>
        <v>7500000</v>
      </c>
      <c r="L7" s="2">
        <f t="shared" si="3"/>
        <v>7500000</v>
      </c>
      <c r="M7" s="2">
        <f t="shared" si="4"/>
        <v>7500000</v>
      </c>
      <c r="N7" s="2">
        <f t="shared" si="5"/>
        <v>7500000</v>
      </c>
      <c r="Q7" s="837" t="str">
        <f t="shared" si="2"/>
        <v>Estudios Legales</v>
      </c>
      <c r="R7" s="838">
        <f>-SUMIFS('Movimientos Reales'!$D$5:$D$1048576,'Movimientos Reales'!$E$5:$E$1048576,Estructuracion!R$3,'Movimientos Reales'!$H$5:$H$1048576,Estructuracion!$Q7,'Movimientos Reales'!$G$5:$G$1048576,Estructuracion!$Q$1)</f>
        <v>18512600</v>
      </c>
      <c r="S7" s="838">
        <f>-SUMIFS('Movimientos Reales'!$D$5:$D$1048576,'Movimientos Reales'!$E$5:$E$1048576,Estructuracion!S$3,'Movimientos Reales'!$H$5:$H$1048576,Estructuracion!$Q7,'Movimientos Reales'!$G$5:$G$1048576,Estructuracion!$Q$1)</f>
        <v>341400</v>
      </c>
      <c r="T7" s="838">
        <f>-SUMIFS('Movimientos Reales'!$D$5:$D$1048576,'Movimientos Reales'!$E$5:$E$1048576,Estructuracion!T$3,'Movimientos Reales'!$H$5:$H$1048576,Estructuracion!$Q7,'Movimientos Reales'!$G$5:$G$1048576,Estructuracion!$Q$1)</f>
        <v>20991819</v>
      </c>
      <c r="U7" s="838">
        <f>-SUMIFS('Movimientos Reales'!$D$5:$D$1048576,'Movimientos Reales'!$E$5:$E$1048576,Estructuracion!U$3,'Movimientos Reales'!$H$5:$H$1048576,Estructuracion!$Q7,'Movimientos Reales'!$G$5:$G$1048576,Estructuracion!$Q$1)</f>
        <v>8292000</v>
      </c>
      <c r="V7" s="838">
        <f>-SUMIFS('Movimientos Reales'!$D$5:$D$1048576,'Movimientos Reales'!$E$5:$E$1048576,Estructuracion!V$3,'Movimientos Reales'!$H$5:$H$1048576,Estructuracion!$Q7,'Movimientos Reales'!$G$5:$G$1048576,Estructuracion!$Q$1)</f>
        <v>11337123</v>
      </c>
      <c r="W7" s="838">
        <f>-SUMIFS('Movimientos Reales'!$D$5:$D$1048576,'Movimientos Reales'!$E$5:$E$1048576,Estructuracion!W$3,'Movimientos Reales'!$H$5:$H$1048576,Estructuracion!$Q7,'Movimientos Reales'!$G$5:$G$1048576,Estructuracion!$Q$1)</f>
        <v>11711466</v>
      </c>
      <c r="X7" s="838">
        <f>-SUMIFS('Movimientos Reales'!$D$5:$D$1048576,'Movimientos Reales'!$E$5:$E$1048576,Estructuracion!X$3,'Movimientos Reales'!$H$5:$H$1048576,Estructuracion!$Q7,'Movimientos Reales'!$G$5:$G$1048576,Estructuracion!$Q$1)</f>
        <v>65700</v>
      </c>
      <c r="Y7" s="838">
        <f>-SUMIFS('Movimientos Reales'!$D$5:$D$1048576,'Movimientos Reales'!$E$5:$E$1048576,Estructuracion!Y$3,'Movimientos Reales'!$H$5:$H$1048576,Estructuracion!$Q7,'Movimientos Reales'!$G$5:$G$1048576,Estructuracion!$Q$1)</f>
        <v>0</v>
      </c>
      <c r="Z7" s="838">
        <f>-SUMIFS('Movimientos Reales'!$D$5:$D$1048576,'Movimientos Reales'!$E$5:$E$1048576,Estructuracion!Z$3,'Movimientos Reales'!$H$5:$H$1048576,Estructuracion!$Q7,'Movimientos Reales'!$G$5:$G$1048576,Estructuracion!$Q$1)</f>
        <v>0</v>
      </c>
      <c r="AA7" s="838">
        <f>-SUMIFS('Movimientos Reales'!$D$5:$D$1048576,'Movimientos Reales'!$E$5:$E$1048576,Estructuracion!AA$3,'Movimientos Reales'!$H$5:$H$1048576,Estructuracion!$Q7,'Movimientos Reales'!$G$5:$G$1048576,Estructuracion!$Q$1)</f>
        <v>0</v>
      </c>
      <c r="AB7" s="838">
        <f>-SUMIFS('Movimientos Reales'!$D$5:$D$1048576,'Movimientos Reales'!$E$5:$E$1048576,Estructuracion!AB$3,'Movimientos Reales'!$H$5:$H$1048576,Estructuracion!$Q7,'Movimientos Reales'!$G$5:$G$1048576,Estructuracion!$Q$1)</f>
        <v>0</v>
      </c>
      <c r="AC7" s="838">
        <f>-SUMIFS('Movimientos Reales'!$D$5:$D$1048576,'Movimientos Reales'!$E$5:$E$1048576,Estructuracion!AC$3,'Movimientos Reales'!$H$5:$H$1048576,Estructuracion!$Q7,'Movimientos Reales'!$G$5:$G$1048576,Estructuracion!$Q$1)</f>
        <v>0</v>
      </c>
    </row>
    <row r="8" spans="2:29" ht="12.95">
      <c r="B8" s="284" t="s">
        <v>99</v>
      </c>
      <c r="C8" s="2">
        <v>4000000</v>
      </c>
      <c r="D8" s="2">
        <v>4000000</v>
      </c>
      <c r="E8" s="2">
        <v>4000000</v>
      </c>
      <c r="F8" s="2">
        <v>4000000</v>
      </c>
      <c r="G8" s="2">
        <v>4000000</v>
      </c>
      <c r="H8" s="2">
        <v>4000000</v>
      </c>
      <c r="I8" s="2">
        <v>4000000</v>
      </c>
      <c r="J8" s="2">
        <v>4000000</v>
      </c>
      <c r="K8" s="2">
        <f t="shared" si="0"/>
        <v>4000000</v>
      </c>
      <c r="L8" s="2">
        <f t="shared" si="3"/>
        <v>4000000</v>
      </c>
      <c r="M8" s="2">
        <f t="shared" si="4"/>
        <v>4000000</v>
      </c>
      <c r="N8" s="2">
        <f t="shared" si="5"/>
        <v>4000000</v>
      </c>
      <c r="Q8" s="837" t="str">
        <f t="shared" si="2"/>
        <v>Consulta Min Interior</v>
      </c>
      <c r="R8" s="838">
        <f>-SUMIFS('Movimientos Reales'!$D$5:$D$1048576,'Movimientos Reales'!$E$5:$E$1048576,Estructuracion!R$3,'Movimientos Reales'!$H$5:$H$1048576,Estructuracion!$Q8,'Movimientos Reales'!$G$5:$G$1048576,Estructuracion!$Q$1)</f>
        <v>0</v>
      </c>
      <c r="S8" s="838">
        <f>-SUMIFS('Movimientos Reales'!$D$5:$D$1048576,'Movimientos Reales'!$E$5:$E$1048576,Estructuracion!S$3,'Movimientos Reales'!$H$5:$H$1048576,Estructuracion!$Q8,'Movimientos Reales'!$G$5:$G$1048576,Estructuracion!$Q$1)</f>
        <v>0</v>
      </c>
      <c r="T8" s="838">
        <f>-SUMIFS('Movimientos Reales'!$D$5:$D$1048576,'Movimientos Reales'!$E$5:$E$1048576,Estructuracion!T$3,'Movimientos Reales'!$H$5:$H$1048576,Estructuracion!$Q8,'Movimientos Reales'!$G$5:$G$1048576,Estructuracion!$Q$1)</f>
        <v>0</v>
      </c>
      <c r="U8" s="838">
        <f>-SUMIFS('Movimientos Reales'!$D$5:$D$1048576,'Movimientos Reales'!$E$5:$E$1048576,Estructuracion!U$3,'Movimientos Reales'!$H$5:$H$1048576,Estructuracion!$Q8,'Movimientos Reales'!$G$5:$G$1048576,Estructuracion!$Q$1)</f>
        <v>8504278</v>
      </c>
      <c r="V8" s="838">
        <f>-SUMIFS('Movimientos Reales'!$D$5:$D$1048576,'Movimientos Reales'!$E$5:$E$1048576,Estructuracion!V$3,'Movimientos Reales'!$H$5:$H$1048576,Estructuracion!$Q8,'Movimientos Reales'!$G$5:$G$1048576,Estructuracion!$Q$1)</f>
        <v>0</v>
      </c>
      <c r="W8" s="838">
        <f>-SUMIFS('Movimientos Reales'!$D$5:$D$1048576,'Movimientos Reales'!$E$5:$E$1048576,Estructuracion!W$3,'Movimientos Reales'!$H$5:$H$1048576,Estructuracion!$Q8,'Movimientos Reales'!$G$5:$G$1048576,Estructuracion!$Q$1)</f>
        <v>0</v>
      </c>
      <c r="X8" s="838">
        <f>-SUMIFS('Movimientos Reales'!$D$5:$D$1048576,'Movimientos Reales'!$E$5:$E$1048576,Estructuracion!X$3,'Movimientos Reales'!$H$5:$H$1048576,Estructuracion!$Q8,'Movimientos Reales'!$G$5:$G$1048576,Estructuracion!$Q$1)</f>
        <v>0</v>
      </c>
      <c r="Y8" s="838">
        <f>-SUMIFS('Movimientos Reales'!$D$5:$D$1048576,'Movimientos Reales'!$E$5:$E$1048576,Estructuracion!Y$3,'Movimientos Reales'!$H$5:$H$1048576,Estructuracion!$Q8,'Movimientos Reales'!$G$5:$G$1048576,Estructuracion!$Q$1)</f>
        <v>0</v>
      </c>
      <c r="Z8" s="838">
        <f>-SUMIFS('Movimientos Reales'!$D$5:$D$1048576,'Movimientos Reales'!$E$5:$E$1048576,Estructuracion!Z$3,'Movimientos Reales'!$H$5:$H$1048576,Estructuracion!$Q8,'Movimientos Reales'!$G$5:$G$1048576,Estructuracion!$Q$1)</f>
        <v>0</v>
      </c>
      <c r="AA8" s="838">
        <f>-SUMIFS('Movimientos Reales'!$D$5:$D$1048576,'Movimientos Reales'!$E$5:$E$1048576,Estructuracion!AA$3,'Movimientos Reales'!$H$5:$H$1048576,Estructuracion!$Q8,'Movimientos Reales'!$G$5:$G$1048576,Estructuracion!$Q$1)</f>
        <v>0</v>
      </c>
      <c r="AB8" s="838">
        <f>-SUMIFS('Movimientos Reales'!$D$5:$D$1048576,'Movimientos Reales'!$E$5:$E$1048576,Estructuracion!AB$3,'Movimientos Reales'!$H$5:$H$1048576,Estructuracion!$Q8,'Movimientos Reales'!$G$5:$G$1048576,Estructuracion!$Q$1)</f>
        <v>0</v>
      </c>
      <c r="AC8" s="838">
        <f>-SUMIFS('Movimientos Reales'!$D$5:$D$1048576,'Movimientos Reales'!$E$5:$E$1048576,Estructuracion!AC$3,'Movimientos Reales'!$H$5:$H$1048576,Estructuracion!$Q8,'Movimientos Reales'!$G$5:$G$1048576,Estructuracion!$Q$1)</f>
        <v>0</v>
      </c>
    </row>
    <row r="9" spans="2:29" ht="12.95">
      <c r="B9" s="284" t="s">
        <v>100</v>
      </c>
      <c r="C9" s="2">
        <v>1200000</v>
      </c>
      <c r="D9" s="2">
        <v>1200000</v>
      </c>
      <c r="E9" s="2">
        <v>1200000</v>
      </c>
      <c r="F9" s="2">
        <v>1200000</v>
      </c>
      <c r="G9" s="2">
        <v>1200000</v>
      </c>
      <c r="H9" s="2">
        <v>1200000</v>
      </c>
      <c r="I9" s="2">
        <v>1200000</v>
      </c>
      <c r="J9" s="2">
        <v>1200000</v>
      </c>
      <c r="K9" s="2">
        <f t="shared" si="0"/>
        <v>1200000</v>
      </c>
      <c r="L9" s="2">
        <f t="shared" si="3"/>
        <v>1200000</v>
      </c>
      <c r="M9" s="2">
        <f t="shared" si="4"/>
        <v>1200000</v>
      </c>
      <c r="N9" s="102">
        <f t="shared" si="5"/>
        <v>1200000</v>
      </c>
      <c r="Q9" s="837" t="str">
        <f t="shared" si="2"/>
        <v>Estudio Inventario Forestal</v>
      </c>
      <c r="R9" s="838">
        <f>-SUMIFS('Movimientos Reales'!$D$5:$D$1048576,'Movimientos Reales'!$E$5:$E$1048576,Estructuracion!R$3,'Movimientos Reales'!$H$5:$H$1048576,Estructuracion!$Q9,'Movimientos Reales'!$G$5:$G$1048576,Estructuracion!$Q$1)</f>
        <v>1600000</v>
      </c>
      <c r="S9" s="838">
        <f>-SUMIFS('Movimientos Reales'!$D$5:$D$1048576,'Movimientos Reales'!$E$5:$E$1048576,Estructuracion!S$3,'Movimientos Reales'!$H$5:$H$1048576,Estructuracion!$Q9,'Movimientos Reales'!$G$5:$G$1048576,Estructuracion!$Q$1)</f>
        <v>0</v>
      </c>
      <c r="T9" s="838">
        <f>-SUMIFS('Movimientos Reales'!$D$5:$D$1048576,'Movimientos Reales'!$E$5:$E$1048576,Estructuracion!T$3,'Movimientos Reales'!$H$5:$H$1048576,Estructuracion!$Q9,'Movimientos Reales'!$G$5:$G$1048576,Estructuracion!$Q$1)</f>
        <v>0</v>
      </c>
      <c r="U9" s="838">
        <f>-SUMIFS('Movimientos Reales'!$D$5:$D$1048576,'Movimientos Reales'!$E$5:$E$1048576,Estructuracion!U$3,'Movimientos Reales'!$H$5:$H$1048576,Estructuracion!$Q9,'Movimientos Reales'!$G$5:$G$1048576,Estructuracion!$Q$1)</f>
        <v>1700000</v>
      </c>
      <c r="V9" s="838">
        <f>-SUMIFS('Movimientos Reales'!$D$5:$D$1048576,'Movimientos Reales'!$E$5:$E$1048576,Estructuracion!V$3,'Movimientos Reales'!$H$5:$H$1048576,Estructuracion!$Q9,'Movimientos Reales'!$G$5:$G$1048576,Estructuracion!$Q$1)</f>
        <v>70000</v>
      </c>
      <c r="W9" s="838">
        <f>-SUMIFS('Movimientos Reales'!$D$5:$D$1048576,'Movimientos Reales'!$E$5:$E$1048576,Estructuracion!W$3,'Movimientos Reales'!$H$5:$H$1048576,Estructuracion!$Q9,'Movimientos Reales'!$G$5:$G$1048576,Estructuracion!$Q$1)</f>
        <v>9894830</v>
      </c>
      <c r="X9" s="838">
        <f>-SUMIFS('Movimientos Reales'!$D$5:$D$1048576,'Movimientos Reales'!$E$5:$E$1048576,Estructuracion!X$3,'Movimientos Reales'!$H$5:$H$1048576,Estructuracion!$Q9,'Movimientos Reales'!$G$5:$G$1048576,Estructuracion!$Q$1)</f>
        <v>0</v>
      </c>
      <c r="Y9" s="838">
        <f>-SUMIFS('Movimientos Reales'!$D$5:$D$1048576,'Movimientos Reales'!$E$5:$E$1048576,Estructuracion!Y$3,'Movimientos Reales'!$H$5:$H$1048576,Estructuracion!$Q9,'Movimientos Reales'!$G$5:$G$1048576,Estructuracion!$Q$1)</f>
        <v>0</v>
      </c>
      <c r="Z9" s="838">
        <f>-SUMIFS('Movimientos Reales'!$D$5:$D$1048576,'Movimientos Reales'!$E$5:$E$1048576,Estructuracion!Z$3,'Movimientos Reales'!$H$5:$H$1048576,Estructuracion!$Q9,'Movimientos Reales'!$G$5:$G$1048576,Estructuracion!$Q$1)</f>
        <v>0</v>
      </c>
      <c r="AA9" s="838">
        <f>-SUMIFS('Movimientos Reales'!$D$5:$D$1048576,'Movimientos Reales'!$E$5:$E$1048576,Estructuracion!AA$3,'Movimientos Reales'!$H$5:$H$1048576,Estructuracion!$Q9,'Movimientos Reales'!$G$5:$G$1048576,Estructuracion!$Q$1)</f>
        <v>0</v>
      </c>
      <c r="AB9" s="838">
        <f>-SUMIFS('Movimientos Reales'!$D$5:$D$1048576,'Movimientos Reales'!$E$5:$E$1048576,Estructuracion!AB$3,'Movimientos Reales'!$H$5:$H$1048576,Estructuracion!$Q9,'Movimientos Reales'!$G$5:$G$1048576,Estructuracion!$Q$1)</f>
        <v>0</v>
      </c>
      <c r="AC9" s="838">
        <f>-SUMIFS('Movimientos Reales'!$D$5:$D$1048576,'Movimientos Reales'!$E$5:$E$1048576,Estructuracion!AC$3,'Movimientos Reales'!$H$5:$H$1048576,Estructuracion!$Q9,'Movimientos Reales'!$G$5:$G$1048576,Estructuracion!$Q$1)</f>
        <v>0</v>
      </c>
    </row>
    <row r="10" spans="2:29" ht="12.95">
      <c r="B10" s="98" t="s">
        <v>101</v>
      </c>
      <c r="C10" s="2">
        <v>8000000</v>
      </c>
      <c r="D10" s="2">
        <v>8000000</v>
      </c>
      <c r="E10" s="2">
        <v>8000000</v>
      </c>
      <c r="F10" s="2">
        <v>8000000</v>
      </c>
      <c r="G10" s="2">
        <v>8000000</v>
      </c>
      <c r="H10" s="2">
        <v>8000000</v>
      </c>
      <c r="I10" s="2">
        <v>8000000</v>
      </c>
      <c r="J10" s="2">
        <v>8000000</v>
      </c>
      <c r="K10" s="2">
        <f t="shared" si="0"/>
        <v>8000000</v>
      </c>
      <c r="L10" s="2">
        <f t="shared" si="3"/>
        <v>8000000</v>
      </c>
      <c r="M10" s="2">
        <f t="shared" si="4"/>
        <v>8000000</v>
      </c>
      <c r="N10" s="102">
        <f t="shared" si="5"/>
        <v>8000000</v>
      </c>
      <c r="Q10" s="837" t="str">
        <f t="shared" si="2"/>
        <v>Estudio de Suelos</v>
      </c>
      <c r="R10" s="838">
        <f>-SUMIFS('Movimientos Reales'!$D$5:$D$1048576,'Movimientos Reales'!$E$5:$E$1048576,Estructuracion!R$3,'Movimientos Reales'!$H$5:$H$1048576,Estructuracion!$Q10,'Movimientos Reales'!$G$5:$G$1048576,Estructuracion!$Q$1)</f>
        <v>0</v>
      </c>
      <c r="S10" s="838">
        <f>-SUMIFS('Movimientos Reales'!$D$5:$D$1048576,'Movimientos Reales'!$E$5:$E$1048576,Estructuracion!S$3,'Movimientos Reales'!$H$5:$H$1048576,Estructuracion!$Q10,'Movimientos Reales'!$G$5:$G$1048576,Estructuracion!$Q$1)</f>
        <v>6382500</v>
      </c>
      <c r="T10" s="838">
        <f>-SUMIFS('Movimientos Reales'!$D$5:$D$1048576,'Movimientos Reales'!$E$5:$E$1048576,Estructuracion!T$3,'Movimientos Reales'!$H$5:$H$1048576,Estructuracion!$Q10,'Movimientos Reales'!$G$5:$G$1048576,Estructuracion!$Q$1)</f>
        <v>0</v>
      </c>
      <c r="U10" s="838">
        <f>-SUMIFS('Movimientos Reales'!$D$5:$D$1048576,'Movimientos Reales'!$E$5:$E$1048576,Estructuracion!U$3,'Movimientos Reales'!$H$5:$H$1048576,Estructuracion!$Q10,'Movimientos Reales'!$G$5:$G$1048576,Estructuracion!$Q$1)</f>
        <v>2200000</v>
      </c>
      <c r="V10" s="838">
        <f>-SUMIFS('Movimientos Reales'!$D$5:$D$1048576,'Movimientos Reales'!$E$5:$E$1048576,Estructuracion!V$3,'Movimientos Reales'!$H$5:$H$1048576,Estructuracion!$Q10,'Movimientos Reales'!$G$5:$G$1048576,Estructuracion!$Q$1)</f>
        <v>6050000</v>
      </c>
      <c r="W10" s="838">
        <f>-SUMIFS('Movimientos Reales'!$D$5:$D$1048576,'Movimientos Reales'!$E$5:$E$1048576,Estructuracion!W$3,'Movimientos Reales'!$H$5:$H$1048576,Estructuracion!$Q10,'Movimientos Reales'!$G$5:$G$1048576,Estructuracion!$Q$1)</f>
        <v>71147683</v>
      </c>
      <c r="X10" s="838">
        <f>-SUMIFS('Movimientos Reales'!$D$5:$D$1048576,'Movimientos Reales'!$E$5:$E$1048576,Estructuracion!X$3,'Movimientos Reales'!$H$5:$H$1048576,Estructuracion!$Q10,'Movimientos Reales'!$G$5:$G$1048576,Estructuracion!$Q$1)</f>
        <v>0</v>
      </c>
      <c r="Y10" s="838">
        <f>-SUMIFS('Movimientos Reales'!$D$5:$D$1048576,'Movimientos Reales'!$E$5:$E$1048576,Estructuracion!Y$3,'Movimientos Reales'!$H$5:$H$1048576,Estructuracion!$Q10,'Movimientos Reales'!$G$5:$G$1048576,Estructuracion!$Q$1)</f>
        <v>0</v>
      </c>
      <c r="Z10" s="838">
        <f>-SUMIFS('Movimientos Reales'!$D$5:$D$1048576,'Movimientos Reales'!$E$5:$E$1048576,Estructuracion!Z$3,'Movimientos Reales'!$H$5:$H$1048576,Estructuracion!$Q10,'Movimientos Reales'!$G$5:$G$1048576,Estructuracion!$Q$1)</f>
        <v>0</v>
      </c>
      <c r="AA10" s="838">
        <f>-SUMIFS('Movimientos Reales'!$D$5:$D$1048576,'Movimientos Reales'!$E$5:$E$1048576,Estructuracion!AA$3,'Movimientos Reales'!$H$5:$H$1048576,Estructuracion!$Q10,'Movimientos Reales'!$G$5:$G$1048576,Estructuracion!$Q$1)</f>
        <v>0</v>
      </c>
      <c r="AB10" s="838">
        <f>-SUMIFS('Movimientos Reales'!$D$5:$D$1048576,'Movimientos Reales'!$E$5:$E$1048576,Estructuracion!AB$3,'Movimientos Reales'!$H$5:$H$1048576,Estructuracion!$Q10,'Movimientos Reales'!$G$5:$G$1048576,Estructuracion!$Q$1)</f>
        <v>0</v>
      </c>
      <c r="AC10" s="838">
        <f>-SUMIFS('Movimientos Reales'!$D$5:$D$1048576,'Movimientos Reales'!$E$5:$E$1048576,Estructuracion!AC$3,'Movimientos Reales'!$H$5:$H$1048576,Estructuracion!$Q10,'Movimientos Reales'!$G$5:$G$1048576,Estructuracion!$Q$1)</f>
        <v>0</v>
      </c>
    </row>
    <row r="11" spans="2:29" ht="12.95">
      <c r="B11" s="284" t="s">
        <v>102</v>
      </c>
      <c r="C11" s="2">
        <v>2000000</v>
      </c>
      <c r="D11" s="2">
        <v>2000000</v>
      </c>
      <c r="E11" s="2">
        <v>2000000</v>
      </c>
      <c r="F11" s="2">
        <v>2000000</v>
      </c>
      <c r="G11" s="2">
        <v>2000000</v>
      </c>
      <c r="H11" s="2">
        <v>2000000</v>
      </c>
      <c r="I11" s="2">
        <v>2000000</v>
      </c>
      <c r="J11" s="2">
        <v>2000000</v>
      </c>
      <c r="K11" s="2">
        <f t="shared" si="0"/>
        <v>2000000</v>
      </c>
      <c r="L11" s="2">
        <f t="shared" si="3"/>
        <v>2000000</v>
      </c>
      <c r="M11" s="2">
        <f t="shared" si="4"/>
        <v>2000000</v>
      </c>
      <c r="N11" s="2">
        <f t="shared" si="5"/>
        <v>2000000</v>
      </c>
      <c r="Q11" s="837" t="str">
        <f t="shared" si="2"/>
        <v>Licencia de Construcción</v>
      </c>
      <c r="R11" s="838">
        <f>-SUMIFS('Movimientos Reales'!$D$5:$D$1048576,'Movimientos Reales'!$E$5:$E$1048576,Estructuracion!R$3,'Movimientos Reales'!$H$5:$H$1048576,Estructuracion!$Q11,'Movimientos Reales'!$G$5:$G$1048576,Estructuracion!$Q$1)</f>
        <v>0</v>
      </c>
      <c r="S11" s="838">
        <f>-SUMIFS('Movimientos Reales'!$D$5:$D$1048576,'Movimientos Reales'!$E$5:$E$1048576,Estructuracion!S$3,'Movimientos Reales'!$H$5:$H$1048576,Estructuracion!$Q11,'Movimientos Reales'!$G$5:$G$1048576,Estructuracion!$Q$1)</f>
        <v>0</v>
      </c>
      <c r="T11" s="838">
        <f>-SUMIFS('Movimientos Reales'!$D$5:$D$1048576,'Movimientos Reales'!$E$5:$E$1048576,Estructuracion!T$3,'Movimientos Reales'!$H$5:$H$1048576,Estructuracion!$Q11,'Movimientos Reales'!$G$5:$G$1048576,Estructuracion!$Q$1)</f>
        <v>740000</v>
      </c>
      <c r="U11" s="838">
        <f>-SUMIFS('Movimientos Reales'!$D$5:$D$1048576,'Movimientos Reales'!$E$5:$E$1048576,Estructuracion!U$3,'Movimientos Reales'!$H$5:$H$1048576,Estructuracion!$Q11,'Movimientos Reales'!$G$5:$G$1048576,Estructuracion!$Q$1)</f>
        <v>6545000</v>
      </c>
      <c r="V11" s="838">
        <f>-SUMIFS('Movimientos Reales'!$D$5:$D$1048576,'Movimientos Reales'!$E$5:$E$1048576,Estructuracion!V$3,'Movimientos Reales'!$H$5:$H$1048576,Estructuracion!$Q11,'Movimientos Reales'!$G$5:$G$1048576,Estructuracion!$Q$1)</f>
        <v>0</v>
      </c>
      <c r="W11" s="838">
        <f>-SUMIFS('Movimientos Reales'!$D$5:$D$1048576,'Movimientos Reales'!$E$5:$E$1048576,Estructuracion!W$3,'Movimientos Reales'!$H$5:$H$1048576,Estructuracion!$Q11,'Movimientos Reales'!$G$5:$G$1048576,Estructuracion!$Q$1)</f>
        <v>0</v>
      </c>
      <c r="X11" s="838">
        <f>-SUMIFS('Movimientos Reales'!$D$5:$D$1048576,'Movimientos Reales'!$E$5:$E$1048576,Estructuracion!X$3,'Movimientos Reales'!$H$5:$H$1048576,Estructuracion!$Q11,'Movimientos Reales'!$G$5:$G$1048576,Estructuracion!$Q$1)</f>
        <v>0</v>
      </c>
      <c r="Y11" s="838">
        <f>-SUMIFS('Movimientos Reales'!$D$5:$D$1048576,'Movimientos Reales'!$E$5:$E$1048576,Estructuracion!Y$3,'Movimientos Reales'!$H$5:$H$1048576,Estructuracion!$Q11,'Movimientos Reales'!$G$5:$G$1048576,Estructuracion!$Q$1)</f>
        <v>0</v>
      </c>
      <c r="Z11" s="838">
        <f>-SUMIFS('Movimientos Reales'!$D$5:$D$1048576,'Movimientos Reales'!$E$5:$E$1048576,Estructuracion!Z$3,'Movimientos Reales'!$H$5:$H$1048576,Estructuracion!$Q11,'Movimientos Reales'!$G$5:$G$1048576,Estructuracion!$Q$1)</f>
        <v>0</v>
      </c>
      <c r="AA11" s="838">
        <f>-SUMIFS('Movimientos Reales'!$D$5:$D$1048576,'Movimientos Reales'!$E$5:$E$1048576,Estructuracion!AA$3,'Movimientos Reales'!$H$5:$H$1048576,Estructuracion!$Q11,'Movimientos Reales'!$G$5:$G$1048576,Estructuracion!$Q$1)</f>
        <v>0</v>
      </c>
      <c r="AB11" s="838">
        <f>-SUMIFS('Movimientos Reales'!$D$5:$D$1048576,'Movimientos Reales'!$E$5:$E$1048576,Estructuracion!AB$3,'Movimientos Reales'!$H$5:$H$1048576,Estructuracion!$Q11,'Movimientos Reales'!$G$5:$G$1048576,Estructuracion!$Q$1)</f>
        <v>0</v>
      </c>
      <c r="AC11" s="838">
        <f>-SUMIFS('Movimientos Reales'!$D$5:$D$1048576,'Movimientos Reales'!$E$5:$E$1048576,Estructuracion!AC$3,'Movimientos Reales'!$H$5:$H$1048576,Estructuracion!$Q11,'Movimientos Reales'!$G$5:$G$1048576,Estructuracion!$Q$1)</f>
        <v>0</v>
      </c>
    </row>
    <row r="12" spans="2:29" ht="12.95">
      <c r="B12" s="284" t="s">
        <v>103</v>
      </c>
      <c r="C12" s="2">
        <v>7000000</v>
      </c>
      <c r="D12" s="2">
        <v>7000000</v>
      </c>
      <c r="E12" s="2">
        <v>7000000</v>
      </c>
      <c r="F12" s="2">
        <v>7000000</v>
      </c>
      <c r="G12" s="2">
        <v>7000000</v>
      </c>
      <c r="H12" s="2">
        <v>7000000</v>
      </c>
      <c r="I12" s="2">
        <v>7000000</v>
      </c>
      <c r="J12" s="2">
        <v>7000000</v>
      </c>
      <c r="K12" s="2">
        <f t="shared" si="0"/>
        <v>7000000</v>
      </c>
      <c r="L12" s="2">
        <f t="shared" si="3"/>
        <v>7000000</v>
      </c>
      <c r="M12" s="2">
        <f t="shared" si="4"/>
        <v>7000000</v>
      </c>
      <c r="N12" s="2">
        <f t="shared" si="5"/>
        <v>7000000</v>
      </c>
      <c r="Q12" s="837" t="str">
        <f t="shared" si="2"/>
        <v>Básico Brokers</v>
      </c>
      <c r="R12" s="838">
        <f>-SUMIFS('Movimientos Reales'!$D$5:$D$1048576,'Movimientos Reales'!$E$5:$E$1048576,Estructuracion!R$3,'Movimientos Reales'!$H$5:$H$1048576,Estructuracion!$Q12,'Movimientos Reales'!$G$5:$G$1048576,Estructuracion!$Q$1)</f>
        <v>500000</v>
      </c>
      <c r="S12" s="838">
        <f>-SUMIFS('Movimientos Reales'!$D$5:$D$1048576,'Movimientos Reales'!$E$5:$E$1048576,Estructuracion!S$3,'Movimientos Reales'!$H$5:$H$1048576,Estructuracion!$Q12,'Movimientos Reales'!$G$5:$G$1048576,Estructuracion!$Q$1)</f>
        <v>0</v>
      </c>
      <c r="T12" s="838">
        <f>-SUMIFS('Movimientos Reales'!$D$5:$D$1048576,'Movimientos Reales'!$E$5:$E$1048576,Estructuracion!T$3,'Movimientos Reales'!$H$5:$H$1048576,Estructuracion!$Q12,'Movimientos Reales'!$G$5:$G$1048576,Estructuracion!$Q$1)</f>
        <v>1600000</v>
      </c>
      <c r="U12" s="838">
        <f>-SUMIFS('Movimientos Reales'!$D$5:$D$1048576,'Movimientos Reales'!$E$5:$E$1048576,Estructuracion!U$3,'Movimientos Reales'!$H$5:$H$1048576,Estructuracion!$Q12,'Movimientos Reales'!$G$5:$G$1048576,Estructuracion!$Q$1)</f>
        <v>24780000</v>
      </c>
      <c r="V12" s="838">
        <f>-SUMIFS('Movimientos Reales'!$D$5:$D$1048576,'Movimientos Reales'!$E$5:$E$1048576,Estructuracion!V$3,'Movimientos Reales'!$H$5:$H$1048576,Estructuracion!$Q12,'Movimientos Reales'!$G$5:$G$1048576,Estructuracion!$Q$1)</f>
        <v>2400000</v>
      </c>
      <c r="W12" s="838">
        <f>-SUMIFS('Movimientos Reales'!$D$5:$D$1048576,'Movimientos Reales'!$E$5:$E$1048576,Estructuracion!W$3,'Movimientos Reales'!$H$5:$H$1048576,Estructuracion!$Q12,'Movimientos Reales'!$G$5:$G$1048576,Estructuracion!$Q$1)</f>
        <v>2400000</v>
      </c>
      <c r="X12" s="838">
        <f>-SUMIFS('Movimientos Reales'!$D$5:$D$1048576,'Movimientos Reales'!$E$5:$E$1048576,Estructuracion!X$3,'Movimientos Reales'!$H$5:$H$1048576,Estructuracion!$Q12,'Movimientos Reales'!$G$5:$G$1048576,Estructuracion!$Q$1)</f>
        <v>4000000</v>
      </c>
      <c r="Y12" s="838">
        <f>-SUMIFS('Movimientos Reales'!$D$5:$D$1048576,'Movimientos Reales'!$E$5:$E$1048576,Estructuracion!Y$3,'Movimientos Reales'!$H$5:$H$1048576,Estructuracion!$Q12,'Movimientos Reales'!$G$5:$G$1048576,Estructuracion!$Q$1)</f>
        <v>0</v>
      </c>
      <c r="Z12" s="838">
        <f>-SUMIFS('Movimientos Reales'!$D$5:$D$1048576,'Movimientos Reales'!$E$5:$E$1048576,Estructuracion!Z$3,'Movimientos Reales'!$H$5:$H$1048576,Estructuracion!$Q12,'Movimientos Reales'!$G$5:$G$1048576,Estructuracion!$Q$1)</f>
        <v>0</v>
      </c>
      <c r="AA12" s="838">
        <f>-SUMIFS('Movimientos Reales'!$D$5:$D$1048576,'Movimientos Reales'!$E$5:$E$1048576,Estructuracion!AA$3,'Movimientos Reales'!$H$5:$H$1048576,Estructuracion!$Q12,'Movimientos Reales'!$G$5:$G$1048576,Estructuracion!$Q$1)</f>
        <v>0</v>
      </c>
      <c r="AB12" s="838">
        <f>-SUMIFS('Movimientos Reales'!$D$5:$D$1048576,'Movimientos Reales'!$E$5:$E$1048576,Estructuracion!AB$3,'Movimientos Reales'!$H$5:$H$1048576,Estructuracion!$Q12,'Movimientos Reales'!$G$5:$G$1048576,Estructuracion!$Q$1)</f>
        <v>0</v>
      </c>
      <c r="AC12" s="838">
        <f>-SUMIFS('Movimientos Reales'!$D$5:$D$1048576,'Movimientos Reales'!$E$5:$E$1048576,Estructuracion!AC$3,'Movimientos Reales'!$H$5:$H$1048576,Estructuracion!$Q12,'Movimientos Reales'!$G$5:$G$1048576,Estructuracion!$Q$1)</f>
        <v>0</v>
      </c>
    </row>
    <row r="13" spans="2:29" ht="12.95">
      <c r="B13" s="284" t="s">
        <v>104</v>
      </c>
      <c r="C13" s="2">
        <v>3000000</v>
      </c>
      <c r="D13" s="2">
        <v>3000000</v>
      </c>
      <c r="E13" s="2">
        <v>3000000</v>
      </c>
      <c r="F13" s="2">
        <v>3000000</v>
      </c>
      <c r="G13" s="2">
        <v>3000000</v>
      </c>
      <c r="H13" s="2">
        <v>3000000</v>
      </c>
      <c r="I13" s="2">
        <v>3000000</v>
      </c>
      <c r="J13" s="2">
        <v>3000000</v>
      </c>
      <c r="K13" s="2">
        <f t="shared" si="0"/>
        <v>3000000</v>
      </c>
      <c r="L13" s="2">
        <f t="shared" si="3"/>
        <v>3000000</v>
      </c>
      <c r="M13" s="2">
        <f t="shared" si="4"/>
        <v>3000000</v>
      </c>
      <c r="N13" s="2">
        <f t="shared" si="5"/>
        <v>3000000</v>
      </c>
      <c r="Q13" s="837" t="str">
        <f t="shared" si="2"/>
        <v>Comisión Tierras</v>
      </c>
      <c r="R13" s="838">
        <f>-SUMIFS('Movimientos Reales'!$D$5:$D$1048576,'Movimientos Reales'!$E$5:$E$1048576,Estructuracion!R$3,'Movimientos Reales'!$H$5:$H$1048576,Estructuracion!$Q13,'Movimientos Reales'!$G$5:$G$1048576,Estructuracion!$Q$1)</f>
        <v>0</v>
      </c>
      <c r="S13" s="838">
        <f>-SUMIFS('Movimientos Reales'!$D$5:$D$1048576,'Movimientos Reales'!$E$5:$E$1048576,Estructuracion!S$3,'Movimientos Reales'!$H$5:$H$1048576,Estructuracion!$Q13,'Movimientos Reales'!$G$5:$G$1048576,Estructuracion!$Q$1)</f>
        <v>0</v>
      </c>
      <c r="T13" s="838">
        <f>-SUMIFS('Movimientos Reales'!$D$5:$D$1048576,'Movimientos Reales'!$E$5:$E$1048576,Estructuracion!T$3,'Movimientos Reales'!$H$5:$H$1048576,Estructuracion!$Q13,'Movimientos Reales'!$G$5:$G$1048576,Estructuracion!$Q$1)</f>
        <v>0</v>
      </c>
      <c r="U13" s="838">
        <f>-SUMIFS('Movimientos Reales'!$D$5:$D$1048576,'Movimientos Reales'!$E$5:$E$1048576,Estructuracion!U$3,'Movimientos Reales'!$H$5:$H$1048576,Estructuracion!$Q13,'Movimientos Reales'!$G$5:$G$1048576,Estructuracion!$Q$1)</f>
        <v>0</v>
      </c>
      <c r="V13" s="838">
        <f>-SUMIFS('Movimientos Reales'!$D$5:$D$1048576,'Movimientos Reales'!$E$5:$E$1048576,Estructuracion!V$3,'Movimientos Reales'!$H$5:$H$1048576,Estructuracion!$Q13,'Movimientos Reales'!$G$5:$G$1048576,Estructuracion!$Q$1)</f>
        <v>0</v>
      </c>
      <c r="W13" s="838">
        <f>-SUMIFS('Movimientos Reales'!$D$5:$D$1048576,'Movimientos Reales'!$E$5:$E$1048576,Estructuracion!W$3,'Movimientos Reales'!$H$5:$H$1048576,Estructuracion!$Q13,'Movimientos Reales'!$G$5:$G$1048576,Estructuracion!$Q$1)</f>
        <v>0</v>
      </c>
      <c r="X13" s="838">
        <f>-SUMIFS('Movimientos Reales'!$D$5:$D$1048576,'Movimientos Reales'!$E$5:$E$1048576,Estructuracion!X$3,'Movimientos Reales'!$H$5:$H$1048576,Estructuracion!$Q13,'Movimientos Reales'!$G$5:$G$1048576,Estructuracion!$Q$1)</f>
        <v>17977528</v>
      </c>
      <c r="Y13" s="838">
        <f>-SUMIFS('Movimientos Reales'!$D$5:$D$1048576,'Movimientos Reales'!$E$5:$E$1048576,Estructuracion!Y$3,'Movimientos Reales'!$H$5:$H$1048576,Estructuracion!$Q13,'Movimientos Reales'!$G$5:$G$1048576,Estructuracion!$Q$1)</f>
        <v>0</v>
      </c>
      <c r="Z13" s="838">
        <f>-SUMIFS('Movimientos Reales'!$D$5:$D$1048576,'Movimientos Reales'!$E$5:$E$1048576,Estructuracion!Z$3,'Movimientos Reales'!$H$5:$H$1048576,Estructuracion!$Q13,'Movimientos Reales'!$G$5:$G$1048576,Estructuracion!$Q$1)</f>
        <v>0</v>
      </c>
      <c r="AA13" s="838">
        <f>-SUMIFS('Movimientos Reales'!$D$5:$D$1048576,'Movimientos Reales'!$E$5:$E$1048576,Estructuracion!AA$3,'Movimientos Reales'!$H$5:$H$1048576,Estructuracion!$Q13,'Movimientos Reales'!$G$5:$G$1048576,Estructuracion!$Q$1)</f>
        <v>0</v>
      </c>
      <c r="AB13" s="838">
        <f>-SUMIFS('Movimientos Reales'!$D$5:$D$1048576,'Movimientos Reales'!$E$5:$E$1048576,Estructuracion!AB$3,'Movimientos Reales'!$H$5:$H$1048576,Estructuracion!$Q13,'Movimientos Reales'!$G$5:$G$1048576,Estructuracion!$Q$1)</f>
        <v>0</v>
      </c>
      <c r="AC13" s="838">
        <f>-SUMIFS('Movimientos Reales'!$D$5:$D$1048576,'Movimientos Reales'!$E$5:$E$1048576,Estructuracion!AC$3,'Movimientos Reales'!$H$5:$H$1048576,Estructuracion!$Q13,'Movimientos Reales'!$G$5:$G$1048576,Estructuracion!$Q$1)</f>
        <v>0</v>
      </c>
    </row>
    <row r="14" spans="2:29" ht="12.95">
      <c r="B14" s="284" t="s">
        <v>105</v>
      </c>
      <c r="C14" s="102">
        <v>0</v>
      </c>
      <c r="D14" s="2">
        <v>0</v>
      </c>
      <c r="E14" s="2">
        <v>0</v>
      </c>
      <c r="F14" s="2"/>
      <c r="G14" s="2"/>
      <c r="H14" s="2"/>
      <c r="I14" s="2"/>
      <c r="J14" s="2"/>
      <c r="K14" s="2"/>
      <c r="L14" s="2"/>
      <c r="M14" s="2"/>
      <c r="N14" s="2"/>
      <c r="Q14" s="837" t="str">
        <f t="shared" si="2"/>
        <v xml:space="preserve">Agro voltai </v>
      </c>
      <c r="R14" s="838">
        <f>-SUMIFS('Movimientos Reales'!$D$5:$D$1048576,'Movimientos Reales'!$E$5:$E$1048576,Estructuracion!R$3,'Movimientos Reales'!$H$5:$H$1048576,Estructuracion!$Q14,'Movimientos Reales'!$G$5:$G$1048576,Estructuracion!$Q$1)</f>
        <v>0</v>
      </c>
      <c r="S14" s="838">
        <f>-SUMIFS('Movimientos Reales'!$D$5:$D$1048576,'Movimientos Reales'!$E$5:$E$1048576,Estructuracion!S$3,'Movimientos Reales'!$H$5:$H$1048576,Estructuracion!$Q14,'Movimientos Reales'!$G$5:$G$1048576,Estructuracion!$Q$1)</f>
        <v>676826</v>
      </c>
      <c r="T14" s="838">
        <f>-SUMIFS('Movimientos Reales'!$D$5:$D$1048576,'Movimientos Reales'!$E$5:$E$1048576,Estructuracion!T$3,'Movimientos Reales'!$H$5:$H$1048576,Estructuracion!$Q14,'Movimientos Reales'!$G$5:$G$1048576,Estructuracion!$Q$1)</f>
        <v>4323950</v>
      </c>
      <c r="U14" s="838">
        <f>-SUMIFS('Movimientos Reales'!$D$5:$D$1048576,'Movimientos Reales'!$E$5:$E$1048576,Estructuracion!U$3,'Movimientos Reales'!$H$5:$H$1048576,Estructuracion!$Q14,'Movimientos Reales'!$G$5:$G$1048576,Estructuracion!$Q$1)</f>
        <v>1711525</v>
      </c>
      <c r="V14" s="838">
        <f>-SUMIFS('Movimientos Reales'!$D$5:$D$1048576,'Movimientos Reales'!$E$5:$E$1048576,Estructuracion!V$3,'Movimientos Reales'!$H$5:$H$1048576,Estructuracion!$Q14,'Movimientos Reales'!$G$5:$G$1048576,Estructuracion!$Q$1)</f>
        <v>2813400</v>
      </c>
      <c r="W14" s="838">
        <f>-SUMIFS('Movimientos Reales'!$D$5:$D$1048576,'Movimientos Reales'!$E$5:$E$1048576,Estructuracion!W$3,'Movimientos Reales'!$H$5:$H$1048576,Estructuracion!$Q14,'Movimientos Reales'!$G$5:$G$1048576,Estructuracion!$Q$1)</f>
        <v>1423500</v>
      </c>
      <c r="X14" s="838">
        <f>-SUMIFS('Movimientos Reales'!$D$5:$D$1048576,'Movimientos Reales'!$E$5:$E$1048576,Estructuracion!X$3,'Movimientos Reales'!$H$5:$H$1048576,Estructuracion!$Q14,'Movimientos Reales'!$G$5:$G$1048576,Estructuracion!$Q$1)</f>
        <v>481151</v>
      </c>
      <c r="Y14" s="838"/>
      <c r="Z14" s="838"/>
      <c r="AA14" s="838"/>
      <c r="AB14" s="838"/>
      <c r="AC14" s="838"/>
    </row>
    <row r="15" spans="2:29" ht="12.95">
      <c r="B15" s="98" t="s">
        <v>106</v>
      </c>
      <c r="C15" s="2">
        <v>25000000</v>
      </c>
      <c r="D15" s="2">
        <v>25000000</v>
      </c>
      <c r="E15" s="2">
        <v>25000000</v>
      </c>
      <c r="F15" s="2">
        <v>25000000</v>
      </c>
      <c r="G15" s="2">
        <v>25000000</v>
      </c>
      <c r="H15" s="2">
        <v>25000000</v>
      </c>
      <c r="I15" s="2">
        <v>25000000</v>
      </c>
      <c r="J15" s="2">
        <v>25000000</v>
      </c>
      <c r="K15" s="2">
        <f>+J15</f>
        <v>25000000</v>
      </c>
      <c r="L15" s="2">
        <f>+K15</f>
        <v>25000000</v>
      </c>
      <c r="M15" s="2">
        <f>+L15</f>
        <v>25000000</v>
      </c>
      <c r="N15" s="2">
        <f>+M15+12000000</f>
        <v>37000000</v>
      </c>
      <c r="Q15" s="837" t="str">
        <f t="shared" si="2"/>
        <v>SALARIOS</v>
      </c>
      <c r="R15" s="838">
        <f>-SUMIFS('Movimientos Reales'!$D$5:$D$1048576,'Movimientos Reales'!$E$5:$E$1048576,Estructuracion!R$3,'Movimientos Reales'!$H$5:$H$1048576,Estructuracion!$Q15,'Movimientos Reales'!$G$5:$G$1048576,Estructuracion!$Q$1)</f>
        <v>17255313</v>
      </c>
      <c r="S15" s="838">
        <f>-SUMIFS('Movimientos Reales'!$D$5:$D$1048576,'Movimientos Reales'!$E$5:$E$1048576,Estructuracion!S$3,'Movimientos Reales'!$H$5:$H$1048576,Estructuracion!$Q15,'Movimientos Reales'!$G$5:$G$1048576,Estructuracion!$Q$1)</f>
        <v>25643088.888888888</v>
      </c>
      <c r="T15" s="838">
        <f>-SUMIFS('Movimientos Reales'!$D$5:$D$1048576,'Movimientos Reales'!$E$5:$E$1048576,Estructuracion!T$3,'Movimientos Reales'!$H$5:$H$1048576,Estructuracion!$Q15,'Movimientos Reales'!$G$5:$G$1048576,Estructuracion!$Q$1)</f>
        <v>20328800</v>
      </c>
      <c r="U15" s="838">
        <f>-SUMIFS('Movimientos Reales'!$D$5:$D$1048576,'Movimientos Reales'!$E$5:$E$1048576,Estructuracion!U$3,'Movimientos Reales'!$H$5:$H$1048576,Estructuracion!$Q15,'Movimientos Reales'!$G$5:$G$1048576,Estructuracion!$Q$1)</f>
        <v>21954400</v>
      </c>
      <c r="V15" s="838">
        <f>-SUMIFS('Movimientos Reales'!$D$5:$D$1048576,'Movimientos Reales'!$E$5:$E$1048576,Estructuracion!V$3,'Movimientos Reales'!$H$5:$H$1048576,Estructuracion!$Q15,'Movimientos Reales'!$G$5:$G$1048576,Estructuracion!$Q$1)</f>
        <v>30849800</v>
      </c>
      <c r="W15" s="838">
        <f>-SUMIFS('Movimientos Reales'!$D$5:$D$1048576,'Movimientos Reales'!$E$5:$E$1048576,Estructuracion!W$3,'Movimientos Reales'!$H$5:$H$1048576,Estructuracion!$Q15,'Movimientos Reales'!$G$5:$G$1048576,Estructuracion!$Q$1)</f>
        <v>43984477.777777776</v>
      </c>
      <c r="X15" s="838">
        <f>-SUMIFS('Movimientos Reales'!$D$5:$D$1048576,'Movimientos Reales'!$E$5:$E$1048576,Estructuracion!X$3,'Movimientos Reales'!$H$5:$H$1048576,Estructuracion!$Q15,'Movimientos Reales'!$G$5:$G$1048576,Estructuracion!$Q$1)</f>
        <v>1717796</v>
      </c>
      <c r="Y15" s="838">
        <f>-SUMIFS('Movimientos Reales'!$D$5:$D$1048576,'Movimientos Reales'!$E$5:$E$1048576,Estructuracion!Y$3,'Movimientos Reales'!$H$5:$H$1048576,Estructuracion!$Q15,'Movimientos Reales'!$G$5:$G$1048576,Estructuracion!$Q$1)</f>
        <v>0</v>
      </c>
      <c r="Z15" s="838">
        <f>-SUMIFS('Movimientos Reales'!$D$5:$D$1048576,'Movimientos Reales'!$E$5:$E$1048576,Estructuracion!Z$3,'Movimientos Reales'!$H$5:$H$1048576,Estructuracion!$Q15,'Movimientos Reales'!$G$5:$G$1048576,Estructuracion!$Q$1)</f>
        <v>0</v>
      </c>
      <c r="AA15" s="838">
        <f>-SUMIFS('Movimientos Reales'!$D$5:$D$1048576,'Movimientos Reales'!$E$5:$E$1048576,Estructuracion!AA$3,'Movimientos Reales'!$H$5:$H$1048576,Estructuracion!$Q15,'Movimientos Reales'!$G$5:$G$1048576,Estructuracion!$Q$1)</f>
        <v>0</v>
      </c>
      <c r="AB15" s="838">
        <f>-SUMIFS('Movimientos Reales'!$D$5:$D$1048576,'Movimientos Reales'!$E$5:$E$1048576,Estructuracion!AB$3,'Movimientos Reales'!$H$5:$H$1048576,Estructuracion!$Q15,'Movimientos Reales'!$G$5:$G$1048576,Estructuracion!$Q$1)</f>
        <v>0</v>
      </c>
      <c r="AC15" s="838">
        <f>-SUMIFS('Movimientos Reales'!$D$5:$D$1048576,'Movimientos Reales'!$E$5:$E$1048576,Estructuracion!AC$3,'Movimientos Reales'!$H$5:$H$1048576,Estructuracion!$Q15,'Movimientos Reales'!$G$5:$G$1048576,Estructuracion!$Q$1)</f>
        <v>0</v>
      </c>
    </row>
    <row r="16" spans="2:29">
      <c r="Q16" s="834"/>
      <c r="R16" s="834"/>
      <c r="S16" s="834"/>
      <c r="T16" s="834"/>
      <c r="U16" s="834"/>
      <c r="V16" s="834"/>
      <c r="W16" s="834"/>
      <c r="X16" s="834"/>
      <c r="Y16" s="834"/>
      <c r="Z16" s="834"/>
      <c r="AA16" s="834"/>
      <c r="AB16" s="834"/>
      <c r="AC16" s="834"/>
    </row>
    <row r="17" spans="2:30" ht="12.95" hidden="1">
      <c r="B17" s="284" t="s">
        <v>11</v>
      </c>
      <c r="C17" s="99">
        <f t="shared" ref="C17:N17" si="6">+SUM(C4:C13)</f>
        <v>42200000</v>
      </c>
      <c r="D17" s="99">
        <f t="shared" si="6"/>
        <v>42200000</v>
      </c>
      <c r="E17" s="99">
        <f t="shared" si="6"/>
        <v>42200000</v>
      </c>
      <c r="F17" s="99">
        <f t="shared" si="6"/>
        <v>42200000</v>
      </c>
      <c r="G17" s="99">
        <f t="shared" si="6"/>
        <v>42200000</v>
      </c>
      <c r="H17" s="99">
        <f t="shared" si="6"/>
        <v>42200000</v>
      </c>
      <c r="I17" s="99">
        <f t="shared" si="6"/>
        <v>42200000</v>
      </c>
      <c r="J17" s="99">
        <f t="shared" si="6"/>
        <v>42200000</v>
      </c>
      <c r="K17" s="99">
        <f t="shared" si="6"/>
        <v>42200000</v>
      </c>
      <c r="L17" s="99">
        <f t="shared" si="6"/>
        <v>42200000</v>
      </c>
      <c r="M17" s="99">
        <f t="shared" si="6"/>
        <v>42200000</v>
      </c>
      <c r="N17" s="99">
        <f t="shared" si="6"/>
        <v>42200000</v>
      </c>
      <c r="Q17" s="837" t="s">
        <v>11</v>
      </c>
      <c r="R17" s="839">
        <f t="shared" ref="R17:AC17" si="7">+SUM(R4:R13)</f>
        <v>26798780</v>
      </c>
      <c r="S17" s="839">
        <f t="shared" si="7"/>
        <v>13349386</v>
      </c>
      <c r="T17" s="839">
        <f t="shared" si="7"/>
        <v>95479119</v>
      </c>
      <c r="U17" s="839">
        <f t="shared" si="7"/>
        <v>58784431</v>
      </c>
      <c r="V17" s="839">
        <f t="shared" si="7"/>
        <v>47591654</v>
      </c>
      <c r="W17" s="839">
        <f t="shared" si="7"/>
        <v>166184197</v>
      </c>
      <c r="X17" s="839">
        <f t="shared" si="7"/>
        <v>84346943</v>
      </c>
      <c r="Y17" s="839">
        <f t="shared" si="7"/>
        <v>0</v>
      </c>
      <c r="Z17" s="839">
        <f t="shared" si="7"/>
        <v>0</v>
      </c>
      <c r="AA17" s="839">
        <f t="shared" si="7"/>
        <v>0</v>
      </c>
      <c r="AB17" s="839">
        <f t="shared" si="7"/>
        <v>0</v>
      </c>
      <c r="AC17" s="839">
        <f t="shared" si="7"/>
        <v>0</v>
      </c>
    </row>
    <row r="18" spans="2:30" ht="12.95">
      <c r="B18" s="284" t="s">
        <v>11</v>
      </c>
      <c r="C18" s="99">
        <f t="shared" ref="C18:N18" si="8">+SUM(C4:C15)</f>
        <v>67200000</v>
      </c>
      <c r="D18" s="99">
        <f t="shared" si="8"/>
        <v>67200000</v>
      </c>
      <c r="E18" s="99">
        <f>+SUM(E4:E15)</f>
        <v>67200000</v>
      </c>
      <c r="F18" s="99">
        <f t="shared" si="8"/>
        <v>67200000</v>
      </c>
      <c r="G18" s="99">
        <f t="shared" si="8"/>
        <v>67200000</v>
      </c>
      <c r="H18" s="99">
        <f t="shared" si="8"/>
        <v>67200000</v>
      </c>
      <c r="I18" s="99">
        <f t="shared" si="8"/>
        <v>67200000</v>
      </c>
      <c r="J18" s="99">
        <f t="shared" si="8"/>
        <v>67200000</v>
      </c>
      <c r="K18" s="99">
        <f t="shared" si="8"/>
        <v>67200000</v>
      </c>
      <c r="L18" s="99">
        <f t="shared" si="8"/>
        <v>67200000</v>
      </c>
      <c r="M18" s="99">
        <f t="shared" si="8"/>
        <v>67200000</v>
      </c>
      <c r="N18" s="99">
        <f t="shared" si="8"/>
        <v>79200000</v>
      </c>
      <c r="Q18" s="837" t="s">
        <v>11</v>
      </c>
      <c r="R18" s="839">
        <f t="shared" ref="R18:Y18" si="9">+SUM(R4:R15)</f>
        <v>44054093</v>
      </c>
      <c r="S18" s="839">
        <f t="shared" si="9"/>
        <v>39669300.888888888</v>
      </c>
      <c r="T18" s="839">
        <f t="shared" si="9"/>
        <v>120131869</v>
      </c>
      <c r="U18" s="839">
        <f t="shared" si="9"/>
        <v>82450356</v>
      </c>
      <c r="V18" s="839">
        <f t="shared" si="9"/>
        <v>81254854</v>
      </c>
      <c r="W18" s="839">
        <f t="shared" si="9"/>
        <v>211592174.77777779</v>
      </c>
      <c r="X18" s="839">
        <f t="shared" si="9"/>
        <v>86545890</v>
      </c>
      <c r="Y18" s="839">
        <f t="shared" si="9"/>
        <v>0</v>
      </c>
      <c r="Z18" s="839">
        <f>+SUM(Z4:Z15)</f>
        <v>0</v>
      </c>
      <c r="AA18" s="839">
        <f>+SUM(AA4:AA15)</f>
        <v>0</v>
      </c>
      <c r="AB18" s="839">
        <f>+SUM(AB4:AB15)</f>
        <v>0</v>
      </c>
      <c r="AC18" s="839">
        <f>+SUM(AC4:AC15)</f>
        <v>0</v>
      </c>
      <c r="AD18" s="2"/>
    </row>
    <row r="19" spans="2:30" ht="12.95">
      <c r="B19" s="285"/>
      <c r="C19" s="97"/>
      <c r="D19" s="97"/>
      <c r="E19" s="97"/>
      <c r="F19" s="97"/>
      <c r="G19" s="97"/>
      <c r="H19" s="97"/>
      <c r="I19" s="97"/>
      <c r="J19" s="97"/>
      <c r="K19" s="97"/>
      <c r="L19" s="97"/>
      <c r="M19" s="97"/>
      <c r="N19" s="97"/>
      <c r="Q19" s="285" t="s">
        <v>107</v>
      </c>
      <c r="R19" s="97"/>
      <c r="S19" s="97"/>
      <c r="T19" s="97"/>
      <c r="U19" s="97"/>
      <c r="V19" s="97"/>
      <c r="W19" s="97"/>
      <c r="X19" s="97"/>
      <c r="Y19" s="97"/>
      <c r="Z19" s="97"/>
      <c r="AA19" s="97"/>
      <c r="AB19" s="97"/>
      <c r="AC19" s="97"/>
    </row>
    <row r="20" spans="2:30">
      <c r="X20" s="2"/>
      <c r="Y20" s="2"/>
      <c r="Z20" s="2">
        <f t="shared" ref="Z20:AA20" si="10">+Z18</f>
        <v>0</v>
      </c>
      <c r="AA20" s="2">
        <f t="shared" si="10"/>
        <v>0</v>
      </c>
      <c r="AB20" s="2">
        <f>+AB18-80000000</f>
        <v>-80000000</v>
      </c>
      <c r="AC20" s="2">
        <f>+AC18</f>
        <v>0</v>
      </c>
    </row>
    <row r="21" spans="2:30">
      <c r="D21" s="2"/>
      <c r="R21" s="2">
        <f>+R18+S18+T18+U18</f>
        <v>286305618.8888889</v>
      </c>
    </row>
    <row r="22" spans="2:30">
      <c r="AA22" s="2">
        <f>+AVERAGE(X20:AC20)</f>
        <v>-20000000</v>
      </c>
    </row>
    <row r="26" spans="2:30" ht="13.5" thickBot="1">
      <c r="Q26" s="931"/>
      <c r="R26" s="931"/>
      <c r="S26" s="931"/>
      <c r="T26" s="931"/>
      <c r="U26" s="931"/>
      <c r="V26" s="931"/>
      <c r="W26" s="931"/>
      <c r="X26" s="931"/>
      <c r="Y26" s="931"/>
      <c r="Z26" s="931"/>
      <c r="AA26" s="931"/>
      <c r="AB26" s="931"/>
      <c r="AC26" s="931"/>
    </row>
    <row r="27" spans="2:30" ht="12.95">
      <c r="B27" s="872"/>
      <c r="C27" s="873">
        <v>45658</v>
      </c>
      <c r="D27" s="873">
        <v>45689</v>
      </c>
      <c r="E27" s="873">
        <v>45717</v>
      </c>
      <c r="F27" s="873">
        <v>45748</v>
      </c>
      <c r="G27" s="873">
        <v>45778</v>
      </c>
      <c r="H27" s="873">
        <v>45809</v>
      </c>
      <c r="I27" s="874">
        <v>45839</v>
      </c>
      <c r="J27" s="786">
        <v>45870</v>
      </c>
      <c r="K27" s="286">
        <v>45901</v>
      </c>
      <c r="L27" s="286">
        <v>45931</v>
      </c>
      <c r="M27" s="286">
        <v>45962</v>
      </c>
      <c r="N27" s="286">
        <v>45992</v>
      </c>
      <c r="P27" s="98"/>
      <c r="R27" s="286"/>
      <c r="S27" s="286"/>
      <c r="T27" s="286"/>
      <c r="U27" s="286"/>
      <c r="V27" s="286"/>
      <c r="W27" s="286"/>
      <c r="X27" s="286"/>
      <c r="Y27" s="286"/>
      <c r="Z27" s="286"/>
      <c r="AA27" s="286"/>
      <c r="AB27" s="286"/>
      <c r="AC27" s="286"/>
    </row>
    <row r="28" spans="2:30" ht="12.95">
      <c r="B28" s="875" t="s">
        <v>95</v>
      </c>
      <c r="C28" s="131">
        <f t="shared" ref="C28:N28" si="11">+IFERROR(R4/C4,0)</f>
        <v>2.7598750000000001</v>
      </c>
      <c r="D28" s="131">
        <f>+IFERROR(S4/D4,0)</f>
        <v>0</v>
      </c>
      <c r="E28" s="131">
        <f>+IFERROR(T4/E4,0)</f>
        <v>14.817500000000001</v>
      </c>
      <c r="F28" s="131">
        <f t="shared" si="11"/>
        <v>0</v>
      </c>
      <c r="G28" s="131">
        <f t="shared" ref="G28:G37" si="12">+IFERROR(V4/G4,0)</f>
        <v>0</v>
      </c>
      <c r="H28" s="131">
        <f t="shared" ref="H28:H37" si="13">+IFERROR(W4/H4,0)</f>
        <v>45.947841250000003</v>
      </c>
      <c r="I28" s="876">
        <f t="shared" si="11"/>
        <v>0</v>
      </c>
      <c r="J28" s="50">
        <f t="shared" si="11"/>
        <v>0</v>
      </c>
      <c r="K28" s="50">
        <f t="shared" si="11"/>
        <v>0</v>
      </c>
      <c r="L28" s="50">
        <f t="shared" si="11"/>
        <v>0</v>
      </c>
      <c r="M28" s="50">
        <f t="shared" si="11"/>
        <v>0</v>
      </c>
      <c r="N28" s="50">
        <f t="shared" si="11"/>
        <v>0</v>
      </c>
      <c r="P28" s="91"/>
      <c r="Q28" s="98"/>
      <c r="R28" s="2"/>
      <c r="S28" s="2"/>
      <c r="T28" s="2"/>
      <c r="U28" s="2"/>
      <c r="V28" s="2"/>
      <c r="W28" s="2"/>
      <c r="X28" s="2"/>
      <c r="Y28" s="2"/>
      <c r="Z28" s="2"/>
      <c r="AA28" s="2"/>
      <c r="AB28" s="2"/>
      <c r="AC28" s="2"/>
    </row>
    <row r="29" spans="2:30" ht="12.95">
      <c r="B29" s="877" t="s">
        <v>96</v>
      </c>
      <c r="C29" s="131">
        <f t="shared" ref="C29:C37" si="14">+IFERROR(R5/C5,0)</f>
        <v>0</v>
      </c>
      <c r="D29" s="131">
        <f t="shared" ref="D29:D37" si="15">+IFERROR(S5/D5,0)</f>
        <v>0</v>
      </c>
      <c r="E29" s="131">
        <f t="shared" ref="E29:E37" si="16">+IFERROR(T5/E5,0)</f>
        <v>8.0733333333333341</v>
      </c>
      <c r="F29" s="131">
        <f t="shared" ref="F29:F37" si="17">+IFERROR(U5/F5,0)</f>
        <v>0</v>
      </c>
      <c r="G29" s="131">
        <f t="shared" si="12"/>
        <v>2.488940303030303</v>
      </c>
      <c r="H29" s="131">
        <f t="shared" si="13"/>
        <v>4.0728181818181817</v>
      </c>
      <c r="I29" s="876">
        <f t="shared" ref="I29:I37" si="18">+IFERROR(X5/I5,0)</f>
        <v>8.2592727272727267</v>
      </c>
      <c r="J29" s="50">
        <f t="shared" ref="J29:L29" si="19">+IFERROR(Y5/J5,0)</f>
        <v>0</v>
      </c>
      <c r="K29" s="50">
        <f t="shared" si="19"/>
        <v>0</v>
      </c>
      <c r="L29" s="50">
        <f t="shared" si="19"/>
        <v>0</v>
      </c>
      <c r="M29" s="50">
        <f t="shared" ref="M29:M37" si="20">+IFERROR(AB5/M5,0)</f>
        <v>0</v>
      </c>
      <c r="N29" s="50">
        <f t="shared" ref="N29:N37" si="21">+IFERROR(AC5/N5,0)</f>
        <v>0</v>
      </c>
      <c r="P29" s="465"/>
      <c r="Q29" s="98"/>
      <c r="R29" s="2"/>
      <c r="S29" s="2"/>
      <c r="T29" s="2"/>
      <c r="U29" s="2"/>
      <c r="V29" s="2"/>
      <c r="W29" s="2"/>
      <c r="X29" s="2"/>
      <c r="Y29" s="2"/>
      <c r="Z29" s="2"/>
      <c r="AA29" s="2"/>
      <c r="AB29" s="2"/>
      <c r="AC29" s="2"/>
    </row>
    <row r="30" spans="2:30" ht="12.95">
      <c r="B30" s="877" t="s">
        <v>97</v>
      </c>
      <c r="C30" s="131">
        <f t="shared" si="14"/>
        <v>1.8944190476190477</v>
      </c>
      <c r="D30" s="131">
        <f t="shared" si="15"/>
        <v>3.1549933333333335</v>
      </c>
      <c r="E30" s="131">
        <f t="shared" si="16"/>
        <v>3.3377619047619049</v>
      </c>
      <c r="F30" s="131">
        <f t="shared" si="17"/>
        <v>3.2205490476190475</v>
      </c>
      <c r="G30" s="131">
        <f t="shared" si="12"/>
        <v>5.3845357142857146</v>
      </c>
      <c r="H30" s="131">
        <f t="shared" si="13"/>
        <v>3.5196880952380951</v>
      </c>
      <c r="I30" s="876">
        <f t="shared" si="18"/>
        <v>3.7107214285714285</v>
      </c>
      <c r="J30" s="50">
        <f t="shared" ref="J30:L30" si="22">+IFERROR(Y6/J6,0)</f>
        <v>0</v>
      </c>
      <c r="K30" s="50">
        <f t="shared" si="22"/>
        <v>0</v>
      </c>
      <c r="L30" s="50">
        <f t="shared" si="22"/>
        <v>0</v>
      </c>
      <c r="M30" s="50">
        <f t="shared" si="20"/>
        <v>0</v>
      </c>
      <c r="N30" s="50">
        <f t="shared" si="21"/>
        <v>0</v>
      </c>
      <c r="P30" s="91"/>
      <c r="Q30" s="284"/>
      <c r="R30" s="2"/>
      <c r="S30" s="2"/>
      <c r="T30" s="2"/>
      <c r="U30" s="2"/>
      <c r="V30" s="2"/>
      <c r="W30" s="2"/>
      <c r="X30" s="2"/>
      <c r="Y30" s="2"/>
      <c r="Z30" s="2"/>
      <c r="AA30" s="2"/>
      <c r="AB30" s="2"/>
      <c r="AC30" s="2"/>
    </row>
    <row r="31" spans="2:30" ht="12.95">
      <c r="B31" s="877" t="s">
        <v>98</v>
      </c>
      <c r="C31" s="131">
        <f t="shared" si="14"/>
        <v>2.4683466666666667</v>
      </c>
      <c r="D31" s="131">
        <f t="shared" si="15"/>
        <v>4.5519999999999998E-2</v>
      </c>
      <c r="E31" s="131">
        <f t="shared" si="16"/>
        <v>2.7989092000000002</v>
      </c>
      <c r="F31" s="131">
        <f t="shared" si="17"/>
        <v>1.1055999999999999</v>
      </c>
      <c r="G31" s="131">
        <f t="shared" si="12"/>
        <v>1.5116164000000001</v>
      </c>
      <c r="H31" s="131">
        <f t="shared" si="13"/>
        <v>1.5615288000000001</v>
      </c>
      <c r="I31" s="876">
        <f t="shared" si="18"/>
        <v>8.7600000000000004E-3</v>
      </c>
      <c r="J31" s="50">
        <f t="shared" ref="J31:L31" si="23">+IFERROR(Y7/J7,0)</f>
        <v>0</v>
      </c>
      <c r="K31" s="50">
        <f t="shared" si="23"/>
        <v>0</v>
      </c>
      <c r="L31" s="50">
        <f t="shared" si="23"/>
        <v>0</v>
      </c>
      <c r="M31" s="50">
        <f t="shared" si="20"/>
        <v>0</v>
      </c>
      <c r="N31" s="50">
        <f t="shared" si="21"/>
        <v>0</v>
      </c>
      <c r="P31" s="91"/>
      <c r="Q31" s="284"/>
      <c r="R31" s="2"/>
      <c r="S31" s="2"/>
      <c r="T31" s="2"/>
      <c r="U31" s="2"/>
      <c r="V31" s="2"/>
      <c r="W31" s="2"/>
      <c r="X31" s="2"/>
      <c r="Y31" s="2"/>
      <c r="Z31" s="2"/>
      <c r="AA31" s="2"/>
      <c r="AB31" s="2"/>
      <c r="AC31" s="2"/>
    </row>
    <row r="32" spans="2:30" ht="12.95">
      <c r="B32" s="877" t="s">
        <v>99</v>
      </c>
      <c r="C32" s="131">
        <f t="shared" si="14"/>
        <v>0</v>
      </c>
      <c r="D32" s="131">
        <f t="shared" si="15"/>
        <v>0</v>
      </c>
      <c r="E32" s="131">
        <f t="shared" si="16"/>
        <v>0</v>
      </c>
      <c r="F32" s="131">
        <f t="shared" si="17"/>
        <v>2.1260694999999998</v>
      </c>
      <c r="G32" s="131">
        <f t="shared" si="12"/>
        <v>0</v>
      </c>
      <c r="H32" s="131">
        <f t="shared" si="13"/>
        <v>0</v>
      </c>
      <c r="I32" s="876">
        <f t="shared" si="18"/>
        <v>0</v>
      </c>
      <c r="J32" s="50">
        <f t="shared" ref="J32:L32" si="24">+IFERROR(Y8/J8,0)</f>
        <v>0</v>
      </c>
      <c r="K32" s="50">
        <f t="shared" si="24"/>
        <v>0</v>
      </c>
      <c r="L32" s="50">
        <f t="shared" si="24"/>
        <v>0</v>
      </c>
      <c r="M32" s="50">
        <f t="shared" si="20"/>
        <v>0</v>
      </c>
      <c r="N32" s="50">
        <f t="shared" si="21"/>
        <v>0</v>
      </c>
      <c r="P32" s="465"/>
      <c r="Q32" s="98"/>
      <c r="R32" s="2"/>
      <c r="S32" s="2"/>
      <c r="T32" s="2"/>
      <c r="U32" s="2"/>
      <c r="V32" s="2"/>
      <c r="W32" s="2"/>
      <c r="X32" s="2"/>
      <c r="Y32" s="2"/>
      <c r="Z32" s="2"/>
      <c r="AA32" s="2"/>
      <c r="AB32" s="2"/>
      <c r="AC32" s="2"/>
    </row>
    <row r="33" spans="2:29" ht="12.95">
      <c r="B33" s="877" t="s">
        <v>100</v>
      </c>
      <c r="C33" s="131">
        <f t="shared" si="14"/>
        <v>1.3333333333333333</v>
      </c>
      <c r="D33" s="131">
        <f t="shared" si="15"/>
        <v>0</v>
      </c>
      <c r="E33" s="131">
        <f t="shared" si="16"/>
        <v>0</v>
      </c>
      <c r="F33" s="131">
        <f t="shared" si="17"/>
        <v>1.4166666666666667</v>
      </c>
      <c r="G33" s="131">
        <f t="shared" si="12"/>
        <v>5.8333333333333334E-2</v>
      </c>
      <c r="H33" s="131">
        <f t="shared" si="13"/>
        <v>8.2456916666666675</v>
      </c>
      <c r="I33" s="876">
        <f t="shared" si="18"/>
        <v>0</v>
      </c>
      <c r="J33" s="50">
        <f t="shared" ref="J33:L33" si="25">+IFERROR(Y9/J9,0)</f>
        <v>0</v>
      </c>
      <c r="K33" s="50">
        <f t="shared" si="25"/>
        <v>0</v>
      </c>
      <c r="L33" s="50">
        <f t="shared" si="25"/>
        <v>0</v>
      </c>
      <c r="M33" s="50">
        <f t="shared" si="20"/>
        <v>0</v>
      </c>
      <c r="N33" s="50">
        <f t="shared" si="21"/>
        <v>0</v>
      </c>
      <c r="P33" s="91"/>
      <c r="Q33" s="284"/>
      <c r="R33" s="2"/>
      <c r="S33" s="2"/>
      <c r="T33" s="2"/>
      <c r="U33" s="2"/>
      <c r="V33" s="2"/>
      <c r="W33" s="2"/>
      <c r="X33" s="2"/>
      <c r="Y33" s="2"/>
      <c r="Z33" s="2"/>
      <c r="AA33" s="2"/>
      <c r="AB33" s="2"/>
      <c r="AC33" s="2"/>
    </row>
    <row r="34" spans="2:29" ht="12.95">
      <c r="B34" s="875" t="s">
        <v>101</v>
      </c>
      <c r="C34" s="131">
        <f t="shared" si="14"/>
        <v>0</v>
      </c>
      <c r="D34" s="131">
        <f t="shared" si="15"/>
        <v>0.79781250000000004</v>
      </c>
      <c r="E34" s="131">
        <f t="shared" si="16"/>
        <v>0</v>
      </c>
      <c r="F34" s="131">
        <f t="shared" si="17"/>
        <v>0.27500000000000002</v>
      </c>
      <c r="G34" s="131">
        <f t="shared" si="12"/>
        <v>0.75624999999999998</v>
      </c>
      <c r="H34" s="131">
        <f t="shared" si="13"/>
        <v>8.8934603750000001</v>
      </c>
      <c r="I34" s="876">
        <f t="shared" si="18"/>
        <v>0</v>
      </c>
      <c r="J34" s="50">
        <f t="shared" ref="J34:L34" si="26">+IFERROR(Y10/J10,0)</f>
        <v>0</v>
      </c>
      <c r="K34" s="50">
        <f t="shared" si="26"/>
        <v>0</v>
      </c>
      <c r="L34" s="50">
        <f t="shared" si="26"/>
        <v>0</v>
      </c>
      <c r="M34" s="50">
        <f t="shared" si="20"/>
        <v>0</v>
      </c>
      <c r="N34" s="50">
        <f t="shared" si="21"/>
        <v>0</v>
      </c>
      <c r="P34" s="91"/>
      <c r="Q34" s="98"/>
      <c r="R34" s="2"/>
      <c r="S34" s="2"/>
      <c r="T34" s="2"/>
      <c r="U34" s="2"/>
      <c r="V34" s="2"/>
      <c r="W34" s="2"/>
      <c r="X34" s="2"/>
      <c r="Y34" s="2"/>
      <c r="Z34" s="2"/>
      <c r="AA34" s="2"/>
      <c r="AB34" s="2"/>
      <c r="AC34" s="2"/>
    </row>
    <row r="35" spans="2:29" ht="12.95">
      <c r="B35" s="877" t="s">
        <v>102</v>
      </c>
      <c r="C35" s="131">
        <f t="shared" si="14"/>
        <v>0</v>
      </c>
      <c r="D35" s="131">
        <f t="shared" si="15"/>
        <v>0</v>
      </c>
      <c r="E35" s="131">
        <f t="shared" si="16"/>
        <v>0.37</v>
      </c>
      <c r="F35" s="131">
        <f t="shared" si="17"/>
        <v>3.2725</v>
      </c>
      <c r="G35" s="131">
        <f t="shared" si="12"/>
        <v>0</v>
      </c>
      <c r="H35" s="131">
        <f t="shared" si="13"/>
        <v>0</v>
      </c>
      <c r="I35" s="876">
        <f t="shared" si="18"/>
        <v>0</v>
      </c>
      <c r="J35" s="50">
        <f t="shared" ref="J35:L35" si="27">+IFERROR(Y11/J11,0)</f>
        <v>0</v>
      </c>
      <c r="K35" s="50">
        <f t="shared" si="27"/>
        <v>0</v>
      </c>
      <c r="L35" s="50">
        <f t="shared" si="27"/>
        <v>0</v>
      </c>
      <c r="M35" s="50">
        <f t="shared" si="20"/>
        <v>0</v>
      </c>
      <c r="N35" s="50">
        <f t="shared" si="21"/>
        <v>0</v>
      </c>
      <c r="P35" s="91"/>
      <c r="Q35" s="98"/>
      <c r="R35" s="2"/>
      <c r="S35" s="2"/>
      <c r="T35" s="2"/>
      <c r="U35" s="2"/>
      <c r="V35" s="2"/>
      <c r="W35" s="2"/>
      <c r="X35" s="2"/>
    </row>
    <row r="36" spans="2:29" ht="12.95">
      <c r="B36" s="877" t="s">
        <v>103</v>
      </c>
      <c r="C36" s="131">
        <f t="shared" si="14"/>
        <v>7.1428571428571425E-2</v>
      </c>
      <c r="D36" s="131">
        <f t="shared" si="15"/>
        <v>0</v>
      </c>
      <c r="E36" s="131">
        <f t="shared" si="16"/>
        <v>0.22857142857142856</v>
      </c>
      <c r="F36" s="131">
        <f t="shared" si="17"/>
        <v>3.54</v>
      </c>
      <c r="G36" s="131">
        <f t="shared" si="12"/>
        <v>0.34285714285714286</v>
      </c>
      <c r="H36" s="131">
        <f t="shared" si="13"/>
        <v>0.34285714285714286</v>
      </c>
      <c r="I36" s="876">
        <f t="shared" si="18"/>
        <v>0.5714285714285714</v>
      </c>
      <c r="J36" s="50">
        <f t="shared" ref="J36:L36" si="28">+IFERROR(Y12/J12,0)</f>
        <v>0</v>
      </c>
      <c r="K36" s="50">
        <f t="shared" si="28"/>
        <v>0</v>
      </c>
      <c r="L36" s="50">
        <f t="shared" si="28"/>
        <v>0</v>
      </c>
      <c r="M36" s="50">
        <f t="shared" si="20"/>
        <v>0</v>
      </c>
      <c r="N36" s="50">
        <f t="shared" si="21"/>
        <v>0</v>
      </c>
      <c r="P36" s="465"/>
      <c r="Q36" s="98"/>
      <c r="R36" s="2"/>
      <c r="S36" s="2"/>
      <c r="T36" s="2"/>
      <c r="U36" s="2"/>
      <c r="V36" s="2"/>
      <c r="W36" s="2"/>
      <c r="X36" s="2"/>
      <c r="Y36" s="2"/>
      <c r="Z36" s="2"/>
      <c r="AA36" s="2"/>
      <c r="AB36" s="2"/>
      <c r="AC36" s="2"/>
    </row>
    <row r="37" spans="2:29" ht="12.95">
      <c r="B37" s="877" t="s">
        <v>104</v>
      </c>
      <c r="C37" s="131">
        <f t="shared" si="14"/>
        <v>0</v>
      </c>
      <c r="D37" s="131">
        <f t="shared" si="15"/>
        <v>0</v>
      </c>
      <c r="E37" s="131">
        <f t="shared" si="16"/>
        <v>0</v>
      </c>
      <c r="F37" s="131">
        <f t="shared" si="17"/>
        <v>0</v>
      </c>
      <c r="G37" s="131">
        <f t="shared" si="12"/>
        <v>0</v>
      </c>
      <c r="H37" s="131">
        <f t="shared" si="13"/>
        <v>0</v>
      </c>
      <c r="I37" s="876">
        <f t="shared" si="18"/>
        <v>5.9925093333333335</v>
      </c>
      <c r="J37" s="50">
        <f t="shared" ref="J37:L37" si="29">+IFERROR(Y13/J13,0)</f>
        <v>0</v>
      </c>
      <c r="K37" s="50">
        <f t="shared" si="29"/>
        <v>0</v>
      </c>
      <c r="L37" s="50">
        <f t="shared" si="29"/>
        <v>0</v>
      </c>
      <c r="M37" s="50">
        <f t="shared" si="20"/>
        <v>0</v>
      </c>
      <c r="N37" s="50">
        <f t="shared" si="21"/>
        <v>0</v>
      </c>
      <c r="P37" s="91"/>
      <c r="Q37" s="98"/>
      <c r="R37" s="2"/>
      <c r="S37" s="2"/>
      <c r="T37" s="2"/>
      <c r="U37" s="2"/>
      <c r="V37" s="2"/>
      <c r="W37" s="2"/>
      <c r="X37" s="2"/>
      <c r="Y37" s="2"/>
      <c r="Z37" s="2"/>
      <c r="AA37" s="2"/>
      <c r="AB37" s="2"/>
      <c r="AC37" s="2"/>
    </row>
    <row r="38" spans="2:29" ht="12.95">
      <c r="B38" s="875" t="s">
        <v>106</v>
      </c>
      <c r="C38" s="131">
        <f t="shared" ref="C38:I38" si="30">+IFERROR(R15/C15,0)</f>
        <v>0.69021252</v>
      </c>
      <c r="D38" s="131">
        <f>+IFERROR(S15/D15,0)</f>
        <v>1.0257235555555555</v>
      </c>
      <c r="E38" s="131">
        <f>+IFERROR(T15/E15,0)</f>
        <v>0.81315199999999999</v>
      </c>
      <c r="F38" s="131">
        <f t="shared" si="30"/>
        <v>0.87817599999999996</v>
      </c>
      <c r="G38" s="131">
        <f>+IFERROR(V15/G15,0)</f>
        <v>1.233992</v>
      </c>
      <c r="H38" s="131">
        <f>+IFERROR(W15/H15,0)</f>
        <v>1.759379111111111</v>
      </c>
      <c r="I38" s="876">
        <f t="shared" si="30"/>
        <v>6.8711839999999996E-2</v>
      </c>
      <c r="J38" s="50">
        <f t="shared" ref="J38:L38" si="31">+IFERROR(Y15/J15,0)</f>
        <v>0</v>
      </c>
      <c r="K38" s="50">
        <f t="shared" si="31"/>
        <v>0</v>
      </c>
      <c r="L38" s="50">
        <f t="shared" si="31"/>
        <v>0</v>
      </c>
      <c r="M38" s="50">
        <f t="shared" ref="M38" si="32">+IFERROR(AB15/M15,0)</f>
        <v>0</v>
      </c>
      <c r="N38" s="50">
        <f t="shared" ref="N38" si="33">+IFERROR(AC15/N15,0)</f>
        <v>0</v>
      </c>
      <c r="P38" s="2"/>
      <c r="Q38" s="69"/>
      <c r="R38" s="2"/>
      <c r="S38" s="2"/>
      <c r="T38" s="2"/>
      <c r="U38" s="2"/>
      <c r="V38" s="2"/>
      <c r="W38" s="2"/>
      <c r="X38" s="2"/>
      <c r="Y38" s="2"/>
      <c r="Z38" s="2"/>
      <c r="AA38" s="2"/>
      <c r="AB38" s="2"/>
    </row>
    <row r="39" spans="2:29" ht="12.95" hidden="1">
      <c r="B39" s="875"/>
      <c r="C39" s="131"/>
      <c r="D39" s="131"/>
      <c r="E39" s="131"/>
      <c r="F39" s="131"/>
      <c r="G39" s="131"/>
      <c r="H39" s="131"/>
      <c r="I39" s="876"/>
      <c r="J39" s="50"/>
      <c r="K39" s="50"/>
      <c r="L39" s="50"/>
      <c r="M39" s="50"/>
      <c r="N39" s="50"/>
      <c r="P39" s="2"/>
      <c r="Q39" s="69"/>
      <c r="R39" s="2"/>
      <c r="S39" s="2"/>
      <c r="T39" s="2"/>
      <c r="U39" s="2"/>
      <c r="V39" s="2"/>
      <c r="W39" s="2"/>
      <c r="X39" s="2"/>
      <c r="Y39" s="2"/>
      <c r="Z39" s="2"/>
      <c r="AA39" s="2"/>
      <c r="AB39" s="2"/>
    </row>
    <row r="40" spans="2:29" hidden="1">
      <c r="B40" s="878"/>
      <c r="C40" s="92"/>
      <c r="D40" s="92"/>
      <c r="E40" s="92"/>
      <c r="F40" s="92"/>
      <c r="G40" s="92"/>
      <c r="H40" s="92"/>
      <c r="I40" s="879"/>
    </row>
    <row r="41" spans="2:29" ht="12.95">
      <c r="B41" s="877" t="s">
        <v>11</v>
      </c>
      <c r="C41" s="370">
        <f t="shared" ref="C41:H41" si="34">+R18/C18</f>
        <v>0.65556686011904763</v>
      </c>
      <c r="D41" s="370">
        <f t="shared" si="34"/>
        <v>0.59031697751322754</v>
      </c>
      <c r="E41" s="370">
        <f t="shared" si="34"/>
        <v>1.7876766220238096</v>
      </c>
      <c r="F41" s="370">
        <f t="shared" si="34"/>
        <v>1.2269398214285714</v>
      </c>
      <c r="G41" s="370">
        <f t="shared" si="34"/>
        <v>1.2091496130952382</v>
      </c>
      <c r="H41" s="370">
        <f t="shared" si="34"/>
        <v>3.1486930770502646</v>
      </c>
      <c r="I41" s="880">
        <f>+X18/I18</f>
        <v>1.2878852678571429</v>
      </c>
      <c r="J41" s="859">
        <f>+SUM(J28:J37)</f>
        <v>0</v>
      </c>
      <c r="K41" s="99">
        <f>+SUM(K28:K37)</f>
        <v>0</v>
      </c>
      <c r="L41" s="99">
        <f>+SUM(L28:L37)</f>
        <v>0</v>
      </c>
      <c r="M41" s="99">
        <f>+SUM(M28:M38)</f>
        <v>0</v>
      </c>
      <c r="N41" s="99">
        <f>+SUM(N28:N37)</f>
        <v>0</v>
      </c>
      <c r="P41" s="91">
        <f>+SUM(P28:P37)</f>
        <v>0</v>
      </c>
      <c r="Q41" s="284" t="s">
        <v>11</v>
      </c>
      <c r="R41" s="99">
        <f t="shared" ref="R41:AC41" si="35">+SUM(R28:R37)</f>
        <v>0</v>
      </c>
      <c r="S41" s="99">
        <f t="shared" si="35"/>
        <v>0</v>
      </c>
      <c r="T41" s="99">
        <f t="shared" si="35"/>
        <v>0</v>
      </c>
      <c r="U41" s="99">
        <f t="shared" si="35"/>
        <v>0</v>
      </c>
      <c r="V41" s="99">
        <f t="shared" si="35"/>
        <v>0</v>
      </c>
      <c r="W41" s="99">
        <f t="shared" si="35"/>
        <v>0</v>
      </c>
      <c r="X41" s="99">
        <f t="shared" si="35"/>
        <v>0</v>
      </c>
      <c r="Y41" s="99">
        <f t="shared" si="35"/>
        <v>0</v>
      </c>
      <c r="Z41" s="99">
        <f t="shared" si="35"/>
        <v>0</v>
      </c>
      <c r="AA41" s="99">
        <f t="shared" si="35"/>
        <v>0</v>
      </c>
      <c r="AB41" s="99">
        <f t="shared" si="35"/>
        <v>0</v>
      </c>
      <c r="AC41" s="99">
        <f t="shared" si="35"/>
        <v>0</v>
      </c>
    </row>
    <row r="42" spans="2:29" ht="12.95" thickBot="1">
      <c r="B42" s="881" t="s">
        <v>108</v>
      </c>
      <c r="C42" s="882">
        <f>+C18-R18</f>
        <v>23145907</v>
      </c>
      <c r="D42" s="882">
        <f>+D18-S18</f>
        <v>27530699.111111112</v>
      </c>
      <c r="E42" s="882">
        <f t="shared" ref="E42:H42" si="36">+E18-T18</f>
        <v>-52931869</v>
      </c>
      <c r="F42" s="882">
        <f t="shared" si="36"/>
        <v>-15250356</v>
      </c>
      <c r="G42" s="882">
        <f t="shared" si="36"/>
        <v>-14054854</v>
      </c>
      <c r="H42" s="882">
        <f t="shared" si="36"/>
        <v>-144392174.77777779</v>
      </c>
      <c r="I42" s="883">
        <f>+I18-X18</f>
        <v>-19345890</v>
      </c>
      <c r="J42" s="142"/>
      <c r="K42" s="92"/>
      <c r="L42" s="92"/>
      <c r="M42" s="92"/>
      <c r="N42" s="92"/>
    </row>
    <row r="44" spans="2:29" ht="12.95" thickBot="1"/>
    <row r="45" spans="2:29" ht="15" customHeight="1">
      <c r="B45" s="794" t="s">
        <v>109</v>
      </c>
      <c r="C45" s="795">
        <f>+C18+D18+E18+F18+G18+H18</f>
        <v>403200000</v>
      </c>
    </row>
    <row r="46" spans="2:29">
      <c r="B46" s="796" t="s">
        <v>110</v>
      </c>
      <c r="C46" s="797">
        <f>+R18+S18+T18+U18+V18+W18</f>
        <v>579152647.66666675</v>
      </c>
    </row>
    <row r="47" spans="2:29">
      <c r="B47" s="801"/>
      <c r="C47" s="802"/>
    </row>
    <row r="48" spans="2:29">
      <c r="B48" s="801"/>
      <c r="C48" s="802"/>
    </row>
    <row r="49" spans="2:29" ht="12.95">
      <c r="B49" s="796" t="s">
        <v>111</v>
      </c>
      <c r="C49" s="798">
        <f>+C46/C45</f>
        <v>1.4363904952050266</v>
      </c>
    </row>
    <row r="50" spans="2:29" ht="12.95" thickBot="1">
      <c r="B50" s="799" t="s">
        <v>112</v>
      </c>
      <c r="C50" s="800">
        <f>+C45-C46</f>
        <v>-175952647.66666675</v>
      </c>
    </row>
    <row r="51" spans="2:29" ht="12.95">
      <c r="Q51" s="931" t="s">
        <v>94</v>
      </c>
      <c r="R51" s="931"/>
      <c r="S51" s="931"/>
      <c r="T51" s="931"/>
      <c r="U51" s="931"/>
      <c r="V51" s="931"/>
      <c r="W51" s="931"/>
      <c r="X51" s="931"/>
      <c r="Y51" s="931"/>
      <c r="Z51" s="931"/>
      <c r="AA51" s="931"/>
      <c r="AB51" s="931"/>
      <c r="AC51" s="931"/>
    </row>
    <row r="52" spans="2:29" ht="12.95">
      <c r="C52" s="286">
        <v>45292</v>
      </c>
      <c r="D52" s="286">
        <v>45323</v>
      </c>
      <c r="E52" s="286">
        <v>45352</v>
      </c>
      <c r="F52" s="286">
        <v>45383</v>
      </c>
      <c r="G52" s="286">
        <v>45413</v>
      </c>
      <c r="H52" s="286">
        <v>45444</v>
      </c>
      <c r="I52" s="286">
        <v>45474</v>
      </c>
      <c r="J52" s="286">
        <v>45505</v>
      </c>
      <c r="K52" s="286">
        <v>45536</v>
      </c>
      <c r="L52" s="286">
        <v>45566</v>
      </c>
      <c r="M52" s="286">
        <v>45597</v>
      </c>
      <c r="N52" s="286">
        <v>45627</v>
      </c>
      <c r="P52" s="98" t="s">
        <v>58</v>
      </c>
      <c r="R52" s="286">
        <v>45292</v>
      </c>
      <c r="S52" s="286">
        <v>45323</v>
      </c>
      <c r="T52" s="286">
        <v>45352</v>
      </c>
      <c r="U52" s="286">
        <v>45383</v>
      </c>
      <c r="V52" s="286">
        <v>45413</v>
      </c>
      <c r="W52" s="286">
        <v>45444</v>
      </c>
      <c r="X52" s="286">
        <v>45474</v>
      </c>
      <c r="Y52" s="286">
        <v>45505</v>
      </c>
      <c r="Z52" s="286">
        <v>45536</v>
      </c>
      <c r="AA52" s="286">
        <v>45566</v>
      </c>
      <c r="AB52" s="286">
        <v>45597</v>
      </c>
      <c r="AC52" s="286">
        <v>45627</v>
      </c>
    </row>
    <row r="53" spans="2:29">
      <c r="B53" s="288" t="s">
        <v>113</v>
      </c>
      <c r="C53" s="50">
        <f>+IFERROR(#REF!/#REF!,0)</f>
        <v>0</v>
      </c>
      <c r="D53" s="50">
        <f>+IFERROR(#REF!/#REF!,0)</f>
        <v>0</v>
      </c>
      <c r="E53" s="50">
        <f>+IFERROR(#REF!/#REF!,0)</f>
        <v>0</v>
      </c>
      <c r="F53" s="50">
        <f>+IFERROR(#REF!/#REF!,0)</f>
        <v>0</v>
      </c>
      <c r="G53" s="50">
        <f>+IFERROR(#REF!/#REF!,0)</f>
        <v>0</v>
      </c>
      <c r="H53" s="50">
        <f>+IFERROR(#REF!/#REF!,0)</f>
        <v>0</v>
      </c>
      <c r="I53" s="50">
        <f>+IFERROR(#REF!/#REF!,0)</f>
        <v>0</v>
      </c>
      <c r="J53" s="50">
        <f>+IFERROR(#REF!/#REF!,0)</f>
        <v>0</v>
      </c>
      <c r="K53" s="50">
        <f>+IFERROR(#REF!/#REF!,0)</f>
        <v>0</v>
      </c>
      <c r="L53" s="50">
        <f>+IFERROR(#REF!/#REF!,0)</f>
        <v>0</v>
      </c>
      <c r="M53" s="50">
        <f>+IFERROR(#REF!/#REF!,0)</f>
        <v>0</v>
      </c>
      <c r="N53" s="50">
        <f>+IFERROR(#REF!/#REF!,0)</f>
        <v>0</v>
      </c>
      <c r="P53" s="91" t="e">
        <f t="shared" ref="P53:P61" si="37">+SUM(R53:S53)</f>
        <v>#REF!</v>
      </c>
      <c r="Q53" s="287" t="str">
        <f t="shared" ref="Q53:Q60" si="38">+B53</f>
        <v>alimentacion</v>
      </c>
      <c r="R53" s="2" t="e">
        <f>+#REF!-#REF!</f>
        <v>#REF!</v>
      </c>
      <c r="S53" s="2" t="e">
        <f>+#REF!-#REF!</f>
        <v>#REF!</v>
      </c>
      <c r="T53" s="2" t="e">
        <f>+#REF!-#REF!</f>
        <v>#REF!</v>
      </c>
      <c r="U53" s="2" t="e">
        <f>+#REF!-#REF!</f>
        <v>#REF!</v>
      </c>
      <c r="V53" s="2" t="e">
        <f>+#REF!-#REF!</f>
        <v>#REF!</v>
      </c>
      <c r="W53" s="2" t="e">
        <f>+#REF!-#REF!</f>
        <v>#REF!</v>
      </c>
      <c r="X53" s="2" t="e">
        <f>+#REF!-#REF!</f>
        <v>#REF!</v>
      </c>
      <c r="Y53" s="2"/>
      <c r="Z53" s="2"/>
      <c r="AA53" s="2"/>
      <c r="AB53" s="2"/>
      <c r="AC53" s="2"/>
    </row>
    <row r="54" spans="2:29">
      <c r="B54" s="287" t="s">
        <v>114</v>
      </c>
      <c r="C54" s="50">
        <f>+IFERROR(#REF!/#REF!,0)</f>
        <v>0</v>
      </c>
      <c r="D54" s="50">
        <f>+IFERROR(#REF!/#REF!,0)</f>
        <v>0</v>
      </c>
      <c r="E54" s="50">
        <f>+IFERROR(#REF!/#REF!,0)</f>
        <v>0</v>
      </c>
      <c r="F54" s="50">
        <f>+IFERROR(#REF!/#REF!,0)</f>
        <v>0</v>
      </c>
      <c r="G54" s="50">
        <f>+IFERROR(#REF!/#REF!,0)</f>
        <v>0</v>
      </c>
      <c r="H54" s="50">
        <f>+IFERROR(#REF!/#REF!,0)</f>
        <v>0</v>
      </c>
      <c r="I54" s="50">
        <f>+IFERROR(#REF!/#REF!,0)</f>
        <v>0</v>
      </c>
      <c r="J54" s="50">
        <f>+IFERROR(#REF!/#REF!,0)</f>
        <v>0</v>
      </c>
      <c r="K54" s="50">
        <f>+IFERROR(#REF!/#REF!,0)</f>
        <v>0</v>
      </c>
      <c r="L54" s="50">
        <f>+IFERROR(#REF!/#REF!,0)</f>
        <v>0</v>
      </c>
      <c r="M54" s="50">
        <f>+IFERROR(#REF!/#REF!,0)</f>
        <v>0</v>
      </c>
      <c r="N54" s="50">
        <f>+IFERROR(#REF!/#REF!,0)</f>
        <v>0</v>
      </c>
      <c r="P54" s="91" t="e">
        <f t="shared" si="37"/>
        <v>#REF!</v>
      </c>
      <c r="Q54" s="287" t="str">
        <f t="shared" si="38"/>
        <v>Comisiones</v>
      </c>
      <c r="R54" s="2" t="e">
        <f>+#REF!-#REF!</f>
        <v>#REF!</v>
      </c>
      <c r="S54" s="2" t="e">
        <f>+#REF!-#REF!</f>
        <v>#REF!</v>
      </c>
      <c r="T54" s="2" t="e">
        <f>+#REF!-#REF!</f>
        <v>#REF!</v>
      </c>
      <c r="U54" s="2" t="e">
        <f>+#REF!-#REF!</f>
        <v>#REF!</v>
      </c>
      <c r="V54" s="2" t="e">
        <f>+#REF!-#REF!</f>
        <v>#REF!</v>
      </c>
      <c r="W54" s="2" t="e">
        <f>+#REF!-#REF!</f>
        <v>#REF!</v>
      </c>
      <c r="X54" s="2" t="e">
        <f>+#REF!-#REF!</f>
        <v>#REF!</v>
      </c>
      <c r="Y54" s="2"/>
      <c r="Z54" s="2"/>
      <c r="AA54" s="2"/>
      <c r="AB54" s="2"/>
      <c r="AC54" s="2"/>
    </row>
    <row r="55" spans="2:29">
      <c r="B55" s="287" t="s">
        <v>115</v>
      </c>
      <c r="C55" s="50">
        <f>+IFERROR(#REF!/#REF!,0)</f>
        <v>0</v>
      </c>
      <c r="D55" s="50">
        <f>+IFERROR(#REF!/#REF!,0)</f>
        <v>0</v>
      </c>
      <c r="E55" s="50">
        <f>+IFERROR(#REF!/#REF!,0)</f>
        <v>0</v>
      </c>
      <c r="F55" s="50">
        <f>+IFERROR(#REF!/#REF!,0)</f>
        <v>0</v>
      </c>
      <c r="G55" s="50">
        <f>+IFERROR(#REF!/#REF!,0)</f>
        <v>0</v>
      </c>
      <c r="H55" s="50">
        <f>+IFERROR(#REF!/#REF!,0)</f>
        <v>0</v>
      </c>
      <c r="I55" s="50">
        <f>+IFERROR(#REF!/#REF!,0)</f>
        <v>0</v>
      </c>
      <c r="J55" s="50">
        <f>+IFERROR(#REF!/#REF!,0)</f>
        <v>0</v>
      </c>
      <c r="K55" s="50">
        <f>+IFERROR(#REF!/#REF!,0)</f>
        <v>0</v>
      </c>
      <c r="L55" s="50">
        <f>+IFERROR(#REF!/#REF!,0)</f>
        <v>0</v>
      </c>
      <c r="M55" s="50">
        <f>+IFERROR(#REF!/#REF!,0)</f>
        <v>0</v>
      </c>
      <c r="N55" s="50">
        <f>+IFERROR(#REF!/#REF!,0)</f>
        <v>0</v>
      </c>
      <c r="P55" s="91" t="e">
        <f t="shared" si="37"/>
        <v>#REF!</v>
      </c>
      <c r="Q55" s="287" t="str">
        <f t="shared" si="38"/>
        <v>Plan celular</v>
      </c>
      <c r="R55" s="2" t="e">
        <f>+#REF!-#REF!</f>
        <v>#REF!</v>
      </c>
      <c r="S55" s="2" t="e">
        <f>+#REF!-#REF!</f>
        <v>#REF!</v>
      </c>
      <c r="T55" s="2" t="e">
        <f>+#REF!-#REF!</f>
        <v>#REF!</v>
      </c>
      <c r="U55" s="2" t="e">
        <f>+#REF!-#REF!</f>
        <v>#REF!</v>
      </c>
      <c r="V55" s="2" t="e">
        <f>+#REF!-#REF!</f>
        <v>#REF!</v>
      </c>
      <c r="W55" s="2" t="e">
        <f>+#REF!-#REF!</f>
        <v>#REF!</v>
      </c>
      <c r="X55" s="2" t="e">
        <f>+#REF!-#REF!</f>
        <v>#REF!</v>
      </c>
      <c r="Y55" s="2"/>
      <c r="Z55" s="2"/>
      <c r="AA55" s="2"/>
      <c r="AB55" s="2"/>
      <c r="AC55" s="2"/>
    </row>
    <row r="56" spans="2:29">
      <c r="B56" s="287" t="s">
        <v>116</v>
      </c>
      <c r="C56" s="50">
        <f>+IFERROR(#REF!/#REF!,0)</f>
        <v>0</v>
      </c>
      <c r="D56" s="50">
        <f>+IFERROR(#REF!/#REF!,0)</f>
        <v>0</v>
      </c>
      <c r="E56" s="50">
        <f>+IFERROR(#REF!/#REF!,0)</f>
        <v>0</v>
      </c>
      <c r="F56" s="50">
        <f>+IFERROR(#REF!/#REF!,0)</f>
        <v>0</v>
      </c>
      <c r="G56" s="50">
        <f>+IFERROR(#REF!/#REF!,0)</f>
        <v>0</v>
      </c>
      <c r="H56" s="50">
        <f>+IFERROR(#REF!/#REF!,0)</f>
        <v>0</v>
      </c>
      <c r="I56" s="50">
        <f>+IFERROR(#REF!/#REF!,0)</f>
        <v>0</v>
      </c>
      <c r="J56" s="50">
        <f>+IFERROR(#REF!/#REF!,0)</f>
        <v>0</v>
      </c>
      <c r="K56" s="50">
        <f>+IFERROR(#REF!/#REF!,0)</f>
        <v>0</v>
      </c>
      <c r="L56" s="50">
        <f>+IFERROR(#REF!/#REF!,0)</f>
        <v>0</v>
      </c>
      <c r="M56" s="50">
        <f>+IFERROR(#REF!/#REF!,0)</f>
        <v>0</v>
      </c>
      <c r="N56" s="50">
        <f>+IFERROR(#REF!/#REF!,0)</f>
        <v>0</v>
      </c>
      <c r="P56" s="91" t="e">
        <f t="shared" si="37"/>
        <v>#REF!</v>
      </c>
      <c r="Q56" s="287" t="str">
        <f t="shared" si="38"/>
        <v>publicidad</v>
      </c>
      <c r="R56" s="2" t="e">
        <f>+#REF!-#REF!</f>
        <v>#REF!</v>
      </c>
      <c r="S56" s="2" t="e">
        <f>+#REF!-#REF!</f>
        <v>#REF!</v>
      </c>
      <c r="T56" s="2" t="e">
        <f>+#REF!-#REF!</f>
        <v>#REF!</v>
      </c>
      <c r="U56" s="2" t="e">
        <f>+#REF!-#REF!</f>
        <v>#REF!</v>
      </c>
      <c r="V56" s="2" t="e">
        <f>+#REF!-#REF!</f>
        <v>#REF!</v>
      </c>
      <c r="W56" s="2" t="e">
        <f>+#REF!-#REF!</f>
        <v>#REF!</v>
      </c>
      <c r="X56" s="2" t="e">
        <f>+#REF!-#REF!</f>
        <v>#REF!</v>
      </c>
      <c r="Y56" s="2"/>
      <c r="Z56" s="2"/>
      <c r="AA56" s="2"/>
      <c r="AB56" s="2"/>
      <c r="AC56" s="2"/>
    </row>
    <row r="57" spans="2:29">
      <c r="B57" s="287" t="s">
        <v>117</v>
      </c>
      <c r="C57" s="50">
        <f>+IFERROR(#REF!/#REF!,0)</f>
        <v>0</v>
      </c>
      <c r="D57" s="50">
        <f>+IFERROR(#REF!/#REF!,0)</f>
        <v>0</v>
      </c>
      <c r="E57" s="50">
        <f>+IFERROR(#REF!/#REF!,0)</f>
        <v>0</v>
      </c>
      <c r="F57" s="50">
        <f>+IFERROR(#REF!/#REF!,0)</f>
        <v>0</v>
      </c>
      <c r="G57" s="50">
        <f>+IFERROR(#REF!/#REF!,0)</f>
        <v>0</v>
      </c>
      <c r="H57" s="50">
        <f>+IFERROR(#REF!/#REF!,0)</f>
        <v>0</v>
      </c>
      <c r="I57" s="50">
        <f>+IFERROR(#REF!/#REF!,0)</f>
        <v>0</v>
      </c>
      <c r="J57" s="50">
        <f>+IFERROR(#REF!/#REF!,0)</f>
        <v>0</v>
      </c>
      <c r="K57" s="50">
        <f>+IFERROR(#REF!/#REF!,0)</f>
        <v>0</v>
      </c>
      <c r="L57" s="50">
        <f>+IFERROR(#REF!/#REF!,0)</f>
        <v>0</v>
      </c>
      <c r="M57" s="50">
        <f>+IFERROR(#REF!/#REF!,0)</f>
        <v>0</v>
      </c>
      <c r="N57" s="50">
        <f>+IFERROR(#REF!/#REF!,0)</f>
        <v>0</v>
      </c>
      <c r="P57" s="91" t="e">
        <f t="shared" si="37"/>
        <v>#REF!</v>
      </c>
      <c r="Q57" s="287" t="str">
        <f t="shared" si="38"/>
        <v>Tiquetes aeros</v>
      </c>
      <c r="R57" s="2" t="e">
        <f>+#REF!-#REF!</f>
        <v>#REF!</v>
      </c>
      <c r="S57" s="2" t="e">
        <f>+#REF!-#REF!</f>
        <v>#REF!</v>
      </c>
      <c r="T57" s="2" t="e">
        <f>+#REF!-#REF!</f>
        <v>#REF!</v>
      </c>
      <c r="U57" s="2" t="e">
        <f>+#REF!-#REF!</f>
        <v>#REF!</v>
      </c>
      <c r="V57" s="2" t="e">
        <f>+#REF!-#REF!</f>
        <v>#REF!</v>
      </c>
      <c r="W57" s="2" t="e">
        <f>+#REF!-#REF!</f>
        <v>#REF!</v>
      </c>
      <c r="X57" s="2" t="e">
        <f>+#REF!-#REF!</f>
        <v>#REF!</v>
      </c>
      <c r="Y57" s="2"/>
      <c r="Z57" s="2"/>
      <c r="AA57" s="2"/>
      <c r="AB57" s="2"/>
      <c r="AC57" s="2"/>
    </row>
    <row r="58" spans="2:29">
      <c r="B58" s="287" t="s">
        <v>118</v>
      </c>
      <c r="C58" s="50">
        <f>+IFERROR(#REF!/#REF!,0)</f>
        <v>0</v>
      </c>
      <c r="D58" s="50">
        <f>+IFERROR(#REF!/#REF!,0)</f>
        <v>0</v>
      </c>
      <c r="E58" s="50">
        <f>+IFERROR(#REF!/#REF!,0)</f>
        <v>0</v>
      </c>
      <c r="F58" s="50">
        <f>+IFERROR(#REF!/#REF!,0)</f>
        <v>0</v>
      </c>
      <c r="G58" s="50">
        <f>+IFERROR(#REF!/#REF!,0)</f>
        <v>0</v>
      </c>
      <c r="H58" s="50">
        <f>+IFERROR(#REF!/#REF!,0)</f>
        <v>0</v>
      </c>
      <c r="I58" s="50">
        <f>+IFERROR(#REF!/#REF!,0)</f>
        <v>0</v>
      </c>
      <c r="J58" s="50">
        <f>+IFERROR(#REF!/#REF!,0)</f>
        <v>0</v>
      </c>
      <c r="K58" s="50">
        <f>+IFERROR(#REF!/#REF!,0)</f>
        <v>0</v>
      </c>
      <c r="L58" s="50">
        <f>+IFERROR(#REF!/#REF!,0)</f>
        <v>0</v>
      </c>
      <c r="M58" s="50">
        <f>+IFERROR(#REF!/#REF!,0)</f>
        <v>0</v>
      </c>
      <c r="N58" s="50">
        <f>+IFERROR(#REF!/#REF!,0)</f>
        <v>0</v>
      </c>
      <c r="P58" s="91" t="e">
        <f t="shared" si="37"/>
        <v>#REF!</v>
      </c>
      <c r="Q58" s="287" t="str">
        <f t="shared" si="38"/>
        <v>transporte personal</v>
      </c>
      <c r="R58" s="2" t="e">
        <f>+#REF!-#REF!</f>
        <v>#REF!</v>
      </c>
      <c r="S58" s="2" t="e">
        <f>+#REF!-#REF!</f>
        <v>#REF!</v>
      </c>
      <c r="T58" s="2" t="e">
        <f>+#REF!-#REF!</f>
        <v>#REF!</v>
      </c>
      <c r="U58" s="2" t="e">
        <f>+#REF!-#REF!</f>
        <v>#REF!</v>
      </c>
      <c r="V58" s="2" t="e">
        <f>+#REF!-#REF!</f>
        <v>#REF!</v>
      </c>
      <c r="W58" s="2" t="e">
        <f>+#REF!-#REF!</f>
        <v>#REF!</v>
      </c>
      <c r="X58" s="2" t="e">
        <f>+#REF!-#REF!</f>
        <v>#REF!</v>
      </c>
      <c r="Y58" s="2"/>
      <c r="Z58" s="2"/>
      <c r="AA58" s="2"/>
      <c r="AB58" s="2"/>
      <c r="AC58" s="2"/>
    </row>
    <row r="59" spans="2:29">
      <c r="B59" s="287" t="s">
        <v>119</v>
      </c>
      <c r="C59" s="50">
        <f>+IFERROR(#REF!/#REF!,0)</f>
        <v>0</v>
      </c>
      <c r="D59" s="50">
        <f>+IFERROR(#REF!/#REF!,0)</f>
        <v>0</v>
      </c>
      <c r="E59" s="50">
        <f>+IFERROR(#REF!/#REF!,0)</f>
        <v>0</v>
      </c>
      <c r="F59" s="50">
        <f>+IFERROR(#REF!/#REF!,0)</f>
        <v>0</v>
      </c>
      <c r="G59" s="50">
        <f>+IFERROR(#REF!/#REF!,0)</f>
        <v>0</v>
      </c>
      <c r="H59" s="50">
        <f>+IFERROR(#REF!/#REF!,0)</f>
        <v>0</v>
      </c>
      <c r="I59" s="50">
        <f>+IFERROR(#REF!/#REF!,0)</f>
        <v>0</v>
      </c>
      <c r="J59" s="50">
        <f>+IFERROR(#REF!/#REF!,0)</f>
        <v>0</v>
      </c>
      <c r="K59" s="50">
        <f>+IFERROR(#REF!/#REF!,0)</f>
        <v>0</v>
      </c>
      <c r="L59" s="50">
        <f>+IFERROR(#REF!/#REF!,0)</f>
        <v>0</v>
      </c>
      <c r="M59" s="50">
        <f>+IFERROR(#REF!/#REF!,0)</f>
        <v>0</v>
      </c>
      <c r="N59" s="50">
        <f>+IFERROR(#REF!/#REF!,0)</f>
        <v>0</v>
      </c>
      <c r="P59" s="91" t="e">
        <f t="shared" si="37"/>
        <v>#REF!</v>
      </c>
      <c r="Q59" s="287" t="str">
        <f t="shared" si="38"/>
        <v>reuniones</v>
      </c>
      <c r="R59" s="2" t="e">
        <f>+#REF!-#REF!</f>
        <v>#REF!</v>
      </c>
      <c r="S59" s="2" t="e">
        <f>+#REF!-#REF!</f>
        <v>#REF!</v>
      </c>
      <c r="T59" s="2" t="e">
        <f>+#REF!-#REF!</f>
        <v>#REF!</v>
      </c>
      <c r="U59" s="2" t="e">
        <f>+#REF!-#REF!</f>
        <v>#REF!</v>
      </c>
      <c r="V59" s="2" t="e">
        <f>+#REF!-#REF!</f>
        <v>#REF!</v>
      </c>
      <c r="W59" s="2" t="e">
        <f>+#REF!-#REF!</f>
        <v>#REF!</v>
      </c>
      <c r="X59" s="2" t="e">
        <f>+#REF!-#REF!</f>
        <v>#REF!</v>
      </c>
      <c r="Y59" s="2"/>
      <c r="Z59" s="2"/>
      <c r="AA59" s="2"/>
      <c r="AB59" s="2"/>
      <c r="AC59" s="2"/>
    </row>
    <row r="60" spans="2:29">
      <c r="B60" s="287" t="s">
        <v>120</v>
      </c>
      <c r="C60" s="50">
        <f>+IFERROR(#REF!/#REF!,0)</f>
        <v>0</v>
      </c>
      <c r="D60" s="50">
        <f>+IFERROR(#REF!/#REF!,0)</f>
        <v>0</v>
      </c>
      <c r="E60" s="50">
        <f>+IFERROR(#REF!/#REF!,0)</f>
        <v>0</v>
      </c>
      <c r="F60" s="50">
        <f>+IFERROR(#REF!/#REF!,0)</f>
        <v>0</v>
      </c>
      <c r="G60" s="50">
        <f>+IFERROR(#REF!/#REF!,0)</f>
        <v>0</v>
      </c>
      <c r="H60" s="50">
        <f>+IFERROR(#REF!/#REF!,0)</f>
        <v>0</v>
      </c>
      <c r="I60" s="50">
        <f>+IFERROR(#REF!/#REF!,0)</f>
        <v>0</v>
      </c>
      <c r="J60" s="50">
        <f>+IFERROR(#REF!/#REF!,0)</f>
        <v>0</v>
      </c>
      <c r="K60" s="50">
        <f>+IFERROR(#REF!/#REF!,0)</f>
        <v>0</v>
      </c>
      <c r="L60" s="50">
        <f>+IFERROR(#REF!/#REF!,0)</f>
        <v>0</v>
      </c>
      <c r="M60" s="50">
        <f>+IFERROR(#REF!/#REF!,0)</f>
        <v>0</v>
      </c>
      <c r="N60" s="50">
        <f>+IFERROR(#REF!/#REF!,0)</f>
        <v>0</v>
      </c>
      <c r="P60" s="91" t="e">
        <f t="shared" si="37"/>
        <v>#REF!</v>
      </c>
      <c r="Q60" s="287" t="str">
        <f t="shared" si="38"/>
        <v xml:space="preserve">viaticos </v>
      </c>
      <c r="R60" s="2" t="e">
        <f>+#REF!-#REF!</f>
        <v>#REF!</v>
      </c>
      <c r="S60" s="2" t="e">
        <f>+#REF!-#REF!</f>
        <v>#REF!</v>
      </c>
      <c r="T60" s="2" t="e">
        <f>+#REF!-#REF!</f>
        <v>#REF!</v>
      </c>
      <c r="U60" s="2" t="e">
        <f>+#REF!-#REF!</f>
        <v>#REF!</v>
      </c>
      <c r="V60" s="2" t="e">
        <f>+#REF!-#REF!</f>
        <v>#REF!</v>
      </c>
      <c r="W60" s="2" t="e">
        <f>+#REF!-#REF!</f>
        <v>#REF!</v>
      </c>
      <c r="X60" s="2" t="e">
        <f>+#REF!-#REF!</f>
        <v>#REF!</v>
      </c>
    </row>
    <row r="61" spans="2:29">
      <c r="B61" s="288" t="s">
        <v>9</v>
      </c>
      <c r="C61" s="50">
        <f>+IFERROR(#REF!/#REF!,0)</f>
        <v>0</v>
      </c>
      <c r="D61" s="50">
        <f>+IFERROR(#REF!/#REF!,0)</f>
        <v>0</v>
      </c>
      <c r="E61" s="50">
        <f>+IFERROR(#REF!/#REF!,0)</f>
        <v>0</v>
      </c>
      <c r="F61" s="50">
        <f>+IFERROR(#REF!/#REF!,0)</f>
        <v>0</v>
      </c>
      <c r="G61" s="50">
        <f>+IFERROR(#REF!/#REF!,0)</f>
        <v>0</v>
      </c>
      <c r="H61" s="50">
        <f>+IFERROR(#REF!/#REF!,0)</f>
        <v>0</v>
      </c>
      <c r="I61" s="50">
        <f>+IFERROR(#REF!/#REF!,0)</f>
        <v>0</v>
      </c>
      <c r="J61" s="50">
        <f>+IFERROR(#REF!/#REF!,0)</f>
        <v>0</v>
      </c>
      <c r="K61" s="50">
        <f>+IFERROR(#REF!/#REF!,0)</f>
        <v>0</v>
      </c>
      <c r="L61" s="50">
        <f>+IFERROR(#REF!/#REF!,0)</f>
        <v>0</v>
      </c>
      <c r="M61" s="50">
        <f>+IFERROR(#REF!/#REF!,0)</f>
        <v>0</v>
      </c>
      <c r="N61" s="50">
        <f>+IFERROR(#REF!/#REF!,0)</f>
        <v>0</v>
      </c>
      <c r="P61" s="91" t="e">
        <f t="shared" si="37"/>
        <v>#REF!</v>
      </c>
      <c r="Q61" s="287" t="s">
        <v>9</v>
      </c>
      <c r="R61" s="2" t="e">
        <f>+#REF!-#REF!</f>
        <v>#REF!</v>
      </c>
      <c r="S61" s="2" t="e">
        <f>+#REF!-#REF!</f>
        <v>#REF!</v>
      </c>
      <c r="T61" s="2" t="e">
        <f>+#REF!-#REF!</f>
        <v>#REF!</v>
      </c>
      <c r="U61" s="2" t="e">
        <f>+#REF!-#REF!</f>
        <v>#REF!</v>
      </c>
      <c r="V61" s="2" t="e">
        <f>+#REF!-#REF!</f>
        <v>#REF!</v>
      </c>
      <c r="W61" s="2" t="e">
        <f>+#REF!-#REF!</f>
        <v>#REF!</v>
      </c>
      <c r="X61" s="2" t="e">
        <f>+#REF!-#REF!</f>
        <v>#REF!</v>
      </c>
      <c r="Y61" s="2"/>
      <c r="Z61" s="2"/>
      <c r="AA61" s="2"/>
      <c r="AB61" s="2"/>
      <c r="AC61" s="2"/>
    </row>
    <row r="62" spans="2:29">
      <c r="B62" s="81" t="s">
        <v>121</v>
      </c>
      <c r="C62" s="50">
        <f>+IFERROR(#REF!/#REF!,0)</f>
        <v>0</v>
      </c>
      <c r="D62" s="50">
        <f>+IFERROR(#REF!/#REF!,0)</f>
        <v>0</v>
      </c>
      <c r="E62" s="50">
        <f>+IFERROR(#REF!/#REF!,0)</f>
        <v>0</v>
      </c>
      <c r="F62" s="50">
        <f>+IFERROR(#REF!/#REF!,0)</f>
        <v>0</v>
      </c>
      <c r="G62" s="50">
        <f>+IFERROR(#REF!/#REF!,0)</f>
        <v>0</v>
      </c>
      <c r="H62" s="50">
        <f>+IFERROR(#REF!/#REF!,0)</f>
        <v>0</v>
      </c>
      <c r="I62" s="50">
        <f>+IFERROR(#REF!/#REF!,0)</f>
        <v>0</v>
      </c>
      <c r="J62" s="50">
        <f>+IFERROR(#REF!/#REF!,0)</f>
        <v>0</v>
      </c>
      <c r="K62" s="50">
        <f>+IFERROR(#REF!/#REF!,0)</f>
        <v>0</v>
      </c>
      <c r="L62" s="50">
        <f>+IFERROR(#REF!/#REF!,0)</f>
        <v>0</v>
      </c>
      <c r="M62" s="50">
        <f>+IFERROR(#REF!/#REF!,0)</f>
        <v>0</v>
      </c>
      <c r="N62" s="50">
        <f>+IFERROR(#REF!/#REF!,0)</f>
        <v>0</v>
      </c>
      <c r="P62" s="91" t="e">
        <f>+SUM(R62:X62)</f>
        <v>#REF!</v>
      </c>
      <c r="Q62" s="287" t="str">
        <f>+B62</f>
        <v>Salarios</v>
      </c>
      <c r="R62" s="2" t="e">
        <f>+#REF!-#REF!</f>
        <v>#REF!</v>
      </c>
      <c r="S62" s="2" t="e">
        <f>+#REF!-#REF!</f>
        <v>#REF!</v>
      </c>
      <c r="T62" s="2" t="e">
        <f>+#REF!-#REF!</f>
        <v>#REF!</v>
      </c>
      <c r="U62" s="2" t="e">
        <f>+#REF!-#REF!</f>
        <v>#REF!</v>
      </c>
      <c r="V62" s="2" t="e">
        <f>+#REF!-#REF!</f>
        <v>#REF!</v>
      </c>
      <c r="W62" s="2" t="e">
        <f>+#REF!-#REF!</f>
        <v>#REF!</v>
      </c>
      <c r="X62" s="2" t="e">
        <f>+#REF!-#REF!</f>
        <v>#REF!</v>
      </c>
      <c r="Y62" s="2"/>
      <c r="Z62" s="2"/>
      <c r="AA62" s="2"/>
      <c r="AB62" s="2"/>
      <c r="AC62" s="2"/>
    </row>
    <row r="64" spans="2:29" ht="12.95">
      <c r="B64" s="284" t="s">
        <v>11</v>
      </c>
      <c r="C64" s="370" t="e">
        <f>+#REF!/#REF!</f>
        <v>#REF!</v>
      </c>
      <c r="D64" s="370" t="e">
        <f>+#REF!/#REF!</f>
        <v>#REF!</v>
      </c>
      <c r="E64" s="370" t="e">
        <f>+#REF!/#REF!</f>
        <v>#REF!</v>
      </c>
      <c r="F64" s="370" t="e">
        <f>+#REF!/#REF!</f>
        <v>#REF!</v>
      </c>
      <c r="G64" s="370" t="e">
        <f>+#REF!/#REF!</f>
        <v>#REF!</v>
      </c>
      <c r="H64" s="370" t="e">
        <f>+#REF!/#REF!</f>
        <v>#REF!</v>
      </c>
      <c r="I64" s="370" t="e">
        <f>+#REF!/#REF!</f>
        <v>#REF!</v>
      </c>
      <c r="J64" s="99">
        <f>+SUM(J53:J61)</f>
        <v>0</v>
      </c>
      <c r="K64" s="99">
        <f>+SUM(K53:K61)</f>
        <v>0</v>
      </c>
      <c r="L64" s="99">
        <f>+SUM(L53:L61)</f>
        <v>0</v>
      </c>
      <c r="M64" s="99">
        <f>+SUM(M53:M61)</f>
        <v>0</v>
      </c>
      <c r="N64" s="99">
        <f>+SUM(N53:N61)</f>
        <v>0</v>
      </c>
      <c r="P64" s="91" t="e">
        <f>+SUM(P53:P61)</f>
        <v>#REF!</v>
      </c>
      <c r="Q64" s="284" t="s">
        <v>11</v>
      </c>
      <c r="R64" s="99" t="e">
        <f t="shared" ref="R64:X64" si="39">+SUM(R53:R62)</f>
        <v>#REF!</v>
      </c>
      <c r="S64" s="99" t="e">
        <f t="shared" si="39"/>
        <v>#REF!</v>
      </c>
      <c r="T64" s="99" t="e">
        <f t="shared" si="39"/>
        <v>#REF!</v>
      </c>
      <c r="U64" s="99" t="e">
        <f t="shared" si="39"/>
        <v>#REF!</v>
      </c>
      <c r="V64" s="99" t="e">
        <f t="shared" si="39"/>
        <v>#REF!</v>
      </c>
      <c r="W64" s="99" t="e">
        <f t="shared" si="39"/>
        <v>#REF!</v>
      </c>
      <c r="X64" s="99" t="e">
        <f t="shared" si="39"/>
        <v>#REF!</v>
      </c>
      <c r="Y64" s="99">
        <f>+SUM(Y53:Y61)</f>
        <v>0</v>
      </c>
      <c r="Z64" s="99">
        <f>+SUM(Z53:Z61)</f>
        <v>0</v>
      </c>
      <c r="AA64" s="99">
        <f>+SUM(AA53:AA61)</f>
        <v>0</v>
      </c>
      <c r="AB64" s="99">
        <f>+SUM(AB53:AB61)</f>
        <v>0</v>
      </c>
      <c r="AC64" s="99">
        <f>+SUM(AC53:AC61)</f>
        <v>0</v>
      </c>
    </row>
  </sheetData>
  <mergeCells count="4">
    <mergeCell ref="Q26:AC26"/>
    <mergeCell ref="Q51:AC51"/>
    <mergeCell ref="B2:N2"/>
    <mergeCell ref="Q2:AC2"/>
  </mergeCells>
  <conditionalFormatting sqref="C39:D39">
    <cfRule type="colorScale" priority="65">
      <colorScale>
        <cfvo type="min"/>
        <cfvo type="percentile" val="50"/>
        <cfvo type="max"/>
        <color rgb="FF63BE7B"/>
        <color rgb="FFFFEB84"/>
        <color rgb="FFF8696B"/>
      </colorScale>
    </cfRule>
  </conditionalFormatting>
  <conditionalFormatting sqref="C53:D62">
    <cfRule type="colorScale" priority="20">
      <colorScale>
        <cfvo type="min"/>
        <cfvo type="percentile" val="50"/>
        <cfvo type="max"/>
        <color rgb="FF63BE7B"/>
        <color rgb="FFFFEB84"/>
        <color rgb="FFF8696B"/>
      </colorScale>
    </cfRule>
  </conditionalFormatting>
  <conditionalFormatting sqref="C28:J38">
    <cfRule type="colorScale" priority="3">
      <colorScale>
        <cfvo type="min"/>
        <cfvo type="percentile" val="50"/>
        <cfvo type="percentile" val="90"/>
        <color rgb="FF63BE7B"/>
        <color rgb="FFFFEB84"/>
        <color rgb="FFF8696B"/>
      </colorScale>
    </cfRule>
  </conditionalFormatting>
  <conditionalFormatting sqref="E39">
    <cfRule type="colorScale" priority="17">
      <colorScale>
        <cfvo type="min"/>
        <cfvo type="percentile" val="50"/>
        <cfvo type="max"/>
        <color rgb="FF63BE7B"/>
        <color rgb="FFFFEB84"/>
        <color rgb="FFF8696B"/>
      </colorScale>
    </cfRule>
  </conditionalFormatting>
  <conditionalFormatting sqref="E53:E62">
    <cfRule type="colorScale" priority="18">
      <colorScale>
        <cfvo type="min"/>
        <cfvo type="percentile" val="50"/>
        <cfvo type="max"/>
        <color rgb="FF63BE7B"/>
        <color rgb="FFFFEB84"/>
        <color rgb="FFF8696B"/>
      </colorScale>
    </cfRule>
  </conditionalFormatting>
  <conditionalFormatting sqref="F39">
    <cfRule type="colorScale" priority="16">
      <colorScale>
        <cfvo type="min"/>
        <cfvo type="percentile" val="50"/>
        <cfvo type="max"/>
        <color rgb="FF63BE7B"/>
        <color rgb="FFFFEB84"/>
        <color rgb="FFF8696B"/>
      </colorScale>
    </cfRule>
  </conditionalFormatting>
  <conditionalFormatting sqref="F53:F62">
    <cfRule type="colorScale" priority="7">
      <colorScale>
        <cfvo type="min"/>
        <cfvo type="percentile" val="50"/>
        <cfvo type="max"/>
        <color rgb="FF63BE7B"/>
        <color rgb="FFFFEB84"/>
        <color rgb="FFF8696B"/>
      </colorScale>
    </cfRule>
  </conditionalFormatting>
  <conditionalFormatting sqref="G39">
    <cfRule type="colorScale" priority="15">
      <colorScale>
        <cfvo type="min"/>
        <cfvo type="percentile" val="50"/>
        <cfvo type="max"/>
        <color rgb="FF63BE7B"/>
        <color rgb="FFFFEB84"/>
        <color rgb="FFF8696B"/>
      </colorScale>
    </cfRule>
  </conditionalFormatting>
  <conditionalFormatting sqref="G53:G62">
    <cfRule type="colorScale" priority="6">
      <colorScale>
        <cfvo type="min"/>
        <cfvo type="percentile" val="50"/>
        <cfvo type="max"/>
        <color rgb="FF63BE7B"/>
        <color rgb="FFFFEB84"/>
        <color rgb="FFF8696B"/>
      </colorScale>
    </cfRule>
  </conditionalFormatting>
  <conditionalFormatting sqref="H39">
    <cfRule type="colorScale" priority="14">
      <colorScale>
        <cfvo type="min"/>
        <cfvo type="percentile" val="50"/>
        <cfvo type="max"/>
        <color rgb="FF63BE7B"/>
        <color rgb="FFFFEB84"/>
        <color rgb="FFF8696B"/>
      </colorScale>
    </cfRule>
  </conditionalFormatting>
  <conditionalFormatting sqref="H53:H62">
    <cfRule type="colorScale" priority="5">
      <colorScale>
        <cfvo type="min"/>
        <cfvo type="percentile" val="50"/>
        <cfvo type="max"/>
        <color rgb="FF63BE7B"/>
        <color rgb="FFFFEB84"/>
        <color rgb="FFF8696B"/>
      </colorScale>
    </cfRule>
  </conditionalFormatting>
  <conditionalFormatting sqref="I39">
    <cfRule type="colorScale" priority="13">
      <colorScale>
        <cfvo type="min"/>
        <cfvo type="percentile" val="50"/>
        <cfvo type="max"/>
        <color rgb="FF63BE7B"/>
        <color rgb="FFFFEB84"/>
        <color rgb="FFF8696B"/>
      </colorScale>
    </cfRule>
  </conditionalFormatting>
  <conditionalFormatting sqref="I53:I62">
    <cfRule type="colorScale" priority="4">
      <colorScale>
        <cfvo type="min"/>
        <cfvo type="percentile" val="50"/>
        <cfvo type="max"/>
        <color rgb="FF63BE7B"/>
        <color rgb="FFFFEB84"/>
        <color rgb="FFF8696B"/>
      </colorScale>
    </cfRule>
  </conditionalFormatting>
  <conditionalFormatting sqref="K28:N38">
    <cfRule type="colorScale" priority="2">
      <colorScale>
        <cfvo type="min"/>
        <cfvo type="percentile" val="50"/>
        <cfvo type="max"/>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C40C7-FAC1-48AF-A818-7FD13593AE1D}">
  <dimension ref="B2:K302"/>
  <sheetViews>
    <sheetView topLeftCell="A272" zoomScale="70" zoomScaleNormal="70" zoomScaleSheetLayoutView="70" workbookViewId="0">
      <selection activeCell="H296" sqref="H296"/>
    </sheetView>
  </sheetViews>
  <sheetFormatPr defaultColWidth="11.42578125" defaultRowHeight="12.75" customHeight="1"/>
  <cols>
    <col min="1" max="1" width="11.42578125" style="112"/>
    <col min="2" max="2" width="31.85546875" style="112" bestFit="1" customWidth="1"/>
    <col min="3" max="3" width="22.42578125" style="112" customWidth="1"/>
    <col min="4" max="4" width="15.85546875" style="112" customWidth="1"/>
    <col min="5" max="5" width="52.85546875" style="112" customWidth="1"/>
    <col min="6" max="6" width="17" style="319" customWidth="1"/>
    <col min="7" max="7" width="18" style="112" customWidth="1"/>
    <col min="8" max="8" width="33.5703125" style="112" bestFit="1" customWidth="1"/>
    <col min="9" max="9" width="18.28515625" style="112" customWidth="1"/>
    <col min="10" max="10" width="26.7109375" style="112" customWidth="1"/>
    <col min="11" max="11" width="13.5703125" style="112" bestFit="1" customWidth="1"/>
    <col min="12" max="12" width="14.5703125" style="112" bestFit="1" customWidth="1"/>
    <col min="13" max="13" width="13.5703125" style="112" bestFit="1" customWidth="1"/>
    <col min="14" max="14" width="13.5703125" style="112" customWidth="1"/>
    <col min="15" max="15" width="12.7109375" style="112" bestFit="1" customWidth="1"/>
    <col min="16" max="16" width="12.42578125" style="112" bestFit="1" customWidth="1"/>
    <col min="17" max="17" width="13.140625" style="112" bestFit="1" customWidth="1"/>
    <col min="18" max="16384" width="11.42578125" style="112"/>
  </cols>
  <sheetData>
    <row r="2" spans="2:7" ht="12.6">
      <c r="B2" s="183" t="s">
        <v>122</v>
      </c>
      <c r="C2" s="222">
        <v>45688</v>
      </c>
    </row>
    <row r="3" spans="2:7" ht="12.6">
      <c r="B3" s="206"/>
      <c r="C3" s="206"/>
      <c r="E3" s="315" t="s">
        <v>123</v>
      </c>
      <c r="F3" s="606" t="s">
        <v>124</v>
      </c>
      <c r="G3" s="316" t="s">
        <v>125</v>
      </c>
    </row>
    <row r="4" spans="2:7" ht="12.6">
      <c r="B4" s="183" t="s">
        <v>126</v>
      </c>
      <c r="C4" s="230">
        <v>44926961.899999999</v>
      </c>
      <c r="E4" s="312"/>
      <c r="F4" s="607"/>
      <c r="G4" s="317"/>
    </row>
    <row r="5" spans="2:7" ht="12.6">
      <c r="B5" s="183" t="s">
        <v>127</v>
      </c>
      <c r="C5" s="230">
        <v>30672396.420000002</v>
      </c>
      <c r="E5" s="314" t="s">
        <v>128</v>
      </c>
      <c r="F5" s="608">
        <v>7164593</v>
      </c>
      <c r="G5" s="315"/>
    </row>
    <row r="6" spans="2:7" ht="12.6">
      <c r="B6" s="183" t="s">
        <v>129</v>
      </c>
      <c r="C6" s="230">
        <v>45938</v>
      </c>
      <c r="E6" s="313" t="s">
        <v>130</v>
      </c>
      <c r="F6" s="608">
        <v>29500000</v>
      </c>
      <c r="G6" s="310" t="s">
        <v>131</v>
      </c>
    </row>
    <row r="7" spans="2:7" ht="12.6">
      <c r="B7" s="226" t="s">
        <v>132</v>
      </c>
      <c r="C7" s="231">
        <v>1435304.04</v>
      </c>
      <c r="E7" s="183" t="s">
        <v>133</v>
      </c>
      <c r="F7" s="608">
        <v>600000</v>
      </c>
      <c r="G7" s="183" t="s">
        <v>134</v>
      </c>
    </row>
    <row r="8" spans="2:7" ht="12.6">
      <c r="B8" s="183" t="s">
        <v>135</v>
      </c>
      <c r="C8" s="230">
        <v>108691</v>
      </c>
      <c r="E8" s="311" t="s">
        <v>133</v>
      </c>
      <c r="F8" s="608">
        <v>3000000</v>
      </c>
      <c r="G8" s="226" t="s">
        <v>136</v>
      </c>
    </row>
    <row r="9" spans="2:7" ht="12.6">
      <c r="B9" s="183" t="s">
        <v>137</v>
      </c>
      <c r="C9" s="230">
        <f>+F27</f>
        <v>17617310</v>
      </c>
      <c r="E9" s="206"/>
      <c r="F9" s="609"/>
      <c r="G9" s="309"/>
    </row>
    <row r="10" spans="2:7" ht="12.6">
      <c r="B10" s="183" t="s">
        <v>138</v>
      </c>
      <c r="C10" s="546">
        <v>6976964</v>
      </c>
      <c r="E10" s="183" t="s">
        <v>11</v>
      </c>
      <c r="F10" s="610">
        <f>+F5+F6+F7+F8</f>
        <v>40264593</v>
      </c>
      <c r="G10" s="233"/>
    </row>
    <row r="11" spans="2:7" ht="12.6">
      <c r="B11" s="226" t="s">
        <v>139</v>
      </c>
      <c r="C11" s="588">
        <v>19876751.57</v>
      </c>
      <c r="E11" s="308"/>
      <c r="F11" s="609"/>
    </row>
    <row r="12" spans="2:7" ht="12.6">
      <c r="B12" s="311" t="s">
        <v>140</v>
      </c>
      <c r="C12" s="588">
        <v>22654049.629999999</v>
      </c>
      <c r="E12" s="318" t="s">
        <v>141</v>
      </c>
      <c r="F12" s="544">
        <f>22647303-20</f>
        <v>22647283</v>
      </c>
    </row>
    <row r="13" spans="2:7" ht="12.6">
      <c r="B13" s="933"/>
      <c r="C13" s="936"/>
      <c r="D13" s="232"/>
      <c r="E13" s="471"/>
      <c r="F13" s="609"/>
    </row>
    <row r="14" spans="2:7" ht="12.6">
      <c r="B14" s="183" t="s">
        <v>11</v>
      </c>
      <c r="C14" s="229">
        <f>+SUM(C4:C13)</f>
        <v>144314366.56</v>
      </c>
      <c r="D14" s="227"/>
      <c r="E14" s="543" t="s">
        <v>142</v>
      </c>
      <c r="F14" s="544">
        <f>1555000-900</f>
        <v>1554100</v>
      </c>
    </row>
    <row r="15" spans="2:7" ht="12.6">
      <c r="B15" s="183" t="s">
        <v>143</v>
      </c>
      <c r="C15" s="229">
        <f>+'Caja Real mensual '!I52</f>
        <v>144314366.55999988</v>
      </c>
      <c r="E15" s="545" t="s">
        <v>144</v>
      </c>
      <c r="F15" s="546">
        <v>700000</v>
      </c>
    </row>
    <row r="16" spans="2:7" ht="12.6">
      <c r="B16" s="183" t="s">
        <v>145</v>
      </c>
      <c r="C16" s="228" t="str">
        <f>IF(C14=C15,"La Caja esta cuadrada","Caja descuadrada")</f>
        <v>La Caja esta cuadrada</v>
      </c>
      <c r="E16" s="545" t="s">
        <v>146</v>
      </c>
      <c r="F16" s="546">
        <v>3000000</v>
      </c>
    </row>
    <row r="17" spans="2:6" ht="12.6">
      <c r="B17" s="183" t="s">
        <v>87</v>
      </c>
      <c r="C17" s="688">
        <f>+C14-C15</f>
        <v>0</v>
      </c>
      <c r="D17" s="234"/>
      <c r="E17" s="547" t="s">
        <v>147</v>
      </c>
      <c r="F17" s="546">
        <v>3000000</v>
      </c>
    </row>
    <row r="18" spans="2:6" ht="12.6">
      <c r="C18" s="234"/>
      <c r="E18" s="547" t="s">
        <v>148</v>
      </c>
      <c r="F18" s="546">
        <v>3000000</v>
      </c>
    </row>
    <row r="19" spans="2:6" ht="12.6">
      <c r="E19" s="547" t="s">
        <v>149</v>
      </c>
      <c r="F19" s="546">
        <v>2000000</v>
      </c>
    </row>
    <row r="20" spans="2:6" ht="12.6">
      <c r="E20" s="547" t="s">
        <v>150</v>
      </c>
      <c r="F20" s="546">
        <v>3000000</v>
      </c>
    </row>
    <row r="21" spans="2:6" ht="12.6">
      <c r="E21" s="547" t="s">
        <v>151</v>
      </c>
      <c r="F21" s="546">
        <v>100000</v>
      </c>
    </row>
    <row r="22" spans="2:6" ht="12.6">
      <c r="E22" s="547" t="s">
        <v>152</v>
      </c>
      <c r="F22" s="546">
        <v>407500</v>
      </c>
    </row>
    <row r="23" spans="2:6" ht="12.6">
      <c r="D23" s="112">
        <v>3</v>
      </c>
      <c r="E23" s="547" t="s">
        <v>153</v>
      </c>
      <c r="F23" s="546">
        <v>100000</v>
      </c>
    </row>
    <row r="24" spans="2:6" ht="12.6">
      <c r="B24" s="935" t="s">
        <v>154</v>
      </c>
      <c r="C24" s="935"/>
      <c r="E24" s="547" t="s">
        <v>155</v>
      </c>
      <c r="F24" s="546">
        <v>500000</v>
      </c>
    </row>
    <row r="25" spans="2:6" ht="12.6">
      <c r="B25" s="183" t="s">
        <v>126</v>
      </c>
      <c r="C25" s="230">
        <v>129446956</v>
      </c>
      <c r="E25" s="547" t="s">
        <v>156</v>
      </c>
      <c r="F25" s="546">
        <v>155710</v>
      </c>
    </row>
    <row r="26" spans="2:6" ht="12.6">
      <c r="B26" s="183" t="s">
        <v>157</v>
      </c>
      <c r="C26" s="230">
        <v>55728591</v>
      </c>
      <c r="E26" s="547" t="s">
        <v>158</v>
      </c>
      <c r="F26" s="546">
        <v>100000</v>
      </c>
    </row>
    <row r="27" spans="2:6" ht="12.6">
      <c r="B27" s="183" t="s">
        <v>129</v>
      </c>
      <c r="C27" s="230">
        <v>45938</v>
      </c>
      <c r="E27" s="183" t="s">
        <v>159</v>
      </c>
      <c r="F27" s="608">
        <f>+SUM(F14:F26)</f>
        <v>17617310</v>
      </c>
    </row>
    <row r="28" spans="2:6" ht="12.6">
      <c r="B28" s="226" t="s">
        <v>132</v>
      </c>
      <c r="C28" s="231">
        <v>3713313</v>
      </c>
      <c r="E28" s="308"/>
      <c r="F28" s="609"/>
    </row>
    <row r="29" spans="2:6" ht="12.6">
      <c r="B29" s="183" t="s">
        <v>135</v>
      </c>
      <c r="C29" s="230">
        <v>108691</v>
      </c>
      <c r="E29" s="183" t="s">
        <v>87</v>
      </c>
      <c r="F29" s="608">
        <f>+F27-(F10-F12)</f>
        <v>0</v>
      </c>
    </row>
    <row r="30" spans="2:6" ht="12.6">
      <c r="B30" s="183" t="s">
        <v>137</v>
      </c>
      <c r="C30" s="230">
        <f>+F5</f>
        <v>7164593</v>
      </c>
      <c r="F30" s="611"/>
    </row>
    <row r="31" spans="2:6" ht="12.6">
      <c r="B31" s="183" t="s">
        <v>138</v>
      </c>
      <c r="C31" s="230">
        <v>6976964.0700000003</v>
      </c>
      <c r="F31" s="611"/>
    </row>
    <row r="32" spans="2:6" ht="12.6">
      <c r="B32" s="183" t="s">
        <v>139</v>
      </c>
      <c r="C32" s="542">
        <v>3375752</v>
      </c>
      <c r="F32" s="611"/>
    </row>
    <row r="33" spans="2:7" ht="12.6">
      <c r="B33" s="183" t="s">
        <v>140</v>
      </c>
      <c r="C33" s="229">
        <v>22505298.710000001</v>
      </c>
    </row>
    <row r="34" spans="2:7" ht="12.6">
      <c r="B34" s="183" t="s">
        <v>11</v>
      </c>
      <c r="C34" s="229">
        <f>+SUM(C25:C33)</f>
        <v>229066096.78</v>
      </c>
      <c r="E34" s="307"/>
      <c r="F34" s="320"/>
    </row>
    <row r="35" spans="2:7" ht="12.6">
      <c r="G35" s="307"/>
    </row>
    <row r="36" spans="2:7" ht="12.75" customHeight="1">
      <c r="C36" s="233"/>
      <c r="D36" s="233"/>
    </row>
    <row r="38" spans="2:7" s="691" customFormat="1" ht="12.75" customHeight="1">
      <c r="F38" s="692"/>
    </row>
    <row r="42" spans="2:7" ht="12.6">
      <c r="B42" s="183" t="s">
        <v>122</v>
      </c>
      <c r="C42" s="222">
        <v>45716</v>
      </c>
    </row>
    <row r="43" spans="2:7" ht="12.6">
      <c r="B43" s="206"/>
      <c r="C43" s="206"/>
      <c r="E43" s="315" t="s">
        <v>123</v>
      </c>
      <c r="F43" s="606" t="s">
        <v>124</v>
      </c>
      <c r="G43" s="316" t="s">
        <v>125</v>
      </c>
    </row>
    <row r="44" spans="2:7" ht="12.6">
      <c r="B44" s="183" t="s">
        <v>126</v>
      </c>
      <c r="C44" s="230">
        <v>58053007.380000003</v>
      </c>
      <c r="E44" s="312"/>
      <c r="F44" s="607"/>
      <c r="G44" s="317"/>
    </row>
    <row r="45" spans="2:7" ht="12.6">
      <c r="B45" s="183" t="s">
        <v>127</v>
      </c>
      <c r="C45" s="230">
        <v>76226271.420000002</v>
      </c>
      <c r="E45" s="314" t="s">
        <v>128</v>
      </c>
      <c r="F45" s="608">
        <f>+F27</f>
        <v>17617310</v>
      </c>
      <c r="G45" s="318"/>
    </row>
    <row r="46" spans="2:7" ht="12.6">
      <c r="B46" s="183" t="s">
        <v>129</v>
      </c>
      <c r="C46" s="230">
        <v>45950</v>
      </c>
      <c r="E46" s="313" t="s">
        <v>130</v>
      </c>
      <c r="F46" s="696">
        <v>22000000</v>
      </c>
      <c r="G46" s="183" t="s">
        <v>131</v>
      </c>
    </row>
    <row r="47" spans="2:7" ht="12.6">
      <c r="B47" s="226" t="s">
        <v>132</v>
      </c>
      <c r="C47" s="231">
        <f>842046.72+3.45</f>
        <v>842050.16999999993</v>
      </c>
      <c r="E47" s="183" t="s">
        <v>160</v>
      </c>
      <c r="F47" s="608">
        <f>653000+350000+53400</f>
        <v>1056400</v>
      </c>
      <c r="G47" s="183" t="s">
        <v>134</v>
      </c>
    </row>
    <row r="48" spans="2:7" ht="12.6">
      <c r="B48" s="183" t="s">
        <v>135</v>
      </c>
      <c r="C48" s="230">
        <v>108691</v>
      </c>
      <c r="E48" s="183" t="s">
        <v>160</v>
      </c>
      <c r="F48" s="608">
        <v>900000</v>
      </c>
      <c r="G48" s="226" t="s">
        <v>56</v>
      </c>
    </row>
    <row r="49" spans="2:7" ht="12.6">
      <c r="B49" s="183" t="s">
        <v>137</v>
      </c>
      <c r="C49" s="230">
        <f>+F71</f>
        <v>18389137</v>
      </c>
      <c r="E49" s="183" t="s">
        <v>160</v>
      </c>
      <c r="F49" s="608">
        <v>3250000</v>
      </c>
      <c r="G49" s="226" t="s">
        <v>136</v>
      </c>
    </row>
    <row r="50" spans="2:7" ht="12.6">
      <c r="B50" s="183" t="s">
        <v>138</v>
      </c>
      <c r="C50" s="546">
        <v>6976964</v>
      </c>
      <c r="E50" s="206"/>
      <c r="F50" s="609"/>
      <c r="G50" s="309"/>
    </row>
    <row r="51" spans="2:7" ht="12.6">
      <c r="B51" s="226" t="s">
        <v>139</v>
      </c>
      <c r="C51" s="588">
        <v>179560167.71000001</v>
      </c>
      <c r="E51" s="183" t="s">
        <v>11</v>
      </c>
      <c r="F51" s="610">
        <f>+F45+F46+F47+F49+F48</f>
        <v>44823710</v>
      </c>
      <c r="G51" s="233"/>
    </row>
    <row r="52" spans="2:7" ht="12.6">
      <c r="B52" s="311" t="s">
        <v>140</v>
      </c>
      <c r="C52" s="588">
        <v>22788451.010000002</v>
      </c>
      <c r="E52" s="308"/>
      <c r="F52" s="609"/>
    </row>
    <row r="53" spans="2:7" ht="12.6">
      <c r="B53" s="933"/>
      <c r="C53" s="936"/>
      <c r="D53" s="232"/>
      <c r="E53" s="318" t="s">
        <v>141</v>
      </c>
      <c r="F53" s="544">
        <f>26430717.51+55+3800</f>
        <v>26434572.510000002</v>
      </c>
    </row>
    <row r="54" spans="2:7" ht="16.5" customHeight="1">
      <c r="B54" s="183" t="s">
        <v>11</v>
      </c>
      <c r="C54" s="229">
        <f>+SUM(C44:C53)</f>
        <v>362990689.69</v>
      </c>
      <c r="D54" s="227"/>
      <c r="E54" s="471"/>
      <c r="F54" s="609"/>
    </row>
    <row r="55" spans="2:7" ht="16.5" customHeight="1">
      <c r="B55" s="183" t="s">
        <v>143</v>
      </c>
      <c r="C55" s="229">
        <f>+'Caja Real mensual '!J52</f>
        <v>362990689.69000006</v>
      </c>
      <c r="D55" s="313"/>
      <c r="E55" s="697" t="s">
        <v>161</v>
      </c>
      <c r="F55" s="544">
        <v>1208000</v>
      </c>
    </row>
    <row r="56" spans="2:7" ht="12.6">
      <c r="B56" s="183" t="s">
        <v>145</v>
      </c>
      <c r="C56" s="228" t="str">
        <f>IF(C54=C55,"La Caja esta cuadrada","Caja descuadrada")</f>
        <v>La Caja esta cuadrada</v>
      </c>
      <c r="D56" s="313"/>
      <c r="E56" s="545" t="s">
        <v>144</v>
      </c>
      <c r="F56" s="546">
        <v>700000</v>
      </c>
    </row>
    <row r="57" spans="2:7" ht="12.6">
      <c r="B57" s="183" t="s">
        <v>87</v>
      </c>
      <c r="C57" s="688">
        <f>+C54-C55</f>
        <v>0</v>
      </c>
      <c r="D57" s="719"/>
      <c r="E57" s="695" t="s">
        <v>146</v>
      </c>
      <c r="F57" s="546">
        <v>3000000</v>
      </c>
    </row>
    <row r="58" spans="2:7" ht="12.6">
      <c r="C58" s="234"/>
      <c r="E58" s="547" t="s">
        <v>147</v>
      </c>
      <c r="F58" s="546">
        <v>3000000</v>
      </c>
    </row>
    <row r="59" spans="2:7" ht="12.6">
      <c r="D59" s="718"/>
      <c r="E59" s="547" t="s">
        <v>148</v>
      </c>
      <c r="F59" s="546">
        <v>3000000</v>
      </c>
    </row>
    <row r="60" spans="2:7" ht="12.6">
      <c r="E60" s="547" t="s">
        <v>149</v>
      </c>
      <c r="F60" s="546">
        <v>2000000</v>
      </c>
    </row>
    <row r="61" spans="2:7" ht="12.6">
      <c r="E61" s="547" t="s">
        <v>150</v>
      </c>
      <c r="F61" s="546">
        <v>3000000</v>
      </c>
    </row>
    <row r="62" spans="2:7" ht="12.6">
      <c r="E62" s="547" t="s">
        <v>162</v>
      </c>
      <c r="F62" s="546">
        <v>100000</v>
      </c>
    </row>
    <row r="63" spans="2:7" ht="12.6">
      <c r="E63" s="547" t="s">
        <v>163</v>
      </c>
      <c r="F63" s="546">
        <v>100000</v>
      </c>
    </row>
    <row r="64" spans="2:7" ht="12.6">
      <c r="E64" s="547" t="s">
        <v>164</v>
      </c>
      <c r="F64" s="546">
        <v>100000</v>
      </c>
    </row>
    <row r="65" spans="5:6" ht="12.6">
      <c r="E65" s="547" t="s">
        <v>165</v>
      </c>
      <c r="F65" s="546">
        <v>50000</v>
      </c>
    </row>
    <row r="66" spans="5:6" ht="12.6">
      <c r="E66" s="547" t="s">
        <v>166</v>
      </c>
      <c r="F66" s="546">
        <v>-38863</v>
      </c>
    </row>
    <row r="67" spans="5:6" ht="12.6">
      <c r="E67" s="547" t="s">
        <v>167</v>
      </c>
      <c r="F67" s="546">
        <v>1000000</v>
      </c>
    </row>
    <row r="68" spans="5:6" ht="12.6">
      <c r="E68" s="547" t="s">
        <v>168</v>
      </c>
      <c r="F68" s="546">
        <v>1000000</v>
      </c>
    </row>
    <row r="69" spans="5:6" ht="12.6">
      <c r="E69" s="547" t="s">
        <v>169</v>
      </c>
      <c r="F69" s="546">
        <v>50000</v>
      </c>
    </row>
    <row r="70" spans="5:6" ht="12.6">
      <c r="E70" s="547" t="s">
        <v>170</v>
      </c>
      <c r="F70" s="546">
        <v>120000</v>
      </c>
    </row>
    <row r="71" spans="5:6" ht="12.6">
      <c r="E71" s="183" t="s">
        <v>159</v>
      </c>
      <c r="F71" s="608">
        <f>+SUM(F55:F70)</f>
        <v>18389137</v>
      </c>
    </row>
    <row r="72" spans="5:6" ht="12.6">
      <c r="E72" s="308"/>
      <c r="F72" s="609"/>
    </row>
    <row r="73" spans="5:6" ht="12.6">
      <c r="E73" s="183" t="s">
        <v>87</v>
      </c>
      <c r="F73" s="608">
        <f>+F71-(F51-F53)</f>
        <v>-0.48999999836087227</v>
      </c>
    </row>
    <row r="74" spans="5:6" ht="12.6">
      <c r="F74" s="611"/>
    </row>
    <row r="75" spans="5:6" ht="12.6">
      <c r="F75" s="611"/>
    </row>
    <row r="76" spans="5:6" ht="12.6">
      <c r="F76" s="611"/>
    </row>
    <row r="77" spans="5:6" ht="12.6"/>
    <row r="78" spans="5:6" ht="12.75" customHeight="1">
      <c r="E78" s="307"/>
      <c r="F78" s="320"/>
    </row>
    <row r="80" spans="5:6" s="714" customFormat="1" ht="12.75" customHeight="1">
      <c r="F80" s="715"/>
    </row>
    <row r="84" spans="2:7" ht="12.6">
      <c r="B84" s="183" t="s">
        <v>122</v>
      </c>
      <c r="C84" s="222">
        <v>45747</v>
      </c>
      <c r="E84" s="315" t="s">
        <v>123</v>
      </c>
      <c r="F84" s="606" t="s">
        <v>124</v>
      </c>
      <c r="G84" s="316" t="s">
        <v>125</v>
      </c>
    </row>
    <row r="85" spans="2:7" ht="12.6">
      <c r="B85" s="206"/>
      <c r="C85" s="206"/>
      <c r="E85" s="312"/>
      <c r="F85" s="607"/>
      <c r="G85" s="317"/>
    </row>
    <row r="86" spans="2:7" ht="12.6">
      <c r="B86" s="183" t="s">
        <v>126</v>
      </c>
      <c r="C86" s="230">
        <v>20296649.559999999</v>
      </c>
      <c r="E86" s="314" t="s">
        <v>128</v>
      </c>
      <c r="F86" s="608">
        <f>+F71</f>
        <v>18389137</v>
      </c>
      <c r="G86" s="318"/>
    </row>
    <row r="87" spans="2:7" ht="12.6">
      <c r="B87" s="183" t="s">
        <v>127</v>
      </c>
      <c r="C87" s="230">
        <v>133088707.26000001</v>
      </c>
      <c r="E87" s="313" t="s">
        <v>130</v>
      </c>
      <c r="F87" s="696">
        <v>16100000</v>
      </c>
      <c r="G87" s="183" t="s">
        <v>131</v>
      </c>
    </row>
    <row r="88" spans="2:7" ht="12.6">
      <c r="B88" s="183" t="s">
        <v>129</v>
      </c>
      <c r="C88" s="230">
        <v>45950</v>
      </c>
      <c r="E88" s="183" t="s">
        <v>160</v>
      </c>
      <c r="F88" s="608">
        <f>450000+362544</f>
        <v>812544</v>
      </c>
      <c r="G88" s="183" t="s">
        <v>134</v>
      </c>
    </row>
    <row r="89" spans="2:7" ht="12.6">
      <c r="B89" s="226" t="s">
        <v>132</v>
      </c>
      <c r="C89" s="730">
        <v>1171152</v>
      </c>
      <c r="E89" s="183" t="s">
        <v>160</v>
      </c>
      <c r="F89" s="608">
        <f>1900000+51000</f>
        <v>1951000</v>
      </c>
      <c r="G89" s="226" t="s">
        <v>56</v>
      </c>
    </row>
    <row r="90" spans="2:7" ht="12.6">
      <c r="B90" s="183" t="s">
        <v>135</v>
      </c>
      <c r="C90" s="230">
        <v>108691</v>
      </c>
      <c r="E90" s="183" t="s">
        <v>160</v>
      </c>
      <c r="F90" s="608">
        <f>738863+491200+1200000+1000000+1000000</f>
        <v>4430063</v>
      </c>
      <c r="G90" s="226" t="s">
        <v>136</v>
      </c>
    </row>
    <row r="91" spans="2:7" ht="12.6">
      <c r="B91" s="183" t="s">
        <v>137</v>
      </c>
      <c r="C91" s="230">
        <f>+F121</f>
        <v>13863687</v>
      </c>
      <c r="E91" s="206"/>
      <c r="F91" s="609"/>
      <c r="G91" s="309"/>
    </row>
    <row r="92" spans="2:7" ht="12.6">
      <c r="B92" s="183" t="s">
        <v>138</v>
      </c>
      <c r="C92" s="546">
        <v>6976964</v>
      </c>
      <c r="E92" s="183" t="s">
        <v>11</v>
      </c>
      <c r="F92" s="610">
        <f>+F86+F87+F88+F90+F89</f>
        <v>41682744</v>
      </c>
      <c r="G92" s="233"/>
    </row>
    <row r="93" spans="2:7" ht="12.6">
      <c r="B93" s="226" t="s">
        <v>139</v>
      </c>
      <c r="C93" s="588">
        <v>14291777.82</v>
      </c>
      <c r="E93" s="308"/>
      <c r="F93" s="609"/>
    </row>
    <row r="94" spans="2:7" ht="12.6">
      <c r="B94" s="311" t="s">
        <v>171</v>
      </c>
      <c r="C94" s="588">
        <v>8492247</v>
      </c>
      <c r="E94" s="318" t="s">
        <v>141</v>
      </c>
      <c r="F94" s="544">
        <f>27819023.57+33</f>
        <v>27819056.57</v>
      </c>
    </row>
    <row r="95" spans="2:7" ht="12.6">
      <c r="B95" s="311" t="s">
        <v>140</v>
      </c>
      <c r="C95" s="588">
        <v>22930037.620000001</v>
      </c>
      <c r="D95" s="232"/>
      <c r="E95" s="471"/>
      <c r="F95" s="609"/>
    </row>
    <row r="96" spans="2:7" ht="16.5" customHeight="1">
      <c r="B96" s="933"/>
      <c r="C96" s="936"/>
      <c r="D96" s="227"/>
      <c r="E96" s="731" t="s">
        <v>161</v>
      </c>
      <c r="F96" s="544">
        <v>1128300</v>
      </c>
    </row>
    <row r="97" spans="2:6" ht="16.5" customHeight="1">
      <c r="B97" s="183" t="s">
        <v>11</v>
      </c>
      <c r="C97" s="229">
        <f>+SUM(C86:C96)</f>
        <v>221265863.25999999</v>
      </c>
      <c r="D97" s="313"/>
      <c r="E97" s="744" t="s">
        <v>172</v>
      </c>
      <c r="F97" s="546">
        <v>-2000000</v>
      </c>
    </row>
    <row r="98" spans="2:6" ht="12.6">
      <c r="B98" s="183" t="s">
        <v>143</v>
      </c>
      <c r="C98" s="229">
        <f>+'Caja Real mensual '!K52</f>
        <v>221265863.26000035</v>
      </c>
      <c r="D98" s="313"/>
      <c r="E98" s="545" t="s">
        <v>144</v>
      </c>
      <c r="F98" s="546">
        <v>700000</v>
      </c>
    </row>
    <row r="99" spans="2:6" ht="12.6">
      <c r="B99" s="183" t="s">
        <v>145</v>
      </c>
      <c r="C99" s="228" t="str">
        <f>IF(C97=C98,"La Caja esta cuadrada","Caja descuadrada")</f>
        <v>La Caja esta cuadrada</v>
      </c>
      <c r="D99" s="717"/>
      <c r="E99" s="695" t="s">
        <v>146</v>
      </c>
      <c r="F99" s="546">
        <v>3000000</v>
      </c>
    </row>
    <row r="100" spans="2:6" ht="12.6">
      <c r="B100" s="183" t="s">
        <v>87</v>
      </c>
      <c r="C100" s="229">
        <f>+C97-C98</f>
        <v>-3.5762786865234375E-7</v>
      </c>
      <c r="D100" s="721"/>
      <c r="E100" s="547" t="s">
        <v>147</v>
      </c>
      <c r="F100" s="546">
        <v>1804786</v>
      </c>
    </row>
    <row r="101" spans="2:6" ht="12.6">
      <c r="C101" s="234"/>
      <c r="E101" s="547" t="s">
        <v>148</v>
      </c>
      <c r="F101" s="546">
        <v>0</v>
      </c>
    </row>
    <row r="102" spans="2:6" ht="12.6">
      <c r="C102" s="234"/>
      <c r="E102" s="547" t="s">
        <v>150</v>
      </c>
      <c r="F102" s="546">
        <v>0</v>
      </c>
    </row>
    <row r="103" spans="2:6" ht="12.6">
      <c r="C103" s="234"/>
      <c r="E103" s="547" t="s">
        <v>173</v>
      </c>
      <c r="F103" s="546">
        <v>-119723</v>
      </c>
    </row>
    <row r="104" spans="2:6" ht="12.6">
      <c r="C104" s="234"/>
      <c r="E104" s="547" t="s">
        <v>174</v>
      </c>
      <c r="F104" s="546">
        <v>822690</v>
      </c>
    </row>
    <row r="105" spans="2:6" ht="12.6">
      <c r="E105" s="547" t="s">
        <v>175</v>
      </c>
      <c r="F105" s="546">
        <v>0</v>
      </c>
    </row>
    <row r="106" spans="2:6" ht="12.6">
      <c r="E106" s="547" t="s">
        <v>149</v>
      </c>
      <c r="F106" s="546">
        <v>2000000</v>
      </c>
    </row>
    <row r="107" spans="2:6" ht="12.6">
      <c r="E107" s="547" t="s">
        <v>176</v>
      </c>
      <c r="F107" s="546">
        <v>66700</v>
      </c>
    </row>
    <row r="108" spans="2:6" ht="12.6">
      <c r="E108" s="547" t="s">
        <v>177</v>
      </c>
      <c r="F108" s="546">
        <v>1200000</v>
      </c>
    </row>
    <row r="109" spans="2:6" ht="12.6">
      <c r="E109" s="547" t="s">
        <v>178</v>
      </c>
      <c r="F109" s="546">
        <v>1000000</v>
      </c>
    </row>
    <row r="110" spans="2:6" ht="12.6">
      <c r="E110" s="547" t="s">
        <v>179</v>
      </c>
      <c r="F110" s="546">
        <v>-166620</v>
      </c>
    </row>
    <row r="111" spans="2:6" ht="12.6">
      <c r="E111" s="547" t="s">
        <v>180</v>
      </c>
      <c r="F111" s="546">
        <v>93500</v>
      </c>
    </row>
    <row r="112" spans="2:6" ht="12.6">
      <c r="E112" s="547" t="s">
        <v>181</v>
      </c>
      <c r="F112" s="546">
        <v>1000000</v>
      </c>
    </row>
    <row r="113" spans="5:6" ht="12.6">
      <c r="E113" s="547" t="s">
        <v>182</v>
      </c>
      <c r="F113" s="546">
        <v>100000</v>
      </c>
    </row>
    <row r="114" spans="5:6" ht="12.6">
      <c r="E114" s="547" t="s">
        <v>183</v>
      </c>
      <c r="F114" s="546">
        <v>100000</v>
      </c>
    </row>
    <row r="115" spans="5:6" ht="12.6">
      <c r="E115" s="547" t="s">
        <v>184</v>
      </c>
      <c r="F115" s="546">
        <v>210000</v>
      </c>
    </row>
    <row r="116" spans="5:6" ht="12.6">
      <c r="E116" s="547" t="s">
        <v>185</v>
      </c>
      <c r="F116" s="546">
        <v>300000</v>
      </c>
    </row>
    <row r="117" spans="5:6" ht="12.6">
      <c r="E117" s="547" t="s">
        <v>186</v>
      </c>
      <c r="F117" s="546">
        <v>300000</v>
      </c>
    </row>
    <row r="118" spans="5:6" ht="12.6">
      <c r="E118" s="547" t="s">
        <v>187</v>
      </c>
      <c r="F118" s="546">
        <v>1500000</v>
      </c>
    </row>
    <row r="119" spans="5:6" ht="12.6">
      <c r="E119" s="547" t="s">
        <v>188</v>
      </c>
      <c r="F119" s="546">
        <v>812544</v>
      </c>
    </row>
    <row r="120" spans="5:6" ht="12.6">
      <c r="E120" s="547" t="s">
        <v>189</v>
      </c>
      <c r="F120" s="546">
        <v>11510</v>
      </c>
    </row>
    <row r="121" spans="5:6" ht="15.95" customHeight="1">
      <c r="E121" s="183" t="s">
        <v>159</v>
      </c>
      <c r="F121" s="608">
        <f>+SUM(F96:F120)</f>
        <v>13863687</v>
      </c>
    </row>
    <row r="122" spans="5:6" ht="12.6">
      <c r="E122" s="308"/>
      <c r="F122" s="609"/>
    </row>
    <row r="123" spans="5:6" ht="12.6">
      <c r="E123" s="183" t="s">
        <v>87</v>
      </c>
      <c r="F123" s="608">
        <f>+F121-(F92-F94)</f>
        <v>-0.42999999970197678</v>
      </c>
    </row>
    <row r="124" spans="5:6" ht="12.6">
      <c r="F124" s="611"/>
    </row>
    <row r="125" spans="5:6" ht="12.6">
      <c r="F125" s="611"/>
    </row>
    <row r="126" spans="5:6" ht="12.6">
      <c r="F126" s="611"/>
    </row>
    <row r="127" spans="5:6" ht="12.6"/>
    <row r="128" spans="5:6" ht="12.6"/>
    <row r="129" spans="2:9" s="742" customFormat="1" ht="12.75" customHeight="1">
      <c r="F129" s="743"/>
    </row>
    <row r="133" spans="2:9" ht="12.6">
      <c r="B133" s="183" t="s">
        <v>122</v>
      </c>
      <c r="C133" s="222">
        <v>45777</v>
      </c>
      <c r="E133" s="315" t="s">
        <v>123</v>
      </c>
      <c r="F133" s="606" t="s">
        <v>124</v>
      </c>
      <c r="G133" s="316" t="s">
        <v>125</v>
      </c>
    </row>
    <row r="134" spans="2:9" ht="12.6">
      <c r="B134" s="206"/>
      <c r="C134" s="206"/>
      <c r="E134" s="312"/>
      <c r="F134" s="607"/>
      <c r="G134" s="317"/>
    </row>
    <row r="135" spans="2:9" ht="12.6">
      <c r="B135" s="183" t="s">
        <v>126</v>
      </c>
      <c r="C135" s="230">
        <v>35586554</v>
      </c>
      <c r="E135" s="314" t="s">
        <v>128</v>
      </c>
      <c r="F135" s="608">
        <f>+F121</f>
        <v>13863687</v>
      </c>
      <c r="G135" s="318"/>
    </row>
    <row r="136" spans="2:9" ht="12.6">
      <c r="B136" s="183" t="s">
        <v>127</v>
      </c>
      <c r="C136" s="230">
        <v>23136085</v>
      </c>
      <c r="E136" s="313" t="s">
        <v>130</v>
      </c>
      <c r="F136" s="696">
        <v>18000000</v>
      </c>
      <c r="G136" s="183" t="s">
        <v>131</v>
      </c>
    </row>
    <row r="137" spans="2:9" ht="12.6">
      <c r="B137" s="183" t="s">
        <v>129</v>
      </c>
      <c r="C137" s="230">
        <v>45950</v>
      </c>
      <c r="E137" s="183" t="s">
        <v>160</v>
      </c>
      <c r="F137" s="608">
        <f>150000+257642</f>
        <v>407642</v>
      </c>
      <c r="G137" s="183" t="s">
        <v>134</v>
      </c>
    </row>
    <row r="138" spans="2:9" ht="12.6">
      <c r="B138" s="226" t="s">
        <v>132</v>
      </c>
      <c r="C138" s="730">
        <v>5556391.8799999999</v>
      </c>
      <c r="E138" s="183" t="s">
        <v>160</v>
      </c>
      <c r="F138" s="608">
        <f>1000000-93500+1000000+192640+600000+1718903+1059888+300000+1000000</f>
        <v>6777931</v>
      </c>
      <c r="G138" s="226" t="s">
        <v>56</v>
      </c>
    </row>
    <row r="139" spans="2:9" ht="12.6">
      <c r="B139" s="183" t="s">
        <v>135</v>
      </c>
      <c r="C139" s="230">
        <v>108691</v>
      </c>
      <c r="E139" s="183" t="s">
        <v>160</v>
      </c>
      <c r="F139" s="608">
        <f>300000+1212692+2293500+1935357</f>
        <v>5741549</v>
      </c>
      <c r="G139" s="226" t="s">
        <v>190</v>
      </c>
    </row>
    <row r="140" spans="2:9" ht="12.6">
      <c r="B140" s="183" t="s">
        <v>137</v>
      </c>
      <c r="C140" s="230">
        <f>+F164</f>
        <v>22128062</v>
      </c>
      <c r="E140" s="183" t="s">
        <v>160</v>
      </c>
      <c r="F140" s="608">
        <v>2000000</v>
      </c>
      <c r="G140" s="226" t="s">
        <v>191</v>
      </c>
    </row>
    <row r="141" spans="2:9" ht="12.6">
      <c r="B141" s="183" t="s">
        <v>138</v>
      </c>
      <c r="C141" s="546">
        <v>6976964</v>
      </c>
      <c r="E141" s="183" t="s">
        <v>160</v>
      </c>
      <c r="F141" s="608">
        <v>6492247</v>
      </c>
      <c r="G141" s="226" t="s">
        <v>136</v>
      </c>
    </row>
    <row r="142" spans="2:9" ht="12.6">
      <c r="B142" s="226" t="s">
        <v>139</v>
      </c>
      <c r="C142" s="588">
        <v>53646507.640000001</v>
      </c>
      <c r="E142" s="206"/>
      <c r="F142" s="609"/>
      <c r="G142" s="309"/>
    </row>
    <row r="143" spans="2:9" ht="12.6">
      <c r="B143" s="311" t="s">
        <v>171</v>
      </c>
      <c r="C143" s="588">
        <v>1990287.89</v>
      </c>
      <c r="D143" s="751"/>
      <c r="E143" s="183" t="s">
        <v>11</v>
      </c>
      <c r="F143" s="610">
        <f>+F135+F136+F137+F141+F138+F139+F140</f>
        <v>53283056</v>
      </c>
      <c r="G143" s="233"/>
      <c r="I143" s="608">
        <f>300000+1200000+12692</f>
        <v>1512692</v>
      </c>
    </row>
    <row r="144" spans="2:9" ht="12.6">
      <c r="B144" s="311" t="s">
        <v>192</v>
      </c>
      <c r="C144" s="588">
        <v>29997.23</v>
      </c>
      <c r="D144" s="232"/>
      <c r="E144" s="308"/>
      <c r="F144" s="609"/>
    </row>
    <row r="145" spans="2:10" ht="16.5" customHeight="1">
      <c r="B145" s="311" t="s">
        <v>140</v>
      </c>
      <c r="C145" s="588">
        <v>868472848.80999994</v>
      </c>
      <c r="D145" s="227"/>
      <c r="E145" s="318" t="s">
        <v>141</v>
      </c>
      <c r="F145" s="544">
        <v>31154993.690000001</v>
      </c>
    </row>
    <row r="146" spans="2:10" ht="16.5" customHeight="1">
      <c r="B146" s="933"/>
      <c r="C146" s="936"/>
      <c r="D146" s="313"/>
      <c r="E146" s="471"/>
      <c r="F146" s="609"/>
    </row>
    <row r="147" spans="2:10" ht="12.6">
      <c r="B147" s="183" t="s">
        <v>11</v>
      </c>
      <c r="C147" s="229">
        <f>+SUM(C135:C146)</f>
        <v>1017678339.4499999</v>
      </c>
      <c r="D147" s="313"/>
      <c r="E147" s="731" t="s">
        <v>161</v>
      </c>
      <c r="F147" s="544">
        <f>1820950-13</f>
        <v>1820937</v>
      </c>
    </row>
    <row r="148" spans="2:10" ht="12.6">
      <c r="B148" s="183" t="s">
        <v>143</v>
      </c>
      <c r="C148" s="229">
        <f>+'Caja Real mensual '!L52</f>
        <v>1017678339.4499997</v>
      </c>
      <c r="D148" s="717"/>
      <c r="E148" s="545" t="s">
        <v>144</v>
      </c>
      <c r="F148" s="546">
        <v>625514</v>
      </c>
    </row>
    <row r="149" spans="2:10" ht="12.6">
      <c r="B149" s="183" t="s">
        <v>145</v>
      </c>
      <c r="C149" s="228" t="str">
        <f>IF(C147=C148,"La Caja esta cuadrada","Caja descuadrada")</f>
        <v>La Caja esta cuadrada</v>
      </c>
      <c r="D149" s="721"/>
      <c r="E149" s="695" t="s">
        <v>146</v>
      </c>
      <c r="F149" s="546">
        <v>3000000</v>
      </c>
    </row>
    <row r="150" spans="2:10" ht="12.6">
      <c r="B150" s="183" t="s">
        <v>87</v>
      </c>
      <c r="C150" s="229">
        <f>+C147-C148</f>
        <v>0</v>
      </c>
      <c r="E150" s="547" t="s">
        <v>147</v>
      </c>
      <c r="F150" s="546">
        <v>3000000</v>
      </c>
    </row>
    <row r="151" spans="2:10" ht="12.6">
      <c r="C151" s="234"/>
      <c r="E151" s="547" t="s">
        <v>150</v>
      </c>
      <c r="F151" s="546">
        <v>3000000</v>
      </c>
    </row>
    <row r="152" spans="2:10" ht="12.6">
      <c r="C152" s="234"/>
      <c r="E152" s="547" t="s">
        <v>174</v>
      </c>
      <c r="F152" s="546">
        <v>3000000</v>
      </c>
      <c r="H152" s="112">
        <v>156423.35</v>
      </c>
      <c r="I152" s="112" t="s">
        <v>193</v>
      </c>
    </row>
    <row r="153" spans="2:10" ht="12.6">
      <c r="C153" s="234"/>
      <c r="E153" s="547" t="s">
        <v>175</v>
      </c>
      <c r="F153" s="546">
        <v>2000000</v>
      </c>
      <c r="H153" s="112">
        <v>40000</v>
      </c>
      <c r="I153" s="112" t="s">
        <v>194</v>
      </c>
    </row>
    <row r="154" spans="2:10" ht="12.6">
      <c r="C154" s="234"/>
      <c r="E154" s="547" t="s">
        <v>149</v>
      </c>
      <c r="F154" s="546">
        <v>2000000</v>
      </c>
      <c r="H154" s="112">
        <v>192640</v>
      </c>
      <c r="I154" s="112" t="s">
        <v>195</v>
      </c>
    </row>
    <row r="155" spans="2:10" ht="12.6">
      <c r="C155" s="234"/>
      <c r="E155" s="547" t="s">
        <v>196</v>
      </c>
      <c r="F155" s="546">
        <v>1000000</v>
      </c>
    </row>
    <row r="156" spans="2:10" ht="12.6">
      <c r="E156" s="547" t="s">
        <v>197</v>
      </c>
      <c r="F156" s="546">
        <v>816000</v>
      </c>
    </row>
    <row r="157" spans="2:10" ht="12.6">
      <c r="C157" s="752"/>
      <c r="E157" s="547" t="s">
        <v>178</v>
      </c>
      <c r="F157" s="546">
        <v>506500</v>
      </c>
    </row>
    <row r="158" spans="2:10" ht="12.6">
      <c r="C158" s="752"/>
      <c r="E158" s="547" t="s">
        <v>181</v>
      </c>
      <c r="F158" s="546">
        <v>1000000</v>
      </c>
    </row>
    <row r="159" spans="2:10" ht="12.6">
      <c r="C159" s="752"/>
      <c r="E159" s="547" t="s">
        <v>198</v>
      </c>
      <c r="F159" s="546">
        <v>200000</v>
      </c>
      <c r="I159" s="112">
        <v>1000000</v>
      </c>
      <c r="J159" s="112" t="s">
        <v>199</v>
      </c>
    </row>
    <row r="160" spans="2:10" ht="12.6">
      <c r="C160" s="752"/>
      <c r="E160" s="547" t="s">
        <v>185</v>
      </c>
      <c r="F160" s="546">
        <v>-113099</v>
      </c>
      <c r="I160" s="112">
        <v>300000</v>
      </c>
      <c r="J160" s="112" t="s">
        <v>200</v>
      </c>
    </row>
    <row r="161" spans="5:6" ht="12.6">
      <c r="E161" s="547" t="s">
        <v>186</v>
      </c>
      <c r="F161" s="546">
        <v>-39300</v>
      </c>
    </row>
    <row r="162" spans="5:6" ht="12.6">
      <c r="E162" s="547" t="s">
        <v>201</v>
      </c>
      <c r="F162" s="546">
        <v>300000</v>
      </c>
    </row>
    <row r="163" spans="5:6" ht="12.6">
      <c r="E163" s="547" t="s">
        <v>189</v>
      </c>
      <c r="F163" s="546">
        <v>11510</v>
      </c>
    </row>
    <row r="164" spans="5:6" ht="12.6">
      <c r="E164" s="183" t="s">
        <v>159</v>
      </c>
      <c r="F164" s="608">
        <f>+SUM(F147:F163)</f>
        <v>22128062</v>
      </c>
    </row>
    <row r="165" spans="5:6" ht="12.6">
      <c r="E165" s="308"/>
      <c r="F165" s="609"/>
    </row>
    <row r="166" spans="5:6" ht="12.6">
      <c r="E166" s="183" t="s">
        <v>87</v>
      </c>
      <c r="F166" s="608">
        <f>+F164-(F143-F145)</f>
        <v>-0.30999999865889549</v>
      </c>
    </row>
    <row r="167" spans="5:6" ht="12.6"/>
    <row r="168" spans="5:6" ht="12.6"/>
    <row r="169" spans="5:6" ht="12.6"/>
    <row r="170" spans="5:6" ht="11.1" customHeight="1"/>
    <row r="171" spans="5:6" ht="12.6"/>
    <row r="173" spans="5:6" s="772" customFormat="1" ht="12.75" customHeight="1">
      <c r="F173" s="773"/>
    </row>
    <row r="180" spans="2:9" ht="12.75" customHeight="1">
      <c r="B180" s="183" t="s">
        <v>122</v>
      </c>
      <c r="C180" s="222">
        <v>45808</v>
      </c>
      <c r="E180" s="315" t="s">
        <v>123</v>
      </c>
      <c r="F180" s="606" t="s">
        <v>124</v>
      </c>
      <c r="G180" s="316" t="s">
        <v>125</v>
      </c>
    </row>
    <row r="181" spans="2:9" ht="12.75" customHeight="1">
      <c r="B181" s="206"/>
      <c r="C181" s="206"/>
      <c r="E181" s="312"/>
      <c r="F181" s="607"/>
      <c r="G181" s="317"/>
    </row>
    <row r="182" spans="2:9" ht="12.75" customHeight="1">
      <c r="B182" s="183" t="s">
        <v>126</v>
      </c>
      <c r="C182" s="230">
        <v>7327766</v>
      </c>
      <c r="E182" s="314" t="s">
        <v>128</v>
      </c>
      <c r="F182" s="608">
        <f>+F164</f>
        <v>22128062</v>
      </c>
      <c r="G182" s="318"/>
    </row>
    <row r="183" spans="2:9" ht="12.75" customHeight="1">
      <c r="B183" s="183" t="s">
        <v>127</v>
      </c>
      <c r="C183" s="230">
        <v>19619096</v>
      </c>
      <c r="E183" s="313" t="s">
        <v>130</v>
      </c>
      <c r="F183" s="696">
        <f>10000000+300000</f>
        <v>10300000</v>
      </c>
      <c r="G183" s="183" t="s">
        <v>131</v>
      </c>
    </row>
    <row r="184" spans="2:9" ht="12.75" customHeight="1">
      <c r="B184" s="183" t="s">
        <v>129</v>
      </c>
      <c r="C184" s="230">
        <v>45950</v>
      </c>
      <c r="E184" s="183" t="s">
        <v>160</v>
      </c>
      <c r="F184" s="608">
        <f>350000+186000</f>
        <v>536000</v>
      </c>
      <c r="G184" s="183" t="s">
        <v>134</v>
      </c>
    </row>
    <row r="185" spans="2:9" ht="12.75" customHeight="1">
      <c r="B185" s="226" t="s">
        <v>132</v>
      </c>
      <c r="C185" s="730">
        <v>3443832.23</v>
      </c>
      <c r="E185" s="183" t="s">
        <v>160</v>
      </c>
      <c r="F185" s="608">
        <f>152400+541411+682307+932244+1427101+400000+400000+650000</f>
        <v>5185463</v>
      </c>
      <c r="G185" s="226" t="s">
        <v>56</v>
      </c>
    </row>
    <row r="186" spans="2:9" ht="12.75" customHeight="1">
      <c r="B186" s="183" t="s">
        <v>135</v>
      </c>
      <c r="C186" s="230">
        <v>108691</v>
      </c>
      <c r="E186" s="183" t="s">
        <v>160</v>
      </c>
      <c r="F186" s="608">
        <f>1460000+810000+910000</f>
        <v>3180000</v>
      </c>
      <c r="G186" s="226" t="s">
        <v>190</v>
      </c>
    </row>
    <row r="187" spans="2:9" ht="12.75" customHeight="1">
      <c r="B187" s="183" t="s">
        <v>137</v>
      </c>
      <c r="C187" s="230">
        <f>+F212</f>
        <v>20669237</v>
      </c>
      <c r="E187" s="183" t="s">
        <v>160</v>
      </c>
      <c r="F187" s="608">
        <v>0</v>
      </c>
      <c r="G187" s="226" t="s">
        <v>191</v>
      </c>
    </row>
    <row r="188" spans="2:9" ht="12.75" customHeight="1">
      <c r="B188" s="183" t="s">
        <v>138</v>
      </c>
      <c r="C188" s="546">
        <v>6976964</v>
      </c>
      <c r="E188" s="183" t="s">
        <v>160</v>
      </c>
      <c r="F188" s="608">
        <f>-1097346+600000+1419018-548500+400000+100000+1000000-286346+2209432+2425776+3758300</f>
        <v>9980334</v>
      </c>
      <c r="G188" s="226" t="s">
        <v>136</v>
      </c>
    </row>
    <row r="189" spans="2:9" ht="12.75" customHeight="1">
      <c r="B189" s="226" t="s">
        <v>139</v>
      </c>
      <c r="C189" s="588">
        <v>160251206.08000001</v>
      </c>
      <c r="E189" s="206"/>
      <c r="F189" s="609"/>
      <c r="G189" s="309"/>
    </row>
    <row r="190" spans="2:9" ht="12.75" customHeight="1">
      <c r="B190" s="311" t="s">
        <v>171</v>
      </c>
      <c r="C190" s="588">
        <v>13932.4</v>
      </c>
      <c r="D190" s="751"/>
      <c r="E190" s="183" t="s">
        <v>11</v>
      </c>
      <c r="F190" s="610">
        <f>+F182+F183+F184+F188+F185+F186+F187</f>
        <v>51309859</v>
      </c>
      <c r="G190" s="233"/>
      <c r="I190" s="611"/>
    </row>
    <row r="191" spans="2:9" ht="12.75" customHeight="1">
      <c r="B191" s="311" t="s">
        <v>192</v>
      </c>
      <c r="C191" s="588">
        <v>19822.63</v>
      </c>
      <c r="D191" s="232"/>
      <c r="E191" s="308"/>
      <c r="F191" s="609"/>
    </row>
    <row r="192" spans="2:9" ht="12.75" customHeight="1">
      <c r="B192" s="311" t="s">
        <v>140</v>
      </c>
      <c r="C192" s="588">
        <v>1726571442.5999999</v>
      </c>
      <c r="D192" s="821"/>
      <c r="E192" s="183" t="s">
        <v>141</v>
      </c>
      <c r="F192" s="816">
        <f>30640661.59-40</f>
        <v>30640621.59</v>
      </c>
    </row>
    <row r="193" spans="2:11" ht="12.75" customHeight="1">
      <c r="B193" s="933"/>
      <c r="C193" s="934"/>
      <c r="F193" s="611"/>
      <c r="I193" s="817">
        <v>600000</v>
      </c>
      <c r="J193" s="783" t="s">
        <v>202</v>
      </c>
      <c r="K193" s="783"/>
    </row>
    <row r="194" spans="2:11" ht="12.75" customHeight="1">
      <c r="B194" s="183" t="s">
        <v>11</v>
      </c>
      <c r="C194" s="229">
        <f>+SUM(C182:C193)</f>
        <v>1945047939.9399998</v>
      </c>
      <c r="D194" s="818"/>
      <c r="E194" s="820" t="s">
        <v>161</v>
      </c>
      <c r="F194" s="816">
        <f>1315050-13</f>
        <v>1315037</v>
      </c>
      <c r="I194" s="817">
        <v>39300</v>
      </c>
      <c r="J194" s="112" t="s">
        <v>203</v>
      </c>
      <c r="K194" s="112" t="s">
        <v>204</v>
      </c>
    </row>
    <row r="195" spans="2:11" ht="12.75" customHeight="1">
      <c r="B195" s="183" t="s">
        <v>143</v>
      </c>
      <c r="C195" s="229">
        <f>+'Caja Real mensual '!M52</f>
        <v>1945047939.9400001</v>
      </c>
      <c r="D195" s="717"/>
      <c r="E195" s="815" t="s">
        <v>144</v>
      </c>
      <c r="F195" s="546">
        <v>625514</v>
      </c>
      <c r="I195" s="817">
        <v>113100</v>
      </c>
      <c r="J195" s="112" t="s">
        <v>205</v>
      </c>
      <c r="K195" s="112" t="s">
        <v>204</v>
      </c>
    </row>
    <row r="196" spans="2:11" ht="12.75" customHeight="1">
      <c r="B196" s="183" t="s">
        <v>145</v>
      </c>
      <c r="C196" s="228" t="str">
        <f>IF(C194=C195,"La Caja esta cuadrada","Caja descuadrada")</f>
        <v>La Caja esta cuadrada</v>
      </c>
      <c r="D196" s="721"/>
      <c r="E196" s="819" t="s">
        <v>146</v>
      </c>
      <c r="F196" s="546">
        <v>2996165</v>
      </c>
      <c r="I196" s="817">
        <v>400000</v>
      </c>
      <c r="J196" s="112" t="s">
        <v>206</v>
      </c>
      <c r="K196" s="112" t="s">
        <v>207</v>
      </c>
    </row>
    <row r="197" spans="2:11" ht="12.75" customHeight="1">
      <c r="B197" s="183" t="s">
        <v>87</v>
      </c>
      <c r="C197" s="229">
        <f>+C194-C195</f>
        <v>0</v>
      </c>
      <c r="E197" s="547" t="s">
        <v>147</v>
      </c>
      <c r="F197" s="546">
        <v>3000000</v>
      </c>
      <c r="I197" s="817">
        <v>100000</v>
      </c>
      <c r="J197" s="112" t="s">
        <v>208</v>
      </c>
      <c r="K197" s="112" t="s">
        <v>207</v>
      </c>
    </row>
    <row r="198" spans="2:11" ht="12.75" customHeight="1">
      <c r="C198" s="718"/>
      <c r="E198" s="547" t="s">
        <v>150</v>
      </c>
      <c r="F198" s="546">
        <v>3000000</v>
      </c>
      <c r="I198" s="817">
        <v>1000000</v>
      </c>
      <c r="J198" s="112" t="s">
        <v>209</v>
      </c>
      <c r="K198" s="112" t="s">
        <v>207</v>
      </c>
    </row>
    <row r="199" spans="2:11" ht="12.75" customHeight="1">
      <c r="C199" s="234"/>
      <c r="E199" s="547" t="s">
        <v>174</v>
      </c>
      <c r="F199" s="546">
        <v>2000000</v>
      </c>
      <c r="I199" s="817">
        <v>400000</v>
      </c>
      <c r="J199" s="112" t="s">
        <v>205</v>
      </c>
      <c r="K199" s="112" t="s">
        <v>204</v>
      </c>
    </row>
    <row r="200" spans="2:11" ht="12.75" customHeight="1">
      <c r="C200" s="234"/>
      <c r="E200" s="547" t="s">
        <v>175</v>
      </c>
      <c r="F200" s="546">
        <v>2000000</v>
      </c>
      <c r="I200" s="817">
        <v>400000</v>
      </c>
      <c r="J200" s="112" t="s">
        <v>210</v>
      </c>
      <c r="K200" s="112" t="s">
        <v>204</v>
      </c>
    </row>
    <row r="201" spans="2:11" ht="12.75" customHeight="1">
      <c r="C201" s="234"/>
      <c r="E201" s="547" t="s">
        <v>149</v>
      </c>
      <c r="F201" s="546">
        <v>2000000</v>
      </c>
      <c r="I201" s="817">
        <v>1427101</v>
      </c>
      <c r="J201" s="112" t="s">
        <v>211</v>
      </c>
      <c r="K201" s="112" t="s">
        <v>204</v>
      </c>
    </row>
    <row r="202" spans="2:11" ht="12.75" customHeight="1">
      <c r="C202" s="234"/>
      <c r="E202" s="547" t="s">
        <v>196</v>
      </c>
      <c r="F202" s="546">
        <v>1000000</v>
      </c>
      <c r="I202" s="817">
        <v>905107</v>
      </c>
      <c r="J202" s="112" t="s">
        <v>212</v>
      </c>
      <c r="K202" s="112" t="s">
        <v>204</v>
      </c>
    </row>
    <row r="203" spans="2:11" ht="12.75" customHeight="1">
      <c r="C203" s="752"/>
      <c r="E203" s="547" t="s">
        <v>213</v>
      </c>
      <c r="F203" s="546">
        <v>275000</v>
      </c>
      <c r="I203" s="817">
        <v>300000</v>
      </c>
      <c r="J203" s="112" t="s">
        <v>214</v>
      </c>
      <c r="K203" s="112" t="s">
        <v>215</v>
      </c>
    </row>
    <row r="204" spans="2:11" ht="12.75" customHeight="1">
      <c r="C204" s="752"/>
      <c r="E204" s="812" t="s">
        <v>216</v>
      </c>
      <c r="F204" s="813">
        <v>-201833</v>
      </c>
      <c r="I204" s="752">
        <v>650000</v>
      </c>
      <c r="J204" s="112" t="s">
        <v>217</v>
      </c>
      <c r="K204" s="112" t="s">
        <v>204</v>
      </c>
    </row>
    <row r="205" spans="2:11" ht="12.6" customHeight="1">
      <c r="E205" s="815" t="s">
        <v>218</v>
      </c>
      <c r="F205" s="816">
        <v>300000</v>
      </c>
      <c r="I205" s="752">
        <v>-286346</v>
      </c>
      <c r="J205" s="112" t="s">
        <v>219</v>
      </c>
      <c r="K205" s="112" t="s">
        <v>207</v>
      </c>
    </row>
    <row r="206" spans="2:11" ht="12.6" customHeight="1">
      <c r="E206" s="815" t="s">
        <v>220</v>
      </c>
      <c r="F206" s="816">
        <v>650000</v>
      </c>
      <c r="I206" s="752">
        <v>2209432</v>
      </c>
      <c r="J206" s="112" t="s">
        <v>221</v>
      </c>
      <c r="K206" s="112" t="s">
        <v>207</v>
      </c>
    </row>
    <row r="207" spans="2:11" ht="12.6" customHeight="1">
      <c r="E207" s="815" t="s">
        <v>222</v>
      </c>
      <c r="F207" s="816">
        <v>600000</v>
      </c>
      <c r="I207" s="752">
        <v>2425776</v>
      </c>
      <c r="J207" s="112" t="s">
        <v>223</v>
      </c>
      <c r="K207" s="112" t="s">
        <v>207</v>
      </c>
    </row>
    <row r="208" spans="2:11" ht="12.6" customHeight="1">
      <c r="E208" s="815" t="s">
        <v>224</v>
      </c>
      <c r="F208" s="816">
        <v>400000</v>
      </c>
      <c r="I208" s="752">
        <v>3758300</v>
      </c>
      <c r="J208" s="112" t="s">
        <v>225</v>
      </c>
      <c r="K208" s="112" t="s">
        <v>207</v>
      </c>
    </row>
    <row r="209" spans="2:9" ht="12.6" customHeight="1">
      <c r="E209" s="815" t="s">
        <v>226</v>
      </c>
      <c r="F209" s="816">
        <v>400000</v>
      </c>
      <c r="I209" s="752"/>
    </row>
    <row r="210" spans="2:9" ht="12.6" customHeight="1">
      <c r="E210" s="815" t="s">
        <v>227</v>
      </c>
      <c r="F210" s="816">
        <v>100000</v>
      </c>
      <c r="I210" s="752"/>
    </row>
    <row r="211" spans="2:9" ht="12.6" customHeight="1">
      <c r="E211" s="815" t="s">
        <v>228</v>
      </c>
      <c r="F211" s="816">
        <v>209354</v>
      </c>
    </row>
    <row r="212" spans="2:9" ht="12.6" customHeight="1">
      <c r="E212" s="226" t="s">
        <v>159</v>
      </c>
      <c r="F212" s="814">
        <f>+SUM(F194:F211)</f>
        <v>20669237</v>
      </c>
    </row>
    <row r="213" spans="2:9" ht="12.6" customHeight="1">
      <c r="E213" s="308"/>
      <c r="F213" s="609"/>
    </row>
    <row r="214" spans="2:9" ht="12.6" customHeight="1">
      <c r="E214" s="183" t="s">
        <v>87</v>
      </c>
      <c r="F214" s="608">
        <f>+F212-(F190-F192)</f>
        <v>-0.41000000014901161</v>
      </c>
    </row>
    <row r="215" spans="2:9" ht="12.6" customHeight="1"/>
    <row r="216" spans="2:9" ht="12.6" customHeight="1"/>
    <row r="217" spans="2:9" s="823" customFormat="1" ht="12.6">
      <c r="F217" s="824"/>
    </row>
    <row r="218" spans="2:9" ht="12.6"/>
    <row r="219" spans="2:9" ht="12.6"/>
    <row r="222" spans="2:9" ht="12.75" customHeight="1">
      <c r="B222" s="183" t="s">
        <v>122</v>
      </c>
      <c r="C222" s="222">
        <v>45838</v>
      </c>
      <c r="E222" s="315" t="s">
        <v>123</v>
      </c>
      <c r="F222" s="606" t="s">
        <v>124</v>
      </c>
      <c r="G222" s="316" t="s">
        <v>125</v>
      </c>
    </row>
    <row r="223" spans="2:9" ht="12.75" customHeight="1">
      <c r="B223" s="206"/>
      <c r="C223" s="206"/>
      <c r="E223" s="312"/>
      <c r="F223" s="607"/>
      <c r="G223" s="317"/>
    </row>
    <row r="224" spans="2:9" ht="12.75" customHeight="1">
      <c r="B224" s="183" t="s">
        <v>126</v>
      </c>
      <c r="C224" s="230">
        <v>4353227.1900000004</v>
      </c>
      <c r="E224" s="314" t="s">
        <v>128</v>
      </c>
      <c r="F224" s="608">
        <f>+F212</f>
        <v>20669237</v>
      </c>
      <c r="G224" s="318"/>
    </row>
    <row r="225" spans="2:11" ht="12.75" customHeight="1">
      <c r="B225" s="183" t="s">
        <v>127</v>
      </c>
      <c r="C225" s="230">
        <v>25223141</v>
      </c>
      <c r="E225" s="313" t="s">
        <v>130</v>
      </c>
      <c r="F225" s="696">
        <v>12000000</v>
      </c>
      <c r="G225" s="183" t="s">
        <v>131</v>
      </c>
    </row>
    <row r="226" spans="2:11" ht="12.75" customHeight="1">
      <c r="B226" s="183" t="s">
        <v>129</v>
      </c>
      <c r="C226" s="230">
        <v>45950</v>
      </c>
      <c r="E226" s="183" t="s">
        <v>160</v>
      </c>
      <c r="F226" s="608">
        <v>200000</v>
      </c>
      <c r="G226" s="183" t="s">
        <v>134</v>
      </c>
    </row>
    <row r="227" spans="2:11" ht="12.75" customHeight="1">
      <c r="B227" s="226" t="s">
        <v>132</v>
      </c>
      <c r="C227" s="730">
        <v>1511931.02</v>
      </c>
      <c r="E227" s="183" t="s">
        <v>160</v>
      </c>
      <c r="F227" s="608">
        <f>201833+1184547+208404-326344</f>
        <v>1268440</v>
      </c>
      <c r="G227" s="226" t="s">
        <v>56</v>
      </c>
    </row>
    <row r="228" spans="2:11" ht="12.75" customHeight="1">
      <c r="B228" s="183" t="s">
        <v>135</v>
      </c>
      <c r="C228" s="230">
        <v>108691</v>
      </c>
      <c r="E228" s="183" t="s">
        <v>160</v>
      </c>
      <c r="F228" s="608">
        <f>850000+1100000</f>
        <v>1950000</v>
      </c>
      <c r="G228" s="226" t="s">
        <v>190</v>
      </c>
    </row>
    <row r="229" spans="2:11" ht="12.75" customHeight="1">
      <c r="B229" s="183" t="s">
        <v>137</v>
      </c>
      <c r="C229" s="230">
        <f>+F255</f>
        <v>18704812</v>
      </c>
      <c r="E229" s="183" t="s">
        <v>160</v>
      </c>
      <c r="F229" s="608">
        <v>0</v>
      </c>
      <c r="G229" s="226" t="s">
        <v>191</v>
      </c>
    </row>
    <row r="230" spans="2:11" ht="12.75" customHeight="1">
      <c r="B230" s="183" t="s">
        <v>138</v>
      </c>
      <c r="C230" s="546">
        <v>6976964</v>
      </c>
      <c r="E230" s="183" t="s">
        <v>160</v>
      </c>
      <c r="F230" s="608">
        <v>1300000</v>
      </c>
      <c r="G230" s="226" t="s">
        <v>136</v>
      </c>
    </row>
    <row r="231" spans="2:11" ht="12.75" customHeight="1">
      <c r="B231" s="226" t="s">
        <v>139</v>
      </c>
      <c r="C231" s="588">
        <v>249019760.96000001</v>
      </c>
      <c r="E231" s="206"/>
      <c r="F231" s="609"/>
      <c r="G231" s="309"/>
    </row>
    <row r="232" spans="2:11" ht="12.75" customHeight="1">
      <c r="B232" s="311" t="s">
        <v>171</v>
      </c>
      <c r="C232" s="588">
        <v>13932.4</v>
      </c>
      <c r="D232" s="751"/>
      <c r="E232" s="183" t="s">
        <v>11</v>
      </c>
      <c r="F232" s="610">
        <f>+F224+F225+F226+F230+F227+F228+F229</f>
        <v>37387677</v>
      </c>
      <c r="G232" s="233"/>
      <c r="I232" s="611"/>
    </row>
    <row r="233" spans="2:11" ht="12.75" customHeight="1">
      <c r="B233" s="311" t="s">
        <v>192</v>
      </c>
      <c r="C233" s="588">
        <v>1823202.03</v>
      </c>
      <c r="D233" s="232"/>
      <c r="E233" s="308"/>
      <c r="F233" s="609"/>
    </row>
    <row r="234" spans="2:11" ht="12.75" customHeight="1">
      <c r="B234" s="311" t="s">
        <v>140</v>
      </c>
      <c r="C234" s="588">
        <v>731820276.80999994</v>
      </c>
      <c r="D234" s="821"/>
      <c r="E234" s="183" t="s">
        <v>141</v>
      </c>
      <c r="F234" s="816">
        <f>18682980.84-116</f>
        <v>18682864.84</v>
      </c>
    </row>
    <row r="235" spans="2:11" ht="12.75" customHeight="1">
      <c r="B235" s="933"/>
      <c r="C235" s="934"/>
      <c r="D235" s="821"/>
      <c r="F235" s="611"/>
      <c r="I235" s="817">
        <v>201833</v>
      </c>
      <c r="J235" s="783" t="s">
        <v>229</v>
      </c>
      <c r="K235" s="783" t="s">
        <v>230</v>
      </c>
    </row>
    <row r="236" spans="2:11" ht="12.75" customHeight="1">
      <c r="B236" s="183" t="s">
        <v>11</v>
      </c>
      <c r="C236" s="229">
        <f>+SUM(C224:C235)</f>
        <v>1039601888.4099998</v>
      </c>
      <c r="D236" s="818"/>
      <c r="E236" s="820" t="s">
        <v>161</v>
      </c>
      <c r="F236" s="816">
        <v>3054600</v>
      </c>
      <c r="I236" s="817">
        <v>1184547</v>
      </c>
      <c r="J236" s="112" t="s">
        <v>231</v>
      </c>
      <c r="K236" s="783" t="s">
        <v>230</v>
      </c>
    </row>
    <row r="237" spans="2:11" ht="12.75" customHeight="1">
      <c r="B237" s="183" t="s">
        <v>143</v>
      </c>
      <c r="C237" s="229">
        <f>+'Caja Real mensual '!N52</f>
        <v>1039601888.4099998</v>
      </c>
      <c r="D237" s="717"/>
      <c r="E237" s="820" t="s">
        <v>232</v>
      </c>
      <c r="F237" s="816">
        <v>-2000000</v>
      </c>
      <c r="I237" s="817">
        <v>208404</v>
      </c>
      <c r="J237" s="112" t="s">
        <v>231</v>
      </c>
      <c r="K237" s="783" t="s">
        <v>230</v>
      </c>
    </row>
    <row r="238" spans="2:11" ht="12.75" customHeight="1">
      <c r="B238" s="183" t="s">
        <v>145</v>
      </c>
      <c r="C238" s="228" t="str">
        <f>IF(C236=C237,"La Caja esta cuadrada","Caja descuadrada")</f>
        <v>La Caja esta cuadrada</v>
      </c>
      <c r="D238" s="721"/>
      <c r="E238" s="815" t="s">
        <v>144</v>
      </c>
      <c r="F238" s="546">
        <v>625514</v>
      </c>
      <c r="I238" s="817">
        <v>858290</v>
      </c>
      <c r="J238" s="112" t="s">
        <v>233</v>
      </c>
      <c r="K238" s="112" t="s">
        <v>230</v>
      </c>
    </row>
    <row r="239" spans="2:11" ht="12.75" customHeight="1">
      <c r="B239" s="183" t="s">
        <v>87</v>
      </c>
      <c r="C239" s="688">
        <f>+C236-C237</f>
        <v>0</v>
      </c>
      <c r="E239" s="819" t="s">
        <v>146</v>
      </c>
      <c r="F239" s="546">
        <v>1103244</v>
      </c>
      <c r="I239" s="817"/>
    </row>
    <row r="240" spans="2:11" ht="12.75" customHeight="1">
      <c r="C240" s="718"/>
      <c r="E240" s="547" t="s">
        <v>147</v>
      </c>
      <c r="F240" s="546">
        <v>3000000</v>
      </c>
      <c r="I240" s="817">
        <v>1108850</v>
      </c>
      <c r="J240" s="112" t="s">
        <v>234</v>
      </c>
      <c r="K240" s="112" t="s">
        <v>230</v>
      </c>
    </row>
    <row r="241" spans="3:11" ht="12.75" customHeight="1">
      <c r="C241" s="234"/>
      <c r="E241" s="547" t="s">
        <v>150</v>
      </c>
      <c r="F241" s="546">
        <v>3000000</v>
      </c>
      <c r="I241" s="817"/>
    </row>
    <row r="242" spans="3:11" ht="12.75" customHeight="1">
      <c r="C242" s="234"/>
      <c r="E242" s="547" t="s">
        <v>174</v>
      </c>
      <c r="F242" s="546">
        <v>2000000</v>
      </c>
      <c r="I242" s="817">
        <v>1300000</v>
      </c>
      <c r="J242" s="112" t="s">
        <v>235</v>
      </c>
      <c r="K242" s="112" t="s">
        <v>230</v>
      </c>
    </row>
    <row r="243" spans="3:11" ht="12.75" customHeight="1">
      <c r="C243" s="234"/>
      <c r="E243" s="547" t="s">
        <v>175</v>
      </c>
      <c r="F243" s="546">
        <v>2000000</v>
      </c>
      <c r="I243" s="817">
        <v>1815621</v>
      </c>
      <c r="J243" s="112" t="s">
        <v>233</v>
      </c>
      <c r="K243" s="112" t="s">
        <v>230</v>
      </c>
    </row>
    <row r="244" spans="3:11" ht="12.75" customHeight="1">
      <c r="C244" s="234"/>
      <c r="E244" s="547" t="s">
        <v>149</v>
      </c>
      <c r="F244" s="546">
        <v>2000000</v>
      </c>
      <c r="I244" s="817">
        <v>-326344</v>
      </c>
      <c r="J244" s="112" t="s">
        <v>236</v>
      </c>
      <c r="K244" s="112" t="s">
        <v>230</v>
      </c>
    </row>
    <row r="245" spans="3:11" ht="12.6" customHeight="1">
      <c r="C245" s="752"/>
      <c r="D245" s="854"/>
      <c r="E245" s="812" t="s">
        <v>196</v>
      </c>
      <c r="F245" s="813">
        <v>1000000</v>
      </c>
      <c r="G245" s="818"/>
      <c r="I245" s="817"/>
    </row>
    <row r="246" spans="3:11" ht="12.6" customHeight="1">
      <c r="C246" s="752"/>
      <c r="E246" s="815" t="s">
        <v>237</v>
      </c>
      <c r="F246" s="816">
        <v>12100</v>
      </c>
      <c r="I246" s="817"/>
    </row>
    <row r="247" spans="3:11" ht="12.6" customHeight="1">
      <c r="E247" s="815" t="s">
        <v>238</v>
      </c>
      <c r="F247" s="816">
        <v>1300000</v>
      </c>
      <c r="I247" s="752"/>
    </row>
    <row r="248" spans="3:11" ht="12.6" customHeight="1">
      <c r="E248" s="815" t="s">
        <v>218</v>
      </c>
      <c r="F248" s="816">
        <v>300000</v>
      </c>
      <c r="I248" s="752"/>
    </row>
    <row r="249" spans="3:11" ht="12.6" customHeight="1">
      <c r="E249" s="815" t="s">
        <v>239</v>
      </c>
      <c r="F249" s="816">
        <v>100000</v>
      </c>
      <c r="I249" s="752"/>
    </row>
    <row r="250" spans="3:11" ht="12.6" customHeight="1">
      <c r="E250" s="815" t="s">
        <v>240</v>
      </c>
      <c r="F250" s="816">
        <v>300000</v>
      </c>
      <c r="I250" s="752"/>
    </row>
    <row r="251" spans="3:11" ht="12.6" customHeight="1">
      <c r="E251" s="815" t="s">
        <v>241</v>
      </c>
      <c r="F251" s="816">
        <v>350000</v>
      </c>
      <c r="I251" s="752"/>
    </row>
    <row r="252" spans="3:11" ht="12.6" customHeight="1">
      <c r="E252" s="815" t="s">
        <v>242</v>
      </c>
      <c r="F252" s="816">
        <v>150000</v>
      </c>
      <c r="I252" s="752"/>
    </row>
    <row r="253" spans="3:11" ht="12.6" customHeight="1">
      <c r="E253" s="815" t="s">
        <v>243</v>
      </c>
      <c r="F253" s="816">
        <v>200000</v>
      </c>
    </row>
    <row r="254" spans="3:11" ht="12.6" customHeight="1">
      <c r="E254" s="815" t="s">
        <v>228</v>
      </c>
      <c r="F254" s="816">
        <v>209354</v>
      </c>
    </row>
    <row r="255" spans="3:11" ht="12.6" customHeight="1">
      <c r="E255" s="226" t="s">
        <v>159</v>
      </c>
      <c r="F255" s="814">
        <f>+SUM(F236:F254)</f>
        <v>18704812</v>
      </c>
    </row>
    <row r="256" spans="3:11" ht="12.6" customHeight="1">
      <c r="E256" s="308"/>
      <c r="F256" s="609"/>
    </row>
    <row r="257" spans="2:7" ht="12.75" customHeight="1">
      <c r="E257" s="183" t="s">
        <v>87</v>
      </c>
      <c r="F257" s="608">
        <f>+F255-(F232-F234)</f>
        <v>-0.16000000014901161</v>
      </c>
    </row>
    <row r="262" spans="2:7" s="691" customFormat="1" ht="12.75" customHeight="1">
      <c r="F262" s="692"/>
    </row>
    <row r="268" spans="2:7" ht="12.75" customHeight="1">
      <c r="B268" s="183" t="s">
        <v>122</v>
      </c>
      <c r="C268" s="222">
        <v>45849</v>
      </c>
      <c r="E268" s="315" t="s">
        <v>123</v>
      </c>
      <c r="F268" s="606" t="s">
        <v>124</v>
      </c>
      <c r="G268" s="316" t="s">
        <v>125</v>
      </c>
    </row>
    <row r="269" spans="2:7" ht="12.75" customHeight="1">
      <c r="B269" s="206"/>
      <c r="C269" s="206"/>
      <c r="E269" s="312"/>
      <c r="F269" s="607"/>
      <c r="G269" s="317"/>
    </row>
    <row r="270" spans="2:7" ht="12.75" customHeight="1">
      <c r="B270" s="183" t="s">
        <v>126</v>
      </c>
      <c r="C270" s="230">
        <v>11776137.189999999</v>
      </c>
      <c r="E270" s="314" t="s">
        <v>128</v>
      </c>
      <c r="F270" s="608">
        <f>+F255</f>
        <v>18704812</v>
      </c>
      <c r="G270" s="318"/>
    </row>
    <row r="271" spans="2:7" ht="12.75" customHeight="1">
      <c r="B271" s="183" t="s">
        <v>127</v>
      </c>
      <c r="C271" s="230">
        <v>28137870</v>
      </c>
      <c r="E271" s="313" t="s">
        <v>130</v>
      </c>
      <c r="F271" s="696">
        <v>10000000</v>
      </c>
      <c r="G271" s="183" t="s">
        <v>131</v>
      </c>
    </row>
    <row r="272" spans="2:7" ht="12.75" customHeight="1">
      <c r="B272" s="183" t="s">
        <v>129</v>
      </c>
      <c r="C272" s="230">
        <v>45950</v>
      </c>
      <c r="E272" s="183" t="s">
        <v>160</v>
      </c>
      <c r="F272" s="608">
        <f>90000+40000</f>
        <v>130000</v>
      </c>
      <c r="G272" s="183" t="s">
        <v>134</v>
      </c>
    </row>
    <row r="273" spans="2:11" ht="12.75" customHeight="1">
      <c r="B273" s="226" t="s">
        <v>132</v>
      </c>
      <c r="C273" s="730">
        <v>5599765.21</v>
      </c>
      <c r="E273" s="183" t="s">
        <v>160</v>
      </c>
      <c r="F273" s="608">
        <f>3000000+1063822-100000</f>
        <v>3963822</v>
      </c>
      <c r="G273" s="226" t="s">
        <v>56</v>
      </c>
    </row>
    <row r="274" spans="2:11" ht="12.75" customHeight="1">
      <c r="B274" s="183" t="s">
        <v>135</v>
      </c>
      <c r="C274" s="230">
        <v>108691</v>
      </c>
      <c r="E274" s="183" t="s">
        <v>160</v>
      </c>
      <c r="F274" s="608">
        <f>1800000+1000000</f>
        <v>2800000</v>
      </c>
      <c r="G274" s="226" t="s">
        <v>190</v>
      </c>
    </row>
    <row r="275" spans="2:11" ht="12.75" customHeight="1">
      <c r="B275" s="183" t="s">
        <v>137</v>
      </c>
      <c r="C275" s="230">
        <f>+F300</f>
        <v>23654712</v>
      </c>
      <c r="E275" s="183" t="s">
        <v>160</v>
      </c>
      <c r="F275" s="608">
        <v>0</v>
      </c>
      <c r="G275" s="226" t="s">
        <v>191</v>
      </c>
    </row>
    <row r="276" spans="2:11" ht="12.75" customHeight="1">
      <c r="B276" s="183" t="s">
        <v>138</v>
      </c>
      <c r="C276" s="546">
        <v>6976964</v>
      </c>
      <c r="E276" s="183" t="s">
        <v>160</v>
      </c>
      <c r="F276" s="608">
        <v>3599990</v>
      </c>
      <c r="G276" s="226" t="s">
        <v>136</v>
      </c>
    </row>
    <row r="277" spans="2:11" ht="12.75" customHeight="1">
      <c r="B277" s="226" t="s">
        <v>139</v>
      </c>
      <c r="C277" s="588">
        <v>104592426</v>
      </c>
      <c r="E277" s="206"/>
      <c r="F277" s="609"/>
      <c r="G277" s="309"/>
    </row>
    <row r="278" spans="2:11" ht="12.75" customHeight="1">
      <c r="B278" s="311" t="s">
        <v>171</v>
      </c>
      <c r="C278" s="588">
        <v>13932.4</v>
      </c>
      <c r="D278" s="751"/>
      <c r="E278" s="183" t="s">
        <v>11</v>
      </c>
      <c r="F278" s="610">
        <f>+F270+F271+F272+F276+F273+F274+F275</f>
        <v>39198624</v>
      </c>
      <c r="G278" s="233"/>
      <c r="I278" s="611"/>
    </row>
    <row r="279" spans="2:11" ht="12.75" customHeight="1">
      <c r="B279" s="311" t="s">
        <v>192</v>
      </c>
      <c r="C279" s="588">
        <v>17657.71</v>
      </c>
      <c r="D279" s="232"/>
      <c r="E279" s="308"/>
      <c r="F279" s="609"/>
    </row>
    <row r="280" spans="2:11" ht="12.75" customHeight="1">
      <c r="B280" s="311" t="s">
        <v>140</v>
      </c>
      <c r="C280" s="588">
        <v>733381944.73000002</v>
      </c>
      <c r="D280" s="821"/>
      <c r="E280" s="183" t="s">
        <v>141</v>
      </c>
      <c r="F280" s="816">
        <f>15544033.1-121</f>
        <v>15543912.1</v>
      </c>
    </row>
    <row r="281" spans="2:11" ht="12.75" customHeight="1">
      <c r="B281" s="933"/>
      <c r="C281" s="934"/>
      <c r="D281" s="821"/>
      <c r="F281" s="611"/>
      <c r="I281" s="817">
        <v>1027238</v>
      </c>
      <c r="J281" s="783" t="s">
        <v>244</v>
      </c>
      <c r="K281" s="783" t="s">
        <v>230</v>
      </c>
    </row>
    <row r="282" spans="2:11" ht="12.75" customHeight="1">
      <c r="B282" s="183" t="s">
        <v>11</v>
      </c>
      <c r="C282" s="229">
        <f>+SUM(C270:C281)</f>
        <v>914306050.24000001</v>
      </c>
      <c r="D282" s="818"/>
      <c r="E282" s="820" t="s">
        <v>161</v>
      </c>
      <c r="F282" s="816">
        <v>1453800</v>
      </c>
      <c r="I282" s="817">
        <v>3000000</v>
      </c>
      <c r="J282" s="112" t="s">
        <v>245</v>
      </c>
      <c r="K282" s="783" t="s">
        <v>230</v>
      </c>
    </row>
    <row r="283" spans="2:11" ht="12.75" customHeight="1">
      <c r="B283" s="183" t="s">
        <v>143</v>
      </c>
      <c r="C283" s="229">
        <f>+'Caja Real mensual '!O52</f>
        <v>914306050.24000025</v>
      </c>
      <c r="D283" s="717"/>
      <c r="E283" s="815" t="s">
        <v>144</v>
      </c>
      <c r="F283" s="546">
        <v>625514</v>
      </c>
      <c r="I283" s="817">
        <v>1000000</v>
      </c>
      <c r="J283" s="112" t="s">
        <v>246</v>
      </c>
      <c r="K283" s="783" t="s">
        <v>136</v>
      </c>
    </row>
    <row r="284" spans="2:11" ht="12.75" customHeight="1">
      <c r="B284" s="183" t="s">
        <v>145</v>
      </c>
      <c r="C284" s="228" t="str">
        <f>IF(C282=C283,"La Caja esta cuadrada","Caja descuadrada")</f>
        <v>La Caja esta cuadrada</v>
      </c>
      <c r="D284" s="721"/>
      <c r="E284" s="819" t="s">
        <v>146</v>
      </c>
      <c r="F284" s="546">
        <v>2876044</v>
      </c>
      <c r="I284" s="817">
        <v>2599990</v>
      </c>
      <c r="J284" s="112" t="s">
        <v>247</v>
      </c>
      <c r="K284" s="783" t="s">
        <v>136</v>
      </c>
    </row>
    <row r="285" spans="2:11" ht="12.75" customHeight="1">
      <c r="B285" s="183" t="s">
        <v>87</v>
      </c>
      <c r="C285" s="229">
        <f>+C282-C283</f>
        <v>0</v>
      </c>
      <c r="E285" s="547" t="s">
        <v>147</v>
      </c>
      <c r="F285" s="546">
        <v>3000000</v>
      </c>
      <c r="I285" s="817"/>
    </row>
    <row r="286" spans="2:11" ht="12.75" customHeight="1">
      <c r="C286" s="718"/>
      <c r="E286" s="547" t="s">
        <v>150</v>
      </c>
      <c r="F286" s="546">
        <v>3000000</v>
      </c>
      <c r="I286" s="817">
        <v>1063822</v>
      </c>
      <c r="J286" s="112" t="s">
        <v>248</v>
      </c>
      <c r="K286" s="112" t="s">
        <v>230</v>
      </c>
    </row>
    <row r="287" spans="2:11" ht="12.75" customHeight="1">
      <c r="C287" s="234"/>
      <c r="E287" s="547" t="s">
        <v>249</v>
      </c>
      <c r="F287" s="546">
        <v>3000000</v>
      </c>
      <c r="I287" s="817">
        <v>-100000</v>
      </c>
      <c r="J287" s="112" t="s">
        <v>250</v>
      </c>
      <c r="K287" s="112" t="s">
        <v>230</v>
      </c>
    </row>
    <row r="288" spans="2:11" ht="12.75" customHeight="1">
      <c r="C288" s="234"/>
      <c r="E288" s="547" t="s">
        <v>174</v>
      </c>
      <c r="F288" s="546">
        <v>2000000</v>
      </c>
      <c r="I288" s="817"/>
    </row>
    <row r="289" spans="3:9" ht="12.75" customHeight="1">
      <c r="C289" s="234"/>
      <c r="E289" s="812" t="s">
        <v>175</v>
      </c>
      <c r="F289" s="813">
        <v>2000000</v>
      </c>
      <c r="I289" s="817"/>
    </row>
    <row r="290" spans="3:9" ht="12.75" customHeight="1">
      <c r="C290" s="234"/>
      <c r="E290" s="815" t="s">
        <v>149</v>
      </c>
      <c r="F290" s="816">
        <v>2000000</v>
      </c>
      <c r="I290" s="817"/>
    </row>
    <row r="291" spans="3:9" ht="12.6" customHeight="1">
      <c r="C291" s="752"/>
      <c r="E291" s="815" t="s">
        <v>196</v>
      </c>
      <c r="F291" s="816">
        <v>1000000</v>
      </c>
      <c r="I291" s="817"/>
    </row>
    <row r="292" spans="3:9" ht="12.6" customHeight="1">
      <c r="C292" s="752"/>
      <c r="E292" s="815" t="s">
        <v>251</v>
      </c>
      <c r="F292" s="816">
        <v>1000000</v>
      </c>
      <c r="I292" s="817"/>
    </row>
    <row r="293" spans="3:9" ht="12.6" customHeight="1">
      <c r="E293" s="815" t="s">
        <v>218</v>
      </c>
      <c r="F293" s="816">
        <v>300000</v>
      </c>
      <c r="I293" s="752"/>
    </row>
    <row r="294" spans="3:9" ht="12.6" customHeight="1">
      <c r="E294" s="815" t="s">
        <v>252</v>
      </c>
      <c r="F294" s="816">
        <v>200000</v>
      </c>
      <c r="I294" s="752"/>
    </row>
    <row r="295" spans="3:9" ht="12.6" customHeight="1">
      <c r="E295" s="815" t="s">
        <v>253</v>
      </c>
      <c r="F295" s="816">
        <v>100000</v>
      </c>
      <c r="I295" s="752"/>
    </row>
    <row r="296" spans="3:9" ht="12.6" customHeight="1">
      <c r="E296" s="815" t="s">
        <v>254</v>
      </c>
      <c r="F296" s="816">
        <v>700000</v>
      </c>
      <c r="I296" s="752"/>
    </row>
    <row r="297" spans="3:9" ht="12.6" customHeight="1">
      <c r="E297" s="815" t="s">
        <v>255</v>
      </c>
      <c r="F297" s="816">
        <v>40000</v>
      </c>
      <c r="I297" s="752"/>
    </row>
    <row r="298" spans="3:9" ht="12.6" customHeight="1">
      <c r="E298" s="815" t="s">
        <v>242</v>
      </c>
      <c r="F298" s="816">
        <v>150000</v>
      </c>
    </row>
    <row r="299" spans="3:9" ht="12.6" customHeight="1">
      <c r="E299" s="815" t="s">
        <v>228</v>
      </c>
      <c r="F299" s="816">
        <v>209354</v>
      </c>
    </row>
    <row r="300" spans="3:9" ht="12.6" customHeight="1">
      <c r="E300" s="226" t="s">
        <v>159</v>
      </c>
      <c r="F300" s="814">
        <f>+SUM(F282:F299)</f>
        <v>23654712</v>
      </c>
    </row>
    <row r="301" spans="3:9" ht="12.75" customHeight="1">
      <c r="E301" s="308"/>
      <c r="F301" s="609"/>
    </row>
    <row r="302" spans="3:9" ht="12.75" customHeight="1">
      <c r="E302" s="183" t="s">
        <v>87</v>
      </c>
      <c r="F302" s="608">
        <f>+F300-(F278-F280)</f>
        <v>0.10000000149011612</v>
      </c>
    </row>
  </sheetData>
  <mergeCells count="8">
    <mergeCell ref="B281:C281"/>
    <mergeCell ref="B235:C235"/>
    <mergeCell ref="B193:C193"/>
    <mergeCell ref="B24:C24"/>
    <mergeCell ref="B13:C13"/>
    <mergeCell ref="B53:C53"/>
    <mergeCell ref="B96:C96"/>
    <mergeCell ref="B146:C146"/>
  </mergeCells>
  <conditionalFormatting sqref="C16">
    <cfRule type="expression" dxfId="26" priority="55">
      <formula>$C$14=$C$15</formula>
    </cfRule>
    <cfRule type="expression" dxfId="25" priority="62">
      <formula>$C$16="caja cuadrada"</formula>
    </cfRule>
    <cfRule type="expression" dxfId="24" priority="63">
      <formula>$C$16="Caja descuadrada"</formula>
    </cfRule>
  </conditionalFormatting>
  <conditionalFormatting sqref="C56">
    <cfRule type="expression" dxfId="23" priority="16">
      <formula>$C$14=$C$15</formula>
    </cfRule>
    <cfRule type="expression" dxfId="22" priority="17">
      <formula>$C$16="caja cuadrada"</formula>
    </cfRule>
    <cfRule type="expression" dxfId="21" priority="18">
      <formula>$C$16="Caja descuadrada"</formula>
    </cfRule>
  </conditionalFormatting>
  <conditionalFormatting sqref="C99">
    <cfRule type="expression" dxfId="20" priority="13">
      <formula>$C$14=$C$15</formula>
    </cfRule>
    <cfRule type="expression" dxfId="19" priority="14">
      <formula>$C$16="caja cuadrada"</formula>
    </cfRule>
    <cfRule type="expression" dxfId="18" priority="15">
      <formula>$C$16="Caja descuadrada"</formula>
    </cfRule>
  </conditionalFormatting>
  <conditionalFormatting sqref="C149">
    <cfRule type="expression" dxfId="17" priority="10">
      <formula>$C$14=$C$15</formula>
    </cfRule>
    <cfRule type="expression" dxfId="16" priority="11">
      <formula>$C$16="caja cuadrada"</formula>
    </cfRule>
    <cfRule type="expression" dxfId="15" priority="12">
      <formula>$C$16="Caja descuadrada"</formula>
    </cfRule>
  </conditionalFormatting>
  <conditionalFormatting sqref="C196">
    <cfRule type="expression" dxfId="14" priority="7">
      <formula>$C$14=$C$15</formula>
    </cfRule>
    <cfRule type="expression" dxfId="13" priority="8">
      <formula>$C$16="caja cuadrada"</formula>
    </cfRule>
    <cfRule type="expression" dxfId="12" priority="9">
      <formula>$C$16="Caja descuadrada"</formula>
    </cfRule>
  </conditionalFormatting>
  <conditionalFormatting sqref="C238">
    <cfRule type="expression" dxfId="11" priority="4">
      <formula>$C$14=$C$15</formula>
    </cfRule>
    <cfRule type="expression" dxfId="10" priority="5">
      <formula>$C$16="caja cuadrada"</formula>
    </cfRule>
    <cfRule type="expression" dxfId="9" priority="6">
      <formula>$C$16="Caja descuadrada"</formula>
    </cfRule>
  </conditionalFormatting>
  <conditionalFormatting sqref="C284">
    <cfRule type="expression" dxfId="8" priority="1">
      <formula>$C$14=$C$15</formula>
    </cfRule>
    <cfRule type="expression" dxfId="7" priority="2">
      <formula>$C$16="caja cuadrada"</formula>
    </cfRule>
    <cfRule type="expression" dxfId="6" priority="3">
      <formula>$C$16="Caja descuadrada"</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A905C-42B5-45AF-B271-91CC8D09C5F2}">
  <dimension ref="B1:AD102"/>
  <sheetViews>
    <sheetView topLeftCell="F14" zoomScale="85" zoomScaleNormal="85" workbookViewId="0">
      <selection activeCell="Q27" sqref="Q27"/>
    </sheetView>
  </sheetViews>
  <sheetFormatPr defaultColWidth="11.42578125" defaultRowHeight="12.6"/>
  <cols>
    <col min="1" max="1" width="5.28515625" style="6" customWidth="1"/>
    <col min="2" max="2" width="30" style="6" customWidth="1"/>
    <col min="3" max="3" width="19.5703125" style="6" hidden="1" customWidth="1"/>
    <col min="4" max="4" width="14.28515625" style="6" hidden="1" customWidth="1"/>
    <col min="5" max="5" width="15.28515625" style="6" hidden="1" customWidth="1"/>
    <col min="6" max="6" width="13.42578125" style="6" bestFit="1" customWidth="1"/>
    <col min="7" max="7" width="13.85546875" style="6" customWidth="1"/>
    <col min="8" max="8" width="14.28515625" style="6" customWidth="1"/>
    <col min="9" max="9" width="13.5703125" style="6" customWidth="1"/>
    <col min="10" max="14" width="13.5703125" style="6" hidden="1" customWidth="1"/>
    <col min="15" max="15" width="11.42578125" style="6"/>
    <col min="16" max="16" width="13.85546875" style="6" bestFit="1" customWidth="1"/>
    <col min="17" max="17" width="23.140625" style="6" bestFit="1" customWidth="1"/>
    <col min="18" max="20" width="14.140625" style="6" hidden="1" customWidth="1"/>
    <col min="21" max="24" width="13.42578125" style="6" bestFit="1" customWidth="1"/>
    <col min="25" max="25" width="14.28515625" style="6" hidden="1" customWidth="1"/>
    <col min="26" max="26" width="14.140625" style="6" hidden="1" customWidth="1"/>
    <col min="27" max="28" width="14.28515625" style="6" hidden="1" customWidth="1"/>
    <col min="29" max="29" width="12.85546875" style="6" hidden="1" customWidth="1"/>
    <col min="30" max="30" width="13.140625" style="6" bestFit="1" customWidth="1"/>
    <col min="31" max="31" width="11.42578125" style="6" bestFit="1"/>
    <col min="32" max="16384" width="11.42578125" style="6"/>
  </cols>
  <sheetData>
    <row r="1" spans="2:30">
      <c r="Q1" s="58" t="s">
        <v>256</v>
      </c>
    </row>
    <row r="2" spans="2:30" ht="12.95">
      <c r="B2" s="898" t="s">
        <v>93</v>
      </c>
      <c r="C2" s="899"/>
      <c r="D2" s="899"/>
      <c r="E2" s="899"/>
      <c r="F2" s="900"/>
      <c r="G2" s="98"/>
      <c r="H2" s="98"/>
      <c r="I2" s="98"/>
      <c r="J2" s="98"/>
      <c r="K2" s="98"/>
      <c r="L2" s="98"/>
      <c r="M2" s="98"/>
      <c r="N2" s="98"/>
      <c r="Q2" s="931" t="s">
        <v>94</v>
      </c>
      <c r="R2" s="931"/>
      <c r="S2" s="931"/>
      <c r="T2" s="931"/>
      <c r="U2" s="931"/>
      <c r="V2" s="931"/>
      <c r="W2" s="931"/>
      <c r="X2" s="931"/>
      <c r="Y2" s="931"/>
      <c r="Z2" s="931"/>
      <c r="AA2" s="931"/>
      <c r="AB2" s="931"/>
      <c r="AC2" s="931"/>
    </row>
    <row r="3" spans="2:30" ht="12.95">
      <c r="C3" s="286">
        <v>45658</v>
      </c>
      <c r="D3" s="286">
        <v>45689</v>
      </c>
      <c r="E3" s="286">
        <v>45717</v>
      </c>
      <c r="F3" s="286">
        <v>45748</v>
      </c>
      <c r="G3" s="286">
        <v>45778</v>
      </c>
      <c r="H3" s="286">
        <v>45809</v>
      </c>
      <c r="I3" s="286">
        <v>45839</v>
      </c>
      <c r="J3" s="286">
        <v>45870</v>
      </c>
      <c r="K3" s="286">
        <v>45901</v>
      </c>
      <c r="L3" s="286">
        <v>45931</v>
      </c>
      <c r="M3" s="286">
        <v>45962</v>
      </c>
      <c r="N3" s="286">
        <v>45992</v>
      </c>
      <c r="R3" s="286">
        <v>45658</v>
      </c>
      <c r="S3" s="286">
        <v>45689</v>
      </c>
      <c r="T3" s="286">
        <v>45717</v>
      </c>
      <c r="U3" s="286">
        <v>45748</v>
      </c>
      <c r="V3" s="286">
        <v>45778</v>
      </c>
      <c r="W3" s="286">
        <v>45809</v>
      </c>
      <c r="X3" s="286">
        <v>45839</v>
      </c>
      <c r="Y3" s="286">
        <v>45870</v>
      </c>
      <c r="Z3" s="286">
        <v>45901</v>
      </c>
      <c r="AA3" s="286">
        <v>45931</v>
      </c>
      <c r="AB3" s="286">
        <v>45962</v>
      </c>
      <c r="AC3" s="286">
        <v>45992</v>
      </c>
    </row>
    <row r="4" spans="2:30" ht="14.45">
      <c r="B4" s="98" t="s">
        <v>257</v>
      </c>
      <c r="C4" s="613">
        <v>10500000</v>
      </c>
      <c r="D4" s="613">
        <v>15500000</v>
      </c>
      <c r="E4" s="613">
        <v>15500000</v>
      </c>
      <c r="F4" s="613">
        <v>15500000</v>
      </c>
      <c r="G4" s="613">
        <v>15500000</v>
      </c>
      <c r="H4" s="613">
        <v>15500000</v>
      </c>
      <c r="I4" s="613">
        <v>15500000</v>
      </c>
      <c r="J4" s="613">
        <v>15500000</v>
      </c>
      <c r="K4" s="613">
        <v>15500000</v>
      </c>
      <c r="L4" s="613">
        <v>15500000</v>
      </c>
      <c r="M4" s="613">
        <v>15500000</v>
      </c>
      <c r="N4" s="613">
        <v>15500000</v>
      </c>
      <c r="Q4" s="98" t="s">
        <v>257</v>
      </c>
      <c r="R4" s="91">
        <f>-SUMIFS('Movimientos Reales'!$D$5:$D$1048576,'Movimientos Reales'!$E$5:$E$1048576,'2.Adm-Ven-imp'!R$3,'Movimientos Reales'!$H$5:$H$1048576,'2.Adm-Ven-imp'!$Q4,'Movimientos Reales'!$G$5:$G$1048576,'2.Adm-Ven-imp'!$Q$1)</f>
        <v>11340625</v>
      </c>
      <c r="S4" s="91">
        <f>-SUMIFS('Movimientos Reales'!$D$5:$D$1048576,'Movimientos Reales'!$E$5:$E$1048576,'2.Adm-Ven-imp'!S$3,'Movimientos Reales'!$H$5:$H$1048576,'2.Adm-Ven-imp'!$Q4,'Movimientos Reales'!$G$5:$G$1048576,'2.Adm-Ven-imp'!$Q$1)</f>
        <v>19158559</v>
      </c>
      <c r="T4" s="91">
        <f>-SUMIFS('Movimientos Reales'!$D$5:$D$1048576,'Movimientos Reales'!$E$5:$E$1048576,'2.Adm-Ven-imp'!T$3,'Movimientos Reales'!$H$5:$H$1048576,'2.Adm-Ven-imp'!$Q4,'Movimientos Reales'!$G$5:$G$1048576,'2.Adm-Ven-imp'!$Q$1)</f>
        <v>17581904</v>
      </c>
      <c r="U4" s="91">
        <f>-SUMIFS('Movimientos Reales'!$D$5:$D$1048576,'Movimientos Reales'!$E$5:$E$1048576,'2.Adm-Ven-imp'!U$3,'Movimientos Reales'!$H$5:$H$1048576,'2.Adm-Ven-imp'!$Q4,'Movimientos Reales'!$G$5:$G$1048576,'2.Adm-Ven-imp'!$Q$1)</f>
        <v>18047278</v>
      </c>
      <c r="V4" s="91">
        <f>-SUMIFS('Movimientos Reales'!$D$5:$D$1048576,'Movimientos Reales'!$E$5:$E$1048576,'2.Adm-Ven-imp'!V$3,'Movimientos Reales'!$H$5:$H$1048576,'2.Adm-Ven-imp'!$Q4,'Movimientos Reales'!$G$5:$G$1048576,'2.Adm-Ven-imp'!$Q$1)</f>
        <v>17452810</v>
      </c>
      <c r="W4" s="91">
        <f>-SUMIFS('Movimientos Reales'!$D$5:$D$1048576,'Movimientos Reales'!$E$5:$E$1048576,'2.Adm-Ven-imp'!W$3,'Movimientos Reales'!$H$5:$H$1048576,'2.Adm-Ven-imp'!$Q4,'Movimientos Reales'!$G$5:$G$1048576,'2.Adm-Ven-imp'!$Q$1)</f>
        <v>17564036</v>
      </c>
      <c r="X4" s="91">
        <f>-SUMIFS('Movimientos Reales'!$D$5:$D$1048576,'Movimientos Reales'!$E$5:$E$1048576,'2.Adm-Ven-imp'!X$3,'Movimientos Reales'!$H$5:$H$1048576,'2.Adm-Ven-imp'!$Q4,'Movimientos Reales'!$G$5:$G$1048576,'2.Adm-Ven-imp'!$Q$1)</f>
        <v>7312000</v>
      </c>
      <c r="Y4" s="91">
        <f>-SUMIFS('Movimientos Reales'!$D$5:$D$1048576,'Movimientos Reales'!$E$5:$E$1048576,'2.Adm-Ven-imp'!Y$3,'Movimientos Reales'!$H$5:$H$1048576,'2.Adm-Ven-imp'!$Q4,'Movimientos Reales'!$G$5:$G$1048576,'2.Adm-Ven-imp'!$Q$1)</f>
        <v>0</v>
      </c>
      <c r="Z4" s="91">
        <f>-SUMIFS('Movimientos Reales'!$D$5:$D$1048576,'Movimientos Reales'!$E$5:$E$1048576,'2.Adm-Ven-imp'!Z$3,'Movimientos Reales'!$H$5:$H$1048576,'2.Adm-Ven-imp'!$Q4,'Movimientos Reales'!$G$5:$G$1048576,'2.Adm-Ven-imp'!$Q$1)</f>
        <v>0</v>
      </c>
      <c r="AA4" s="91">
        <f>-SUMIFS('Movimientos Reales'!$D$5:$D$1048576,'Movimientos Reales'!$E$5:$E$1048576,'2.Adm-Ven-imp'!AA$3,'Movimientos Reales'!$H$5:$H$1048576,'2.Adm-Ven-imp'!$Q4,'Movimientos Reales'!$G$5:$G$1048576,'2.Adm-Ven-imp'!$Q$1)</f>
        <v>0</v>
      </c>
      <c r="AB4" s="91">
        <f>-SUMIFS('Movimientos Reales'!$D$5:$D$1048576,'Movimientos Reales'!$E$5:$E$1048576,'2.Adm-Ven-imp'!AB$3,'Movimientos Reales'!$H$5:$H$1048576,'2.Adm-Ven-imp'!$Q4,'Movimientos Reales'!$G$5:$G$1048576,'2.Adm-Ven-imp'!$Q$1)</f>
        <v>0</v>
      </c>
      <c r="AC4" s="91">
        <f>-SUMIFS('Movimientos Reales'!$D$5:$D$1048576,'Movimientos Reales'!$E$5:$E$1048576,'2.Adm-Ven-imp'!AC$3,'Movimientos Reales'!$H$5:$H$1048576,'2.Adm-Ven-imp'!$Q4,'Movimientos Reales'!$G$5:$G$1048576,'2.Adm-Ven-imp'!$Q$1)</f>
        <v>0</v>
      </c>
      <c r="AD4" s="2"/>
    </row>
    <row r="5" spans="2:30" ht="14.45">
      <c r="B5" s="98" t="s">
        <v>258</v>
      </c>
      <c r="C5" s="613">
        <v>3000000</v>
      </c>
      <c r="D5" s="613">
        <v>3000000</v>
      </c>
      <c r="E5" s="613">
        <v>3000000</v>
      </c>
      <c r="F5" s="613">
        <v>3000000</v>
      </c>
      <c r="G5" s="613">
        <v>3000000</v>
      </c>
      <c r="H5" s="613">
        <v>3000000</v>
      </c>
      <c r="I5" s="613">
        <v>3000000</v>
      </c>
      <c r="J5" s="613">
        <v>3000000</v>
      </c>
      <c r="K5" s="613">
        <v>3000000</v>
      </c>
      <c r="L5" s="613">
        <v>3000000</v>
      </c>
      <c r="M5" s="613">
        <v>3000000</v>
      </c>
      <c r="N5" s="613">
        <v>3000000</v>
      </c>
      <c r="Q5" s="98" t="s">
        <v>258</v>
      </c>
      <c r="R5" s="91">
        <f>-SUMIFS('Movimientos Reales'!$D$5:$D$1048576,'Movimientos Reales'!$E$5:$E$1048576,'2.Adm-Ven-imp'!R$3,'Movimientos Reales'!$H$5:$H$1048576,'2.Adm-Ven-imp'!$Q5,'Movimientos Reales'!$G$5:$G$1048576,'2.Adm-Ven-imp'!$Q$1)</f>
        <v>2700000</v>
      </c>
      <c r="S5" s="91">
        <f>-SUMIFS('Movimientos Reales'!$D$5:$D$1048576,'Movimientos Reales'!$E$5:$E$1048576,'2.Adm-Ven-imp'!S$3,'Movimientos Reales'!$H$5:$H$1048576,'2.Adm-Ven-imp'!$Q5,'Movimientos Reales'!$G$5:$G$1048576,'2.Adm-Ven-imp'!$Q$1)</f>
        <v>4060000</v>
      </c>
      <c r="T5" s="91">
        <f>-SUMIFS('Movimientos Reales'!$D$5:$D$1048576,'Movimientos Reales'!$E$5:$E$1048576,'2.Adm-Ven-imp'!T$3,'Movimientos Reales'!$H$5:$H$1048576,'2.Adm-Ven-imp'!$Q5,'Movimientos Reales'!$G$5:$G$1048576,'2.Adm-Ven-imp'!$Q$1)</f>
        <v>4975000</v>
      </c>
      <c r="U5" s="91">
        <f>-SUMIFS('Movimientos Reales'!$D$5:$D$1048576,'Movimientos Reales'!$E$5:$E$1048576,'2.Adm-Ven-imp'!U$3,'Movimientos Reales'!$H$5:$H$1048576,'2.Adm-Ven-imp'!$Q5,'Movimientos Reales'!$G$5:$G$1048576,'2.Adm-Ven-imp'!$Q$1)</f>
        <v>2435000</v>
      </c>
      <c r="V5" s="91">
        <f>-SUMIFS('Movimientos Reales'!$D$5:$D$1048576,'Movimientos Reales'!$E$5:$E$1048576,'2.Adm-Ven-imp'!V$3,'Movimientos Reales'!$H$5:$H$1048576,'2.Adm-Ven-imp'!$Q5,'Movimientos Reales'!$G$5:$G$1048576,'2.Adm-Ven-imp'!$Q$1)</f>
        <v>8545000</v>
      </c>
      <c r="W5" s="91">
        <f>-SUMIFS('Movimientos Reales'!$D$5:$D$1048576,'Movimientos Reales'!$E$5:$E$1048576,'2.Adm-Ven-imp'!W$3,'Movimientos Reales'!$H$5:$H$1048576,'2.Adm-Ven-imp'!$Q5,'Movimientos Reales'!$G$5:$G$1048576,'2.Adm-Ven-imp'!$Q$1)</f>
        <v>6095000</v>
      </c>
      <c r="X5" s="91">
        <f>-SUMIFS('Movimientos Reales'!$D$5:$D$1048576,'Movimientos Reales'!$E$5:$E$1048576,'2.Adm-Ven-imp'!X$3,'Movimientos Reales'!$H$5:$H$1048576,'2.Adm-Ven-imp'!$Q5,'Movimientos Reales'!$G$5:$G$1048576,'2.Adm-Ven-imp'!$Q$1)</f>
        <v>6188000</v>
      </c>
      <c r="Y5" s="91">
        <f>-SUMIFS('Movimientos Reales'!$D$5:$D$1048576,'Movimientos Reales'!$E$5:$E$1048576,'2.Adm-Ven-imp'!Y$3,'Movimientos Reales'!$H$5:$H$1048576,'2.Adm-Ven-imp'!$Q5,'Movimientos Reales'!$G$5:$G$1048576,'2.Adm-Ven-imp'!$Q$1)</f>
        <v>0</v>
      </c>
      <c r="Z5" s="91">
        <f>-SUMIFS('Movimientos Reales'!$D$5:$D$1048576,'Movimientos Reales'!$E$5:$E$1048576,'2.Adm-Ven-imp'!Z$3,'Movimientos Reales'!$H$5:$H$1048576,'2.Adm-Ven-imp'!$Q5,'Movimientos Reales'!$G$5:$G$1048576,'2.Adm-Ven-imp'!$Q$1)</f>
        <v>0</v>
      </c>
      <c r="AA5" s="91">
        <f>-SUMIFS('Movimientos Reales'!$D$5:$D$1048576,'Movimientos Reales'!$E$5:$E$1048576,'2.Adm-Ven-imp'!AA$3,'Movimientos Reales'!$H$5:$H$1048576,'2.Adm-Ven-imp'!$Q5,'Movimientos Reales'!$G$5:$G$1048576,'2.Adm-Ven-imp'!$Q$1)</f>
        <v>0</v>
      </c>
      <c r="AB5" s="91">
        <f>-SUMIFS('Movimientos Reales'!$D$5:$D$1048576,'Movimientos Reales'!$E$5:$E$1048576,'2.Adm-Ven-imp'!AB$3,'Movimientos Reales'!$H$5:$H$1048576,'2.Adm-Ven-imp'!$Q5,'Movimientos Reales'!$G$5:$G$1048576,'2.Adm-Ven-imp'!$Q$1)</f>
        <v>0</v>
      </c>
      <c r="AC5" s="91">
        <f>-SUMIFS('Movimientos Reales'!$D$5:$D$1048576,'Movimientos Reales'!$E$5:$E$1048576,'2.Adm-Ven-imp'!AC$3,'Movimientos Reales'!$H$5:$H$1048576,'2.Adm-Ven-imp'!$Q5,'Movimientos Reales'!$G$5:$G$1048576,'2.Adm-Ven-imp'!$Q$1)</f>
        <v>0</v>
      </c>
      <c r="AD5" s="2"/>
    </row>
    <row r="6" spans="2:30" ht="14.45">
      <c r="B6" s="284" t="s">
        <v>259</v>
      </c>
      <c r="C6" s="613">
        <v>9000000</v>
      </c>
      <c r="D6" s="613">
        <v>9000000</v>
      </c>
      <c r="E6" s="613">
        <v>9000000</v>
      </c>
      <c r="F6" s="613">
        <v>9000000</v>
      </c>
      <c r="G6" s="613">
        <v>9000000</v>
      </c>
      <c r="H6" s="613">
        <v>9000000</v>
      </c>
      <c r="I6" s="613">
        <v>9000000</v>
      </c>
      <c r="J6" s="613">
        <v>9000000</v>
      </c>
      <c r="K6" s="613">
        <v>9000000</v>
      </c>
      <c r="L6" s="613">
        <v>9000000</v>
      </c>
      <c r="M6" s="613">
        <v>9000000</v>
      </c>
      <c r="N6" s="613">
        <v>9000000</v>
      </c>
      <c r="Q6" s="284" t="s">
        <v>259</v>
      </c>
      <c r="R6" s="91">
        <f>-SUMIFS('Movimientos Reales'!$D$5:$D$1048576,'Movimientos Reales'!$E$5:$E$1048576,'2.Adm-Ven-imp'!R$3,'Movimientos Reales'!$H$5:$H$1048576,'2.Adm-Ven-imp'!$Q6,'Movimientos Reales'!$G$5:$G$1048576,'2.Adm-Ven-imp'!$Q$1)</f>
        <v>6517044</v>
      </c>
      <c r="S6" s="91">
        <f>-SUMIFS('Movimientos Reales'!$D$5:$D$1048576,'Movimientos Reales'!$E$5:$E$1048576,'2.Adm-Ven-imp'!S$3,'Movimientos Reales'!$H$5:$H$1048576,'2.Adm-Ven-imp'!$Q6,'Movimientos Reales'!$G$5:$G$1048576,'2.Adm-Ven-imp'!$Q$1)</f>
        <v>10468255</v>
      </c>
      <c r="T6" s="91">
        <f>-SUMIFS('Movimientos Reales'!$D$5:$D$1048576,'Movimientos Reales'!$E$5:$E$1048576,'2.Adm-Ven-imp'!T$3,'Movimientos Reales'!$H$5:$H$1048576,'2.Adm-Ven-imp'!$Q6,'Movimientos Reales'!$G$5:$G$1048576,'2.Adm-Ven-imp'!$Q$1)</f>
        <v>0</v>
      </c>
      <c r="U6" s="91">
        <f>-SUMIFS('Movimientos Reales'!$D$5:$D$1048576,'Movimientos Reales'!$E$5:$E$1048576,'2.Adm-Ven-imp'!U$3,'Movimientos Reales'!$H$5:$H$1048576,'2.Adm-Ven-imp'!$Q6,'Movimientos Reales'!$G$5:$G$1048576,'2.Adm-Ven-imp'!$Q$1)</f>
        <v>10073334</v>
      </c>
      <c r="V6" s="91">
        <f>-SUMIFS('Movimientos Reales'!$D$5:$D$1048576,'Movimientos Reales'!$E$5:$E$1048576,'2.Adm-Ven-imp'!V$3,'Movimientos Reales'!$H$5:$H$1048576,'2.Adm-Ven-imp'!$Q6,'Movimientos Reales'!$G$5:$G$1048576,'2.Adm-Ven-imp'!$Q$1)</f>
        <v>10351084</v>
      </c>
      <c r="W6" s="91">
        <f>-SUMIFS('Movimientos Reales'!$D$5:$D$1048576,'Movimientos Reales'!$E$5:$E$1048576,'2.Adm-Ven-imp'!W$3,'Movimientos Reales'!$H$5:$H$1048576,'2.Adm-Ven-imp'!$Q6,'Movimientos Reales'!$G$5:$G$1048576,'2.Adm-Ven-imp'!$Q$1)</f>
        <v>10623771</v>
      </c>
      <c r="X6" s="91">
        <f>-SUMIFS('Movimientos Reales'!$D$5:$D$1048576,'Movimientos Reales'!$E$5:$E$1048576,'2.Adm-Ven-imp'!X$3,'Movimientos Reales'!$H$5:$H$1048576,'2.Adm-Ven-imp'!$Q6,'Movimientos Reales'!$G$5:$G$1048576,'2.Adm-Ven-imp'!$Q$1)</f>
        <v>11876586</v>
      </c>
      <c r="Y6" s="91">
        <f>-SUMIFS('Movimientos Reales'!$D$5:$D$1048576,'Movimientos Reales'!$E$5:$E$1048576,'2.Adm-Ven-imp'!Y$3,'Movimientos Reales'!$H$5:$H$1048576,'2.Adm-Ven-imp'!$Q6,'Movimientos Reales'!$G$5:$G$1048576,'2.Adm-Ven-imp'!$Q$1)</f>
        <v>0</v>
      </c>
      <c r="Z6" s="91">
        <f>-SUMIFS('Movimientos Reales'!$D$5:$D$1048576,'Movimientos Reales'!$E$5:$E$1048576,'2.Adm-Ven-imp'!Z$3,'Movimientos Reales'!$H$5:$H$1048576,'2.Adm-Ven-imp'!$Q6,'Movimientos Reales'!$G$5:$G$1048576,'2.Adm-Ven-imp'!$Q$1)</f>
        <v>0</v>
      </c>
      <c r="AA6" s="91">
        <f>-SUMIFS('Movimientos Reales'!$D$5:$D$1048576,'Movimientos Reales'!$E$5:$E$1048576,'2.Adm-Ven-imp'!AA$3,'Movimientos Reales'!$H$5:$H$1048576,'2.Adm-Ven-imp'!$Q6,'Movimientos Reales'!$G$5:$G$1048576,'2.Adm-Ven-imp'!$Q$1)</f>
        <v>0</v>
      </c>
      <c r="AB6" s="91">
        <f>-SUMIFS('Movimientos Reales'!$D$5:$D$1048576,'Movimientos Reales'!$E$5:$E$1048576,'2.Adm-Ven-imp'!AB$3,'Movimientos Reales'!$H$5:$H$1048576,'2.Adm-Ven-imp'!$Q6,'Movimientos Reales'!$G$5:$G$1048576,'2.Adm-Ven-imp'!$Q$1)</f>
        <v>0</v>
      </c>
      <c r="AC6" s="91">
        <f>-SUMIFS('Movimientos Reales'!$D$5:$D$1048576,'Movimientos Reales'!$E$5:$E$1048576,'2.Adm-Ven-imp'!AC$3,'Movimientos Reales'!$H$5:$H$1048576,'2.Adm-Ven-imp'!$Q6,'Movimientos Reales'!$G$5:$G$1048576,'2.Adm-Ven-imp'!$Q$1)</f>
        <v>0</v>
      </c>
      <c r="AD6" s="2"/>
    </row>
    <row r="7" spans="2:30" ht="14.45">
      <c r="B7" s="284" t="s">
        <v>260</v>
      </c>
      <c r="C7" s="613">
        <v>0</v>
      </c>
      <c r="D7" s="613">
        <v>0</v>
      </c>
      <c r="E7" s="613">
        <v>60000000</v>
      </c>
      <c r="F7" s="613">
        <v>0</v>
      </c>
      <c r="G7" s="613">
        <v>0</v>
      </c>
      <c r="H7" s="613"/>
      <c r="I7" s="613"/>
      <c r="J7" s="613"/>
      <c r="K7" s="613"/>
      <c r="L7" s="613"/>
      <c r="M7" s="613"/>
      <c r="N7" s="613"/>
      <c r="Q7" s="284" t="s">
        <v>260</v>
      </c>
      <c r="R7" s="91">
        <f>-SUMIFS('Movimientos Reales'!$D$5:$D$1048576,'Movimientos Reales'!$E$5:$E$1048576,'2.Adm-Ven-imp'!R$3,'Movimientos Reales'!$H$5:$H$1048576,'2.Adm-Ven-imp'!$Q7,'Movimientos Reales'!$G$5:$G$1048576,'2.Adm-Ven-imp'!$Q$1)</f>
        <v>0</v>
      </c>
      <c r="S7" s="91">
        <f>-SUMIFS('Movimientos Reales'!$D$5:$D$1048576,'Movimientos Reales'!$E$5:$E$1048576,'2.Adm-Ven-imp'!S$3,'Movimientos Reales'!$H$5:$H$1048576,'2.Adm-Ven-imp'!$Q7,'Movimientos Reales'!$G$5:$G$1048576,'2.Adm-Ven-imp'!$Q$1)</f>
        <v>25895848</v>
      </c>
      <c r="T7" s="91"/>
      <c r="U7" s="91">
        <f>-SUMIFS('Movimientos Reales'!$D$5:$D$1048576,'Movimientos Reales'!$E$5:$E$1048576,'2.Adm-Ven-imp'!U$3,'Movimientos Reales'!$H$5:$H$1048576,'2.Adm-Ven-imp'!$Q7,'Movimientos Reales'!$G$5:$G$1048576,'2.Adm-Ven-imp'!$Q$1)</f>
        <v>0</v>
      </c>
      <c r="V7" s="91">
        <f>-SUMIFS('Movimientos Reales'!$D$5:$D$1048576,'Movimientos Reales'!$E$5:$E$1048576,'2.Adm-Ven-imp'!V$3,'Movimientos Reales'!$H$5:$H$1048576,'2.Adm-Ven-imp'!$Q7,'Movimientos Reales'!$G$5:$G$1048576,'2.Adm-Ven-imp'!$Q$1)</f>
        <v>0</v>
      </c>
      <c r="W7" s="91">
        <f>-SUMIFS('Movimientos Reales'!$D$5:$D$1048576,'Movimientos Reales'!$E$5:$E$1048576,'2.Adm-Ven-imp'!W$3,'Movimientos Reales'!$H$5:$H$1048576,'2.Adm-Ven-imp'!$Q7,'Movimientos Reales'!$G$5:$G$1048576,'2.Adm-Ven-imp'!$Q$1)</f>
        <v>23400000</v>
      </c>
      <c r="X7" s="91">
        <f>-SUMIFS('Movimientos Reales'!$D$5:$D$1048576,'Movimientos Reales'!$E$5:$E$1048576,'2.Adm-Ven-imp'!X$3,'Movimientos Reales'!$H$5:$H$1048576,'2.Adm-Ven-imp'!$Q7,'Movimientos Reales'!$G$5:$G$1048576,'2.Adm-Ven-imp'!$Q$1)</f>
        <v>10501001</v>
      </c>
      <c r="Y7" s="91"/>
      <c r="Z7" s="91"/>
      <c r="AA7" s="91"/>
      <c r="AB7" s="91"/>
      <c r="AC7" s="91"/>
      <c r="AD7" s="2"/>
    </row>
    <row r="8" spans="2:30" ht="14.45">
      <c r="B8" s="284" t="s">
        <v>261</v>
      </c>
      <c r="C8" s="613">
        <v>2500000</v>
      </c>
      <c r="D8" s="613">
        <v>2500000</v>
      </c>
      <c r="E8" s="613">
        <v>8500000</v>
      </c>
      <c r="F8" s="613">
        <v>2500000</v>
      </c>
      <c r="G8" s="613">
        <v>2500000</v>
      </c>
      <c r="H8" s="613">
        <v>2500000</v>
      </c>
      <c r="I8" s="613">
        <v>2500000</v>
      </c>
      <c r="J8" s="613">
        <v>2500000</v>
      </c>
      <c r="K8" s="613">
        <v>2500000</v>
      </c>
      <c r="L8" s="613">
        <v>2500000</v>
      </c>
      <c r="M8" s="613">
        <v>2500000</v>
      </c>
      <c r="N8" s="613">
        <v>2500000</v>
      </c>
      <c r="Q8" s="284" t="s">
        <v>262</v>
      </c>
      <c r="R8" s="91">
        <f>-SUMIFS('Movimientos Reales'!$D$5:$D$1048576,'Movimientos Reales'!$E$5:$E$1048576,'2.Adm-Ven-imp'!R$3,'Movimientos Reales'!$H$5:$H$1048576,'2.Adm-Ven-imp'!$Q8,'Movimientos Reales'!$G$5:$G$1048576,'2.Adm-Ven-imp'!$Q$1)</f>
        <v>0</v>
      </c>
      <c r="S8" s="91">
        <f>-SUMIFS('Movimientos Reales'!$D$5:$D$1048576,'Movimientos Reales'!$E$5:$E$1048576,'2.Adm-Ven-imp'!S$3,'Movimientos Reales'!$H$5:$H$1048576,'2.Adm-Ven-imp'!$Q8,'Movimientos Reales'!$G$5:$G$1048576,'2.Adm-Ven-imp'!$Q$1)</f>
        <v>0</v>
      </c>
      <c r="T8" s="91">
        <f>-SUMIFS('Movimientos Reales'!$D$5:$D$1048576,'Movimientos Reales'!$E$5:$E$1048576,'2.Adm-Ven-imp'!T$3,'Movimientos Reales'!$H$5:$H$1048576,'2.Adm-Ven-imp'!$Q8,'Movimientos Reales'!$G$5:$G$1048576,'2.Adm-Ven-imp'!$Q$1)</f>
        <v>7555900</v>
      </c>
      <c r="U8" s="91">
        <f>-SUMIFS('Movimientos Reales'!$D$5:$D$1048576,'Movimientos Reales'!$E$5:$E$1048576,'2.Adm-Ven-imp'!U$3,'Movimientos Reales'!$H$5:$H$1048576,'2.Adm-Ven-imp'!$Q8,'Movimientos Reales'!$G$5:$G$1048576,'2.Adm-Ven-imp'!$Q$1)</f>
        <v>103830</v>
      </c>
      <c r="V8" s="91">
        <f>-SUMIFS('Movimientos Reales'!$D$5:$D$1048576,'Movimientos Reales'!$E$5:$E$1048576,'2.Adm-Ven-imp'!V$3,'Movimientos Reales'!$H$5:$H$1048576,'2.Adm-Ven-imp'!$Q8,'Movimientos Reales'!$G$5:$G$1048576,'2.Adm-Ven-imp'!$Q$1)</f>
        <v>435607</v>
      </c>
      <c r="W8" s="91">
        <f>-SUMIFS('Movimientos Reales'!$D$5:$D$1048576,'Movimientos Reales'!$E$5:$E$1048576,'2.Adm-Ven-imp'!W$3,'Movimientos Reales'!$H$5:$H$1048576,'2.Adm-Ven-imp'!$Q8,'Movimientos Reales'!$G$5:$G$1048576,'2.Adm-Ven-imp'!$Q$1)</f>
        <v>3121200</v>
      </c>
      <c r="X8" s="91">
        <f>-SUMIFS('Movimientos Reales'!$D$5:$D$1048576,'Movimientos Reales'!$E$5:$E$1048576,'2.Adm-Ven-imp'!X$3,'Movimientos Reales'!$H$5:$H$1048576,'2.Adm-Ven-imp'!$Q8,'Movimientos Reales'!$G$5:$G$1048576,'2.Adm-Ven-imp'!$Q$1)</f>
        <v>66288</v>
      </c>
      <c r="Y8" s="91">
        <f>-SUMIFS('Movimientos Reales'!$D$5:$D$1048576,'Movimientos Reales'!$E$5:$E$1048576,'2.Adm-Ven-imp'!Y$3,'Movimientos Reales'!$H$5:$H$1048576,'2.Adm-Ven-imp'!$Q8,'Movimientos Reales'!$G$5:$G$1048576,'2.Adm-Ven-imp'!$Q$1)</f>
        <v>0</v>
      </c>
      <c r="Z8" s="91">
        <f>-SUMIFS('Movimientos Reales'!$D$5:$D$1048576,'Movimientos Reales'!$E$5:$E$1048576,'2.Adm-Ven-imp'!Z$3,'Movimientos Reales'!$H$5:$H$1048576,'2.Adm-Ven-imp'!$Q8,'Movimientos Reales'!$G$5:$G$1048576,'2.Adm-Ven-imp'!$Q$1)</f>
        <v>0</v>
      </c>
      <c r="AA8" s="91">
        <f>-SUMIFS('Movimientos Reales'!$D$5:$D$1048576,'Movimientos Reales'!$E$5:$E$1048576,'2.Adm-Ven-imp'!AA$3,'Movimientos Reales'!$H$5:$H$1048576,'2.Adm-Ven-imp'!$Q8,'Movimientos Reales'!$G$5:$G$1048576,'2.Adm-Ven-imp'!$Q$1)</f>
        <v>0</v>
      </c>
      <c r="AB8" s="91">
        <f>-SUMIFS('Movimientos Reales'!$D$5:$D$1048576,'Movimientos Reales'!$E$5:$E$1048576,'2.Adm-Ven-imp'!AB$3,'Movimientos Reales'!$H$5:$H$1048576,'2.Adm-Ven-imp'!$Q8,'Movimientos Reales'!$G$5:$G$1048576,'2.Adm-Ven-imp'!$Q$1)</f>
        <v>0</v>
      </c>
      <c r="AC8" s="91">
        <f>-SUMIFS('Movimientos Reales'!$D$5:$D$1048576,'Movimientos Reales'!$E$5:$E$1048576,'2.Adm-Ven-imp'!AC$3,'Movimientos Reales'!$H$5:$H$1048576,'2.Adm-Ven-imp'!$Q8,'Movimientos Reales'!$G$5:$G$1048576,'2.Adm-Ven-imp'!$Q$1)</f>
        <v>0</v>
      </c>
      <c r="AD8" s="2"/>
    </row>
    <row r="9" spans="2:30" ht="14.45">
      <c r="B9" s="98" t="s">
        <v>263</v>
      </c>
      <c r="C9" s="613">
        <v>6000000</v>
      </c>
      <c r="D9" s="613">
        <v>6000000</v>
      </c>
      <c r="E9" s="613">
        <v>6000000</v>
      </c>
      <c r="F9" s="613">
        <v>6000000</v>
      </c>
      <c r="G9" s="613">
        <v>6000000</v>
      </c>
      <c r="H9" s="613">
        <v>6000000</v>
      </c>
      <c r="I9" s="613">
        <v>6000000</v>
      </c>
      <c r="J9" s="613">
        <v>6000000</v>
      </c>
      <c r="K9" s="613">
        <v>6000000</v>
      </c>
      <c r="L9" s="613">
        <v>6000000</v>
      </c>
      <c r="M9" s="613">
        <v>6000000</v>
      </c>
      <c r="N9" s="613">
        <v>6000000</v>
      </c>
      <c r="Q9" s="98" t="s">
        <v>264</v>
      </c>
      <c r="R9" s="91">
        <f>-SUMIFS('Movimientos Reales'!$D$5:$D$1048576,'Movimientos Reales'!$E$5:$E$1048576,'2.Adm-Ven-imp'!R$3,'Movimientos Reales'!$H$5:$H$1048576,'2.Adm-Ven-imp'!$Q9,'Movimientos Reales'!$G$5:$G$1048576,'2.Adm-Ven-imp'!$Q$1)</f>
        <v>3435278</v>
      </c>
      <c r="S9" s="91">
        <f>-SUMIFS('Movimientos Reales'!$D$5:$D$1048576,'Movimientos Reales'!$E$5:$E$1048576,'2.Adm-Ven-imp'!S$3,'Movimientos Reales'!$H$5:$H$1048576,'2.Adm-Ven-imp'!$Q9,'Movimientos Reales'!$G$5:$G$1048576,'2.Adm-Ven-imp'!$Q$1)</f>
        <v>4962948</v>
      </c>
      <c r="T9" s="91">
        <f>-SUMIFS('Movimientos Reales'!$D$5:$D$1048576,'Movimientos Reales'!$E$5:$E$1048576,'2.Adm-Ven-imp'!T$3,'Movimientos Reales'!$H$5:$H$1048576,'2.Adm-Ven-imp'!$Q9,'Movimientos Reales'!$G$5:$G$1048576,'2.Adm-Ven-imp'!$Q$1)</f>
        <v>1099927.1000000001</v>
      </c>
      <c r="U9" s="91">
        <f>-SUMIFS('Movimientos Reales'!$D$5:$D$1048576,'Movimientos Reales'!$E$5:$E$1048576,'2.Adm-Ven-imp'!U$3,'Movimientos Reales'!$H$5:$H$1048576,'2.Adm-Ven-imp'!$Q9,'Movimientos Reales'!$G$5:$G$1048576,'2.Adm-Ven-imp'!$Q$1)</f>
        <v>2644533.4900000002</v>
      </c>
      <c r="V9" s="91">
        <f>-SUMIFS('Movimientos Reales'!$D$5:$D$1048576,'Movimientos Reales'!$E$5:$E$1048576,'2.Adm-Ven-imp'!V$3,'Movimientos Reales'!$H$5:$H$1048576,'2.Adm-Ven-imp'!$Q9,'Movimientos Reales'!$G$5:$G$1048576,'2.Adm-Ven-imp'!$Q$1)</f>
        <v>6634819.0199999996</v>
      </c>
      <c r="W9" s="91">
        <f>-SUMIFS('Movimientos Reales'!$D$5:$D$1048576,'Movimientos Reales'!$E$5:$E$1048576,'2.Adm-Ven-imp'!W$3,'Movimientos Reales'!$H$5:$H$1048576,'2.Adm-Ven-imp'!$Q9,'Movimientos Reales'!$G$5:$G$1048576,'2.Adm-Ven-imp'!$Q$1)</f>
        <v>4280259.09</v>
      </c>
      <c r="X9" s="91">
        <f>-SUMIFS('Movimientos Reales'!$D$5:$D$1048576,'Movimientos Reales'!$E$5:$E$1048576,'2.Adm-Ven-imp'!X$3,'Movimientos Reales'!$H$5:$H$1048576,'2.Adm-Ven-imp'!$Q9,'Movimientos Reales'!$G$5:$G$1048576,'2.Adm-Ven-imp'!$Q$1)</f>
        <v>1059059</v>
      </c>
      <c r="Y9" s="91">
        <f>-SUMIFS('Movimientos Reales'!$D$5:$D$1048576,'Movimientos Reales'!$E$5:$E$1048576,'2.Adm-Ven-imp'!Y$3,'Movimientos Reales'!$H$5:$H$1048576,'2.Adm-Ven-imp'!$Q9,'Movimientos Reales'!$G$5:$G$1048576,'2.Adm-Ven-imp'!$Q$1)</f>
        <v>0</v>
      </c>
      <c r="Z9" s="91">
        <f>-SUMIFS('Movimientos Reales'!$D$5:$D$1048576,'Movimientos Reales'!$E$5:$E$1048576,'2.Adm-Ven-imp'!Z$3,'Movimientos Reales'!$H$5:$H$1048576,'2.Adm-Ven-imp'!$Q9,'Movimientos Reales'!$G$5:$G$1048576,'2.Adm-Ven-imp'!$Q$1)</f>
        <v>0</v>
      </c>
      <c r="AA9" s="91">
        <f>-SUMIFS('Movimientos Reales'!$D$5:$D$1048576,'Movimientos Reales'!$E$5:$E$1048576,'2.Adm-Ven-imp'!AA$3,'Movimientos Reales'!$H$5:$H$1048576,'2.Adm-Ven-imp'!$Q9,'Movimientos Reales'!$G$5:$G$1048576,'2.Adm-Ven-imp'!$Q$1)</f>
        <v>0</v>
      </c>
      <c r="AB9" s="91">
        <f>-SUMIFS('Movimientos Reales'!$D$5:$D$1048576,'Movimientos Reales'!$E$5:$E$1048576,'2.Adm-Ven-imp'!AB$3,'Movimientos Reales'!$H$5:$H$1048576,'2.Adm-Ven-imp'!$Q9,'Movimientos Reales'!$G$5:$G$1048576,'2.Adm-Ven-imp'!$Q$1)</f>
        <v>0</v>
      </c>
      <c r="AC9" s="91">
        <f>-SUMIFS('Movimientos Reales'!$D$5:$D$1048576,'Movimientos Reales'!$E$5:$E$1048576,'2.Adm-Ven-imp'!AC$3,'Movimientos Reales'!$H$5:$H$1048576,'2.Adm-Ven-imp'!$Q9,'Movimientos Reales'!$G$5:$G$1048576,'2.Adm-Ven-imp'!$Q$1)</f>
        <v>0</v>
      </c>
      <c r="AD9" s="2"/>
    </row>
    <row r="10" spans="2:30" ht="14.45">
      <c r="B10" s="284" t="s">
        <v>115</v>
      </c>
      <c r="C10" s="613">
        <v>500000</v>
      </c>
      <c r="D10" s="613">
        <v>500000</v>
      </c>
      <c r="E10" s="613">
        <v>500000</v>
      </c>
      <c r="F10" s="613">
        <v>500000</v>
      </c>
      <c r="G10" s="613">
        <v>500000</v>
      </c>
      <c r="H10" s="613">
        <v>500000</v>
      </c>
      <c r="I10" s="613">
        <v>500000</v>
      </c>
      <c r="J10" s="613">
        <v>500000</v>
      </c>
      <c r="K10" s="613">
        <v>500000</v>
      </c>
      <c r="L10" s="613">
        <v>500000</v>
      </c>
      <c r="M10" s="613">
        <v>500000</v>
      </c>
      <c r="N10" s="613">
        <v>500000</v>
      </c>
      <c r="Q10" s="284" t="s">
        <v>115</v>
      </c>
      <c r="R10" s="91">
        <f>-SUMIFS('Movimientos Reales'!$D$5:$D$1048576,'Movimientos Reales'!$E$5:$E$1048576,'2.Adm-Ven-imp'!R$3,'Movimientos Reales'!$H$5:$H$1048576,'2.Adm-Ven-imp'!$Q10,'Movimientos Reales'!$G$5:$G$1048576,'2.Adm-Ven-imp'!$Q$1)</f>
        <v>142840</v>
      </c>
      <c r="S10" s="91">
        <f>-SUMIFS('Movimientos Reales'!$D$5:$D$1048576,'Movimientos Reales'!$E$5:$E$1048576,'2.Adm-Ven-imp'!S$3,'Movimientos Reales'!$H$5:$H$1048576,'2.Adm-Ven-imp'!$Q10,'Movimientos Reales'!$G$5:$G$1048576,'2.Adm-Ven-imp'!$Q$1)</f>
        <v>142840</v>
      </c>
      <c r="T10" s="91">
        <f>-SUMIFS('Movimientos Reales'!$D$5:$D$1048576,'Movimientos Reales'!$E$5:$E$1048576,'2.Adm-Ven-imp'!T$3,'Movimientos Reales'!$H$5:$H$1048576,'2.Adm-Ven-imp'!$Q10,'Movimientos Reales'!$G$5:$G$1048576,'2.Adm-Ven-imp'!$Q$1)</f>
        <v>115618</v>
      </c>
      <c r="U10" s="91">
        <f>-SUMIFS('Movimientos Reales'!$D$5:$D$1048576,'Movimientos Reales'!$E$5:$E$1048576,'2.Adm-Ven-imp'!U$3,'Movimientos Reales'!$H$5:$H$1048576,'2.Adm-Ven-imp'!$Q10,'Movimientos Reales'!$G$5:$G$1048576,'2.Adm-Ven-imp'!$Q$1)</f>
        <v>115333</v>
      </c>
      <c r="V10" s="91">
        <f>-SUMIFS('Movimientos Reales'!$D$5:$D$1048576,'Movimientos Reales'!$E$5:$E$1048576,'2.Adm-Ven-imp'!V$3,'Movimientos Reales'!$H$5:$H$1048576,'2.Adm-Ven-imp'!$Q10,'Movimientos Reales'!$G$5:$G$1048576,'2.Adm-Ven-imp'!$Q$1)</f>
        <v>115333</v>
      </c>
      <c r="W10" s="91">
        <f>-SUMIFS('Movimientos Reales'!$D$5:$D$1048576,'Movimientos Reales'!$E$5:$E$1048576,'2.Adm-Ven-imp'!W$3,'Movimientos Reales'!$H$5:$H$1048576,'2.Adm-Ven-imp'!$Q10,'Movimientos Reales'!$G$5:$G$1048576,'2.Adm-Ven-imp'!$Q$1)</f>
        <v>115333</v>
      </c>
      <c r="X10" s="91">
        <f>-SUMIFS('Movimientos Reales'!$D$5:$D$1048576,'Movimientos Reales'!$E$5:$E$1048576,'2.Adm-Ven-imp'!X$3,'Movimientos Reales'!$H$5:$H$1048576,'2.Adm-Ven-imp'!$Q10,'Movimientos Reales'!$G$5:$G$1048576,'2.Adm-Ven-imp'!$Q$1)</f>
        <v>135360</v>
      </c>
      <c r="Y10" s="91">
        <f>-SUMIFS('Movimientos Reales'!$D$5:$D$1048576,'Movimientos Reales'!$E$5:$E$1048576,'2.Adm-Ven-imp'!Y$3,'Movimientos Reales'!$H$5:$H$1048576,'2.Adm-Ven-imp'!$Q10,'Movimientos Reales'!$G$5:$G$1048576,'2.Adm-Ven-imp'!$Q$1)</f>
        <v>0</v>
      </c>
      <c r="Z10" s="91">
        <f>-SUMIFS('Movimientos Reales'!$D$5:$D$1048576,'Movimientos Reales'!$E$5:$E$1048576,'2.Adm-Ven-imp'!Z$3,'Movimientos Reales'!$H$5:$H$1048576,'2.Adm-Ven-imp'!$Q10,'Movimientos Reales'!$G$5:$G$1048576,'2.Adm-Ven-imp'!$Q$1)</f>
        <v>0</v>
      </c>
      <c r="AA10" s="91">
        <f>-SUMIFS('Movimientos Reales'!$D$5:$D$1048576,'Movimientos Reales'!$E$5:$E$1048576,'2.Adm-Ven-imp'!AA$3,'Movimientos Reales'!$H$5:$H$1048576,'2.Adm-Ven-imp'!$Q10,'Movimientos Reales'!$G$5:$G$1048576,'2.Adm-Ven-imp'!$Q$1)</f>
        <v>0</v>
      </c>
      <c r="AB10" s="91">
        <f>-SUMIFS('Movimientos Reales'!$D$5:$D$1048576,'Movimientos Reales'!$E$5:$E$1048576,'2.Adm-Ven-imp'!AB$3,'Movimientos Reales'!$H$5:$H$1048576,'2.Adm-Ven-imp'!$Q10,'Movimientos Reales'!$G$5:$G$1048576,'2.Adm-Ven-imp'!$Q$1)</f>
        <v>0</v>
      </c>
      <c r="AC10" s="91">
        <f>-SUMIFS('Movimientos Reales'!$D$5:$D$1048576,'Movimientos Reales'!$E$5:$E$1048576,'2.Adm-Ven-imp'!AC$3,'Movimientos Reales'!$H$5:$H$1048576,'2.Adm-Ven-imp'!$Q10,'Movimientos Reales'!$G$5:$G$1048576,'2.Adm-Ven-imp'!$Q$1)</f>
        <v>0</v>
      </c>
      <c r="AD10" s="2"/>
    </row>
    <row r="11" spans="2:30" ht="14.45">
      <c r="B11" s="98" t="s">
        <v>265</v>
      </c>
      <c r="C11" s="613">
        <v>1500000</v>
      </c>
      <c r="D11" s="613">
        <v>1500000</v>
      </c>
      <c r="E11" s="613">
        <v>1500000</v>
      </c>
      <c r="F11" s="613">
        <v>1500000</v>
      </c>
      <c r="G11" s="613">
        <v>1500000</v>
      </c>
      <c r="H11" s="613">
        <v>1500000</v>
      </c>
      <c r="I11" s="613">
        <v>1500000</v>
      </c>
      <c r="J11" s="613">
        <v>1500000</v>
      </c>
      <c r="K11" s="613">
        <v>1500000</v>
      </c>
      <c r="L11" s="613">
        <v>1500000</v>
      </c>
      <c r="M11" s="613">
        <v>1500000</v>
      </c>
      <c r="N11" s="613">
        <v>1500000</v>
      </c>
      <c r="Q11" s="98" t="s">
        <v>265</v>
      </c>
      <c r="R11" s="91">
        <f>-SUMIFS('Movimientos Reales'!$D$5:$D$1048576,'Movimientos Reales'!$E$5:$E$1048576,'2.Adm-Ven-imp'!R$3,'Movimientos Reales'!$H$5:$H$1048576,'2.Adm-Ven-imp'!$Q11,'Movimientos Reales'!$G$5:$G$1048576,'2.Adm-Ven-imp'!$Q$1)</f>
        <v>293080</v>
      </c>
      <c r="S11" s="91">
        <f>-SUMIFS('Movimientos Reales'!$D$5:$D$1048576,'Movimientos Reales'!$E$5:$E$1048576,'2.Adm-Ven-imp'!S$3,'Movimientos Reales'!$H$5:$H$1048576,'2.Adm-Ven-imp'!$Q11,'Movimientos Reales'!$G$5:$G$1048576,'2.Adm-Ven-imp'!$Q$1)</f>
        <v>546980</v>
      </c>
      <c r="T11" s="91">
        <f>-SUMIFS('Movimientos Reales'!$D$5:$D$1048576,'Movimientos Reales'!$E$5:$E$1048576,'2.Adm-Ven-imp'!T$3,'Movimientos Reales'!$H$5:$H$1048576,'2.Adm-Ven-imp'!$Q11,'Movimientos Reales'!$G$5:$G$1048576,'2.Adm-Ven-imp'!$Q$1)</f>
        <v>506480</v>
      </c>
      <c r="U11" s="91">
        <f>-SUMIFS('Movimientos Reales'!$D$5:$D$1048576,'Movimientos Reales'!$E$5:$E$1048576,'2.Adm-Ven-imp'!U$3,'Movimientos Reales'!$H$5:$H$1048576,'2.Adm-Ven-imp'!$Q11,'Movimientos Reales'!$G$5:$G$1048576,'2.Adm-Ven-imp'!$Q$1)</f>
        <v>670940</v>
      </c>
      <c r="V11" s="91">
        <f>-SUMIFS('Movimientos Reales'!$D$5:$D$1048576,'Movimientos Reales'!$E$5:$E$1048576,'2.Adm-Ven-imp'!V$3,'Movimientos Reales'!$H$5:$H$1048576,'2.Adm-Ven-imp'!$Q11,'Movimientos Reales'!$G$5:$G$1048576,'2.Adm-Ven-imp'!$Q$1)</f>
        <v>676920</v>
      </c>
      <c r="W11" s="91">
        <f>-SUMIFS('Movimientos Reales'!$D$5:$D$1048576,'Movimientos Reales'!$E$5:$E$1048576,'2.Adm-Ven-imp'!W$3,'Movimientos Reales'!$H$5:$H$1048576,'2.Adm-Ven-imp'!$Q11,'Movimientos Reales'!$G$5:$G$1048576,'2.Adm-Ven-imp'!$Q$1)</f>
        <v>497430</v>
      </c>
      <c r="X11" s="91">
        <f>-SUMIFS('Movimientos Reales'!$D$5:$D$1048576,'Movimientos Reales'!$E$5:$E$1048576,'2.Adm-Ven-imp'!X$3,'Movimientos Reales'!$H$5:$H$1048576,'2.Adm-Ven-imp'!$Q11,'Movimientos Reales'!$G$5:$G$1048576,'2.Adm-Ven-imp'!$Q$1)</f>
        <v>620490</v>
      </c>
      <c r="Y11" s="91">
        <f>-SUMIFS('Movimientos Reales'!$D$5:$D$1048576,'Movimientos Reales'!$E$5:$E$1048576,'2.Adm-Ven-imp'!Y$3,'Movimientos Reales'!$H$5:$H$1048576,'2.Adm-Ven-imp'!$Q11,'Movimientos Reales'!$G$5:$G$1048576,'2.Adm-Ven-imp'!$Q$1)</f>
        <v>0</v>
      </c>
      <c r="Z11" s="91">
        <f>-SUMIFS('Movimientos Reales'!$D$5:$D$1048576,'Movimientos Reales'!$E$5:$E$1048576,'2.Adm-Ven-imp'!Z$3,'Movimientos Reales'!$H$5:$H$1048576,'2.Adm-Ven-imp'!$Q11,'Movimientos Reales'!$G$5:$G$1048576,'2.Adm-Ven-imp'!$Q$1)</f>
        <v>0</v>
      </c>
      <c r="AA11" s="91">
        <f>-SUMIFS('Movimientos Reales'!$D$5:$D$1048576,'Movimientos Reales'!$E$5:$E$1048576,'2.Adm-Ven-imp'!AA$3,'Movimientos Reales'!$H$5:$H$1048576,'2.Adm-Ven-imp'!$Q11,'Movimientos Reales'!$G$5:$G$1048576,'2.Adm-Ven-imp'!$Q$1)</f>
        <v>0</v>
      </c>
      <c r="AB11" s="91">
        <f>-SUMIFS('Movimientos Reales'!$D$5:$D$1048576,'Movimientos Reales'!$E$5:$E$1048576,'2.Adm-Ven-imp'!AB$3,'Movimientos Reales'!$H$5:$H$1048576,'2.Adm-Ven-imp'!$Q11,'Movimientos Reales'!$G$5:$G$1048576,'2.Adm-Ven-imp'!$Q$1)</f>
        <v>0</v>
      </c>
      <c r="AC11" s="91">
        <f>-SUMIFS('Movimientos Reales'!$D$5:$D$1048576,'Movimientos Reales'!$E$5:$E$1048576,'2.Adm-Ven-imp'!AC$3,'Movimientos Reales'!$H$5:$H$1048576,'2.Adm-Ven-imp'!$Q11,'Movimientos Reales'!$G$5:$G$1048576,'2.Adm-Ven-imp'!$Q$1)</f>
        <v>0</v>
      </c>
      <c r="AD11" s="2"/>
    </row>
    <row r="12" spans="2:30" ht="14.45">
      <c r="B12" s="98" t="s">
        <v>266</v>
      </c>
      <c r="C12" s="613">
        <v>3100000</v>
      </c>
      <c r="D12" s="613">
        <v>3100000</v>
      </c>
      <c r="E12" s="613">
        <v>3100000</v>
      </c>
      <c r="F12" s="613">
        <v>3100000</v>
      </c>
      <c r="G12" s="613">
        <v>3100000</v>
      </c>
      <c r="H12" s="613">
        <v>3100000</v>
      </c>
      <c r="I12" s="613">
        <v>3100000</v>
      </c>
      <c r="J12" s="613">
        <v>3100000</v>
      </c>
      <c r="K12" s="613">
        <v>3100000</v>
      </c>
      <c r="L12" s="613">
        <v>3100000</v>
      </c>
      <c r="M12" s="613">
        <v>3100000</v>
      </c>
      <c r="N12" s="613">
        <v>3100000</v>
      </c>
      <c r="Q12" s="98" t="s">
        <v>266</v>
      </c>
      <c r="R12" s="91">
        <f>-SUMIFS('Movimientos Reales'!$D$5:$D$1048576,'Movimientos Reales'!$E$5:$E$1048576,'2.Adm-Ven-imp'!R$3,'Movimientos Reales'!$H$5:$H$1048576,'2.Adm-Ven-imp'!$Q12,'Movimientos Reales'!$G$5:$G$1048576,'2.Adm-Ven-imp'!$Q$1)</f>
        <v>4232870.2699999996</v>
      </c>
      <c r="S12" s="91">
        <f>-SUMIFS('Movimientos Reales'!$D$5:$D$1048576,'Movimientos Reales'!$E$5:$E$1048576,'2.Adm-Ven-imp'!S$3,'Movimientos Reales'!$H$5:$H$1048576,'2.Adm-Ven-imp'!$Q12,'Movimientos Reales'!$G$5:$G$1048576,'2.Adm-Ven-imp'!$Q$1)</f>
        <v>4533192.59</v>
      </c>
      <c r="T12" s="91">
        <f>-SUMIFS('Movimientos Reales'!$D$5:$D$1048576,'Movimientos Reales'!$E$5:$E$1048576,'2.Adm-Ven-imp'!T$3,'Movimientos Reales'!$H$5:$H$1048576,'2.Adm-Ven-imp'!$Q12,'Movimientos Reales'!$G$5:$G$1048576,'2.Adm-Ven-imp'!$Q$1)</f>
        <v>839903.67</v>
      </c>
      <c r="U12" s="91">
        <f>-SUMIFS('Movimientos Reales'!$D$5:$D$1048576,'Movimientos Reales'!$E$5:$E$1048576,'2.Adm-Ven-imp'!U$3,'Movimientos Reales'!$H$5:$H$1048576,'2.Adm-Ven-imp'!$Q12,'Movimientos Reales'!$G$5:$G$1048576,'2.Adm-Ven-imp'!$Q$1)</f>
        <v>5326723.12</v>
      </c>
      <c r="V12" s="91">
        <f>-SUMIFS('Movimientos Reales'!$D$5:$D$1048576,'Movimientos Reales'!$E$5:$E$1048576,'2.Adm-Ven-imp'!V$3,'Movimientos Reales'!$H$5:$H$1048576,'2.Adm-Ven-imp'!$Q12,'Movimientos Reales'!$G$5:$G$1048576,'2.Adm-Ven-imp'!$Q$1)</f>
        <v>1190804.72</v>
      </c>
      <c r="W12" s="91">
        <f>-SUMIFS('Movimientos Reales'!$D$5:$D$1048576,'Movimientos Reales'!$E$5:$E$1048576,'2.Adm-Ven-imp'!W$3,'Movimientos Reales'!$H$5:$H$1048576,'2.Adm-Ven-imp'!$Q12,'Movimientos Reales'!$G$5:$G$1048576,'2.Adm-Ven-imp'!$Q$1)</f>
        <v>15074285.93</v>
      </c>
      <c r="X12" s="91">
        <f>-SUMIFS('Movimientos Reales'!$D$5:$D$1048576,'Movimientos Reales'!$E$5:$E$1048576,'2.Adm-Ven-imp'!X$3,'Movimientos Reales'!$H$5:$H$1048576,'2.Adm-Ven-imp'!$Q12,'Movimientos Reales'!$G$5:$G$1048576,'2.Adm-Ven-imp'!$Q$1)</f>
        <v>95520</v>
      </c>
      <c r="Y12" s="91">
        <f>-SUMIFS('Movimientos Reales'!$D$5:$D$1048576,'Movimientos Reales'!$E$5:$E$1048576,'2.Adm-Ven-imp'!Y$3,'Movimientos Reales'!$H$5:$H$1048576,'2.Adm-Ven-imp'!$Q12,'Movimientos Reales'!$G$5:$G$1048576,'2.Adm-Ven-imp'!$Q$1)</f>
        <v>0</v>
      </c>
      <c r="Z12" s="91">
        <f>-SUMIFS('Movimientos Reales'!$D$5:$D$1048576,'Movimientos Reales'!$E$5:$E$1048576,'2.Adm-Ven-imp'!Z$3,'Movimientos Reales'!$H$5:$H$1048576,'2.Adm-Ven-imp'!$Q12,'Movimientos Reales'!$G$5:$G$1048576,'2.Adm-Ven-imp'!$Q$1)</f>
        <v>0</v>
      </c>
      <c r="AA12" s="91">
        <f>-SUMIFS('Movimientos Reales'!$D$5:$D$1048576,'Movimientos Reales'!$E$5:$E$1048576,'2.Adm-Ven-imp'!AA$3,'Movimientos Reales'!$H$5:$H$1048576,'2.Adm-Ven-imp'!$Q12,'Movimientos Reales'!$G$5:$G$1048576,'2.Adm-Ven-imp'!$Q$1)</f>
        <v>0</v>
      </c>
      <c r="AB12" s="91">
        <f>-SUMIFS('Movimientos Reales'!$D$5:$D$1048576,'Movimientos Reales'!$E$5:$E$1048576,'2.Adm-Ven-imp'!AB$3,'Movimientos Reales'!$H$5:$H$1048576,'2.Adm-Ven-imp'!$Q12,'Movimientos Reales'!$G$5:$G$1048576,'2.Adm-Ven-imp'!$Q$1)</f>
        <v>0</v>
      </c>
      <c r="AC12" s="91">
        <f>-SUMIFS('Movimientos Reales'!$D$5:$D$1048576,'Movimientos Reales'!$E$5:$E$1048576,'2.Adm-Ven-imp'!AC$3,'Movimientos Reales'!$H$5:$H$1048576,'2.Adm-Ven-imp'!$Q12,'Movimientos Reales'!$G$5:$G$1048576,'2.Adm-Ven-imp'!$Q$1)</f>
        <v>0</v>
      </c>
      <c r="AD12" s="2"/>
    </row>
    <row r="13" spans="2:30" ht="14.45">
      <c r="B13" s="98" t="s">
        <v>267</v>
      </c>
      <c r="C13" s="613">
        <v>6000000</v>
      </c>
      <c r="D13" s="613">
        <v>6000000</v>
      </c>
      <c r="E13" s="613">
        <v>6000000</v>
      </c>
      <c r="F13" s="613">
        <v>6000000</v>
      </c>
      <c r="G13" s="613">
        <v>6000000</v>
      </c>
      <c r="H13" s="613">
        <v>6000000</v>
      </c>
      <c r="I13" s="613">
        <v>6000000</v>
      </c>
      <c r="J13" s="613">
        <v>6000000</v>
      </c>
      <c r="K13" s="613">
        <v>6000000</v>
      </c>
      <c r="L13" s="613">
        <v>6000000</v>
      </c>
      <c r="M13" s="613">
        <v>6000000</v>
      </c>
      <c r="N13" s="613">
        <v>6000000</v>
      </c>
      <c r="Q13" s="98" t="s">
        <v>267</v>
      </c>
      <c r="R13" s="91">
        <f>-SUMIFS('Movimientos Reales'!$D$5:$D$1048576,'Movimientos Reales'!$E$5:$E$1048576,'2.Adm-Ven-imp'!R$3,'Movimientos Reales'!$H$5:$H$1048576,'2.Adm-Ven-imp'!$Q13,'Movimientos Reales'!$G$5:$G$1048576,'2.Adm-Ven-imp'!$Q$1)</f>
        <v>4549392</v>
      </c>
      <c r="S13" s="91">
        <f>-SUMIFS('Movimientos Reales'!$D$5:$D$1048576,'Movimientos Reales'!$E$5:$E$1048576,'2.Adm-Ven-imp'!S$3,'Movimientos Reales'!$H$5:$H$1048576,'2.Adm-Ven-imp'!$Q13,'Movimientos Reales'!$G$5:$G$1048576,'2.Adm-Ven-imp'!$Q$1)</f>
        <v>9260146</v>
      </c>
      <c r="T13" s="91">
        <f>-SUMIFS('Movimientos Reales'!$D$5:$D$1048576,'Movimientos Reales'!$E$5:$E$1048576,'2.Adm-Ven-imp'!T$3,'Movimientos Reales'!$H$5:$H$1048576,'2.Adm-Ven-imp'!$Q13,'Movimientos Reales'!$G$5:$G$1048576,'2.Adm-Ven-imp'!$Q$1)</f>
        <v>5536482</v>
      </c>
      <c r="U13" s="91">
        <f>-SUMIFS('Movimientos Reales'!$D$5:$D$1048576,'Movimientos Reales'!$E$5:$E$1048576,'2.Adm-Ven-imp'!U$3,'Movimientos Reales'!$H$5:$H$1048576,'2.Adm-Ven-imp'!$Q13,'Movimientos Reales'!$G$5:$G$1048576,'2.Adm-Ven-imp'!$Q$1)</f>
        <v>4671812</v>
      </c>
      <c r="V13" s="91">
        <f>-SUMIFS('Movimientos Reales'!$D$5:$D$1048576,'Movimientos Reales'!$E$5:$E$1048576,'2.Adm-Ven-imp'!V$3,'Movimientos Reales'!$H$5:$H$1048576,'2.Adm-Ven-imp'!$Q13,'Movimientos Reales'!$G$5:$G$1048576,'2.Adm-Ven-imp'!$Q$1)</f>
        <v>16823538</v>
      </c>
      <c r="W13" s="91">
        <f>-SUMIFS('Movimientos Reales'!$D$5:$D$1048576,'Movimientos Reales'!$E$5:$E$1048576,'2.Adm-Ven-imp'!W$3,'Movimientos Reales'!$H$5:$H$1048576,'2.Adm-Ven-imp'!$Q13,'Movimientos Reales'!$G$5:$G$1048576,'2.Adm-Ven-imp'!$Q$1)</f>
        <v>14441963</v>
      </c>
      <c r="X13" s="91">
        <f>-SUMIFS('Movimientos Reales'!$D$5:$D$1048576,'Movimientos Reales'!$E$5:$E$1048576,'2.Adm-Ven-imp'!X$3,'Movimientos Reales'!$H$5:$H$1048576,'2.Adm-Ven-imp'!$Q13,'Movimientos Reales'!$G$5:$G$1048576,'2.Adm-Ven-imp'!$Q$1)</f>
        <v>4744780</v>
      </c>
      <c r="Y13" s="91">
        <f>-SUMIFS('Movimientos Reales'!$D$5:$D$1048576,'Movimientos Reales'!$E$5:$E$1048576,'2.Adm-Ven-imp'!Y$3,'Movimientos Reales'!$H$5:$H$1048576,'2.Adm-Ven-imp'!$Q13,'Movimientos Reales'!$G$5:$G$1048576,'2.Adm-Ven-imp'!$Q$1)</f>
        <v>0</v>
      </c>
      <c r="Z13" s="91">
        <f>-SUMIFS('Movimientos Reales'!$D$5:$D$1048576,'Movimientos Reales'!$E$5:$E$1048576,'2.Adm-Ven-imp'!Z$3,'Movimientos Reales'!$H$5:$H$1048576,'2.Adm-Ven-imp'!$Q13,'Movimientos Reales'!$G$5:$G$1048576,'2.Adm-Ven-imp'!$Q$1)</f>
        <v>0</v>
      </c>
      <c r="AA13" s="91">
        <f>-SUMIFS('Movimientos Reales'!$D$5:$D$1048576,'Movimientos Reales'!$E$5:$E$1048576,'2.Adm-Ven-imp'!AA$3,'Movimientos Reales'!$H$5:$H$1048576,'2.Adm-Ven-imp'!$Q13,'Movimientos Reales'!$G$5:$G$1048576,'2.Adm-Ven-imp'!$Q$1)</f>
        <v>0</v>
      </c>
      <c r="AB13" s="91">
        <f>-SUMIFS('Movimientos Reales'!$D$5:$D$1048576,'Movimientos Reales'!$E$5:$E$1048576,'2.Adm-Ven-imp'!AB$3,'Movimientos Reales'!$H$5:$H$1048576,'2.Adm-Ven-imp'!$Q13,'Movimientos Reales'!$G$5:$G$1048576,'2.Adm-Ven-imp'!$Q$1)</f>
        <v>0</v>
      </c>
      <c r="AC13" s="91">
        <f>-SUMIFS('Movimientos Reales'!$D$5:$D$1048576,'Movimientos Reales'!$E$5:$E$1048576,'2.Adm-Ven-imp'!AC$3,'Movimientos Reales'!$H$5:$H$1048576,'2.Adm-Ven-imp'!$Q13,'Movimientos Reales'!$G$5:$G$1048576,'2.Adm-Ven-imp'!$Q$1)</f>
        <v>0</v>
      </c>
      <c r="AD13" s="2"/>
    </row>
    <row r="14" spans="2:30" ht="14.45">
      <c r="B14" s="98" t="s">
        <v>268</v>
      </c>
      <c r="C14" s="613">
        <v>800000</v>
      </c>
      <c r="D14" s="613">
        <v>800000</v>
      </c>
      <c r="E14" s="613">
        <v>800000</v>
      </c>
      <c r="F14" s="613">
        <v>800000</v>
      </c>
      <c r="G14" s="613">
        <v>800000</v>
      </c>
      <c r="H14" s="613">
        <v>800000</v>
      </c>
      <c r="I14" s="613">
        <v>800000</v>
      </c>
      <c r="J14" s="613">
        <v>800000</v>
      </c>
      <c r="K14" s="613">
        <v>800000</v>
      </c>
      <c r="L14" s="613">
        <v>800000</v>
      </c>
      <c r="M14" s="613">
        <v>800000</v>
      </c>
      <c r="N14" s="613">
        <v>800000</v>
      </c>
      <c r="Q14" s="98" t="s">
        <v>268</v>
      </c>
      <c r="R14" s="91">
        <f>-SUMIFS('Movimientos Reales'!$D$5:$D$1048576,'Movimientos Reales'!$E$5:$E$1048576,'2.Adm-Ven-imp'!R$3,'Movimientos Reales'!$H$5:$H$1048576,'2.Adm-Ven-imp'!$Q14,'Movimientos Reales'!$G$5:$G$1048576,'2.Adm-Ven-imp'!$Q$1)</f>
        <v>261000</v>
      </c>
      <c r="S14" s="91">
        <f>-SUMIFS('Movimientos Reales'!$D$5:$D$1048576,'Movimientos Reales'!$E$5:$E$1048576,'2.Adm-Ven-imp'!S$3,'Movimientos Reales'!$H$5:$H$1048576,'2.Adm-Ven-imp'!$Q14,'Movimientos Reales'!$G$5:$G$1048576,'2.Adm-Ven-imp'!$Q$1)</f>
        <v>488600</v>
      </c>
      <c r="T14" s="91">
        <f>-SUMIFS('Movimientos Reales'!$D$5:$D$1048576,'Movimientos Reales'!$E$5:$E$1048576,'2.Adm-Ven-imp'!T$3,'Movimientos Reales'!$H$5:$H$1048576,'2.Adm-Ven-imp'!$Q14,'Movimientos Reales'!$G$5:$G$1048576,'2.Adm-Ven-imp'!$Q$1)</f>
        <v>70000</v>
      </c>
      <c r="U14" s="91">
        <f>-SUMIFS('Movimientos Reales'!$D$5:$D$1048576,'Movimientos Reales'!$E$5:$E$1048576,'2.Adm-Ven-imp'!U$3,'Movimientos Reales'!$H$5:$H$1048576,'2.Adm-Ven-imp'!$Q14,'Movimientos Reales'!$G$5:$G$1048576,'2.Adm-Ven-imp'!$Q$1)</f>
        <v>357000</v>
      </c>
      <c r="V14" s="91">
        <f>-SUMIFS('Movimientos Reales'!$D$5:$D$1048576,'Movimientos Reales'!$E$5:$E$1048576,'2.Adm-Ven-imp'!V$3,'Movimientos Reales'!$H$5:$H$1048576,'2.Adm-Ven-imp'!$Q14,'Movimientos Reales'!$G$5:$G$1048576,'2.Adm-Ven-imp'!$Q$1)</f>
        <v>547500</v>
      </c>
      <c r="W14" s="91">
        <f>-SUMIFS('Movimientos Reales'!$D$5:$D$1048576,'Movimientos Reales'!$E$5:$E$1048576,'2.Adm-Ven-imp'!W$3,'Movimientos Reales'!$H$5:$H$1048576,'2.Adm-Ven-imp'!$Q14,'Movimientos Reales'!$G$5:$G$1048576,'2.Adm-Ven-imp'!$Q$1)</f>
        <v>502500</v>
      </c>
      <c r="X14" s="91">
        <f>-SUMIFS('Movimientos Reales'!$D$5:$D$1048576,'Movimientos Reales'!$E$5:$E$1048576,'2.Adm-Ven-imp'!X$3,'Movimientos Reales'!$H$5:$H$1048576,'2.Adm-Ven-imp'!$Q14,'Movimientos Reales'!$G$5:$G$1048576,'2.Adm-Ven-imp'!$Q$1)</f>
        <v>130000</v>
      </c>
      <c r="Y14" s="91">
        <f>-SUMIFS('Movimientos Reales'!$D$5:$D$1048576,'Movimientos Reales'!$E$5:$E$1048576,'2.Adm-Ven-imp'!Y$3,'Movimientos Reales'!$H$5:$H$1048576,'2.Adm-Ven-imp'!$Q14,'Movimientos Reales'!$G$5:$G$1048576,'2.Adm-Ven-imp'!$Q$1)</f>
        <v>0</v>
      </c>
      <c r="Z14" s="91">
        <f>-SUMIFS('Movimientos Reales'!$D$5:$D$1048576,'Movimientos Reales'!$E$5:$E$1048576,'2.Adm-Ven-imp'!Z$3,'Movimientos Reales'!$H$5:$H$1048576,'2.Adm-Ven-imp'!$Q14,'Movimientos Reales'!$G$5:$G$1048576,'2.Adm-Ven-imp'!$Q$1)</f>
        <v>0</v>
      </c>
      <c r="AA14" s="91">
        <f>-SUMIFS('Movimientos Reales'!$D$5:$D$1048576,'Movimientos Reales'!$E$5:$E$1048576,'2.Adm-Ven-imp'!AA$3,'Movimientos Reales'!$H$5:$H$1048576,'2.Adm-Ven-imp'!$Q14,'Movimientos Reales'!$G$5:$G$1048576,'2.Adm-Ven-imp'!$Q$1)</f>
        <v>0</v>
      </c>
      <c r="AB14" s="91">
        <f>-SUMIFS('Movimientos Reales'!$D$5:$D$1048576,'Movimientos Reales'!$E$5:$E$1048576,'2.Adm-Ven-imp'!AB$3,'Movimientos Reales'!$H$5:$H$1048576,'2.Adm-Ven-imp'!$Q14,'Movimientos Reales'!$G$5:$G$1048576,'2.Adm-Ven-imp'!$Q$1)</f>
        <v>0</v>
      </c>
      <c r="AC14" s="91">
        <f>-SUMIFS('Movimientos Reales'!$D$5:$D$1048576,'Movimientos Reales'!$E$5:$E$1048576,'2.Adm-Ven-imp'!AC$3,'Movimientos Reales'!$H$5:$H$1048576,'2.Adm-Ven-imp'!$Q14,'Movimientos Reales'!$G$5:$G$1048576,'2.Adm-Ven-imp'!$Q$1)</f>
        <v>0</v>
      </c>
      <c r="AD14" s="2"/>
    </row>
    <row r="15" spans="2:30" ht="14.45">
      <c r="B15" s="98" t="s">
        <v>269</v>
      </c>
      <c r="C15" s="613">
        <v>4000000</v>
      </c>
      <c r="D15" s="613">
        <v>4000000</v>
      </c>
      <c r="E15" s="613">
        <v>4000000</v>
      </c>
      <c r="F15" s="613">
        <v>4000000</v>
      </c>
      <c r="G15" s="613">
        <v>4000000</v>
      </c>
      <c r="H15" s="613">
        <v>4000000</v>
      </c>
      <c r="I15" s="613">
        <v>4000000</v>
      </c>
      <c r="J15" s="613">
        <v>4000000</v>
      </c>
      <c r="K15" s="613">
        <v>4000000</v>
      </c>
      <c r="L15" s="613">
        <v>4000000</v>
      </c>
      <c r="M15" s="613">
        <v>4000000</v>
      </c>
      <c r="N15" s="612">
        <v>4000000</v>
      </c>
      <c r="Q15" s="98" t="s">
        <v>269</v>
      </c>
      <c r="R15" s="91">
        <f>-SUMIFS('Movimientos Reales'!$D$5:$D$1048576,'Movimientos Reales'!$E$5:$E$1048576,'2.Adm-Ven-imp'!R$3,'Movimientos Reales'!$H$5:$H$1048576,'2.Adm-Ven-imp'!$Q15,'Movimientos Reales'!$G$5:$G$1048576,'2.Adm-Ven-imp'!$Q$1)</f>
        <v>2938156.75</v>
      </c>
      <c r="S15" s="91">
        <f>-SUMIFS('Movimientos Reales'!$D$5:$D$1048576,'Movimientos Reales'!$E$5:$E$1048576,'2.Adm-Ven-imp'!S$3,'Movimientos Reales'!$H$5:$H$1048576,'2.Adm-Ven-imp'!$Q15,'Movimientos Reales'!$G$5:$G$1048576,'2.Adm-Ven-imp'!$Q$1)</f>
        <v>4250265</v>
      </c>
      <c r="T15" s="91">
        <f>-SUMIFS('Movimientos Reales'!$D$5:$D$1048576,'Movimientos Reales'!$E$5:$E$1048576,'2.Adm-Ven-imp'!T$3,'Movimientos Reales'!$H$5:$H$1048576,'2.Adm-Ven-imp'!$Q15,'Movimientos Reales'!$G$5:$G$1048576,'2.Adm-Ven-imp'!$Q$1)</f>
        <v>3397589</v>
      </c>
      <c r="U15" s="91">
        <f>-SUMIFS('Movimientos Reales'!$D$5:$D$1048576,'Movimientos Reales'!$E$5:$E$1048576,'2.Adm-Ven-imp'!U$3,'Movimientos Reales'!$H$5:$H$1048576,'2.Adm-Ven-imp'!$Q15,'Movimientos Reales'!$G$5:$G$1048576,'2.Adm-Ven-imp'!$Q$1)</f>
        <v>1412076</v>
      </c>
      <c r="V15" s="91">
        <f>-SUMIFS('Movimientos Reales'!$D$5:$D$1048576,'Movimientos Reales'!$E$5:$E$1048576,'2.Adm-Ven-imp'!V$3,'Movimientos Reales'!$H$5:$H$1048576,'2.Adm-Ven-imp'!$Q15,'Movimientos Reales'!$G$5:$G$1048576,'2.Adm-Ven-imp'!$Q$1)</f>
        <v>3394138</v>
      </c>
      <c r="W15" s="91">
        <f>-SUMIFS('Movimientos Reales'!$D$5:$D$1048576,'Movimientos Reales'!$E$5:$E$1048576,'2.Adm-Ven-imp'!W$3,'Movimientos Reales'!$H$5:$H$1048576,'2.Adm-Ven-imp'!$Q15,'Movimientos Reales'!$G$5:$G$1048576,'2.Adm-Ven-imp'!$Q$1)</f>
        <v>5780705.9299999997</v>
      </c>
      <c r="X15" s="91">
        <f>-SUMIFS('Movimientos Reales'!$D$5:$D$1048576,'Movimientos Reales'!$E$5:$E$1048576,'2.Adm-Ven-imp'!X$3,'Movimientos Reales'!$H$5:$H$1048576,'2.Adm-Ven-imp'!$Q15,'Movimientos Reales'!$G$5:$G$1048576,'2.Adm-Ven-imp'!$Q$1)</f>
        <v>1897970</v>
      </c>
      <c r="Y15" s="91">
        <f>-SUMIFS('Movimientos Reales'!$D$5:$D$1048576,'Movimientos Reales'!$E$5:$E$1048576,'2.Adm-Ven-imp'!Y$3,'Movimientos Reales'!$H$5:$H$1048576,'2.Adm-Ven-imp'!$Q15,'Movimientos Reales'!$G$5:$G$1048576,'2.Adm-Ven-imp'!$Q$1)</f>
        <v>0</v>
      </c>
      <c r="Z15" s="91">
        <f>-SUMIFS('Movimientos Reales'!$D$5:$D$1048576,'Movimientos Reales'!$E$5:$E$1048576,'2.Adm-Ven-imp'!Z$3,'Movimientos Reales'!$H$5:$H$1048576,'2.Adm-Ven-imp'!$Q15,'Movimientos Reales'!$G$5:$G$1048576,'2.Adm-Ven-imp'!$Q$1)</f>
        <v>0</v>
      </c>
      <c r="AA15" s="91">
        <f>-SUMIFS('Movimientos Reales'!$D$5:$D$1048576,'Movimientos Reales'!$E$5:$E$1048576,'2.Adm-Ven-imp'!AA$3,'Movimientos Reales'!$H$5:$H$1048576,'2.Adm-Ven-imp'!$Q15,'Movimientos Reales'!$G$5:$G$1048576,'2.Adm-Ven-imp'!$Q$1)</f>
        <v>0</v>
      </c>
      <c r="AB15" s="91">
        <f>-SUMIFS('Movimientos Reales'!$D$5:$D$1048576,'Movimientos Reales'!$E$5:$E$1048576,'2.Adm-Ven-imp'!AB$3,'Movimientos Reales'!$H$5:$H$1048576,'2.Adm-Ven-imp'!$Q15,'Movimientos Reales'!$G$5:$G$1048576,'2.Adm-Ven-imp'!$Q$1)</f>
        <v>0</v>
      </c>
      <c r="AC15" s="91">
        <f>-SUMIFS('Movimientos Reales'!$D$5:$D$1048576,'Movimientos Reales'!$E$5:$E$1048576,'2.Adm-Ven-imp'!AC$3,'Movimientos Reales'!$H$5:$H$1048576,'2.Adm-Ven-imp'!$Q15,'Movimientos Reales'!$G$5:$G$1048576,'2.Adm-Ven-imp'!$Q$1)</f>
        <v>0</v>
      </c>
      <c r="AD15" s="2"/>
    </row>
    <row r="16" spans="2:30" ht="14.45">
      <c r="B16" s="98" t="s">
        <v>270</v>
      </c>
      <c r="C16" s="613">
        <v>1500000</v>
      </c>
      <c r="D16" s="613">
        <v>1500000</v>
      </c>
      <c r="E16" s="613">
        <v>1500000</v>
      </c>
      <c r="F16" s="613">
        <v>1500000</v>
      </c>
      <c r="G16" s="613">
        <v>1500000</v>
      </c>
      <c r="H16" s="613">
        <v>1500000</v>
      </c>
      <c r="I16" s="613">
        <v>1500000</v>
      </c>
      <c r="J16" s="613">
        <v>1500000</v>
      </c>
      <c r="K16" s="613">
        <v>1500000</v>
      </c>
      <c r="L16" s="613">
        <v>1500000</v>
      </c>
      <c r="M16" s="613">
        <v>1500000</v>
      </c>
      <c r="N16" s="613">
        <v>1500000</v>
      </c>
      <c r="Q16" s="98" t="s">
        <v>270</v>
      </c>
      <c r="R16" s="91">
        <f>-SUMIFS('Movimientos Reales'!$D$5:$D$1048576,'Movimientos Reales'!$E$5:$E$1048576,'2.Adm-Ven-imp'!R$3,'Movimientos Reales'!$H$5:$H$1048576,'2.Adm-Ven-imp'!$Q16,'Movimientos Reales'!$G$5:$G$1048576,'2.Adm-Ven-imp'!$Q$1)</f>
        <v>0</v>
      </c>
      <c r="S16" s="91">
        <f>-SUMIFS('Movimientos Reales'!$D$5:$D$1048576,'Movimientos Reales'!$E$5:$E$1048576,'2.Adm-Ven-imp'!S$3,'Movimientos Reales'!$H$5:$H$1048576,'2.Adm-Ven-imp'!$Q16,'Movimientos Reales'!$G$5:$G$1048576,'2.Adm-Ven-imp'!$Q$1)</f>
        <v>512140</v>
      </c>
      <c r="T16" s="91">
        <f>-SUMIFS('Movimientos Reales'!$D$5:$D$1048576,'Movimientos Reales'!$E$5:$E$1048576,'2.Adm-Ven-imp'!T$3,'Movimientos Reales'!$H$5:$H$1048576,'2.Adm-Ven-imp'!$Q16,'Movimientos Reales'!$G$5:$G$1048576,'2.Adm-Ven-imp'!$Q$1)</f>
        <v>1192718</v>
      </c>
      <c r="U16" s="91">
        <f>-SUMIFS('Movimientos Reales'!$D$5:$D$1048576,'Movimientos Reales'!$E$5:$E$1048576,'2.Adm-Ven-imp'!U$3,'Movimientos Reales'!$H$5:$H$1048576,'2.Adm-Ven-imp'!$Q16,'Movimientos Reales'!$G$5:$G$1048576,'2.Adm-Ven-imp'!$Q$1)</f>
        <v>0</v>
      </c>
      <c r="V16" s="91">
        <f>-SUMIFS('Movimientos Reales'!$D$5:$D$1048576,'Movimientos Reales'!$E$5:$E$1048576,'2.Adm-Ven-imp'!V$3,'Movimientos Reales'!$H$5:$H$1048576,'2.Adm-Ven-imp'!$Q16,'Movimientos Reales'!$G$5:$G$1048576,'2.Adm-Ven-imp'!$Q$1)</f>
        <v>694370</v>
      </c>
      <c r="W16" s="91">
        <f>-SUMIFS('Movimientos Reales'!$D$5:$D$1048576,'Movimientos Reales'!$E$5:$E$1048576,'2.Adm-Ven-imp'!W$3,'Movimientos Reales'!$H$5:$H$1048576,'2.Adm-Ven-imp'!$Q16,'Movimientos Reales'!$G$5:$G$1048576,'2.Adm-Ven-imp'!$Q$1)</f>
        <v>467800</v>
      </c>
      <c r="X16" s="91">
        <f>-SUMIFS('Movimientos Reales'!$D$5:$D$1048576,'Movimientos Reales'!$E$5:$E$1048576,'2.Adm-Ven-imp'!X$3,'Movimientos Reales'!$H$5:$H$1048576,'2.Adm-Ven-imp'!$Q16,'Movimientos Reales'!$G$5:$G$1048576,'2.Adm-Ven-imp'!$Q$1)</f>
        <v>0</v>
      </c>
      <c r="Y16" s="91"/>
      <c r="Z16" s="91"/>
      <c r="AA16" s="91"/>
      <c r="AB16" s="91"/>
      <c r="AC16" s="91"/>
      <c r="AD16" s="2"/>
    </row>
    <row r="17" spans="2:30" ht="12.95">
      <c r="B17" s="284" t="s">
        <v>9</v>
      </c>
      <c r="C17" s="614">
        <v>1300000</v>
      </c>
      <c r="D17" s="614">
        <v>1300000</v>
      </c>
      <c r="E17" s="614">
        <v>1300000</v>
      </c>
      <c r="F17" s="614">
        <v>1300000</v>
      </c>
      <c r="G17" s="614">
        <v>1300000</v>
      </c>
      <c r="H17" s="614">
        <v>1300000</v>
      </c>
      <c r="I17" s="614">
        <v>1300000</v>
      </c>
      <c r="J17" s="614">
        <v>1300000</v>
      </c>
      <c r="K17" s="614">
        <v>1300000</v>
      </c>
      <c r="L17" s="614">
        <v>1300000</v>
      </c>
      <c r="M17" s="614">
        <v>1300000</v>
      </c>
      <c r="N17" s="614">
        <v>1300000</v>
      </c>
      <c r="Q17" s="284" t="s">
        <v>9</v>
      </c>
      <c r="R17" s="91">
        <f>-SUMIFS('Movimientos Reales'!$D$5:$D$1048576,'Movimientos Reales'!$E$5:$E$1048576,'2.Adm-Ven-imp'!R$3,'Movimientos Reales'!$H$5:$H$1048576,'2.Adm-Ven-imp'!$Q17,'Movimientos Reales'!$G$5:$G$1048576,'2.Adm-Ven-imp'!$Q$1)</f>
        <v>3124231.04</v>
      </c>
      <c r="S17" s="91">
        <f>-SUMIFS('Movimientos Reales'!$D$5:$D$1048576,'Movimientos Reales'!$E$5:$E$1048576,'2.Adm-Ven-imp'!S$3,'Movimientos Reales'!$H$5:$H$1048576,'2.Adm-Ven-imp'!$Q17,'Movimientos Reales'!$G$5:$G$1048576,'2.Adm-Ven-imp'!$Q$1)</f>
        <v>9029016.4000000004</v>
      </c>
      <c r="T17" s="91">
        <f>-SUMIFS('Movimientos Reales'!$D$5:$D$1048576,'Movimientos Reales'!$E$5:$E$1048576,'2.Adm-Ven-imp'!T$3,'Movimientos Reales'!$H$5:$H$1048576,'2.Adm-Ven-imp'!$Q17,'Movimientos Reales'!$G$5:$G$1048576,'2.Adm-Ven-imp'!$Q$1)</f>
        <v>8651203.0399999991</v>
      </c>
      <c r="U17" s="91">
        <f>-SUMIFS('Movimientos Reales'!$D$5:$D$1048576,'Movimientos Reales'!$E$5:$E$1048576,'2.Adm-Ven-imp'!U$3,'Movimientos Reales'!$H$5:$H$1048576,'2.Adm-Ven-imp'!$Q17,'Movimientos Reales'!$G$5:$G$1048576,'2.Adm-Ven-imp'!$Q$1)</f>
        <v>10608916</v>
      </c>
      <c r="V17" s="91">
        <f>-SUMIFS('Movimientos Reales'!$D$5:$D$1048576,'Movimientos Reales'!$E$5:$E$1048576,'2.Adm-Ven-imp'!V$3,'Movimientos Reales'!$H$5:$H$1048576,'2.Adm-Ven-imp'!$Q17,'Movimientos Reales'!$G$5:$G$1048576,'2.Adm-Ven-imp'!$Q$1)</f>
        <v>31356170</v>
      </c>
      <c r="W17" s="91">
        <f>-SUMIFS('Movimientos Reales'!$D$5:$D$1048576,'Movimientos Reales'!$E$5:$E$1048576,'2.Adm-Ven-imp'!W$3,'Movimientos Reales'!$H$5:$H$1048576,'2.Adm-Ven-imp'!$Q17,'Movimientos Reales'!$G$5:$G$1048576,'2.Adm-Ven-imp'!$Q$1)</f>
        <v>3119100</v>
      </c>
      <c r="X17" s="91">
        <f>-SUMIFS('Movimientos Reales'!$D$5:$D$1048576,'Movimientos Reales'!$E$5:$E$1048576,'2.Adm-Ven-imp'!X$3,'Movimientos Reales'!$H$5:$H$1048576,'2.Adm-Ven-imp'!$Q17,'Movimientos Reales'!$G$5:$G$1048576,'2.Adm-Ven-imp'!$Q$1)</f>
        <v>6006441</v>
      </c>
      <c r="Y17" s="91">
        <f>-SUMIFS('Movimientos Reales'!$D$5:$D$1048576,'Movimientos Reales'!$E$5:$E$1048576,'2.Adm-Ven-imp'!Y$3,'Movimientos Reales'!$H$5:$H$1048576,'2.Adm-Ven-imp'!$Q17,'Movimientos Reales'!$G$5:$G$1048576,'2.Adm-Ven-imp'!$Q$1)</f>
        <v>0</v>
      </c>
      <c r="Z17" s="91">
        <f>-SUMIFS('Movimientos Reales'!$D$5:$D$1048576,'Movimientos Reales'!$E$5:$E$1048576,'2.Adm-Ven-imp'!Z$3,'Movimientos Reales'!$H$5:$H$1048576,'2.Adm-Ven-imp'!$Q17,'Movimientos Reales'!$G$5:$G$1048576,'2.Adm-Ven-imp'!$Q$1)</f>
        <v>0</v>
      </c>
      <c r="AA17" s="91">
        <f>-SUMIFS('Movimientos Reales'!$D$5:$D$1048576,'Movimientos Reales'!$E$5:$E$1048576,'2.Adm-Ven-imp'!AA$3,'Movimientos Reales'!$H$5:$H$1048576,'2.Adm-Ven-imp'!$Q17,'Movimientos Reales'!$G$5:$G$1048576,'2.Adm-Ven-imp'!$Q$1)</f>
        <v>0</v>
      </c>
      <c r="AB17" s="91">
        <f>-SUMIFS('Movimientos Reales'!$D$5:$D$1048576,'Movimientos Reales'!$E$5:$E$1048576,'2.Adm-Ven-imp'!AB$3,'Movimientos Reales'!$H$5:$H$1048576,'2.Adm-Ven-imp'!$Q17,'Movimientos Reales'!$G$5:$G$1048576,'2.Adm-Ven-imp'!$Q$1)</f>
        <v>0</v>
      </c>
      <c r="AC17" s="91">
        <f>-SUMIFS('Movimientos Reales'!$D$5:$D$1048576,'Movimientos Reales'!$E$5:$E$1048576,'2.Adm-Ven-imp'!AC$3,'Movimientos Reales'!$H$5:$H$1048576,'2.Adm-Ven-imp'!$Q17,'Movimientos Reales'!$G$5:$G$1048576,'2.Adm-Ven-imp'!$Q$1)</f>
        <v>0</v>
      </c>
      <c r="AD17" s="2"/>
    </row>
    <row r="18" spans="2:30" ht="12.95">
      <c r="B18" s="284" t="s">
        <v>271</v>
      </c>
      <c r="C18" s="614"/>
      <c r="D18" s="614"/>
      <c r="E18" s="614"/>
      <c r="F18" s="614"/>
      <c r="G18" s="614"/>
      <c r="H18" s="614"/>
      <c r="I18" s="614"/>
      <c r="J18" s="614"/>
      <c r="K18" s="614"/>
      <c r="L18" s="614"/>
      <c r="M18" s="614">
        <v>15000000</v>
      </c>
      <c r="N18" s="614"/>
      <c r="Q18" s="284" t="s">
        <v>272</v>
      </c>
      <c r="R18" s="91"/>
      <c r="S18" s="91"/>
      <c r="T18" s="91"/>
      <c r="U18" s="91"/>
      <c r="V18" s="91"/>
      <c r="W18" s="91"/>
      <c r="X18" s="91"/>
      <c r="Y18" s="91"/>
      <c r="Z18" s="91"/>
      <c r="AA18" s="91"/>
      <c r="AB18" s="91"/>
      <c r="AC18" s="91"/>
      <c r="AD18" s="2"/>
    </row>
    <row r="19" spans="2:30" ht="12.95">
      <c r="B19" s="284" t="s">
        <v>273</v>
      </c>
      <c r="C19" s="614"/>
      <c r="D19" s="614"/>
      <c r="E19" s="614"/>
      <c r="F19" s="614"/>
      <c r="G19" s="614"/>
      <c r="H19" s="614"/>
      <c r="I19" s="614">
        <v>5000000</v>
      </c>
      <c r="J19" s="614"/>
      <c r="K19" s="614"/>
      <c r="L19" s="614"/>
      <c r="M19" s="614"/>
      <c r="N19" s="614"/>
      <c r="Q19" s="284" t="s">
        <v>273</v>
      </c>
      <c r="R19" s="91">
        <f>-SUMIFS('Movimientos Reales'!$D$5:$D$1048576,'Movimientos Reales'!$E$5:$E$1048576,'2.Adm-Ven-imp'!R$3,'Movimientos Reales'!$H$5:$H$1048576,'2.Adm-Ven-imp'!$Q19,'Movimientos Reales'!$G$5:$G$1048576,'2.Adm-Ven-imp'!$Q$1)</f>
        <v>0</v>
      </c>
      <c r="S19" s="91">
        <f>-SUMIFS('Movimientos Reales'!$D$5:$D$1048576,'Movimientos Reales'!$E$5:$E$1048576,'2.Adm-Ven-imp'!S$3,'Movimientos Reales'!$H$5:$H$1048576,'2.Adm-Ven-imp'!$Q19,'Movimientos Reales'!$G$5:$G$1048576,'2.Adm-Ven-imp'!$Q$1)</f>
        <v>0</v>
      </c>
      <c r="T19" s="91">
        <f>-SUMIFS('Movimientos Reales'!$D$5:$D$1048576,'Movimientos Reales'!$E$5:$E$1048576,'2.Adm-Ven-imp'!T$3,'Movimientos Reales'!$H$5:$H$1048576,'2.Adm-Ven-imp'!$Q19,'Movimientos Reales'!$G$5:$G$1048576,'2.Adm-Ven-imp'!$Q$1)</f>
        <v>0</v>
      </c>
      <c r="U19" s="91">
        <f>-SUMIFS('Movimientos Reales'!$D$5:$D$1048576,'Movimientos Reales'!$E$5:$E$1048576,'2.Adm-Ven-imp'!U$3,'Movimientos Reales'!$H$5:$H$1048576,'2.Adm-Ven-imp'!$Q19,'Movimientos Reales'!$G$5:$G$1048576,'2.Adm-Ven-imp'!$Q$1)</f>
        <v>0</v>
      </c>
      <c r="V19" s="91">
        <f>-SUMIFS('Movimientos Reales'!$D$5:$D$1048576,'Movimientos Reales'!$E$5:$E$1048576,'2.Adm-Ven-imp'!V$3,'Movimientos Reales'!$H$5:$H$1048576,'2.Adm-Ven-imp'!$Q19,'Movimientos Reales'!$G$5:$G$1048576,'2.Adm-Ven-imp'!$Q$1)</f>
        <v>0</v>
      </c>
      <c r="W19" s="91">
        <f>-SUMIFS('Movimientos Reales'!$D$5:$D$1048576,'Movimientos Reales'!$E$5:$E$1048576,'2.Adm-Ven-imp'!W$3,'Movimientos Reales'!$H$5:$H$1048576,'2.Adm-Ven-imp'!$Q19,'Movimientos Reales'!$G$5:$G$1048576,'2.Adm-Ven-imp'!$Q$1)</f>
        <v>0</v>
      </c>
      <c r="X19" s="91">
        <f>-SUMIFS('Movimientos Reales'!$D$5:$D$1048576,'Movimientos Reales'!$E$5:$E$1048576,'2.Adm-Ven-imp'!X$3,'Movimientos Reales'!$H$5:$H$1048576,'2.Adm-Ven-imp'!$Q19,'Movimientos Reales'!$G$5:$G$1048576,'2.Adm-Ven-imp'!$Q$1)</f>
        <v>0</v>
      </c>
      <c r="Y19" s="91">
        <f>-SUMIFS('Movimientos Reales'!$D$5:$D$1048576,'Movimientos Reales'!$E$5:$E$1048576,'2.Adm-Ven-imp'!Y$3,'Movimientos Reales'!$H$5:$H$1048576,'2.Adm-Ven-imp'!$Q19,'Movimientos Reales'!$G$5:$G$1048576,'2.Adm-Ven-imp'!$Q$1)</f>
        <v>0</v>
      </c>
      <c r="Z19" s="91">
        <f>-SUMIFS('Movimientos Reales'!$D$5:$D$1048576,'Movimientos Reales'!$E$5:$E$1048576,'2.Adm-Ven-imp'!Z$3,'Movimientos Reales'!$H$5:$H$1048576,'2.Adm-Ven-imp'!$Q19,'Movimientos Reales'!$G$5:$G$1048576,'2.Adm-Ven-imp'!$Q$1)</f>
        <v>0</v>
      </c>
      <c r="AA19" s="91">
        <f>-SUMIFS('Movimientos Reales'!$D$5:$D$1048576,'Movimientos Reales'!$E$5:$E$1048576,'2.Adm-Ven-imp'!AA$3,'Movimientos Reales'!$H$5:$H$1048576,'2.Adm-Ven-imp'!$Q19,'Movimientos Reales'!$G$5:$G$1048576,'2.Adm-Ven-imp'!$Q$1)</f>
        <v>0</v>
      </c>
      <c r="AB19" s="91">
        <f>-SUMIFS('Movimientos Reales'!$D$5:$D$1048576,'Movimientos Reales'!$E$5:$E$1048576,'2.Adm-Ven-imp'!AB$3,'Movimientos Reales'!$H$5:$H$1048576,'2.Adm-Ven-imp'!$Q19,'Movimientos Reales'!$G$5:$G$1048576,'2.Adm-Ven-imp'!$Q$1)</f>
        <v>0</v>
      </c>
      <c r="AC19" s="91">
        <f>-SUMIFS('Movimientos Reales'!$D$5:$D$1048576,'Movimientos Reales'!$E$5:$E$1048576,'2.Adm-Ven-imp'!AC$3,'Movimientos Reales'!$H$5:$H$1048576,'2.Adm-Ven-imp'!$Q19,'Movimientos Reales'!$G$5:$G$1048576,'2.Adm-Ven-imp'!$Q$1)</f>
        <v>0</v>
      </c>
      <c r="AD19" s="2"/>
    </row>
    <row r="20" spans="2:30" ht="12.95">
      <c r="B20" s="98" t="s">
        <v>121</v>
      </c>
      <c r="C20" s="615">
        <v>104310000</v>
      </c>
      <c r="D20" s="615">
        <v>170000000</v>
      </c>
      <c r="E20" s="615">
        <v>85000000</v>
      </c>
      <c r="F20" s="615">
        <v>85000000</v>
      </c>
      <c r="G20" s="615">
        <v>85000000</v>
      </c>
      <c r="H20" s="615">
        <v>85000000</v>
      </c>
      <c r="I20" s="615">
        <v>115000000</v>
      </c>
      <c r="J20" s="615">
        <v>85000000</v>
      </c>
      <c r="K20" s="615">
        <v>85000000</v>
      </c>
      <c r="L20" s="615">
        <v>85000000</v>
      </c>
      <c r="M20" s="615">
        <v>85000000</v>
      </c>
      <c r="N20" s="615">
        <v>115000000</v>
      </c>
      <c r="Q20" s="98" t="s">
        <v>106</v>
      </c>
      <c r="R20" s="91">
        <f>-SUMIFS('Movimientos Reales'!$D$5:$D$1048576,'Movimientos Reales'!$E$5:$E$1048576,'2.Adm-Ven-imp'!R$3,'Movimientos Reales'!$H$5:$H$1048576,'2.Adm-Ven-imp'!$Q20,'Movimientos Reales'!$G$5:$G$1048576,'2.Adm-Ven-imp'!$Q$1)</f>
        <v>79725303.246333346</v>
      </c>
      <c r="S20" s="91">
        <f>-SUMIFS('Movimientos Reales'!$D$5:$D$1048576,'Movimientos Reales'!$E$5:$E$1048576,'2.Adm-Ven-imp'!S$3,'Movimientos Reales'!$H$5:$H$1048576,'2.Adm-Ven-imp'!$Q20,'Movimientos Reales'!$G$5:$G$1048576,'2.Adm-Ven-imp'!$Q$1)</f>
        <v>114596364.31444444</v>
      </c>
      <c r="T20" s="91">
        <f>-SUMIFS('Movimientos Reales'!$D$5:$D$1048576,'Movimientos Reales'!$E$5:$E$1048576,'2.Adm-Ven-imp'!T$3,'Movimientos Reales'!$H$5:$H$1048576,'2.Adm-Ven-imp'!$Q20,'Movimientos Reales'!$G$5:$G$1048576,'2.Adm-Ven-imp'!$Q$1)</f>
        <v>79936063</v>
      </c>
      <c r="U20" s="91">
        <f>-SUMIFS('Movimientos Reales'!$D$5:$D$1048576,'Movimientos Reales'!$E$5:$E$1048576,'2.Adm-Ven-imp'!U$3,'Movimientos Reales'!$H$5:$H$1048576,'2.Adm-Ven-imp'!$Q20,'Movimientos Reales'!$G$5:$G$1048576,'2.Adm-Ven-imp'!$Q$1)</f>
        <v>83335986.333333328</v>
      </c>
      <c r="V20" s="91">
        <f>-SUMIFS('Movimientos Reales'!$D$5:$D$1048576,'Movimientos Reales'!$E$5:$E$1048576,'2.Adm-Ven-imp'!V$3,'Movimientos Reales'!$H$5:$H$1048576,'2.Adm-Ven-imp'!$Q20,'Movimientos Reales'!$G$5:$G$1048576,'2.Adm-Ven-imp'!$Q$1)</f>
        <v>84273542.499999985</v>
      </c>
      <c r="W20" s="91">
        <f>-SUMIFS('Movimientos Reales'!$D$5:$D$1048576,'Movimientos Reales'!$E$5:$E$1048576,'2.Adm-Ven-imp'!W$3,'Movimientos Reales'!$H$5:$H$1048576,'2.Adm-Ven-imp'!$Q20,'Movimientos Reales'!$G$5:$G$1048576,'2.Adm-Ven-imp'!$Q$1)</f>
        <v>120001684.16666666</v>
      </c>
      <c r="X20" s="91">
        <f>-SUMIFS('Movimientos Reales'!$D$5:$D$1048576,'Movimientos Reales'!$E$5:$E$1048576,'2.Adm-Ven-imp'!X$3,'Movimientos Reales'!$H$5:$H$1048576,'2.Adm-Ven-imp'!$Q20,'Movimientos Reales'!$G$5:$G$1048576,'2.Adm-Ven-imp'!$Q$1)</f>
        <v>0</v>
      </c>
      <c r="Y20" s="91">
        <f>-SUMIFS('Movimientos Reales'!$D$5:$D$1048576,'Movimientos Reales'!$E$5:$E$1048576,'2.Adm-Ven-imp'!Y$3,'Movimientos Reales'!$H$5:$H$1048576,'2.Adm-Ven-imp'!$Q20,'Movimientos Reales'!$G$5:$G$1048576,'2.Adm-Ven-imp'!$Q$1)</f>
        <v>0</v>
      </c>
      <c r="Z20" s="91">
        <f>-SUMIFS('Movimientos Reales'!$D$5:$D$1048576,'Movimientos Reales'!$E$5:$E$1048576,'2.Adm-Ven-imp'!Z$3,'Movimientos Reales'!$H$5:$H$1048576,'2.Adm-Ven-imp'!$Q20,'Movimientos Reales'!$G$5:$G$1048576,'2.Adm-Ven-imp'!$Q$1)</f>
        <v>0</v>
      </c>
      <c r="AA20" s="91">
        <f>-SUMIFS('Movimientos Reales'!$D$5:$D$1048576,'Movimientos Reales'!$E$5:$E$1048576,'2.Adm-Ven-imp'!AA$3,'Movimientos Reales'!$H$5:$H$1048576,'2.Adm-Ven-imp'!$Q20,'Movimientos Reales'!$G$5:$G$1048576,'2.Adm-Ven-imp'!$Q$1)</f>
        <v>0</v>
      </c>
      <c r="AB20" s="91">
        <f>-SUMIFS('Movimientos Reales'!$D$5:$D$1048576,'Movimientos Reales'!$E$5:$E$1048576,'2.Adm-Ven-imp'!AB$3,'Movimientos Reales'!$H$5:$H$1048576,'2.Adm-Ven-imp'!$Q20,'Movimientos Reales'!$G$5:$G$1048576,'2.Adm-Ven-imp'!$Q$1)</f>
        <v>0</v>
      </c>
      <c r="AC20" s="91">
        <f>-SUMIFS('Movimientos Reales'!$D$5:$D$1048576,'Movimientos Reales'!$E$5:$E$1048576,'2.Adm-Ven-imp'!AC$3,'Movimientos Reales'!$H$5:$H$1048576,'2.Adm-Ven-imp'!$Q20,'Movimientos Reales'!$G$5:$G$1048576,'2.Adm-Ven-imp'!$Q$1)</f>
        <v>0</v>
      </c>
      <c r="AD20" s="2"/>
    </row>
    <row r="22" spans="2:30" ht="12.95" hidden="1">
      <c r="B22" s="284" t="s">
        <v>11</v>
      </c>
      <c r="C22" s="99">
        <f>+SUM(C4:C15)</f>
        <v>46900000</v>
      </c>
      <c r="D22" s="99">
        <f t="shared" ref="D22:N22" si="0">+SUM(D4:D15)</f>
        <v>51900000</v>
      </c>
      <c r="E22" s="99">
        <f t="shared" si="0"/>
        <v>117900000</v>
      </c>
      <c r="F22" s="99">
        <f t="shared" si="0"/>
        <v>51900000</v>
      </c>
      <c r="G22" s="99">
        <f t="shared" si="0"/>
        <v>51900000</v>
      </c>
      <c r="H22" s="99">
        <f t="shared" si="0"/>
        <v>51900000</v>
      </c>
      <c r="I22" s="99">
        <f t="shared" si="0"/>
        <v>51900000</v>
      </c>
      <c r="J22" s="99">
        <f t="shared" si="0"/>
        <v>51900000</v>
      </c>
      <c r="K22" s="99">
        <f t="shared" si="0"/>
        <v>51900000</v>
      </c>
      <c r="L22" s="99">
        <f t="shared" si="0"/>
        <v>51900000</v>
      </c>
      <c r="M22" s="99">
        <f t="shared" si="0"/>
        <v>51900000</v>
      </c>
      <c r="N22" s="99">
        <f t="shared" si="0"/>
        <v>51900000</v>
      </c>
      <c r="Q22" s="284" t="s">
        <v>11</v>
      </c>
      <c r="R22" s="99">
        <f>+SUM(R4:R15)</f>
        <v>36410286.019999996</v>
      </c>
      <c r="S22" s="99">
        <f>+SUM(S4:S15)</f>
        <v>83767633.590000004</v>
      </c>
      <c r="T22" s="99">
        <f t="shared" ref="T22:AC22" si="1">+SUM(T4:T14)</f>
        <v>38281214.770000003</v>
      </c>
      <c r="U22" s="99">
        <f t="shared" si="1"/>
        <v>44445783.609999999</v>
      </c>
      <c r="V22" s="99">
        <f t="shared" si="1"/>
        <v>62773415.739999995</v>
      </c>
      <c r="W22" s="99">
        <f>+SUM(W4:W20)</f>
        <v>225085068.11666667</v>
      </c>
      <c r="X22" s="99">
        <f>+SUM(X4:X20)</f>
        <v>50633495</v>
      </c>
      <c r="Y22" s="99">
        <f t="shared" si="1"/>
        <v>0</v>
      </c>
      <c r="Z22" s="99">
        <f t="shared" si="1"/>
        <v>0</v>
      </c>
      <c r="AA22" s="99">
        <f t="shared" si="1"/>
        <v>0</v>
      </c>
      <c r="AB22" s="99">
        <f t="shared" si="1"/>
        <v>0</v>
      </c>
      <c r="AC22" s="99">
        <f t="shared" si="1"/>
        <v>0</v>
      </c>
    </row>
    <row r="23" spans="2:30" ht="12.95">
      <c r="B23" s="284" t="s">
        <v>11</v>
      </c>
      <c r="C23" s="99">
        <f>+SUM(C4:C20)</f>
        <v>154010000</v>
      </c>
      <c r="D23" s="99">
        <f t="shared" ref="D23" si="2">+SUM(D4:D20)</f>
        <v>224700000</v>
      </c>
      <c r="E23" s="99">
        <f>+SUM(E4:E20)</f>
        <v>205700000</v>
      </c>
      <c r="F23" s="99">
        <f>+SUM(F4:F20)</f>
        <v>139700000</v>
      </c>
      <c r="G23" s="99">
        <f t="shared" ref="G23:M23" si="3">+SUM(G4:G20)</f>
        <v>139700000</v>
      </c>
      <c r="H23" s="99">
        <f t="shared" si="3"/>
        <v>139700000</v>
      </c>
      <c r="I23" s="99">
        <f t="shared" si="3"/>
        <v>174700000</v>
      </c>
      <c r="J23" s="99">
        <f t="shared" si="3"/>
        <v>139700000</v>
      </c>
      <c r="K23" s="99">
        <f t="shared" si="3"/>
        <v>139700000</v>
      </c>
      <c r="L23" s="99">
        <f t="shared" si="3"/>
        <v>139700000</v>
      </c>
      <c r="M23" s="99">
        <f t="shared" si="3"/>
        <v>154700000</v>
      </c>
      <c r="N23" s="99">
        <f>+SUM(N4:N20)</f>
        <v>169700000</v>
      </c>
      <c r="Q23" s="284" t="s">
        <v>11</v>
      </c>
      <c r="R23" s="99">
        <f>+SUM(R4:R20)</f>
        <v>119259820.30633333</v>
      </c>
      <c r="S23" s="99">
        <f>+SUM(S4:S20)</f>
        <v>207905154.30444443</v>
      </c>
      <c r="T23" s="99">
        <f>+SUM(T4:T20)</f>
        <v>131458787.81</v>
      </c>
      <c r="U23" s="99">
        <f t="shared" ref="U23:X23" si="4">+SUM(U4:U20)</f>
        <v>139802761.94333333</v>
      </c>
      <c r="V23" s="99">
        <f t="shared" si="4"/>
        <v>182491636.23999998</v>
      </c>
      <c r="W23" s="99">
        <f t="shared" si="4"/>
        <v>225085068.11666667</v>
      </c>
      <c r="X23" s="99">
        <f t="shared" si="4"/>
        <v>50633495</v>
      </c>
      <c r="Y23" s="99">
        <f>+SUM(Y4:Y20)</f>
        <v>0</v>
      </c>
      <c r="Z23" s="99">
        <f>+SUM(Z4:Z20)</f>
        <v>0</v>
      </c>
      <c r="AA23" s="99">
        <f>+SUM(AA4:AA20)</f>
        <v>0</v>
      </c>
      <c r="AB23" s="99">
        <f>+SUM(AB4:AB20)</f>
        <v>0</v>
      </c>
      <c r="AC23" s="99">
        <f>+SUM(AC4:AC20)</f>
        <v>0</v>
      </c>
    </row>
    <row r="24" spans="2:30" ht="12.95">
      <c r="B24" s="285"/>
      <c r="C24" s="97"/>
      <c r="D24" s="97"/>
      <c r="E24" s="97"/>
      <c r="F24" s="97"/>
      <c r="G24" s="97"/>
      <c r="H24" s="97"/>
      <c r="I24" s="97"/>
      <c r="J24" s="97"/>
      <c r="K24" s="97"/>
      <c r="L24" s="97"/>
      <c r="M24" s="97"/>
      <c r="N24" s="97"/>
      <c r="Q24" s="285" t="s">
        <v>107</v>
      </c>
      <c r="R24" s="97"/>
      <c r="S24" s="97"/>
      <c r="T24" s="97"/>
      <c r="U24" s="97"/>
      <c r="V24" s="97"/>
      <c r="W24" s="97"/>
      <c r="X24" s="97"/>
      <c r="Y24" s="97"/>
      <c r="Z24" s="97"/>
      <c r="AA24" s="97"/>
      <c r="AB24" s="97"/>
      <c r="AC24" s="97"/>
    </row>
    <row r="25" spans="2:30" ht="12.95">
      <c r="B25" s="898" t="s">
        <v>93</v>
      </c>
      <c r="C25" s="899"/>
      <c r="D25" s="899"/>
      <c r="E25" s="899"/>
      <c r="F25" s="900"/>
      <c r="G25" s="98"/>
      <c r="H25" s="98"/>
      <c r="I25" s="98"/>
      <c r="J25" s="98"/>
      <c r="K25" s="98"/>
      <c r="L25" s="98"/>
      <c r="M25" s="98"/>
      <c r="N25" s="98"/>
      <c r="Q25" s="931" t="s">
        <v>274</v>
      </c>
      <c r="R25" s="931"/>
      <c r="S25" s="931"/>
      <c r="T25" s="931"/>
      <c r="U25" s="931"/>
      <c r="V25" s="931"/>
      <c r="W25" s="931"/>
      <c r="X25" s="931"/>
      <c r="Y25" s="931"/>
      <c r="Z25" s="931"/>
      <c r="AA25" s="931"/>
      <c r="AB25" s="931"/>
      <c r="AC25" s="931"/>
    </row>
    <row r="26" spans="2:30" ht="12.95">
      <c r="C26" s="286">
        <v>45658</v>
      </c>
      <c r="D26" s="286">
        <v>45689</v>
      </c>
      <c r="E26" s="286">
        <v>45717</v>
      </c>
      <c r="F26" s="286">
        <v>45748</v>
      </c>
      <c r="G26" s="286">
        <v>45778</v>
      </c>
      <c r="H26" s="286">
        <v>45809</v>
      </c>
      <c r="I26" s="286">
        <v>45839</v>
      </c>
      <c r="J26" s="286">
        <v>45870</v>
      </c>
      <c r="K26" s="286">
        <v>45901</v>
      </c>
      <c r="L26" s="286">
        <v>45931</v>
      </c>
      <c r="M26" s="286">
        <v>45962</v>
      </c>
      <c r="N26" s="286">
        <v>45992</v>
      </c>
      <c r="R26" s="286">
        <v>45658</v>
      </c>
      <c r="S26" s="286">
        <v>45689</v>
      </c>
      <c r="T26" s="286">
        <v>45717</v>
      </c>
      <c r="U26" s="286">
        <v>45748</v>
      </c>
      <c r="V26" s="286">
        <v>45778</v>
      </c>
      <c r="W26" s="286">
        <v>45809</v>
      </c>
      <c r="X26" s="286">
        <v>45839</v>
      </c>
      <c r="Y26" s="286">
        <v>45870</v>
      </c>
      <c r="Z26" s="286">
        <v>45901</v>
      </c>
      <c r="AA26" s="286">
        <v>45931</v>
      </c>
      <c r="AB26" s="286">
        <v>45962</v>
      </c>
      <c r="AC26" s="286">
        <v>45992</v>
      </c>
    </row>
    <row r="27" spans="2:30" ht="12.95">
      <c r="B27" s="40" t="s">
        <v>275</v>
      </c>
      <c r="C27" s="614">
        <v>3000000</v>
      </c>
      <c r="D27" s="614">
        <v>3000000</v>
      </c>
      <c r="E27" s="614">
        <v>3000000</v>
      </c>
      <c r="F27" s="614">
        <v>3000000</v>
      </c>
      <c r="G27" s="614">
        <v>2500000</v>
      </c>
      <c r="H27" s="614">
        <v>2500000</v>
      </c>
      <c r="I27" s="614">
        <v>2500000</v>
      </c>
      <c r="J27" s="614">
        <v>2500000</v>
      </c>
      <c r="K27" s="614">
        <v>2500000</v>
      </c>
      <c r="L27" s="614">
        <v>2500000</v>
      </c>
      <c r="M27" s="614">
        <v>2500000</v>
      </c>
      <c r="N27" s="614">
        <v>2500000</v>
      </c>
      <c r="Q27" s="40" t="s">
        <v>276</v>
      </c>
      <c r="R27" s="91">
        <f>-SUMIFS('Movimientos Reales'!$D$5:$D$1048576,'Movimientos Reales'!$E$5:$E$1048576,'2.Adm-Ven-imp'!R$3,'Movimientos Reales'!$H$5:$H$1048576,'2.Adm-Ven-imp'!$Q27,'Movimientos Reales'!$G$5:$G$1048576,'2.Adm-Ven-imp'!$Q$24)</f>
        <v>1169713.3899999999</v>
      </c>
      <c r="S27" s="91">
        <f>-SUMIFS('Movimientos Reales'!$D$5:$D$1048576,'Movimientos Reales'!$E$5:$E$1048576,'2.Adm-Ven-imp'!S$3,'Movimientos Reales'!$H$5:$H$1048576,'2.Adm-Ven-imp'!$Q27,'Movimientos Reales'!$G$5:$G$1048576,'2.Adm-Ven-imp'!$Q$24)</f>
        <v>3396698</v>
      </c>
      <c r="T27" s="91">
        <f>-SUMIFS('Movimientos Reales'!$D$5:$D$1048576,'Movimientos Reales'!$E$5:$E$1048576,'2.Adm-Ven-imp'!T$3,'Movimientos Reales'!$H$5:$H$1048576,'2.Adm-Ven-imp'!$Q27,'Movimientos Reales'!$G$5:$G$1048576,'2.Adm-Ven-imp'!$Q$24)</f>
        <v>1457860</v>
      </c>
      <c r="U27" s="91">
        <f>-SUMIFS('Movimientos Reales'!$D$5:$D$1048576,'Movimientos Reales'!$E$5:$E$1048576,'2.Adm-Ven-imp'!U$3,'Movimientos Reales'!$H$5:$H$1048576,'2.Adm-Ven-imp'!$Q27,'Movimientos Reales'!$G$5:$G$1048576,'2.Adm-Ven-imp'!$Q$24)</f>
        <v>1495863.01</v>
      </c>
      <c r="V27" s="91">
        <f>-SUMIFS('Movimientos Reales'!$D$5:$D$1048576,'Movimientos Reales'!$E$5:$E$1048576,'2.Adm-Ven-imp'!V$3,'Movimientos Reales'!$H$5:$H$1048576,'2.Adm-Ven-imp'!$Q27,'Movimientos Reales'!$G$5:$G$1048576,'2.Adm-Ven-imp'!$Q$24)</f>
        <v>2649669</v>
      </c>
      <c r="W27" s="91">
        <f>-SUMIFS('Movimientos Reales'!$D$5:$D$1048576,'Movimientos Reales'!$E$5:$E$1048576,'2.Adm-Ven-imp'!W$3,'Movimientos Reales'!$H$5:$H$1048576,'2.Adm-Ven-imp'!$Q27,'Movimientos Reales'!$G$5:$G$1048576,'2.Adm-Ven-imp'!$Q$24)</f>
        <v>963865</v>
      </c>
      <c r="X27" s="91">
        <f>-SUMIFS('Movimientos Reales'!$D$5:$D$1048576,'Movimientos Reales'!$E$5:$E$1048576,'2.Adm-Ven-imp'!X$3,'Movimientos Reales'!$H$5:$H$1048576,'2.Adm-Ven-imp'!$Q27,'Movimientos Reales'!$G$5:$G$1048576,'2.Adm-Ven-imp'!$Q$24)</f>
        <v>70599</v>
      </c>
      <c r="Y27" s="91">
        <f>-SUMIFS('Movimientos Reales'!$D$5:$D$1048576,'Movimientos Reales'!$E$5:$E$1048576,'2.Adm-Ven-imp'!Y$3,'Movimientos Reales'!$H$5:$H$1048576,'2.Adm-Ven-imp'!$Q27,'Movimientos Reales'!$G$5:$G$1048576,'2.Adm-Ven-imp'!$Q$24)</f>
        <v>0</v>
      </c>
      <c r="Z27" s="91">
        <f>-SUMIFS('Movimientos Reales'!$D$5:$D$1048576,'Movimientos Reales'!$E$5:$E$1048576,'2.Adm-Ven-imp'!Z$3,'Movimientos Reales'!$H$5:$H$1048576,'2.Adm-Ven-imp'!$Q27,'Movimientos Reales'!$G$5:$G$1048576,'2.Adm-Ven-imp'!$Q$24)</f>
        <v>0</v>
      </c>
      <c r="AA27" s="91">
        <f>-SUMIFS('Movimientos Reales'!$D$5:$D$1048576,'Movimientos Reales'!$E$5:$E$1048576,'2.Adm-Ven-imp'!AA$3,'Movimientos Reales'!$H$5:$H$1048576,'2.Adm-Ven-imp'!$Q27,'Movimientos Reales'!$G$5:$G$1048576,'2.Adm-Ven-imp'!$Q$24)</f>
        <v>0</v>
      </c>
      <c r="AB27" s="91">
        <f>-SUMIFS('Movimientos Reales'!$D$5:$D$1048576,'Movimientos Reales'!$E$5:$E$1048576,'2.Adm-Ven-imp'!AB$3,'Movimientos Reales'!$H$5:$H$1048576,'2.Adm-Ven-imp'!$Q27,'Movimientos Reales'!$G$5:$G$1048576,'2.Adm-Ven-imp'!$Q$24)</f>
        <v>0</v>
      </c>
      <c r="AC27" s="91">
        <f>-SUMIFS('Movimientos Reales'!$D$5:$D$1048576,'Movimientos Reales'!$E$5:$E$1048576,'2.Adm-Ven-imp'!AC$3,'Movimientos Reales'!$H$5:$H$1048576,'2.Adm-Ven-imp'!$Q27,'Movimientos Reales'!$G$5:$G$1048576,'2.Adm-Ven-imp'!$Q$24)</f>
        <v>0</v>
      </c>
      <c r="AD27" s="2"/>
    </row>
    <row r="28" spans="2:30" ht="12.95">
      <c r="B28" s="284"/>
      <c r="C28" s="614"/>
      <c r="D28" s="614"/>
      <c r="E28" s="614"/>
      <c r="F28" s="614"/>
      <c r="G28" s="614"/>
      <c r="H28" s="614"/>
      <c r="I28" s="614"/>
      <c r="J28" s="614"/>
      <c r="K28" s="614"/>
      <c r="L28" s="614"/>
      <c r="M28" s="614"/>
      <c r="N28" s="614"/>
      <c r="Q28" s="284"/>
      <c r="R28" s="91">
        <f>-SUMIFS('Movimientos Reales'!$D$5:$D$1048576,'Movimientos Reales'!$E$5:$E$1048576,'2.Adm-Ven-imp'!R$3,'Movimientos Reales'!$H$5:$H$1048576,'2.Adm-Ven-imp'!$Q28,'Movimientos Reales'!$G$5:$G$1048576,'2.Adm-Ven-imp'!$Q$24)</f>
        <v>0</v>
      </c>
      <c r="S28" s="91">
        <f>-SUMIFS('Movimientos Reales'!$D$5:$D$1048576,'Movimientos Reales'!$E$5:$E$1048576,'2.Adm-Ven-imp'!S$3,'Movimientos Reales'!$H$5:$H$1048576,'2.Adm-Ven-imp'!$Q28,'Movimientos Reales'!$G$5:$G$1048576,'2.Adm-Ven-imp'!$Q$24)</f>
        <v>0</v>
      </c>
      <c r="T28" s="91">
        <f>-SUMIFS('Movimientos Reales'!$D$5:$D$1048576,'Movimientos Reales'!$E$5:$E$1048576,'2.Adm-Ven-imp'!T$3,'Movimientos Reales'!$H$5:$H$1048576,'2.Adm-Ven-imp'!$Q28,'Movimientos Reales'!$G$5:$G$1048576,'2.Adm-Ven-imp'!$Q$24)</f>
        <v>0</v>
      </c>
      <c r="U28" s="91">
        <f>-SUMIFS('Movimientos Reales'!$D$5:$D$1048576,'Movimientos Reales'!$E$5:$E$1048576,'2.Adm-Ven-imp'!U$3,'Movimientos Reales'!$H$5:$H$1048576,'2.Adm-Ven-imp'!$Q28,'Movimientos Reales'!$G$5:$G$1048576,'2.Adm-Ven-imp'!$Q$24)</f>
        <v>0</v>
      </c>
      <c r="V28" s="91">
        <f>-SUMIFS('Movimientos Reales'!$D$5:$D$1048576,'Movimientos Reales'!$E$5:$E$1048576,'2.Adm-Ven-imp'!V$3,'Movimientos Reales'!$H$5:$H$1048576,'2.Adm-Ven-imp'!$Q28,'Movimientos Reales'!$G$5:$G$1048576,'2.Adm-Ven-imp'!$Q$24)</f>
        <v>0</v>
      </c>
      <c r="W28" s="91">
        <f>-SUMIFS('Movimientos Reales'!$D$5:$D$1048576,'Movimientos Reales'!$E$5:$E$1048576,'2.Adm-Ven-imp'!W$3,'Movimientos Reales'!$H$5:$H$1048576,'2.Adm-Ven-imp'!$Q28,'Movimientos Reales'!$G$5:$G$1048576,'2.Adm-Ven-imp'!$Q$24)</f>
        <v>0</v>
      </c>
      <c r="X28" s="91">
        <f>-SUMIFS('Movimientos Reales'!$D$5:$D$1048576,'Movimientos Reales'!$E$5:$E$1048576,'2.Adm-Ven-imp'!X$3,'Movimientos Reales'!$H$5:$H$1048576,'2.Adm-Ven-imp'!$Q28,'Movimientos Reales'!$G$5:$G$1048576,'2.Adm-Ven-imp'!$Q$24)</f>
        <v>0</v>
      </c>
      <c r="Y28" s="91">
        <f>-SUMIFS('Movimientos Reales'!$D$5:$D$1048576,'Movimientos Reales'!$E$5:$E$1048576,'2.Adm-Ven-imp'!Y$3,'Movimientos Reales'!$H$5:$H$1048576,'2.Adm-Ven-imp'!$Q28,'Movimientos Reales'!$G$5:$G$1048576,'2.Adm-Ven-imp'!$Q$24)</f>
        <v>0</v>
      </c>
      <c r="Z28" s="91">
        <f>-SUMIFS('Movimientos Reales'!$D$5:$D$1048576,'Movimientos Reales'!$E$5:$E$1048576,'2.Adm-Ven-imp'!Z$3,'Movimientos Reales'!$H$5:$H$1048576,'2.Adm-Ven-imp'!$Q28,'Movimientos Reales'!$G$5:$G$1048576,'2.Adm-Ven-imp'!$Q$24)</f>
        <v>0</v>
      </c>
      <c r="AA28" s="91">
        <f>-SUMIFS('Movimientos Reales'!$D$5:$D$1048576,'Movimientos Reales'!$E$5:$E$1048576,'2.Adm-Ven-imp'!AA$3,'Movimientos Reales'!$H$5:$H$1048576,'2.Adm-Ven-imp'!$Q28,'Movimientos Reales'!$G$5:$G$1048576,'2.Adm-Ven-imp'!$Q$24)</f>
        <v>0</v>
      </c>
      <c r="AB28" s="91">
        <f>-SUMIFS('Movimientos Reales'!$D$5:$D$1048576,'Movimientos Reales'!$E$5:$E$1048576,'2.Adm-Ven-imp'!AB$3,'Movimientos Reales'!$H$5:$H$1048576,'2.Adm-Ven-imp'!$Q28,'Movimientos Reales'!$G$5:$G$1048576,'2.Adm-Ven-imp'!$Q$24)</f>
        <v>0</v>
      </c>
      <c r="AC28" s="91">
        <f>-SUMIFS('Movimientos Reales'!$D$5:$D$1048576,'Movimientos Reales'!$E$5:$E$1048576,'2.Adm-Ven-imp'!AC$3,'Movimientos Reales'!$H$5:$H$1048576,'2.Adm-Ven-imp'!$Q28,'Movimientos Reales'!$G$5:$G$1048576,'2.Adm-Ven-imp'!$Q$24)</f>
        <v>0</v>
      </c>
      <c r="AD28" s="2"/>
    </row>
    <row r="29" spans="2:30" ht="12.95">
      <c r="B29" s="284" t="s">
        <v>115</v>
      </c>
      <c r="C29" s="614">
        <v>350000</v>
      </c>
      <c r="D29" s="614">
        <v>350000</v>
      </c>
      <c r="E29" s="614">
        <v>350000</v>
      </c>
      <c r="F29" s="614">
        <v>350000</v>
      </c>
      <c r="G29" s="614">
        <v>350000</v>
      </c>
      <c r="H29" s="614">
        <v>350000</v>
      </c>
      <c r="I29" s="614">
        <v>350000</v>
      </c>
      <c r="J29" s="614">
        <v>350000</v>
      </c>
      <c r="K29" s="614">
        <v>350000</v>
      </c>
      <c r="L29" s="614">
        <v>350000</v>
      </c>
      <c r="M29" s="614">
        <v>350000</v>
      </c>
      <c r="N29" s="614">
        <v>350000</v>
      </c>
      <c r="Q29" s="284" t="s">
        <v>115</v>
      </c>
      <c r="R29" s="91">
        <f>-SUMIFS('Movimientos Reales'!$D$5:$D$1048576,'Movimientos Reales'!$E$5:$E$1048576,'2.Adm-Ven-imp'!R$3,'Movimientos Reales'!$H$5:$H$1048576,'2.Adm-Ven-imp'!$Q29,'Movimientos Reales'!$G$5:$G$1048576,'2.Adm-Ven-imp'!$Q$24)</f>
        <v>64001</v>
      </c>
      <c r="S29" s="91">
        <f>-SUMIFS('Movimientos Reales'!$D$5:$D$1048576,'Movimientos Reales'!$E$5:$E$1048576,'2.Adm-Ven-imp'!S$3,'Movimientos Reales'!$H$5:$H$1048576,'2.Adm-Ven-imp'!$Q29,'Movimientos Reales'!$G$5:$G$1048576,'2.Adm-Ven-imp'!$Q$24)</f>
        <v>67680</v>
      </c>
      <c r="T29" s="91">
        <f>-SUMIFS('Movimientos Reales'!$D$5:$D$1048576,'Movimientos Reales'!$E$5:$E$1048576,'2.Adm-Ven-imp'!T$3,'Movimientos Reales'!$H$5:$H$1048576,'2.Adm-Ven-imp'!$Q29,'Movimientos Reales'!$G$5:$G$1048576,'2.Adm-Ven-imp'!$Q$24)</f>
        <v>67680</v>
      </c>
      <c r="U29" s="91">
        <f>-SUMIFS('Movimientos Reales'!$D$5:$D$1048576,'Movimientos Reales'!$E$5:$E$1048576,'2.Adm-Ven-imp'!U$3,'Movimientos Reales'!$H$5:$H$1048576,'2.Adm-Ven-imp'!$Q29,'Movimientos Reales'!$G$5:$G$1048576,'2.Adm-Ven-imp'!$Q$24)</f>
        <v>135360</v>
      </c>
      <c r="V29" s="91">
        <f>-SUMIFS('Movimientos Reales'!$D$5:$D$1048576,'Movimientos Reales'!$E$5:$E$1048576,'2.Adm-Ven-imp'!V$3,'Movimientos Reales'!$H$5:$H$1048576,'2.Adm-Ven-imp'!$Q29,'Movimientos Reales'!$G$5:$G$1048576,'2.Adm-Ven-imp'!$Q$24)</f>
        <v>114210</v>
      </c>
      <c r="W29" s="91">
        <f>-SUMIFS('Movimientos Reales'!$D$5:$D$1048576,'Movimientos Reales'!$E$5:$E$1048576,'2.Adm-Ven-imp'!W$3,'Movimientos Reales'!$H$5:$H$1048576,'2.Adm-Ven-imp'!$Q29,'Movimientos Reales'!$G$5:$G$1048576,'2.Adm-Ven-imp'!$Q$24)</f>
        <v>135360</v>
      </c>
      <c r="X29" s="91">
        <f>-SUMIFS('Movimientos Reales'!$D$5:$D$1048576,'Movimientos Reales'!$E$5:$E$1048576,'2.Adm-Ven-imp'!X$3,'Movimientos Reales'!$H$5:$H$1048576,'2.Adm-Ven-imp'!$Q29,'Movimientos Reales'!$G$5:$G$1048576,'2.Adm-Ven-imp'!$Q$24)</f>
        <v>115333</v>
      </c>
      <c r="Y29" s="91">
        <f>-SUMIFS('Movimientos Reales'!$D$5:$D$1048576,'Movimientos Reales'!$E$5:$E$1048576,'2.Adm-Ven-imp'!Y$3,'Movimientos Reales'!$H$5:$H$1048576,'2.Adm-Ven-imp'!$Q29,'Movimientos Reales'!$G$5:$G$1048576,'2.Adm-Ven-imp'!$Q$24)</f>
        <v>0</v>
      </c>
      <c r="Z29" s="91">
        <f>-SUMIFS('Movimientos Reales'!$D$5:$D$1048576,'Movimientos Reales'!$E$5:$E$1048576,'2.Adm-Ven-imp'!Z$3,'Movimientos Reales'!$H$5:$H$1048576,'2.Adm-Ven-imp'!$Q29,'Movimientos Reales'!$G$5:$G$1048576,'2.Adm-Ven-imp'!$Q$24)</f>
        <v>0</v>
      </c>
      <c r="AA29" s="91">
        <f>-SUMIFS('Movimientos Reales'!$D$5:$D$1048576,'Movimientos Reales'!$E$5:$E$1048576,'2.Adm-Ven-imp'!AA$3,'Movimientos Reales'!$H$5:$H$1048576,'2.Adm-Ven-imp'!$Q29,'Movimientos Reales'!$G$5:$G$1048576,'2.Adm-Ven-imp'!$Q$24)</f>
        <v>0</v>
      </c>
      <c r="AB29" s="91">
        <f>-SUMIFS('Movimientos Reales'!$D$5:$D$1048576,'Movimientos Reales'!$E$5:$E$1048576,'2.Adm-Ven-imp'!AB$3,'Movimientos Reales'!$H$5:$H$1048576,'2.Adm-Ven-imp'!$Q29,'Movimientos Reales'!$G$5:$G$1048576,'2.Adm-Ven-imp'!$Q$24)</f>
        <v>0</v>
      </c>
      <c r="AC29" s="91">
        <f>-SUMIFS('Movimientos Reales'!$D$5:$D$1048576,'Movimientos Reales'!$E$5:$E$1048576,'2.Adm-Ven-imp'!AC$3,'Movimientos Reales'!$H$5:$H$1048576,'2.Adm-Ven-imp'!$Q29,'Movimientos Reales'!$G$5:$G$1048576,'2.Adm-Ven-imp'!$Q$24)</f>
        <v>0</v>
      </c>
      <c r="AD29" s="2"/>
    </row>
    <row r="30" spans="2:30" ht="12.95">
      <c r="B30" s="284" t="s">
        <v>116</v>
      </c>
      <c r="C30" s="614">
        <v>15000000</v>
      </c>
      <c r="D30" s="614">
        <v>15000000</v>
      </c>
      <c r="E30" s="614">
        <v>15000000</v>
      </c>
      <c r="F30" s="614">
        <v>15000000</v>
      </c>
      <c r="G30" s="614">
        <v>15000000</v>
      </c>
      <c r="H30" s="614">
        <v>15000000</v>
      </c>
      <c r="I30" s="614">
        <v>15000000</v>
      </c>
      <c r="J30" s="614">
        <v>15000000</v>
      </c>
      <c r="K30" s="614">
        <v>15000000</v>
      </c>
      <c r="L30" s="614">
        <v>15000000</v>
      </c>
      <c r="M30" s="614">
        <v>15000000</v>
      </c>
      <c r="N30" s="614">
        <v>15000000</v>
      </c>
      <c r="Q30" s="284" t="s">
        <v>116</v>
      </c>
      <c r="R30" s="91">
        <f>-SUMIFS('Movimientos Reales'!$D$5:$D$1048576,'Movimientos Reales'!$E$5:$E$1048576,'2.Adm-Ven-imp'!R$3,'Movimientos Reales'!$H$5:$H$1048576,'2.Adm-Ven-imp'!$Q30,'Movimientos Reales'!$G$5:$G$1048576,'2.Adm-Ven-imp'!$Q$24)</f>
        <v>2258000</v>
      </c>
      <c r="S30" s="91">
        <f>-SUMIFS('Movimientos Reales'!$D$5:$D$1048576,'Movimientos Reales'!$E$5:$E$1048576,'2.Adm-Ven-imp'!S$3,'Movimientos Reales'!$H$5:$H$1048576,'2.Adm-Ven-imp'!$Q30,'Movimientos Reales'!$G$5:$G$1048576,'2.Adm-Ven-imp'!$Q$24)</f>
        <v>17787188</v>
      </c>
      <c r="T30" s="91">
        <f>-SUMIFS('Movimientos Reales'!$D$5:$D$1048576,'Movimientos Reales'!$E$5:$E$1048576,'2.Adm-Ven-imp'!T$3,'Movimientos Reales'!$H$5:$H$1048576,'2.Adm-Ven-imp'!$Q30,'Movimientos Reales'!$G$5:$G$1048576,'2.Adm-Ven-imp'!$Q$24)</f>
        <v>17809361.969999999</v>
      </c>
      <c r="U30" s="91">
        <f>-SUMIFS('Movimientos Reales'!$D$5:$D$1048576,'Movimientos Reales'!$E$5:$E$1048576,'2.Adm-Ven-imp'!U$3,'Movimientos Reales'!$H$5:$H$1048576,'2.Adm-Ven-imp'!$Q30,'Movimientos Reales'!$G$5:$G$1048576,'2.Adm-Ven-imp'!$Q$24)</f>
        <v>16653486.720000001</v>
      </c>
      <c r="V30" s="91">
        <f>-SUMIFS('Movimientos Reales'!$D$5:$D$1048576,'Movimientos Reales'!$E$5:$E$1048576,'2.Adm-Ven-imp'!V$3,'Movimientos Reales'!$H$5:$H$1048576,'2.Adm-Ven-imp'!$Q30,'Movimientos Reales'!$G$5:$G$1048576,'2.Adm-Ven-imp'!$Q$24)</f>
        <v>19610655.73</v>
      </c>
      <c r="W30" s="91">
        <f>-SUMIFS('Movimientos Reales'!$D$5:$D$1048576,'Movimientos Reales'!$E$5:$E$1048576,'2.Adm-Ven-imp'!W$3,'Movimientos Reales'!$H$5:$H$1048576,'2.Adm-Ven-imp'!$Q30,'Movimientos Reales'!$G$5:$G$1048576,'2.Adm-Ven-imp'!$Q$24)</f>
        <v>13222157</v>
      </c>
      <c r="X30" s="91">
        <f>-SUMIFS('Movimientos Reales'!$D$5:$D$1048576,'Movimientos Reales'!$E$5:$E$1048576,'2.Adm-Ven-imp'!X$3,'Movimientos Reales'!$H$5:$H$1048576,'2.Adm-Ven-imp'!$Q30,'Movimientos Reales'!$G$5:$G$1048576,'2.Adm-Ven-imp'!$Q$24)</f>
        <v>8144102.3300000001</v>
      </c>
      <c r="Y30" s="91">
        <f>-SUMIFS('Movimientos Reales'!$D$5:$D$1048576,'Movimientos Reales'!$E$5:$E$1048576,'2.Adm-Ven-imp'!Y$3,'Movimientos Reales'!$H$5:$H$1048576,'2.Adm-Ven-imp'!$Q30,'Movimientos Reales'!$G$5:$G$1048576,'2.Adm-Ven-imp'!$Q$24)</f>
        <v>0</v>
      </c>
      <c r="Z30" s="91">
        <f>-SUMIFS('Movimientos Reales'!$D$5:$D$1048576,'Movimientos Reales'!$E$5:$E$1048576,'2.Adm-Ven-imp'!Z$3,'Movimientos Reales'!$H$5:$H$1048576,'2.Adm-Ven-imp'!$Q30,'Movimientos Reales'!$G$5:$G$1048576,'2.Adm-Ven-imp'!$Q$24)</f>
        <v>0</v>
      </c>
      <c r="AA30" s="91">
        <f>-SUMIFS('Movimientos Reales'!$D$5:$D$1048576,'Movimientos Reales'!$E$5:$E$1048576,'2.Adm-Ven-imp'!AA$3,'Movimientos Reales'!$H$5:$H$1048576,'2.Adm-Ven-imp'!$Q30,'Movimientos Reales'!$G$5:$G$1048576,'2.Adm-Ven-imp'!$Q$24)</f>
        <v>0</v>
      </c>
      <c r="AB30" s="91">
        <f>-SUMIFS('Movimientos Reales'!$D$5:$D$1048576,'Movimientos Reales'!$E$5:$E$1048576,'2.Adm-Ven-imp'!AB$3,'Movimientos Reales'!$H$5:$H$1048576,'2.Adm-Ven-imp'!$Q30,'Movimientos Reales'!$G$5:$G$1048576,'2.Adm-Ven-imp'!$Q$24)</f>
        <v>0</v>
      </c>
      <c r="AC30" s="91">
        <f>-SUMIFS('Movimientos Reales'!$D$5:$D$1048576,'Movimientos Reales'!$E$5:$E$1048576,'2.Adm-Ven-imp'!AC$3,'Movimientos Reales'!$H$5:$H$1048576,'2.Adm-Ven-imp'!$Q30,'Movimientos Reales'!$G$5:$G$1048576,'2.Adm-Ven-imp'!$Q$24)</f>
        <v>0</v>
      </c>
      <c r="AD30" s="2"/>
    </row>
    <row r="31" spans="2:30" ht="12.95">
      <c r="B31" s="284"/>
      <c r="C31" s="614"/>
      <c r="D31" s="614">
        <v>0</v>
      </c>
      <c r="E31" s="614">
        <v>0</v>
      </c>
      <c r="F31" s="614">
        <v>0</v>
      </c>
      <c r="G31" s="614">
        <v>0</v>
      </c>
      <c r="H31" s="614">
        <v>0</v>
      </c>
      <c r="I31" s="614">
        <v>0</v>
      </c>
      <c r="J31" s="614">
        <v>0</v>
      </c>
      <c r="K31" s="614">
        <v>0</v>
      </c>
      <c r="L31" s="614">
        <v>0</v>
      </c>
      <c r="M31" s="614">
        <v>0</v>
      </c>
      <c r="N31" s="614">
        <v>0</v>
      </c>
      <c r="Q31" s="284"/>
      <c r="R31" s="91">
        <f>-SUMIFS('Movimientos Reales'!$D$5:$D$1048576,'Movimientos Reales'!$E$5:$E$1048576,'2.Adm-Ven-imp'!R$3,'Movimientos Reales'!$H$5:$H$1048576,'2.Adm-Ven-imp'!$Q31,'Movimientos Reales'!$G$5:$G$1048576,'2.Adm-Ven-imp'!$Q$24)</f>
        <v>0</v>
      </c>
      <c r="S31" s="91">
        <f>-SUMIFS('Movimientos Reales'!$D$5:$D$1048576,'Movimientos Reales'!$E$5:$E$1048576,'2.Adm-Ven-imp'!S$3,'Movimientos Reales'!$H$5:$H$1048576,'2.Adm-Ven-imp'!$Q31,'Movimientos Reales'!$G$5:$G$1048576,'2.Adm-Ven-imp'!$Q$24)</f>
        <v>0</v>
      </c>
      <c r="T31" s="91">
        <f>-SUMIFS('Movimientos Reales'!$D$5:$D$1048576,'Movimientos Reales'!$E$5:$E$1048576,'2.Adm-Ven-imp'!T$3,'Movimientos Reales'!$H$5:$H$1048576,'2.Adm-Ven-imp'!$Q31,'Movimientos Reales'!$G$5:$G$1048576,'2.Adm-Ven-imp'!$Q$24)</f>
        <v>0</v>
      </c>
      <c r="U31" s="91">
        <f>-SUMIFS('Movimientos Reales'!$D$5:$D$1048576,'Movimientos Reales'!$E$5:$E$1048576,'2.Adm-Ven-imp'!U$3,'Movimientos Reales'!$H$5:$H$1048576,'2.Adm-Ven-imp'!$Q31,'Movimientos Reales'!$G$5:$G$1048576,'2.Adm-Ven-imp'!$Q$24)</f>
        <v>0</v>
      </c>
      <c r="V31" s="91">
        <f>-SUMIFS('Movimientos Reales'!$D$5:$D$1048576,'Movimientos Reales'!$E$5:$E$1048576,'2.Adm-Ven-imp'!V$3,'Movimientos Reales'!$H$5:$H$1048576,'2.Adm-Ven-imp'!$Q31,'Movimientos Reales'!$G$5:$G$1048576,'2.Adm-Ven-imp'!$Q$24)</f>
        <v>0</v>
      </c>
      <c r="W31" s="91">
        <f>-SUMIFS('Movimientos Reales'!$D$5:$D$1048576,'Movimientos Reales'!$E$5:$E$1048576,'2.Adm-Ven-imp'!W$3,'Movimientos Reales'!$H$5:$H$1048576,'2.Adm-Ven-imp'!$Q31,'Movimientos Reales'!$G$5:$G$1048576,'2.Adm-Ven-imp'!$Q$24)</f>
        <v>0</v>
      </c>
      <c r="X31" s="91">
        <f>-SUMIFS('Movimientos Reales'!$D$5:$D$1048576,'Movimientos Reales'!$E$5:$E$1048576,'2.Adm-Ven-imp'!X$3,'Movimientos Reales'!$H$5:$H$1048576,'2.Adm-Ven-imp'!$Q31,'Movimientos Reales'!$G$5:$G$1048576,'2.Adm-Ven-imp'!$Q$24)</f>
        <v>0</v>
      </c>
      <c r="Y31" s="91">
        <f>-SUMIFS('Movimientos Reales'!$D$5:$D$1048576,'Movimientos Reales'!$E$5:$E$1048576,'2.Adm-Ven-imp'!Y$3,'Movimientos Reales'!$H$5:$H$1048576,'2.Adm-Ven-imp'!$Q31,'Movimientos Reales'!$G$5:$G$1048576,'2.Adm-Ven-imp'!$Q$24)</f>
        <v>0</v>
      </c>
      <c r="Z31" s="91">
        <f>-SUMIFS('Movimientos Reales'!$D$5:$D$1048576,'Movimientos Reales'!$E$5:$E$1048576,'2.Adm-Ven-imp'!Z$3,'Movimientos Reales'!$H$5:$H$1048576,'2.Adm-Ven-imp'!$Q31,'Movimientos Reales'!$G$5:$G$1048576,'2.Adm-Ven-imp'!$Q$24)</f>
        <v>0</v>
      </c>
      <c r="AA31" s="91">
        <f>-SUMIFS('Movimientos Reales'!$D$5:$D$1048576,'Movimientos Reales'!$E$5:$E$1048576,'2.Adm-Ven-imp'!AA$3,'Movimientos Reales'!$H$5:$H$1048576,'2.Adm-Ven-imp'!$Q31,'Movimientos Reales'!$G$5:$G$1048576,'2.Adm-Ven-imp'!$Q$24)</f>
        <v>0</v>
      </c>
      <c r="AB31" s="91">
        <f>-SUMIFS('Movimientos Reales'!$D$5:$D$1048576,'Movimientos Reales'!$E$5:$E$1048576,'2.Adm-Ven-imp'!AB$3,'Movimientos Reales'!$H$5:$H$1048576,'2.Adm-Ven-imp'!$Q31,'Movimientos Reales'!$G$5:$G$1048576,'2.Adm-Ven-imp'!$Q$24)</f>
        <v>0</v>
      </c>
      <c r="AC31" s="91">
        <f>-SUMIFS('Movimientos Reales'!$D$5:$D$1048576,'Movimientos Reales'!$E$5:$E$1048576,'2.Adm-Ven-imp'!AC$3,'Movimientos Reales'!$H$5:$H$1048576,'2.Adm-Ven-imp'!$Q31,'Movimientos Reales'!$G$5:$G$1048576,'2.Adm-Ven-imp'!$Q$24)</f>
        <v>0</v>
      </c>
      <c r="AD31" s="2"/>
    </row>
    <row r="32" spans="2:30" ht="12.95">
      <c r="B32" s="284" t="s">
        <v>277</v>
      </c>
      <c r="C32" s="614">
        <v>2500000</v>
      </c>
      <c r="D32" s="614">
        <v>2500000</v>
      </c>
      <c r="E32" s="614">
        <v>2500000</v>
      </c>
      <c r="F32" s="614">
        <v>2500000</v>
      </c>
      <c r="G32" s="614">
        <v>2000000</v>
      </c>
      <c r="H32" s="614">
        <v>2000000</v>
      </c>
      <c r="I32" s="614">
        <v>2000000</v>
      </c>
      <c r="J32" s="614">
        <v>2000000</v>
      </c>
      <c r="K32" s="614">
        <v>2000000</v>
      </c>
      <c r="L32" s="614">
        <v>2000000</v>
      </c>
      <c r="M32" s="614">
        <v>2000000</v>
      </c>
      <c r="N32" s="614">
        <v>2000000</v>
      </c>
      <c r="Q32" s="284" t="s">
        <v>278</v>
      </c>
      <c r="R32" s="91">
        <f>-SUMIFS('Movimientos Reales'!$D$5:$D$1048576,'Movimientos Reales'!$E$5:$E$1048576,'2.Adm-Ven-imp'!R$3,'Movimientos Reales'!$H$5:$H$1048576,'2.Adm-Ven-imp'!$Q32,'Movimientos Reales'!$G$5:$G$1048576,'2.Adm-Ven-imp'!$Q$24)</f>
        <v>3951343</v>
      </c>
      <c r="S32" s="91">
        <f>-SUMIFS('Movimientos Reales'!$D$5:$D$1048576,'Movimientos Reales'!$E$5:$E$1048576,'2.Adm-Ven-imp'!S$3,'Movimientos Reales'!$H$5:$H$1048576,'2.Adm-Ven-imp'!$Q32,'Movimientos Reales'!$G$5:$G$1048576,'2.Adm-Ven-imp'!$Q$24)</f>
        <v>3198104</v>
      </c>
      <c r="T32" s="91">
        <f>-SUMIFS('Movimientos Reales'!$D$5:$D$1048576,'Movimientos Reales'!$E$5:$E$1048576,'2.Adm-Ven-imp'!T$3,'Movimientos Reales'!$H$5:$H$1048576,'2.Adm-Ven-imp'!$Q32,'Movimientos Reales'!$G$5:$G$1048576,'2.Adm-Ven-imp'!$Q$24)</f>
        <v>1686201.13</v>
      </c>
      <c r="U32" s="91">
        <f>-SUMIFS('Movimientos Reales'!$D$5:$D$1048576,'Movimientos Reales'!$E$5:$E$1048576,'2.Adm-Ven-imp'!U$3,'Movimientos Reales'!$H$5:$H$1048576,'2.Adm-Ven-imp'!$Q32,'Movimientos Reales'!$G$5:$G$1048576,'2.Adm-Ven-imp'!$Q$24)</f>
        <v>1834753</v>
      </c>
      <c r="V32" s="91">
        <f>-SUMIFS('Movimientos Reales'!$D$5:$D$1048576,'Movimientos Reales'!$E$5:$E$1048576,'2.Adm-Ven-imp'!V$3,'Movimientos Reales'!$H$5:$H$1048576,'2.Adm-Ven-imp'!$Q32,'Movimientos Reales'!$G$5:$G$1048576,'2.Adm-Ven-imp'!$Q$24)</f>
        <v>2899972</v>
      </c>
      <c r="W32" s="91">
        <f>-SUMIFS('Movimientos Reales'!$D$5:$D$1048576,'Movimientos Reales'!$E$5:$E$1048576,'2.Adm-Ven-imp'!W$3,'Movimientos Reales'!$H$5:$H$1048576,'2.Adm-Ven-imp'!$Q32,'Movimientos Reales'!$G$5:$G$1048576,'2.Adm-Ven-imp'!$Q$24)</f>
        <v>1755537</v>
      </c>
      <c r="X32" s="91">
        <f>-SUMIFS('Movimientos Reales'!$D$5:$D$1048576,'Movimientos Reales'!$E$5:$E$1048576,'2.Adm-Ven-imp'!X$3,'Movimientos Reales'!$H$5:$H$1048576,'2.Adm-Ven-imp'!$Q32,'Movimientos Reales'!$G$5:$G$1048576,'2.Adm-Ven-imp'!$Q$24)</f>
        <v>602378</v>
      </c>
      <c r="Y32" s="91">
        <f>-SUMIFS('Movimientos Reales'!$D$5:$D$1048576,'Movimientos Reales'!$E$5:$E$1048576,'2.Adm-Ven-imp'!Y$3,'Movimientos Reales'!$H$5:$H$1048576,'2.Adm-Ven-imp'!$Q32,'Movimientos Reales'!$G$5:$G$1048576,'2.Adm-Ven-imp'!$Q$24)</f>
        <v>0</v>
      </c>
      <c r="Z32" s="91">
        <f>-SUMIFS('Movimientos Reales'!$D$5:$D$1048576,'Movimientos Reales'!$E$5:$E$1048576,'2.Adm-Ven-imp'!Z$3,'Movimientos Reales'!$H$5:$H$1048576,'2.Adm-Ven-imp'!$Q32,'Movimientos Reales'!$G$5:$G$1048576,'2.Adm-Ven-imp'!$Q$24)</f>
        <v>0</v>
      </c>
      <c r="AA32" s="91">
        <f>-SUMIFS('Movimientos Reales'!$D$5:$D$1048576,'Movimientos Reales'!$E$5:$E$1048576,'2.Adm-Ven-imp'!AA$3,'Movimientos Reales'!$H$5:$H$1048576,'2.Adm-Ven-imp'!$Q32,'Movimientos Reales'!$G$5:$G$1048576,'2.Adm-Ven-imp'!$Q$24)</f>
        <v>0</v>
      </c>
      <c r="AB32" s="91">
        <f>-SUMIFS('Movimientos Reales'!$D$5:$D$1048576,'Movimientos Reales'!$E$5:$E$1048576,'2.Adm-Ven-imp'!AB$3,'Movimientos Reales'!$H$5:$H$1048576,'2.Adm-Ven-imp'!$Q32,'Movimientos Reales'!$G$5:$G$1048576,'2.Adm-Ven-imp'!$Q$24)</f>
        <v>0</v>
      </c>
      <c r="AC32" s="91">
        <f>-SUMIFS('Movimientos Reales'!$D$5:$D$1048576,'Movimientos Reales'!$E$5:$E$1048576,'2.Adm-Ven-imp'!AC$3,'Movimientos Reales'!$H$5:$H$1048576,'2.Adm-Ven-imp'!$Q32,'Movimientos Reales'!$G$5:$G$1048576,'2.Adm-Ven-imp'!$Q$24)</f>
        <v>0</v>
      </c>
      <c r="AD32" s="2"/>
    </row>
    <row r="33" spans="2:30" ht="12.95">
      <c r="B33" s="284" t="s">
        <v>9</v>
      </c>
      <c r="C33" s="614">
        <v>600000</v>
      </c>
      <c r="D33" s="614">
        <v>600000</v>
      </c>
      <c r="E33" s="614">
        <v>600000</v>
      </c>
      <c r="F33" s="614">
        <v>600000</v>
      </c>
      <c r="G33" s="614">
        <v>600000</v>
      </c>
      <c r="H33" s="614">
        <v>600000</v>
      </c>
      <c r="I33" s="614">
        <v>600000</v>
      </c>
      <c r="J33" s="614">
        <v>600000</v>
      </c>
      <c r="K33" s="614">
        <v>600000</v>
      </c>
      <c r="L33" s="614">
        <v>600000</v>
      </c>
      <c r="M33" s="614">
        <v>600000</v>
      </c>
      <c r="N33" s="614">
        <v>600000</v>
      </c>
      <c r="Q33" s="284" t="s">
        <v>9</v>
      </c>
      <c r="R33" s="91">
        <f>-SUMIFS('Movimientos Reales'!$D$5:$D$1048576,'Movimientos Reales'!$E$5:$E$1048576,'2.Adm-Ven-imp'!R$3,'Movimientos Reales'!$H$5:$H$1048576,'2.Adm-Ven-imp'!$Q33,'Movimientos Reales'!$G$5:$G$1048576,'2.Adm-Ven-imp'!$Q$24)</f>
        <v>6266994</v>
      </c>
      <c r="S33" s="91">
        <f>-SUMIFS('Movimientos Reales'!$D$5:$D$1048576,'Movimientos Reales'!$E$5:$E$1048576,'2.Adm-Ven-imp'!S$3,'Movimientos Reales'!$H$5:$H$1048576,'2.Adm-Ven-imp'!$Q33,'Movimientos Reales'!$G$5:$G$1048576,'2.Adm-Ven-imp'!$Q$24)</f>
        <v>1703835</v>
      </c>
      <c r="T33" s="91">
        <f>-SUMIFS('Movimientos Reales'!$D$5:$D$1048576,'Movimientos Reales'!$E$5:$E$1048576,'2.Adm-Ven-imp'!T$3,'Movimientos Reales'!$H$5:$H$1048576,'2.Adm-Ven-imp'!$Q33,'Movimientos Reales'!$G$5:$G$1048576,'2.Adm-Ven-imp'!$Q$24)</f>
        <v>7470</v>
      </c>
      <c r="U33" s="91">
        <f>-SUMIFS('Movimientos Reales'!$D$5:$D$1048576,'Movimientos Reales'!$E$5:$E$1048576,'2.Adm-Ven-imp'!U$3,'Movimientos Reales'!$H$5:$H$1048576,'2.Adm-Ven-imp'!$Q33,'Movimientos Reales'!$G$5:$G$1048576,'2.Adm-Ven-imp'!$Q$24)</f>
        <v>484014</v>
      </c>
      <c r="V33" s="91">
        <f>-SUMIFS('Movimientos Reales'!$D$5:$D$1048576,'Movimientos Reales'!$E$5:$E$1048576,'2.Adm-Ven-imp'!V$3,'Movimientos Reales'!$H$5:$H$1048576,'2.Adm-Ven-imp'!$Q33,'Movimientos Reales'!$G$5:$G$1048576,'2.Adm-Ven-imp'!$Q$24)</f>
        <v>32102</v>
      </c>
      <c r="W33" s="91">
        <f>-SUMIFS('Movimientos Reales'!$D$5:$D$1048576,'Movimientos Reales'!$E$5:$E$1048576,'2.Adm-Ven-imp'!W$3,'Movimientos Reales'!$H$5:$H$1048576,'2.Adm-Ven-imp'!$Q33,'Movimientos Reales'!$G$5:$G$1048576,'2.Adm-Ven-imp'!$Q$24)</f>
        <v>121000</v>
      </c>
      <c r="X33" s="91">
        <f>-SUMIFS('Movimientos Reales'!$D$5:$D$1048576,'Movimientos Reales'!$E$5:$E$1048576,'2.Adm-Ven-imp'!X$3,'Movimientos Reales'!$H$5:$H$1048576,'2.Adm-Ven-imp'!$Q33,'Movimientos Reales'!$G$5:$G$1048576,'2.Adm-Ven-imp'!$Q$24)</f>
        <v>0</v>
      </c>
      <c r="Y33" s="91">
        <f>-SUMIFS('Movimientos Reales'!$D$5:$D$1048576,'Movimientos Reales'!$E$5:$E$1048576,'2.Adm-Ven-imp'!Y$3,'Movimientos Reales'!$H$5:$H$1048576,'2.Adm-Ven-imp'!$Q33,'Movimientos Reales'!$G$5:$G$1048576,'2.Adm-Ven-imp'!$Q$24)</f>
        <v>0</v>
      </c>
      <c r="Z33" s="91">
        <f>-SUMIFS('Movimientos Reales'!$D$5:$D$1048576,'Movimientos Reales'!$E$5:$E$1048576,'2.Adm-Ven-imp'!Z$3,'Movimientos Reales'!$H$5:$H$1048576,'2.Adm-Ven-imp'!$Q33,'Movimientos Reales'!$G$5:$G$1048576,'2.Adm-Ven-imp'!$Q$24)</f>
        <v>0</v>
      </c>
      <c r="AA33" s="91">
        <f>-SUMIFS('Movimientos Reales'!$D$5:$D$1048576,'Movimientos Reales'!$E$5:$E$1048576,'2.Adm-Ven-imp'!AA$3,'Movimientos Reales'!$H$5:$H$1048576,'2.Adm-Ven-imp'!$Q33,'Movimientos Reales'!$G$5:$G$1048576,'2.Adm-Ven-imp'!$Q$24)</f>
        <v>0</v>
      </c>
      <c r="AB33" s="91">
        <f>-SUMIFS('Movimientos Reales'!$D$5:$D$1048576,'Movimientos Reales'!$E$5:$E$1048576,'2.Adm-Ven-imp'!AB$3,'Movimientos Reales'!$H$5:$H$1048576,'2.Adm-Ven-imp'!$Q33,'Movimientos Reales'!$G$5:$G$1048576,'2.Adm-Ven-imp'!$Q$24)</f>
        <v>0</v>
      </c>
      <c r="AC33" s="91">
        <f>-SUMIFS('Movimientos Reales'!$D$5:$D$1048576,'Movimientos Reales'!$E$5:$E$1048576,'2.Adm-Ven-imp'!AC$3,'Movimientos Reales'!$H$5:$H$1048576,'2.Adm-Ven-imp'!$Q33,'Movimientos Reales'!$G$5:$G$1048576,'2.Adm-Ven-imp'!$Q$24)</f>
        <v>0</v>
      </c>
      <c r="AD33" s="2"/>
    </row>
    <row r="34" spans="2:30" ht="12.95">
      <c r="B34" s="284"/>
      <c r="C34" s="614"/>
      <c r="D34" s="614"/>
      <c r="E34" s="614"/>
      <c r="F34" s="614"/>
      <c r="G34" s="614"/>
      <c r="H34" s="614"/>
      <c r="I34" s="614"/>
      <c r="J34" s="614"/>
      <c r="K34" s="614"/>
      <c r="L34" s="614"/>
      <c r="M34" s="614"/>
      <c r="N34" s="614"/>
      <c r="Q34" s="284"/>
      <c r="R34" s="91"/>
      <c r="S34" s="91"/>
      <c r="T34" s="91"/>
      <c r="U34" s="91"/>
      <c r="V34" s="91"/>
      <c r="W34" s="91"/>
      <c r="X34" s="91"/>
      <c r="Y34" s="91">
        <f>-SUMIFS('Movimientos Reales'!$D$5:$D$1048576,'Movimientos Reales'!$E$5:$E$1048576,'2.Adm-Ven-imp'!Y$3,'Movimientos Reales'!$H$5:$H$1048576,'2.Adm-Ven-imp'!$Q34,'Movimientos Reales'!$G$5:$G$1048576,'2.Adm-Ven-imp'!$Q$24)</f>
        <v>0</v>
      </c>
      <c r="Z34" s="91">
        <f>-SUMIFS('Movimientos Reales'!$D$5:$D$1048576,'Movimientos Reales'!$E$5:$E$1048576,'2.Adm-Ven-imp'!Z$3,'Movimientos Reales'!$H$5:$H$1048576,'2.Adm-Ven-imp'!$Q34,'Movimientos Reales'!$G$5:$G$1048576,'2.Adm-Ven-imp'!$Q$24)</f>
        <v>0</v>
      </c>
      <c r="AA34" s="91">
        <f>-SUMIFS('Movimientos Reales'!$D$5:$D$1048576,'Movimientos Reales'!$E$5:$E$1048576,'2.Adm-Ven-imp'!AA$3,'Movimientos Reales'!$H$5:$H$1048576,'2.Adm-Ven-imp'!$Q34,'Movimientos Reales'!$G$5:$G$1048576,'2.Adm-Ven-imp'!$Q$24)</f>
        <v>0</v>
      </c>
      <c r="AB34" s="91">
        <f>-SUMIFS('Movimientos Reales'!$D$5:$D$1048576,'Movimientos Reales'!$E$5:$E$1048576,'2.Adm-Ven-imp'!AB$3,'Movimientos Reales'!$H$5:$H$1048576,'2.Adm-Ven-imp'!$Q34,'Movimientos Reales'!$G$5:$G$1048576,'2.Adm-Ven-imp'!$Q$24)</f>
        <v>0</v>
      </c>
      <c r="AC34" s="91">
        <f>-SUMIFS('Movimientos Reales'!$D$5:$D$1048576,'Movimientos Reales'!$E$5:$E$1048576,'2.Adm-Ven-imp'!AC$3,'Movimientos Reales'!$H$5:$H$1048576,'2.Adm-Ven-imp'!$Q34,'Movimientos Reales'!$G$5:$G$1048576,'2.Adm-Ven-imp'!$Q$24)</f>
        <v>0</v>
      </c>
      <c r="AD34" s="2"/>
    </row>
    <row r="35" spans="2:30" ht="12.95">
      <c r="B35" s="284" t="s">
        <v>121</v>
      </c>
      <c r="C35" s="614">
        <v>30690000</v>
      </c>
      <c r="D35" s="614">
        <v>41300000</v>
      </c>
      <c r="E35" s="614">
        <v>29000000</v>
      </c>
      <c r="F35" s="614">
        <v>29000000</v>
      </c>
      <c r="G35" s="614">
        <v>29000000</v>
      </c>
      <c r="H35" s="614">
        <v>29000000</v>
      </c>
      <c r="I35" s="614">
        <v>39000000</v>
      </c>
      <c r="J35" s="614">
        <v>29000000</v>
      </c>
      <c r="K35" s="614">
        <v>29000000</v>
      </c>
      <c r="L35" s="614">
        <v>29000000</v>
      </c>
      <c r="M35" s="614">
        <v>29000000</v>
      </c>
      <c r="N35" s="614">
        <v>39000000</v>
      </c>
      <c r="Q35" s="284" t="s">
        <v>121</v>
      </c>
      <c r="R35" s="91">
        <f>-SUMIFS('Movimientos Reales'!$D$5:$D$1048576,'Movimientos Reales'!$E$5:$E$1048576,'2.Adm-Ven-imp'!R$3,'Movimientos Reales'!$H$5:$H$1048576,'2.Adm-Ven-imp'!$Q35,'Movimientos Reales'!$G$5:$G$1048576,'2.Adm-Ven-imp'!$Q$24)</f>
        <v>30950635.579999998</v>
      </c>
      <c r="S35" s="91">
        <f>-SUMIFS('Movimientos Reales'!$D$5:$D$1048576,'Movimientos Reales'!$E$5:$E$1048576,'2.Adm-Ven-imp'!S$3,'Movimientos Reales'!$H$5:$H$1048576,'2.Adm-Ven-imp'!$Q35,'Movimientos Reales'!$G$5:$G$1048576,'2.Adm-Ven-imp'!$Q$24)</f>
        <v>49931128.159555562</v>
      </c>
      <c r="T35" s="91">
        <f>-SUMIFS('Movimientos Reales'!$D$5:$D$1048576,'Movimientos Reales'!$E$5:$E$1048576,'2.Adm-Ven-imp'!T$3,'Movimientos Reales'!$H$5:$H$1048576,'2.Adm-Ven-imp'!$Q35,'Movimientos Reales'!$G$5:$G$1048576,'2.Adm-Ven-imp'!$Q$24)</f>
        <v>42585114</v>
      </c>
      <c r="U35" s="91">
        <f>-SUMIFS('Movimientos Reales'!$D$5:$D$1048576,'Movimientos Reales'!$E$5:$E$1048576,'2.Adm-Ven-imp'!U$3,'Movimientos Reales'!$H$5:$H$1048576,'2.Adm-Ven-imp'!$Q35,'Movimientos Reales'!$G$5:$G$1048576,'2.Adm-Ven-imp'!$Q$24)</f>
        <v>43839125.289999999</v>
      </c>
      <c r="V35" s="91">
        <f>-SUMIFS('Movimientos Reales'!$D$5:$D$1048576,'Movimientos Reales'!$E$5:$E$1048576,'2.Adm-Ven-imp'!V$3,'Movimientos Reales'!$H$5:$H$1048576,'2.Adm-Ven-imp'!$Q35,'Movimientos Reales'!$G$5:$G$1048576,'2.Adm-Ven-imp'!$Q$24)</f>
        <v>41389477.553333335</v>
      </c>
      <c r="W35" s="91">
        <f>-SUMIFS('Movimientos Reales'!$D$5:$D$1048576,'Movimientos Reales'!$E$5:$E$1048576,'2.Adm-Ven-imp'!W$3,'Movimientos Reales'!$H$5:$H$1048576,'2.Adm-Ven-imp'!$Q35,'Movimientos Reales'!$G$5:$G$1048576,'2.Adm-Ven-imp'!$Q$24)</f>
        <v>65917988.828925923</v>
      </c>
      <c r="X35" s="91">
        <f>-SUMIFS('Movimientos Reales'!$D$5:$D$1048576,'Movimientos Reales'!$E$5:$E$1048576,'2.Adm-Ven-imp'!X$3,'Movimientos Reales'!$H$5:$H$1048576,'2.Adm-Ven-imp'!$Q35,'Movimientos Reales'!$G$5:$G$1048576,'2.Adm-Ven-imp'!$Q$24)</f>
        <v>0</v>
      </c>
      <c r="Y35" s="91">
        <f>-SUMIFS('Movimientos Reales'!$D$5:$D$1048576,'Movimientos Reales'!$E$5:$E$1048576,'2.Adm-Ven-imp'!Y$3,'Movimientos Reales'!$H$5:$H$1048576,'2.Adm-Ven-imp'!$Q35,'Movimientos Reales'!$G$5:$G$1048576,'2.Adm-Ven-imp'!$Q$24)</f>
        <v>0</v>
      </c>
      <c r="Z35" s="91">
        <f>-SUMIFS('Movimientos Reales'!$D$5:$D$1048576,'Movimientos Reales'!$E$5:$E$1048576,'2.Adm-Ven-imp'!Z$3,'Movimientos Reales'!$H$5:$H$1048576,'2.Adm-Ven-imp'!$Q35,'Movimientos Reales'!$G$5:$G$1048576,'2.Adm-Ven-imp'!$Q$24)</f>
        <v>0</v>
      </c>
      <c r="AA35" s="91">
        <f>-SUMIFS('Movimientos Reales'!$D$5:$D$1048576,'Movimientos Reales'!$E$5:$E$1048576,'2.Adm-Ven-imp'!AA$3,'Movimientos Reales'!$H$5:$H$1048576,'2.Adm-Ven-imp'!$Q35,'Movimientos Reales'!$G$5:$G$1048576,'2.Adm-Ven-imp'!$Q$24)</f>
        <v>0</v>
      </c>
      <c r="AB35" s="91">
        <f>-SUMIFS('Movimientos Reales'!$D$5:$D$1048576,'Movimientos Reales'!$E$5:$E$1048576,'2.Adm-Ven-imp'!AB$3,'Movimientos Reales'!$H$5:$H$1048576,'2.Adm-Ven-imp'!$Q35,'Movimientos Reales'!$G$5:$G$1048576,'2.Adm-Ven-imp'!$Q$24)</f>
        <v>0</v>
      </c>
      <c r="AC35" s="91">
        <f>-SUMIFS('Movimientos Reales'!$D$5:$D$1048576,'Movimientos Reales'!$E$5:$E$1048576,'2.Adm-Ven-imp'!AC$3,'Movimientos Reales'!$H$5:$H$1048576,'2.Adm-Ven-imp'!$Q35,'Movimientos Reales'!$G$5:$G$1048576,'2.Adm-Ven-imp'!$Q$24)</f>
        <v>0</v>
      </c>
      <c r="AD35" s="2"/>
    </row>
    <row r="37" spans="2:30" ht="12.95" hidden="1">
      <c r="B37" s="284" t="s">
        <v>11</v>
      </c>
      <c r="C37" s="99">
        <f t="shared" ref="C37:N37" si="5">+SUM(C27:C36)</f>
        <v>52140000</v>
      </c>
      <c r="D37" s="99">
        <f t="shared" si="5"/>
        <v>62750000</v>
      </c>
      <c r="E37" s="99">
        <f t="shared" si="5"/>
        <v>50450000</v>
      </c>
      <c r="F37" s="99">
        <f t="shared" si="5"/>
        <v>50450000</v>
      </c>
      <c r="G37" s="99">
        <f t="shared" si="5"/>
        <v>49450000</v>
      </c>
      <c r="H37" s="99">
        <f t="shared" si="5"/>
        <v>49450000</v>
      </c>
      <c r="I37" s="99">
        <f t="shared" si="5"/>
        <v>59450000</v>
      </c>
      <c r="J37" s="99">
        <f t="shared" si="5"/>
        <v>49450000</v>
      </c>
      <c r="K37" s="99">
        <f t="shared" si="5"/>
        <v>49450000</v>
      </c>
      <c r="L37" s="99">
        <f t="shared" si="5"/>
        <v>49450000</v>
      </c>
      <c r="M37" s="99">
        <f t="shared" si="5"/>
        <v>49450000</v>
      </c>
      <c r="N37" s="99">
        <f t="shared" si="5"/>
        <v>59450000</v>
      </c>
      <c r="Q37" s="284" t="s">
        <v>11</v>
      </c>
      <c r="R37" s="99">
        <f t="shared" ref="R37:AC37" si="6">+SUM(R27:R36)</f>
        <v>44660686.969999999</v>
      </c>
      <c r="S37" s="99">
        <f t="shared" si="6"/>
        <v>76084633.159555554</v>
      </c>
      <c r="T37" s="99">
        <f t="shared" si="6"/>
        <v>63613687.099999994</v>
      </c>
      <c r="U37" s="99">
        <f t="shared" si="6"/>
        <v>64442602.019999996</v>
      </c>
      <c r="V37" s="99">
        <f t="shared" si="6"/>
        <v>66696086.283333331</v>
      </c>
      <c r="W37" s="99">
        <f t="shared" si="6"/>
        <v>82115907.828925923</v>
      </c>
      <c r="X37" s="99">
        <f t="shared" si="6"/>
        <v>8932412.3300000001</v>
      </c>
      <c r="Y37" s="99">
        <f t="shared" si="6"/>
        <v>0</v>
      </c>
      <c r="Z37" s="99">
        <f t="shared" si="6"/>
        <v>0</v>
      </c>
      <c r="AA37" s="99">
        <f t="shared" si="6"/>
        <v>0</v>
      </c>
      <c r="AB37" s="99">
        <f t="shared" si="6"/>
        <v>0</v>
      </c>
      <c r="AC37" s="99">
        <f t="shared" si="6"/>
        <v>0</v>
      </c>
    </row>
    <row r="38" spans="2:30" ht="12.95">
      <c r="B38" s="284" t="s">
        <v>11</v>
      </c>
      <c r="C38" s="99">
        <f t="shared" ref="C38:N38" si="7">+SUM(C27:C35)</f>
        <v>52140000</v>
      </c>
      <c r="D38" s="99">
        <f t="shared" si="7"/>
        <v>62750000</v>
      </c>
      <c r="E38" s="99">
        <f t="shared" si="7"/>
        <v>50450000</v>
      </c>
      <c r="F38" s="99">
        <f t="shared" si="7"/>
        <v>50450000</v>
      </c>
      <c r="G38" s="99">
        <f t="shared" si="7"/>
        <v>49450000</v>
      </c>
      <c r="H38" s="99">
        <f t="shared" si="7"/>
        <v>49450000</v>
      </c>
      <c r="I38" s="99">
        <f t="shared" si="7"/>
        <v>59450000</v>
      </c>
      <c r="J38" s="99">
        <f t="shared" si="7"/>
        <v>49450000</v>
      </c>
      <c r="K38" s="99">
        <f t="shared" si="7"/>
        <v>49450000</v>
      </c>
      <c r="L38" s="99">
        <f t="shared" si="7"/>
        <v>49450000</v>
      </c>
      <c r="M38" s="99">
        <f t="shared" si="7"/>
        <v>49450000</v>
      </c>
      <c r="N38" s="99">
        <f t="shared" si="7"/>
        <v>59450000</v>
      </c>
      <c r="Q38" s="284" t="s">
        <v>11</v>
      </c>
      <c r="R38" s="99">
        <f t="shared" ref="R38:AC38" si="8">+SUM(R27:R35)</f>
        <v>44660686.969999999</v>
      </c>
      <c r="S38" s="99">
        <f t="shared" si="8"/>
        <v>76084633.159555554</v>
      </c>
      <c r="T38" s="99">
        <f t="shared" si="8"/>
        <v>63613687.099999994</v>
      </c>
      <c r="U38" s="99">
        <f t="shared" si="8"/>
        <v>64442602.019999996</v>
      </c>
      <c r="V38" s="99">
        <f t="shared" si="8"/>
        <v>66696086.283333331</v>
      </c>
      <c r="W38" s="99">
        <f t="shared" si="8"/>
        <v>82115907.828925923</v>
      </c>
      <c r="X38" s="99">
        <f t="shared" si="8"/>
        <v>8932412.3300000001</v>
      </c>
      <c r="Y38" s="99">
        <f t="shared" si="8"/>
        <v>0</v>
      </c>
      <c r="Z38" s="99">
        <f t="shared" si="8"/>
        <v>0</v>
      </c>
      <c r="AA38" s="99">
        <f t="shared" si="8"/>
        <v>0</v>
      </c>
      <c r="AB38" s="99">
        <f t="shared" si="8"/>
        <v>0</v>
      </c>
      <c r="AC38" s="99">
        <f t="shared" si="8"/>
        <v>0</v>
      </c>
    </row>
    <row r="40" spans="2:30" ht="12.95">
      <c r="B40" s="931" t="s">
        <v>279</v>
      </c>
      <c r="C40" s="931"/>
      <c r="D40" s="931"/>
      <c r="E40" s="931"/>
      <c r="F40" s="931"/>
      <c r="G40" s="931"/>
      <c r="H40" s="931"/>
      <c r="I40" s="931"/>
      <c r="J40" s="931"/>
      <c r="K40" s="931"/>
      <c r="L40" s="931"/>
      <c r="M40" s="931"/>
      <c r="N40" s="931"/>
      <c r="Q40" s="931" t="s">
        <v>279</v>
      </c>
      <c r="R40" s="931"/>
      <c r="S40" s="931"/>
      <c r="T40" s="931"/>
      <c r="U40" s="931"/>
      <c r="V40" s="931"/>
      <c r="W40" s="931"/>
      <c r="X40" s="931"/>
      <c r="Y40" s="931"/>
      <c r="Z40" s="931"/>
      <c r="AA40" s="931"/>
      <c r="AB40" s="931"/>
      <c r="AC40" s="931"/>
    </row>
    <row r="41" spans="2:30" ht="12.95">
      <c r="B41" s="132"/>
      <c r="C41" s="283">
        <v>45292</v>
      </c>
      <c r="D41" s="283">
        <v>45323</v>
      </c>
      <c r="E41" s="283">
        <v>45352</v>
      </c>
      <c r="F41" s="283">
        <v>45383</v>
      </c>
      <c r="G41" s="283">
        <v>45413</v>
      </c>
      <c r="H41" s="283">
        <v>45444</v>
      </c>
      <c r="I41" s="283">
        <v>45474</v>
      </c>
      <c r="J41" s="283">
        <v>45505</v>
      </c>
      <c r="K41" s="283">
        <v>45536</v>
      </c>
      <c r="L41" s="283">
        <v>45566</v>
      </c>
      <c r="M41" s="283">
        <v>45597</v>
      </c>
      <c r="N41" s="283">
        <v>45627</v>
      </c>
      <c r="Q41" s="132"/>
      <c r="R41" s="283">
        <v>45292</v>
      </c>
      <c r="S41" s="283">
        <v>45323</v>
      </c>
      <c r="T41" s="283">
        <v>45352</v>
      </c>
      <c r="U41" s="283">
        <v>45383</v>
      </c>
      <c r="V41" s="283">
        <v>45413</v>
      </c>
      <c r="W41" s="283">
        <v>45444</v>
      </c>
      <c r="X41" s="283">
        <v>45474</v>
      </c>
      <c r="Y41" s="283">
        <v>45505</v>
      </c>
      <c r="Z41" s="283">
        <v>45536</v>
      </c>
      <c r="AA41" s="283">
        <v>45566</v>
      </c>
      <c r="AB41" s="283">
        <v>45597</v>
      </c>
      <c r="AC41" s="283">
        <v>45627</v>
      </c>
    </row>
    <row r="42" spans="2:30">
      <c r="B42" s="6" t="s">
        <v>280</v>
      </c>
      <c r="E42" s="2"/>
      <c r="F42" s="2">
        <v>20000000</v>
      </c>
      <c r="Q42" s="6" t="s">
        <v>280</v>
      </c>
      <c r="T42" s="2"/>
    </row>
    <row r="43" spans="2:30" ht="15.95" customHeight="1">
      <c r="B43" s="6" t="s">
        <v>281</v>
      </c>
      <c r="E43" s="2">
        <v>4000000</v>
      </c>
      <c r="Q43" s="6" t="s">
        <v>281</v>
      </c>
      <c r="T43" s="2"/>
    </row>
    <row r="46" spans="2:30" ht="12.95">
      <c r="B46" s="284" t="s">
        <v>11</v>
      </c>
      <c r="C46" s="99">
        <f t="shared" ref="C46:N46" si="9">+SUM(C37:C45)</f>
        <v>104325292</v>
      </c>
      <c r="D46" s="99">
        <f t="shared" si="9"/>
        <v>125545323</v>
      </c>
      <c r="E46" s="99">
        <f t="shared" si="9"/>
        <v>104945352</v>
      </c>
      <c r="F46" s="99">
        <f t="shared" si="9"/>
        <v>120945383</v>
      </c>
      <c r="G46" s="99">
        <f t="shared" si="9"/>
        <v>98945413</v>
      </c>
      <c r="H46" s="99">
        <f t="shared" si="9"/>
        <v>98945444</v>
      </c>
      <c r="I46" s="99">
        <f t="shared" si="9"/>
        <v>118945474</v>
      </c>
      <c r="J46" s="99">
        <f t="shared" si="9"/>
        <v>98945505</v>
      </c>
      <c r="K46" s="99">
        <f t="shared" si="9"/>
        <v>98945536</v>
      </c>
      <c r="L46" s="99">
        <f t="shared" si="9"/>
        <v>98945566</v>
      </c>
      <c r="M46" s="99">
        <f t="shared" si="9"/>
        <v>98945597</v>
      </c>
      <c r="N46" s="99">
        <f t="shared" si="9"/>
        <v>118945627</v>
      </c>
    </row>
    <row r="47" spans="2:30" ht="12.95" thickBot="1"/>
    <row r="48" spans="2:30" hidden="1"/>
    <row r="49" spans="2:29" hidden="1"/>
    <row r="50" spans="2:29" hidden="1"/>
    <row r="51" spans="2:29" hidden="1"/>
    <row r="52" spans="2:29" hidden="1"/>
    <row r="53" spans="2:29" ht="12.95" hidden="1">
      <c r="Q53" s="931" t="s">
        <v>94</v>
      </c>
      <c r="R53" s="931"/>
      <c r="S53" s="931"/>
      <c r="T53" s="931"/>
      <c r="U53" s="931"/>
      <c r="V53" s="931"/>
      <c r="W53" s="931"/>
      <c r="X53" s="931"/>
      <c r="Y53" s="931"/>
      <c r="Z53" s="931"/>
      <c r="AA53" s="931"/>
      <c r="AB53" s="931"/>
      <c r="AC53" s="931"/>
    </row>
    <row r="54" spans="2:29" ht="12.95">
      <c r="B54" s="872"/>
      <c r="C54" s="873">
        <v>45658</v>
      </c>
      <c r="D54" s="873">
        <v>45689</v>
      </c>
      <c r="E54" s="873">
        <v>45717</v>
      </c>
      <c r="F54" s="873">
        <v>45748</v>
      </c>
      <c r="G54" s="873">
        <v>45778</v>
      </c>
      <c r="H54" s="873">
        <v>45809</v>
      </c>
      <c r="I54" s="874">
        <v>45474</v>
      </c>
      <c r="J54" s="786">
        <v>45505</v>
      </c>
      <c r="K54" s="286">
        <v>45536</v>
      </c>
      <c r="L54" s="286">
        <v>45566</v>
      </c>
      <c r="M54" s="286">
        <v>45597</v>
      </c>
      <c r="N54" s="286">
        <v>45627</v>
      </c>
      <c r="P54" s="98" t="s">
        <v>58</v>
      </c>
      <c r="R54" s="286">
        <v>45292</v>
      </c>
      <c r="S54" s="286">
        <v>45323</v>
      </c>
      <c r="T54" s="286">
        <v>45352</v>
      </c>
      <c r="U54" s="286">
        <v>45383</v>
      </c>
      <c r="V54" s="286">
        <v>45413</v>
      </c>
      <c r="W54" s="286">
        <v>45444</v>
      </c>
      <c r="X54" s="286">
        <v>45474</v>
      </c>
      <c r="Y54" s="286">
        <v>45505</v>
      </c>
      <c r="Z54" s="286">
        <v>45536</v>
      </c>
      <c r="AA54" s="286">
        <v>45566</v>
      </c>
      <c r="AB54" s="286">
        <v>45597</v>
      </c>
      <c r="AC54" s="286">
        <v>45627</v>
      </c>
    </row>
    <row r="55" spans="2:29" ht="12.95">
      <c r="B55" s="875" t="s">
        <v>257</v>
      </c>
      <c r="C55" s="131">
        <f t="shared" ref="C55:N70" si="10">+IFERROR(R4/C4,0)</f>
        <v>1.0800595238095239</v>
      </c>
      <c r="D55" s="131">
        <f t="shared" si="10"/>
        <v>1.236036064516129</v>
      </c>
      <c r="E55" s="131">
        <f t="shared" si="10"/>
        <v>1.1343163870967743</v>
      </c>
      <c r="F55" s="131">
        <f t="shared" si="10"/>
        <v>1.1643405161290323</v>
      </c>
      <c r="G55" s="131">
        <f>+IFERROR(V4/G4,0)</f>
        <v>1.1259877419354838</v>
      </c>
      <c r="H55" s="131">
        <f>+IFERROR(W4/H4,0)</f>
        <v>1.1331636129032259</v>
      </c>
      <c r="I55" s="876">
        <f t="shared" si="10"/>
        <v>0.47174193548387094</v>
      </c>
      <c r="J55" s="50">
        <f t="shared" si="10"/>
        <v>0</v>
      </c>
      <c r="K55" s="50">
        <f t="shared" si="10"/>
        <v>0</v>
      </c>
      <c r="L55" s="50">
        <f t="shared" si="10"/>
        <v>0</v>
      </c>
      <c r="M55" s="50">
        <f t="shared" si="10"/>
        <v>0</v>
      </c>
      <c r="N55" s="50">
        <f t="shared" si="10"/>
        <v>0</v>
      </c>
      <c r="P55" s="464">
        <f>+SUM(R55:Y55)</f>
        <v>10542788</v>
      </c>
      <c r="Q55" s="98" t="s">
        <v>257</v>
      </c>
      <c r="R55" s="2">
        <f t="shared" ref="R55:Y57" si="11">+C4-R4</f>
        <v>-840625</v>
      </c>
      <c r="S55" s="2">
        <f t="shared" si="11"/>
        <v>-3658559</v>
      </c>
      <c r="T55" s="2">
        <f t="shared" si="11"/>
        <v>-2081904</v>
      </c>
      <c r="U55" s="2">
        <f t="shared" si="11"/>
        <v>-2547278</v>
      </c>
      <c r="V55" s="2">
        <f t="shared" si="11"/>
        <v>-1952810</v>
      </c>
      <c r="W55" s="2">
        <f t="shared" si="11"/>
        <v>-2064036</v>
      </c>
      <c r="X55" s="2">
        <f t="shared" si="11"/>
        <v>8188000</v>
      </c>
      <c r="Y55" s="2">
        <f t="shared" si="11"/>
        <v>15500000</v>
      </c>
      <c r="Z55" s="2"/>
      <c r="AA55" s="2"/>
      <c r="AB55" s="2"/>
      <c r="AC55" s="2"/>
    </row>
    <row r="56" spans="2:29" ht="12.95">
      <c r="B56" s="875" t="s">
        <v>258</v>
      </c>
      <c r="C56" s="131">
        <f t="shared" si="10"/>
        <v>0.9</v>
      </c>
      <c r="D56" s="131">
        <f t="shared" si="10"/>
        <v>1.3533333333333333</v>
      </c>
      <c r="E56" s="131">
        <f t="shared" si="10"/>
        <v>1.6583333333333334</v>
      </c>
      <c r="F56" s="131">
        <f t="shared" si="10"/>
        <v>0.81166666666666665</v>
      </c>
      <c r="G56" s="131">
        <f>+IFERROR(V5/G5,0)</f>
        <v>2.8483333333333332</v>
      </c>
      <c r="H56" s="131">
        <f t="shared" si="10"/>
        <v>2.0316666666666667</v>
      </c>
      <c r="I56" s="876">
        <f t="shared" si="10"/>
        <v>2.0626666666666669</v>
      </c>
      <c r="J56" s="50">
        <f t="shared" si="10"/>
        <v>0</v>
      </c>
      <c r="K56" s="50">
        <f t="shared" si="10"/>
        <v>0</v>
      </c>
      <c r="L56" s="50">
        <f t="shared" si="10"/>
        <v>0</v>
      </c>
      <c r="M56" s="50">
        <f t="shared" si="10"/>
        <v>0</v>
      </c>
      <c r="N56" s="50">
        <f t="shared" si="10"/>
        <v>0</v>
      </c>
      <c r="P56" s="464">
        <f t="shared" ref="P56:P68" si="12">+SUM(R56:Y56)</f>
        <v>-10998000</v>
      </c>
      <c r="Q56" s="98" t="s">
        <v>258</v>
      </c>
      <c r="R56" s="2">
        <f t="shared" si="11"/>
        <v>300000</v>
      </c>
      <c r="S56" s="2">
        <f t="shared" si="11"/>
        <v>-1060000</v>
      </c>
      <c r="T56" s="2">
        <f t="shared" si="11"/>
        <v>-1975000</v>
      </c>
      <c r="U56" s="2">
        <f t="shared" si="11"/>
        <v>565000</v>
      </c>
      <c r="V56" s="2">
        <f t="shared" si="11"/>
        <v>-5545000</v>
      </c>
      <c r="W56" s="2">
        <f t="shared" si="11"/>
        <v>-3095000</v>
      </c>
      <c r="X56" s="2">
        <f t="shared" si="11"/>
        <v>-3188000</v>
      </c>
      <c r="Y56" s="2">
        <f t="shared" si="11"/>
        <v>3000000</v>
      </c>
      <c r="Z56" s="2"/>
      <c r="AA56" s="2"/>
      <c r="AB56" s="2"/>
      <c r="AC56" s="2"/>
    </row>
    <row r="57" spans="2:29" ht="12.95">
      <c r="B57" s="877" t="s">
        <v>259</v>
      </c>
      <c r="C57" s="131">
        <f t="shared" si="10"/>
        <v>0.72411599999999998</v>
      </c>
      <c r="D57" s="131">
        <f t="shared" si="10"/>
        <v>1.1631394444444445</v>
      </c>
      <c r="E57" s="131">
        <f t="shared" si="10"/>
        <v>0</v>
      </c>
      <c r="F57" s="131">
        <f t="shared" si="10"/>
        <v>1.1192593333333334</v>
      </c>
      <c r="G57" s="131">
        <f t="shared" si="10"/>
        <v>1.1501204444444444</v>
      </c>
      <c r="H57" s="131">
        <f t="shared" si="10"/>
        <v>1.1804190000000001</v>
      </c>
      <c r="I57" s="876">
        <f t="shared" si="10"/>
        <v>1.3196206666666668</v>
      </c>
      <c r="J57" s="50">
        <f t="shared" si="10"/>
        <v>0</v>
      </c>
      <c r="K57" s="50">
        <f t="shared" si="10"/>
        <v>0</v>
      </c>
      <c r="L57" s="50">
        <f t="shared" si="10"/>
        <v>0</v>
      </c>
      <c r="M57" s="50">
        <f t="shared" si="10"/>
        <v>0</v>
      </c>
      <c r="N57" s="50">
        <f t="shared" si="10"/>
        <v>0</v>
      </c>
      <c r="P57" s="463">
        <f t="shared" si="12"/>
        <v>12089926</v>
      </c>
      <c r="Q57" s="284" t="s">
        <v>259</v>
      </c>
      <c r="R57" s="2">
        <f t="shared" si="11"/>
        <v>2482956</v>
      </c>
      <c r="S57" s="2">
        <f t="shared" si="11"/>
        <v>-1468255</v>
      </c>
      <c r="T57" s="2">
        <f t="shared" si="11"/>
        <v>9000000</v>
      </c>
      <c r="U57" s="2">
        <f t="shared" si="11"/>
        <v>-1073334</v>
      </c>
      <c r="V57" s="2">
        <f t="shared" si="11"/>
        <v>-1351084</v>
      </c>
      <c r="W57" s="2">
        <f t="shared" si="11"/>
        <v>-1623771</v>
      </c>
      <c r="X57" s="2">
        <f t="shared" si="11"/>
        <v>-2876586</v>
      </c>
      <c r="Y57" s="2">
        <f t="shared" si="11"/>
        <v>9000000</v>
      </c>
      <c r="Z57" s="2"/>
      <c r="AA57" s="2"/>
      <c r="AB57" s="2"/>
      <c r="AC57" s="2"/>
    </row>
    <row r="58" spans="2:29" ht="12.95">
      <c r="B58" s="877" t="s">
        <v>260</v>
      </c>
      <c r="C58" s="131">
        <f>+IFERROR(R7/C7,0)</f>
        <v>0</v>
      </c>
      <c r="D58" s="131">
        <f t="shared" ref="D58:D65" si="13">+IFERROR(S8/D8,0)</f>
        <v>0</v>
      </c>
      <c r="E58" s="131">
        <f t="shared" ref="E58:F60" si="14">+IFERROR(T7/E7,0)</f>
        <v>0</v>
      </c>
      <c r="F58" s="131">
        <f t="shared" si="14"/>
        <v>0</v>
      </c>
      <c r="G58" s="131">
        <f t="shared" ref="G58:G68" si="15">+IFERROR(V7/G7,0)</f>
        <v>0</v>
      </c>
      <c r="H58" s="131">
        <f t="shared" ref="H58:N65" si="16">+IFERROR(W8/H8,0)</f>
        <v>1.24848</v>
      </c>
      <c r="I58" s="876">
        <f t="shared" si="10"/>
        <v>0</v>
      </c>
      <c r="J58" s="50">
        <f t="shared" si="16"/>
        <v>0</v>
      </c>
      <c r="K58" s="50">
        <f t="shared" si="16"/>
        <v>0</v>
      </c>
      <c r="L58" s="50">
        <f t="shared" si="16"/>
        <v>0</v>
      </c>
      <c r="M58" s="50">
        <f t="shared" si="16"/>
        <v>0</v>
      </c>
      <c r="N58" s="50">
        <f t="shared" si="16"/>
        <v>0</v>
      </c>
      <c r="P58" s="464">
        <f t="shared" si="12"/>
        <v>14717175</v>
      </c>
      <c r="Q58" s="284" t="s">
        <v>282</v>
      </c>
      <c r="R58" s="2">
        <f t="shared" ref="R58:Y65" si="17">+C8-R8</f>
        <v>2500000</v>
      </c>
      <c r="S58" s="2">
        <f t="shared" si="17"/>
        <v>2500000</v>
      </c>
      <c r="T58" s="2">
        <f t="shared" si="17"/>
        <v>944100</v>
      </c>
      <c r="U58" s="2">
        <f t="shared" si="17"/>
        <v>2396170</v>
      </c>
      <c r="V58" s="2">
        <f t="shared" si="17"/>
        <v>2064393</v>
      </c>
      <c r="W58" s="2">
        <f t="shared" si="17"/>
        <v>-621200</v>
      </c>
      <c r="X58" s="2">
        <f t="shared" si="17"/>
        <v>2433712</v>
      </c>
      <c r="Y58" s="2">
        <f t="shared" si="17"/>
        <v>2500000</v>
      </c>
      <c r="Z58" s="2"/>
      <c r="AA58" s="2"/>
      <c r="AB58" s="2"/>
      <c r="AC58" s="2"/>
    </row>
    <row r="59" spans="2:29" ht="12.95">
      <c r="B59" s="877" t="s">
        <v>262</v>
      </c>
      <c r="C59" s="131">
        <f>+IFERROR(R7/C7,0)</f>
        <v>0</v>
      </c>
      <c r="D59" s="131">
        <f t="shared" si="13"/>
        <v>0.82715799999999995</v>
      </c>
      <c r="E59" s="131">
        <f t="shared" si="14"/>
        <v>0.88892941176470586</v>
      </c>
      <c r="F59" s="131">
        <f t="shared" si="14"/>
        <v>4.1531999999999999E-2</v>
      </c>
      <c r="G59" s="131">
        <f t="shared" si="15"/>
        <v>0.1742428</v>
      </c>
      <c r="H59" s="131">
        <f t="shared" ref="H59:I74" si="18">+IFERROR(W8/H8,0)</f>
        <v>1.24848</v>
      </c>
      <c r="I59" s="876">
        <f t="shared" si="10"/>
        <v>2.6515199999999999E-2</v>
      </c>
      <c r="J59" s="50">
        <f t="shared" si="16"/>
        <v>0</v>
      </c>
      <c r="K59" s="50">
        <f t="shared" si="16"/>
        <v>0</v>
      </c>
      <c r="L59" s="50">
        <f t="shared" si="16"/>
        <v>0</v>
      </c>
      <c r="M59" s="50">
        <f t="shared" si="16"/>
        <v>0</v>
      </c>
      <c r="N59" s="50">
        <f t="shared" si="16"/>
        <v>0</v>
      </c>
      <c r="P59" s="463">
        <f t="shared" si="12"/>
        <v>23883176.300000001</v>
      </c>
      <c r="Q59" s="98" t="s">
        <v>263</v>
      </c>
      <c r="R59" s="2">
        <f t="shared" si="17"/>
        <v>2564722</v>
      </c>
      <c r="S59" s="2">
        <f t="shared" si="17"/>
        <v>1037052</v>
      </c>
      <c r="T59" s="2">
        <f t="shared" si="17"/>
        <v>4900072.9000000004</v>
      </c>
      <c r="U59" s="2">
        <f t="shared" si="17"/>
        <v>3355466.51</v>
      </c>
      <c r="V59" s="2">
        <f t="shared" si="17"/>
        <v>-634819.01999999955</v>
      </c>
      <c r="W59" s="2">
        <f t="shared" si="17"/>
        <v>1719740.9100000001</v>
      </c>
      <c r="X59" s="2">
        <f t="shared" si="17"/>
        <v>4940941</v>
      </c>
      <c r="Y59" s="2">
        <f t="shared" si="17"/>
        <v>6000000</v>
      </c>
      <c r="Z59" s="2"/>
      <c r="AA59" s="2"/>
      <c r="AB59" s="2"/>
      <c r="AC59" s="2"/>
    </row>
    <row r="60" spans="2:29" ht="12.95">
      <c r="B60" s="875" t="s">
        <v>264</v>
      </c>
      <c r="C60" s="131">
        <f t="shared" ref="C60:C65" si="19">+IFERROR(R9/C9,0)</f>
        <v>0.57254633333333338</v>
      </c>
      <c r="D60" s="131">
        <f t="shared" si="13"/>
        <v>0.28567999999999999</v>
      </c>
      <c r="E60" s="131">
        <f t="shared" si="14"/>
        <v>0.18332118333333336</v>
      </c>
      <c r="F60" s="131">
        <f t="shared" si="14"/>
        <v>0.44075558166666673</v>
      </c>
      <c r="G60" s="131">
        <f t="shared" si="15"/>
        <v>1.1058031699999999</v>
      </c>
      <c r="H60" s="131">
        <f t="shared" si="18"/>
        <v>0.71337651499999999</v>
      </c>
      <c r="I60" s="876">
        <f t="shared" si="10"/>
        <v>0.17650983333333334</v>
      </c>
      <c r="J60" s="50">
        <f t="shared" si="16"/>
        <v>0</v>
      </c>
      <c r="K60" s="50">
        <f t="shared" si="16"/>
        <v>0</v>
      </c>
      <c r="L60" s="50">
        <f t="shared" si="16"/>
        <v>0</v>
      </c>
      <c r="M60" s="50">
        <f t="shared" si="16"/>
        <v>0</v>
      </c>
      <c r="N60" s="50">
        <f t="shared" si="16"/>
        <v>0</v>
      </c>
      <c r="P60" s="463">
        <f t="shared" si="12"/>
        <v>3117343</v>
      </c>
      <c r="Q60" s="284" t="s">
        <v>115</v>
      </c>
      <c r="R60" s="2">
        <f t="shared" si="17"/>
        <v>357160</v>
      </c>
      <c r="S60" s="2">
        <f t="shared" si="17"/>
        <v>357160</v>
      </c>
      <c r="T60" s="2">
        <f t="shared" si="17"/>
        <v>384382</v>
      </c>
      <c r="U60" s="2">
        <f t="shared" si="17"/>
        <v>384667</v>
      </c>
      <c r="V60" s="2">
        <f t="shared" si="17"/>
        <v>384667</v>
      </c>
      <c r="W60" s="2">
        <f t="shared" si="17"/>
        <v>384667</v>
      </c>
      <c r="X60" s="2">
        <f t="shared" si="17"/>
        <v>364640</v>
      </c>
      <c r="Y60" s="2">
        <f t="shared" si="17"/>
        <v>500000</v>
      </c>
      <c r="Z60" s="2"/>
      <c r="AA60" s="2"/>
      <c r="AB60" s="2"/>
      <c r="AC60" s="2"/>
    </row>
    <row r="61" spans="2:29" ht="12.95">
      <c r="B61" s="877" t="s">
        <v>115</v>
      </c>
      <c r="C61" s="131">
        <f t="shared" si="19"/>
        <v>0.28567999999999999</v>
      </c>
      <c r="D61" s="131">
        <f t="shared" si="13"/>
        <v>0.36465333333333333</v>
      </c>
      <c r="E61" s="131">
        <f t="shared" ref="E61:E68" si="20">+IFERROR(T10/E10,0)</f>
        <v>0.231236</v>
      </c>
      <c r="F61" s="131">
        <f t="shared" ref="F61:F68" si="21">+IFERROR(U10/F10,0)</f>
        <v>0.23066600000000001</v>
      </c>
      <c r="G61" s="131">
        <f t="shared" si="15"/>
        <v>0.23066600000000001</v>
      </c>
      <c r="H61" s="131">
        <f t="shared" si="18"/>
        <v>0.23066600000000001</v>
      </c>
      <c r="I61" s="876">
        <f t="shared" si="10"/>
        <v>0.27072000000000002</v>
      </c>
      <c r="J61" s="50">
        <f t="shared" si="16"/>
        <v>0</v>
      </c>
      <c r="K61" s="50">
        <f t="shared" si="16"/>
        <v>0</v>
      </c>
      <c r="L61" s="50">
        <f t="shared" si="16"/>
        <v>0</v>
      </c>
      <c r="M61" s="50">
        <f t="shared" si="16"/>
        <v>0</v>
      </c>
      <c r="N61" s="50">
        <f t="shared" si="16"/>
        <v>0</v>
      </c>
      <c r="P61" s="463">
        <f t="shared" si="12"/>
        <v>8187680</v>
      </c>
      <c r="Q61" s="98" t="s">
        <v>265</v>
      </c>
      <c r="R61" s="2">
        <f t="shared" si="17"/>
        <v>1206920</v>
      </c>
      <c r="S61" s="2">
        <f t="shared" si="17"/>
        <v>953020</v>
      </c>
      <c r="T61" s="2">
        <f t="shared" si="17"/>
        <v>993520</v>
      </c>
      <c r="U61" s="2">
        <f t="shared" si="17"/>
        <v>829060</v>
      </c>
      <c r="V61" s="2">
        <f t="shared" si="17"/>
        <v>823080</v>
      </c>
      <c r="W61" s="2">
        <f t="shared" si="17"/>
        <v>1002570</v>
      </c>
      <c r="X61" s="2">
        <f t="shared" si="17"/>
        <v>879510</v>
      </c>
      <c r="Y61" s="2">
        <f t="shared" si="17"/>
        <v>1500000</v>
      </c>
      <c r="Z61" s="2"/>
      <c r="AA61" s="2"/>
      <c r="AB61" s="2"/>
      <c r="AC61" s="2"/>
    </row>
    <row r="62" spans="2:29" ht="12.95">
      <c r="B62" s="875" t="s">
        <v>265</v>
      </c>
      <c r="C62" s="131">
        <f t="shared" si="19"/>
        <v>0.19538666666666665</v>
      </c>
      <c r="D62" s="131">
        <f t="shared" si="13"/>
        <v>1.4623201903225806</v>
      </c>
      <c r="E62" s="131">
        <f t="shared" si="20"/>
        <v>0.33765333333333336</v>
      </c>
      <c r="F62" s="131">
        <f t="shared" si="21"/>
        <v>0.44729333333333332</v>
      </c>
      <c r="G62" s="131">
        <f t="shared" si="15"/>
        <v>0.45128000000000001</v>
      </c>
      <c r="H62" s="131">
        <f t="shared" si="18"/>
        <v>0.33162000000000003</v>
      </c>
      <c r="I62" s="876">
        <f t="shared" si="10"/>
        <v>0.41366000000000003</v>
      </c>
      <c r="J62" s="50">
        <f t="shared" si="16"/>
        <v>0</v>
      </c>
      <c r="K62" s="50">
        <f t="shared" si="16"/>
        <v>0</v>
      </c>
      <c r="L62" s="50">
        <f t="shared" si="16"/>
        <v>0</v>
      </c>
      <c r="M62" s="50">
        <f t="shared" si="16"/>
        <v>0</v>
      </c>
      <c r="N62" s="50">
        <f t="shared" si="16"/>
        <v>0</v>
      </c>
      <c r="P62" s="463">
        <f t="shared" si="12"/>
        <v>-6493300.2999999989</v>
      </c>
      <c r="Q62" s="98" t="s">
        <v>266</v>
      </c>
      <c r="R62" s="2">
        <f t="shared" si="17"/>
        <v>-1132870.2699999996</v>
      </c>
      <c r="S62" s="2">
        <f t="shared" si="17"/>
        <v>-1433192.5899999999</v>
      </c>
      <c r="T62" s="2">
        <f t="shared" si="17"/>
        <v>2260096.33</v>
      </c>
      <c r="U62" s="2">
        <f t="shared" si="17"/>
        <v>-2226723.12</v>
      </c>
      <c r="V62" s="2">
        <f t="shared" si="17"/>
        <v>1909195.28</v>
      </c>
      <c r="W62" s="2">
        <f t="shared" si="17"/>
        <v>-11974285.93</v>
      </c>
      <c r="X62" s="2">
        <f t="shared" si="17"/>
        <v>3004480</v>
      </c>
      <c r="Y62" s="2">
        <f t="shared" si="17"/>
        <v>3100000</v>
      </c>
    </row>
    <row r="63" spans="2:29" ht="12.95">
      <c r="B63" s="875" t="s">
        <v>266</v>
      </c>
      <c r="C63" s="131">
        <f t="shared" si="19"/>
        <v>1.365442022580645</v>
      </c>
      <c r="D63" s="131">
        <f t="shared" si="13"/>
        <v>1.5433576666666666</v>
      </c>
      <c r="E63" s="131">
        <f t="shared" si="20"/>
        <v>0.27093666774193548</v>
      </c>
      <c r="F63" s="131">
        <f t="shared" si="21"/>
        <v>1.7182977806451614</v>
      </c>
      <c r="G63" s="131">
        <f t="shared" si="15"/>
        <v>0.38413055483870967</v>
      </c>
      <c r="H63" s="131">
        <f t="shared" si="18"/>
        <v>4.8626728806451611</v>
      </c>
      <c r="I63" s="876">
        <f t="shared" si="10"/>
        <v>3.0812903225806453E-2</v>
      </c>
      <c r="J63" s="50">
        <f t="shared" si="16"/>
        <v>0</v>
      </c>
      <c r="K63" s="50">
        <f t="shared" si="16"/>
        <v>0</v>
      </c>
      <c r="L63" s="50">
        <f t="shared" si="16"/>
        <v>0</v>
      </c>
      <c r="M63" s="50">
        <f t="shared" si="16"/>
        <v>0</v>
      </c>
      <c r="N63" s="50">
        <f t="shared" si="16"/>
        <v>0</v>
      </c>
      <c r="P63" s="463">
        <f t="shared" si="12"/>
        <v>-12028113</v>
      </c>
      <c r="Q63" s="98" t="s">
        <v>267</v>
      </c>
      <c r="R63" s="2">
        <f t="shared" si="17"/>
        <v>1450608</v>
      </c>
      <c r="S63" s="2">
        <f t="shared" si="17"/>
        <v>-3260146</v>
      </c>
      <c r="T63" s="2">
        <f t="shared" si="17"/>
        <v>463518</v>
      </c>
      <c r="U63" s="2">
        <f t="shared" si="17"/>
        <v>1328188</v>
      </c>
      <c r="V63" s="2">
        <f t="shared" si="17"/>
        <v>-10823538</v>
      </c>
      <c r="W63" s="2">
        <f t="shared" si="17"/>
        <v>-8441963</v>
      </c>
      <c r="X63" s="2">
        <f t="shared" si="17"/>
        <v>1255220</v>
      </c>
      <c r="Y63" s="2">
        <f t="shared" si="17"/>
        <v>6000000</v>
      </c>
      <c r="Z63" s="2"/>
      <c r="AA63" s="2"/>
      <c r="AB63" s="2"/>
      <c r="AC63" s="2"/>
    </row>
    <row r="64" spans="2:29" ht="12.95">
      <c r="B64" s="875" t="s">
        <v>267</v>
      </c>
      <c r="C64" s="131">
        <f t="shared" si="19"/>
        <v>0.75823200000000002</v>
      </c>
      <c r="D64" s="131">
        <f t="shared" si="13"/>
        <v>0.61075000000000002</v>
      </c>
      <c r="E64" s="131">
        <f t="shared" si="20"/>
        <v>0.92274699999999998</v>
      </c>
      <c r="F64" s="131">
        <f t="shared" si="21"/>
        <v>0.77863533333333335</v>
      </c>
      <c r="G64" s="131">
        <f t="shared" si="15"/>
        <v>2.8039230000000002</v>
      </c>
      <c r="H64" s="131">
        <f t="shared" si="18"/>
        <v>2.4069938333333334</v>
      </c>
      <c r="I64" s="876">
        <f t="shared" si="10"/>
        <v>0.7907966666666667</v>
      </c>
      <c r="J64" s="50">
        <f t="shared" si="16"/>
        <v>0</v>
      </c>
      <c r="K64" s="50">
        <f t="shared" si="16"/>
        <v>0</v>
      </c>
      <c r="L64" s="50">
        <f t="shared" si="16"/>
        <v>0</v>
      </c>
      <c r="M64" s="50">
        <f t="shared" si="16"/>
        <v>0</v>
      </c>
      <c r="N64" s="50">
        <f t="shared" si="16"/>
        <v>0</v>
      </c>
      <c r="P64" s="463">
        <f t="shared" si="12"/>
        <v>4043400</v>
      </c>
      <c r="Q64" s="98" t="s">
        <v>268</v>
      </c>
      <c r="R64" s="2">
        <f t="shared" si="17"/>
        <v>539000</v>
      </c>
      <c r="S64" s="2">
        <f t="shared" si="17"/>
        <v>311400</v>
      </c>
      <c r="T64" s="2">
        <f t="shared" si="17"/>
        <v>730000</v>
      </c>
      <c r="U64" s="2">
        <f t="shared" si="17"/>
        <v>443000</v>
      </c>
      <c r="V64" s="2">
        <f t="shared" si="17"/>
        <v>252500</v>
      </c>
      <c r="W64" s="2">
        <f t="shared" si="17"/>
        <v>297500</v>
      </c>
      <c r="X64" s="2">
        <f t="shared" si="17"/>
        <v>670000</v>
      </c>
      <c r="Y64" s="2">
        <f t="shared" si="17"/>
        <v>800000</v>
      </c>
      <c r="Z64" s="2"/>
      <c r="AA64" s="2"/>
      <c r="AB64" s="2"/>
      <c r="AC64" s="2"/>
    </row>
    <row r="65" spans="2:29" ht="12.95">
      <c r="B65" s="875" t="s">
        <v>268</v>
      </c>
      <c r="C65" s="131">
        <f t="shared" si="19"/>
        <v>0.32624999999999998</v>
      </c>
      <c r="D65" s="131">
        <f t="shared" si="13"/>
        <v>1.0625662499999999</v>
      </c>
      <c r="E65" s="131">
        <f t="shared" si="20"/>
        <v>8.7499999999999994E-2</v>
      </c>
      <c r="F65" s="131">
        <f t="shared" si="21"/>
        <v>0.44624999999999998</v>
      </c>
      <c r="G65" s="131">
        <f t="shared" si="15"/>
        <v>0.68437499999999996</v>
      </c>
      <c r="H65" s="131">
        <f t="shared" si="18"/>
        <v>0.62812500000000004</v>
      </c>
      <c r="I65" s="876">
        <f t="shared" si="10"/>
        <v>0.16250000000000001</v>
      </c>
      <c r="J65" s="50">
        <f t="shared" si="16"/>
        <v>0</v>
      </c>
      <c r="K65" s="50">
        <f t="shared" si="16"/>
        <v>0</v>
      </c>
      <c r="L65" s="50">
        <f t="shared" si="16"/>
        <v>0</v>
      </c>
      <c r="M65" s="50">
        <f t="shared" si="16"/>
        <v>0</v>
      </c>
      <c r="N65" s="50">
        <f t="shared" si="16"/>
        <v>0</v>
      </c>
      <c r="P65" s="463">
        <f t="shared" si="12"/>
        <v>8929099.3200000003</v>
      </c>
      <c r="Q65" s="98" t="s">
        <v>269</v>
      </c>
      <c r="R65" s="2">
        <f t="shared" si="17"/>
        <v>1061843.25</v>
      </c>
      <c r="S65" s="2">
        <f t="shared" si="17"/>
        <v>-250265</v>
      </c>
      <c r="T65" s="2">
        <f t="shared" si="17"/>
        <v>602411</v>
      </c>
      <c r="U65" s="2">
        <f t="shared" si="17"/>
        <v>2587924</v>
      </c>
      <c r="V65" s="2">
        <f t="shared" si="17"/>
        <v>605862</v>
      </c>
      <c r="W65" s="2">
        <f t="shared" si="17"/>
        <v>-1780705.9299999997</v>
      </c>
      <c r="X65" s="2">
        <f t="shared" si="17"/>
        <v>2102030</v>
      </c>
      <c r="Y65" s="2">
        <f t="shared" si="17"/>
        <v>4000000</v>
      </c>
      <c r="Z65" s="2"/>
      <c r="AA65" s="2"/>
      <c r="AB65" s="2"/>
    </row>
    <row r="66" spans="2:29" ht="12.95">
      <c r="B66" s="875" t="s">
        <v>269</v>
      </c>
      <c r="C66" s="131">
        <f>+IFERROR(R16/C15,0)</f>
        <v>0</v>
      </c>
      <c r="D66" s="131">
        <f>+IFERROR(S15/D15,0)</f>
        <v>1.0625662499999999</v>
      </c>
      <c r="E66" s="131">
        <f t="shared" si="20"/>
        <v>0.84939724999999999</v>
      </c>
      <c r="F66" s="131">
        <f t="shared" si="21"/>
        <v>0.35301900000000003</v>
      </c>
      <c r="G66" s="131">
        <f t="shared" si="15"/>
        <v>0.84853449999999997</v>
      </c>
      <c r="H66" s="131">
        <f t="shared" si="18"/>
        <v>1.4451764825</v>
      </c>
      <c r="I66" s="876">
        <f t="shared" si="10"/>
        <v>0.47449249999999998</v>
      </c>
      <c r="J66" s="50">
        <f t="shared" ref="J66:K68" si="22">+IFERROR(Y20/J20,0)</f>
        <v>0</v>
      </c>
      <c r="K66" s="50">
        <f t="shared" si="22"/>
        <v>0</v>
      </c>
      <c r="L66" s="50">
        <f>+IFERROR(AA17/L17,0)</f>
        <v>0</v>
      </c>
      <c r="M66" s="50">
        <f>+IFERROR(AB20/M20,0)</f>
        <v>0</v>
      </c>
      <c r="N66" s="50">
        <f>+IFERROR(AC20/N20,0)</f>
        <v>0</v>
      </c>
      <c r="P66" s="463">
        <f t="shared" si="12"/>
        <v>-61495077.480000004</v>
      </c>
      <c r="Q66" s="284" t="s">
        <v>9</v>
      </c>
      <c r="R66" s="2">
        <f t="shared" ref="R66:Y66" si="23">+C17-R17</f>
        <v>-1824231.04</v>
      </c>
      <c r="S66" s="2">
        <f t="shared" si="23"/>
        <v>-7729016.4000000004</v>
      </c>
      <c r="T66" s="2">
        <f t="shared" si="23"/>
        <v>-7351203.0399999991</v>
      </c>
      <c r="U66" s="2">
        <f t="shared" si="23"/>
        <v>-9308916</v>
      </c>
      <c r="V66" s="2">
        <f t="shared" si="23"/>
        <v>-30056170</v>
      </c>
      <c r="W66" s="2">
        <f t="shared" si="23"/>
        <v>-1819100</v>
      </c>
      <c r="X66" s="2">
        <f t="shared" si="23"/>
        <v>-4706441</v>
      </c>
      <c r="Y66" s="2">
        <f t="shared" si="23"/>
        <v>1300000</v>
      </c>
      <c r="Z66" s="2"/>
      <c r="AA66" s="2"/>
      <c r="AB66" s="2"/>
    </row>
    <row r="67" spans="2:29" ht="12.95">
      <c r="B67" s="875" t="s">
        <v>283</v>
      </c>
      <c r="C67" s="131">
        <f>+IFERROR(R16/C16,0)</f>
        <v>0</v>
      </c>
      <c r="D67" s="131">
        <f>+IFERROR(S16/D16,0)</f>
        <v>0.34142666666666666</v>
      </c>
      <c r="E67" s="131">
        <f t="shared" si="20"/>
        <v>0.79514533333333337</v>
      </c>
      <c r="F67" s="131">
        <f t="shared" si="21"/>
        <v>0</v>
      </c>
      <c r="G67" s="131">
        <f t="shared" si="15"/>
        <v>0.46291333333333334</v>
      </c>
      <c r="H67" s="131">
        <f t="shared" si="18"/>
        <v>0.31186666666666668</v>
      </c>
      <c r="I67" s="876">
        <f t="shared" si="10"/>
        <v>0</v>
      </c>
      <c r="J67" s="50">
        <f t="shared" si="22"/>
        <v>0</v>
      </c>
      <c r="K67" s="50">
        <f t="shared" si="22"/>
        <v>0</v>
      </c>
      <c r="L67" s="50">
        <f>+IFERROR(AA19/L19,0)</f>
        <v>0</v>
      </c>
      <c r="M67" s="50">
        <f>+IFERROR(AB19/M19,0)</f>
        <v>0</v>
      </c>
      <c r="N67" s="50">
        <f>+IFERROR(AC21/N21,0)</f>
        <v>0</v>
      </c>
      <c r="P67" s="463">
        <f t="shared" si="12"/>
        <v>5000000</v>
      </c>
      <c r="Q67" s="284" t="s">
        <v>273</v>
      </c>
      <c r="R67" s="2">
        <f t="shared" ref="R67:Y68" si="24">+C19-R19</f>
        <v>0</v>
      </c>
      <c r="S67" s="2">
        <f t="shared" si="24"/>
        <v>0</v>
      </c>
      <c r="T67" s="2">
        <f t="shared" si="24"/>
        <v>0</v>
      </c>
      <c r="U67" s="2">
        <f t="shared" si="24"/>
        <v>0</v>
      </c>
      <c r="V67" s="2">
        <f t="shared" si="24"/>
        <v>0</v>
      </c>
      <c r="W67" s="2">
        <f t="shared" si="24"/>
        <v>0</v>
      </c>
      <c r="X67" s="2">
        <f t="shared" si="24"/>
        <v>5000000</v>
      </c>
      <c r="Y67" s="2">
        <f t="shared" si="24"/>
        <v>0</v>
      </c>
      <c r="Z67" s="2"/>
      <c r="AA67" s="2"/>
      <c r="AB67" s="2"/>
    </row>
    <row r="68" spans="2:29" ht="12.95">
      <c r="B68" s="877" t="s">
        <v>9</v>
      </c>
      <c r="C68" s="131">
        <f>+IFERROR(R17/C17,0)</f>
        <v>2.403254646153846</v>
      </c>
      <c r="D68" s="131">
        <f>+IFERROR(S17/D17,0)</f>
        <v>6.9453972307692311</v>
      </c>
      <c r="E68" s="131">
        <f t="shared" si="20"/>
        <v>6.6547715692307685</v>
      </c>
      <c r="F68" s="131">
        <f t="shared" si="21"/>
        <v>8.1607046153846152</v>
      </c>
      <c r="G68" s="131">
        <f t="shared" si="15"/>
        <v>24.120130769230769</v>
      </c>
      <c r="H68" s="131">
        <f t="shared" si="18"/>
        <v>2.3993076923076924</v>
      </c>
      <c r="I68" s="876">
        <f t="shared" si="10"/>
        <v>4.6203392307692308</v>
      </c>
      <c r="J68" s="50">
        <f t="shared" si="22"/>
        <v>0</v>
      </c>
      <c r="K68" s="50">
        <f t="shared" si="22"/>
        <v>0</v>
      </c>
      <c r="L68" s="50">
        <f>+IFERROR(AA20/L20,0)</f>
        <v>0</v>
      </c>
      <c r="M68" s="50">
        <f>+IFERROR(AB20/M20,0)</f>
        <v>0</v>
      </c>
      <c r="N68" s="50">
        <f>+IFERROR(AC22/N22,0)</f>
        <v>0</v>
      </c>
      <c r="P68" s="463">
        <f t="shared" si="12"/>
        <v>252441056.43922225</v>
      </c>
      <c r="Q68" s="98" t="s">
        <v>106</v>
      </c>
      <c r="R68" s="2">
        <f t="shared" si="24"/>
        <v>24584696.753666654</v>
      </c>
      <c r="S68" s="2">
        <f t="shared" si="24"/>
        <v>55403635.685555562</v>
      </c>
      <c r="T68" s="2">
        <f t="shared" si="24"/>
        <v>5063937</v>
      </c>
      <c r="U68" s="2">
        <f t="shared" si="24"/>
        <v>1664013.6666666716</v>
      </c>
      <c r="V68" s="2">
        <f t="shared" si="24"/>
        <v>726457.5000000149</v>
      </c>
      <c r="W68" s="2">
        <f t="shared" si="24"/>
        <v>-35001684.166666657</v>
      </c>
      <c r="X68" s="2">
        <f t="shared" si="24"/>
        <v>115000000</v>
      </c>
      <c r="Y68" s="2">
        <f t="shared" si="24"/>
        <v>85000000</v>
      </c>
      <c r="Z68" s="2"/>
      <c r="AA68" s="2"/>
      <c r="AB68" s="2"/>
    </row>
    <row r="69" spans="2:29" ht="12.95" hidden="1">
      <c r="B69" s="877" t="s">
        <v>272</v>
      </c>
      <c r="C69" s="131">
        <f>+IFERROR(R18/C18,0)</f>
        <v>0</v>
      </c>
      <c r="D69" s="131">
        <f t="shared" ref="D69:E71" si="25">+IFERROR(S21/D21,0)</f>
        <v>0</v>
      </c>
      <c r="E69" s="131">
        <f t="shared" si="25"/>
        <v>0</v>
      </c>
      <c r="F69" s="131"/>
      <c r="G69" s="131"/>
      <c r="H69" s="131">
        <f t="shared" si="18"/>
        <v>0</v>
      </c>
      <c r="I69" s="876">
        <f t="shared" si="10"/>
        <v>0</v>
      </c>
      <c r="J69" s="50"/>
      <c r="K69" s="50"/>
      <c r="L69" s="50"/>
      <c r="M69" s="50"/>
      <c r="N69" s="50"/>
      <c r="P69" s="2"/>
      <c r="Q69" s="69"/>
      <c r="R69" s="2"/>
      <c r="S69" s="2"/>
      <c r="T69" s="2"/>
      <c r="U69" s="2"/>
      <c r="V69" s="2"/>
      <c r="W69" s="2"/>
      <c r="X69" s="2"/>
      <c r="Y69" s="2"/>
      <c r="Z69" s="2"/>
      <c r="AA69" s="2"/>
      <c r="AB69" s="2"/>
    </row>
    <row r="70" spans="2:29" ht="12.95" hidden="1">
      <c r="B70" s="877" t="s">
        <v>273</v>
      </c>
      <c r="C70" s="131">
        <f>+IFERROR(R19/C19,0)</f>
        <v>0</v>
      </c>
      <c r="D70" s="131">
        <f t="shared" si="25"/>
        <v>1.6140199150289019</v>
      </c>
      <c r="E70" s="131">
        <f t="shared" si="25"/>
        <v>0.32469223723494489</v>
      </c>
      <c r="F70" s="131"/>
      <c r="G70" s="131"/>
      <c r="H70" s="131">
        <f t="shared" si="18"/>
        <v>0</v>
      </c>
      <c r="I70" s="876">
        <f t="shared" si="10"/>
        <v>0</v>
      </c>
      <c r="J70" s="50"/>
      <c r="K70" s="50"/>
      <c r="L70" s="50"/>
      <c r="M70" s="50"/>
      <c r="N70" s="50"/>
      <c r="P70" s="2"/>
      <c r="Q70" s="69"/>
      <c r="R70" s="2"/>
      <c r="S70" s="2"/>
      <c r="T70" s="2"/>
      <c r="U70" s="2"/>
      <c r="V70" s="2"/>
      <c r="W70" s="2"/>
      <c r="X70" s="2"/>
      <c r="Y70" s="2"/>
      <c r="Z70" s="2"/>
      <c r="AA70" s="2"/>
      <c r="AB70" s="2"/>
    </row>
    <row r="71" spans="2:29" ht="12.95" hidden="1">
      <c r="B71" s="875" t="s">
        <v>106</v>
      </c>
      <c r="C71" s="131">
        <f>+IFERROR(R20/C20,0)</f>
        <v>0.76431121892755582</v>
      </c>
      <c r="D71" s="131">
        <f t="shared" si="25"/>
        <v>0.92525658346437223</v>
      </c>
      <c r="E71" s="131">
        <f t="shared" si="25"/>
        <v>0.63908015464268353</v>
      </c>
      <c r="F71" s="92"/>
      <c r="G71" s="92"/>
      <c r="H71" s="131">
        <f t="shared" si="18"/>
        <v>1.4117845196078431</v>
      </c>
      <c r="I71" s="876">
        <f t="shared" si="18"/>
        <v>0</v>
      </c>
    </row>
    <row r="72" spans="2:29" ht="12.95">
      <c r="B72" s="877" t="s">
        <v>273</v>
      </c>
      <c r="C72" s="131">
        <f t="shared" ref="C72:F73" si="26">+IFERROR(R19/C19,0)</f>
        <v>0</v>
      </c>
      <c r="D72" s="131">
        <f t="shared" si="26"/>
        <v>0</v>
      </c>
      <c r="E72" s="131">
        <f t="shared" si="26"/>
        <v>0</v>
      </c>
      <c r="F72" s="131">
        <f t="shared" si="26"/>
        <v>0</v>
      </c>
      <c r="G72" s="131">
        <f>+IFERROR(V19/G19,0)</f>
        <v>0</v>
      </c>
      <c r="H72" s="131">
        <f t="shared" si="18"/>
        <v>0</v>
      </c>
      <c r="I72" s="876">
        <f t="shared" si="18"/>
        <v>0</v>
      </c>
      <c r="J72" s="859">
        <f>+SUM(J55:J65)</f>
        <v>0</v>
      </c>
      <c r="K72" s="99">
        <f>+SUM(K55:K65)</f>
        <v>0</v>
      </c>
      <c r="L72" s="99">
        <f>+SUM(L55:L65)</f>
        <v>0</v>
      </c>
      <c r="M72" s="99">
        <f>+SUM(M55:M71)</f>
        <v>0</v>
      </c>
      <c r="N72" s="99">
        <f>+SUM(N55:N65)</f>
        <v>0</v>
      </c>
      <c r="P72" s="91">
        <f>+SUM(P55:P65)</f>
        <v>55991174.32</v>
      </c>
      <c r="Q72" s="284" t="s">
        <v>11</v>
      </c>
      <c r="R72" s="99">
        <f>+SUM(R55:R65)</f>
        <v>10489713.98</v>
      </c>
      <c r="S72" s="99">
        <f>+SUM(S55:S65)</f>
        <v>-5971785.5899999999</v>
      </c>
      <c r="T72" s="99">
        <f t="shared" ref="T72:AC72" si="27">+SUM(T55:T64)</f>
        <v>15618785.23</v>
      </c>
      <c r="U72" s="99">
        <f t="shared" si="27"/>
        <v>3454216.3899999997</v>
      </c>
      <c r="V72" s="99">
        <f t="shared" si="27"/>
        <v>-14873415.739999998</v>
      </c>
      <c r="W72" s="99">
        <f t="shared" si="27"/>
        <v>-24415778.02</v>
      </c>
      <c r="X72" s="99">
        <f t="shared" si="27"/>
        <v>15671917</v>
      </c>
      <c r="Y72" s="99">
        <f t="shared" si="27"/>
        <v>47900000</v>
      </c>
      <c r="Z72" s="99">
        <f t="shared" si="27"/>
        <v>0</v>
      </c>
      <c r="AA72" s="99">
        <f t="shared" si="27"/>
        <v>0</v>
      </c>
      <c r="AB72" s="99">
        <f t="shared" si="27"/>
        <v>0</v>
      </c>
      <c r="AC72" s="99">
        <f t="shared" si="27"/>
        <v>0</v>
      </c>
    </row>
    <row r="73" spans="2:29" ht="12.95">
      <c r="B73" s="877" t="s">
        <v>106</v>
      </c>
      <c r="C73" s="131">
        <f t="shared" si="26"/>
        <v>0.76431121892755582</v>
      </c>
      <c r="D73" s="131">
        <f t="shared" si="26"/>
        <v>0.67409626067320261</v>
      </c>
      <c r="E73" s="131">
        <f t="shared" si="26"/>
        <v>0.9404242705882353</v>
      </c>
      <c r="F73" s="131">
        <f t="shared" si="26"/>
        <v>0.98042336862745094</v>
      </c>
      <c r="G73" s="131">
        <f>+IFERROR(V20/G20,0)</f>
        <v>0.99145344117647038</v>
      </c>
      <c r="H73" s="131">
        <f>+IFERROR(W20/H20,0)</f>
        <v>1.4117845196078431</v>
      </c>
      <c r="I73" s="876">
        <f t="shared" si="18"/>
        <v>0.97559720616570322</v>
      </c>
      <c r="J73" s="859"/>
      <c r="K73" s="99"/>
      <c r="L73" s="99"/>
      <c r="M73" s="99"/>
      <c r="N73" s="99"/>
      <c r="P73" s="2"/>
      <c r="Q73" s="285"/>
      <c r="R73" s="97"/>
      <c r="S73" s="97"/>
      <c r="T73" s="97"/>
      <c r="U73" s="97"/>
      <c r="V73" s="97"/>
      <c r="W73" s="97"/>
      <c r="X73" s="97"/>
      <c r="Y73" s="97"/>
      <c r="Z73" s="97"/>
      <c r="AA73" s="97"/>
      <c r="AB73" s="97"/>
      <c r="AC73" s="97"/>
    </row>
    <row r="74" spans="2:29" ht="12.95">
      <c r="B74" s="877" t="s">
        <v>284</v>
      </c>
      <c r="C74" s="867">
        <f t="shared" ref="C74:H74" si="28">+R23/C23</f>
        <v>0.77436413418825623</v>
      </c>
      <c r="D74" s="867">
        <f t="shared" si="28"/>
        <v>0.92525658346437223</v>
      </c>
      <c r="E74" s="867">
        <f t="shared" si="28"/>
        <v>0.63908015464268353</v>
      </c>
      <c r="F74" s="867">
        <f t="shared" si="28"/>
        <v>1.0007355901455499</v>
      </c>
      <c r="G74" s="370">
        <f t="shared" si="28"/>
        <v>1.3063109251252683</v>
      </c>
      <c r="H74" s="370">
        <f t="shared" si="28"/>
        <v>1.6112030645430686</v>
      </c>
      <c r="I74" s="886">
        <f t="shared" si="18"/>
        <v>0.28983111047510018</v>
      </c>
      <c r="J74" s="859"/>
      <c r="K74" s="99"/>
      <c r="L74" s="99"/>
      <c r="M74" s="99"/>
      <c r="N74" s="99"/>
      <c r="P74" s="2"/>
      <c r="Q74" s="285"/>
      <c r="R74" s="97"/>
      <c r="S74" s="97"/>
      <c r="T74" s="97"/>
      <c r="U74" s="97"/>
      <c r="V74" s="97"/>
      <c r="W74" s="97"/>
      <c r="X74" s="97"/>
      <c r="Y74" s="97"/>
      <c r="Z74" s="97"/>
      <c r="AA74" s="97"/>
      <c r="AB74" s="97"/>
      <c r="AC74" s="97"/>
    </row>
    <row r="75" spans="2:29" ht="12.95" thickBot="1">
      <c r="B75" s="887" t="s">
        <v>108</v>
      </c>
      <c r="C75" s="866">
        <f t="shared" ref="C75:I75" si="29">+C23-R23</f>
        <v>34750179.693666667</v>
      </c>
      <c r="D75" s="866">
        <f t="shared" si="29"/>
        <v>16794845.695555568</v>
      </c>
      <c r="E75" s="866">
        <f t="shared" si="29"/>
        <v>74241212.189999998</v>
      </c>
      <c r="F75" s="866">
        <f>+F23-U23</f>
        <v>-102761.94333332777</v>
      </c>
      <c r="G75" s="866">
        <f>+G23-V23</f>
        <v>-42791636.23999998</v>
      </c>
      <c r="H75" s="866">
        <f>+H23-W23</f>
        <v>-85385068.116666675</v>
      </c>
      <c r="I75" s="888">
        <f t="shared" si="29"/>
        <v>124066505</v>
      </c>
      <c r="J75" s="142"/>
      <c r="K75" s="92"/>
      <c r="L75" s="92"/>
      <c r="M75" s="92"/>
      <c r="N75" s="92"/>
    </row>
    <row r="76" spans="2:29" ht="12.95" thickBot="1">
      <c r="B76" s="889"/>
      <c r="C76" s="890"/>
      <c r="D76" s="890"/>
      <c r="E76" s="890"/>
      <c r="F76" s="890"/>
      <c r="G76" s="890"/>
      <c r="H76" s="890"/>
      <c r="I76" s="891"/>
    </row>
    <row r="77" spans="2:29" ht="13.5" thickBot="1">
      <c r="Q77" s="931" t="s">
        <v>94</v>
      </c>
      <c r="R77" s="931"/>
      <c r="S77" s="931"/>
      <c r="T77" s="931"/>
      <c r="U77" s="931"/>
      <c r="V77" s="931"/>
      <c r="W77" s="931"/>
      <c r="X77" s="931"/>
      <c r="Y77" s="931"/>
      <c r="Z77" s="931"/>
      <c r="AA77" s="931"/>
      <c r="AB77" s="931"/>
      <c r="AC77" s="931"/>
    </row>
    <row r="78" spans="2:29" ht="12.95">
      <c r="B78" s="860"/>
      <c r="C78" s="861">
        <v>45658</v>
      </c>
      <c r="D78" s="861">
        <v>45689</v>
      </c>
      <c r="E78" s="861">
        <v>45717</v>
      </c>
      <c r="F78" s="861">
        <v>45748</v>
      </c>
      <c r="G78" s="861">
        <v>45778</v>
      </c>
      <c r="H78" s="861">
        <v>45809</v>
      </c>
      <c r="I78" s="862">
        <v>45474</v>
      </c>
      <c r="J78" s="786">
        <v>45505</v>
      </c>
      <c r="K78" s="286">
        <v>45536</v>
      </c>
      <c r="L78" s="286">
        <v>45566</v>
      </c>
      <c r="M78" s="286">
        <v>45597</v>
      </c>
      <c r="N78" s="286">
        <v>45627</v>
      </c>
      <c r="P78" s="98" t="s">
        <v>58</v>
      </c>
      <c r="R78" s="286">
        <v>45292</v>
      </c>
      <c r="S78" s="286">
        <v>45323</v>
      </c>
      <c r="T78" s="286">
        <v>45352</v>
      </c>
      <c r="U78" s="286">
        <v>45383</v>
      </c>
      <c r="V78" s="286">
        <v>45413</v>
      </c>
      <c r="W78" s="286">
        <v>45444</v>
      </c>
      <c r="X78" s="286">
        <v>45474</v>
      </c>
      <c r="Y78" s="286">
        <v>45505</v>
      </c>
      <c r="Z78" s="286">
        <v>45536</v>
      </c>
      <c r="AA78" s="286">
        <v>45566</v>
      </c>
      <c r="AB78" s="286">
        <v>45597</v>
      </c>
      <c r="AC78" s="286">
        <v>45627</v>
      </c>
    </row>
    <row r="79" spans="2:29" ht="12.95">
      <c r="B79" s="869" t="s">
        <v>276</v>
      </c>
      <c r="C79" s="131">
        <f t="shared" ref="C79:C86" si="30">+IFERROR(R27/C27,0)</f>
        <v>0.38990446333333328</v>
      </c>
      <c r="D79" s="131">
        <f t="shared" ref="D79:D86" si="31">+IFERROR(S27/D27,0)</f>
        <v>1.1322326666666667</v>
      </c>
      <c r="E79" s="131">
        <f t="shared" ref="E79:N83" si="32">+IFERROR(T27/E27,0)</f>
        <v>0.48595333333333335</v>
      </c>
      <c r="F79" s="131">
        <f t="shared" si="32"/>
        <v>0.49862100333333331</v>
      </c>
      <c r="G79" s="131">
        <f t="shared" ref="G79:G85" si="33">+IFERROR(V27/G27,0)</f>
        <v>1.0598676</v>
      </c>
      <c r="H79" s="131">
        <f t="shared" ref="H79:H84" si="34">+IFERROR(W27/H27,0)</f>
        <v>0.385546</v>
      </c>
      <c r="I79" s="863">
        <f>+IFERROR(X27/I27,0)</f>
        <v>2.82396E-2</v>
      </c>
      <c r="J79" s="870">
        <f t="shared" ref="J79:N79" si="35">+IFERROR(Y27/J27,0)</f>
        <v>0</v>
      </c>
      <c r="K79" s="863">
        <f t="shared" si="35"/>
        <v>0</v>
      </c>
      <c r="L79" s="863">
        <f t="shared" si="35"/>
        <v>0</v>
      </c>
      <c r="M79" s="863">
        <f t="shared" si="35"/>
        <v>0</v>
      </c>
      <c r="N79" s="863">
        <f t="shared" si="35"/>
        <v>0</v>
      </c>
      <c r="P79" s="91">
        <f t="shared" ref="P79:P82" si="36">+SUM(R79:Y79)</f>
        <v>10795732.600000001</v>
      </c>
      <c r="Q79" s="287" t="str">
        <f t="shared" ref="Q79:Q84" si="37">+B79</f>
        <v>VIATICOS COMERCIAL</v>
      </c>
      <c r="R79" s="2">
        <f t="shared" ref="R79:Y83" si="38">+C27-R27</f>
        <v>1830286.61</v>
      </c>
      <c r="S79" s="2">
        <f t="shared" si="38"/>
        <v>-396698</v>
      </c>
      <c r="T79" s="2">
        <f t="shared" si="38"/>
        <v>1542140</v>
      </c>
      <c r="U79" s="2">
        <f t="shared" si="38"/>
        <v>1504136.99</v>
      </c>
      <c r="V79" s="2">
        <f t="shared" si="38"/>
        <v>-149669</v>
      </c>
      <c r="W79" s="2">
        <f t="shared" si="38"/>
        <v>1536135</v>
      </c>
      <c r="X79" s="2">
        <f t="shared" si="38"/>
        <v>2429401</v>
      </c>
      <c r="Y79" s="2">
        <f t="shared" si="38"/>
        <v>2500000</v>
      </c>
      <c r="Z79" s="2"/>
      <c r="AA79" s="2"/>
      <c r="AB79" s="2"/>
      <c r="AC79" s="2"/>
    </row>
    <row r="80" spans="2:29" ht="12.95">
      <c r="B80" s="864"/>
      <c r="C80" s="131">
        <f t="shared" si="30"/>
        <v>0</v>
      </c>
      <c r="D80" s="131">
        <f t="shared" si="31"/>
        <v>0</v>
      </c>
      <c r="E80" s="131">
        <f t="shared" si="32"/>
        <v>0</v>
      </c>
      <c r="F80" s="131">
        <f t="shared" si="32"/>
        <v>0</v>
      </c>
      <c r="G80" s="131">
        <f t="shared" si="33"/>
        <v>0</v>
      </c>
      <c r="H80" s="131">
        <f t="shared" si="34"/>
        <v>0</v>
      </c>
      <c r="I80" s="863">
        <f t="shared" ref="I80:I86" si="39">+IFERROR(X28/I28,0)</f>
        <v>0</v>
      </c>
      <c r="J80" s="50">
        <f t="shared" si="32"/>
        <v>0</v>
      </c>
      <c r="K80" s="50">
        <f t="shared" si="32"/>
        <v>0</v>
      </c>
      <c r="L80" s="50">
        <f t="shared" si="32"/>
        <v>0</v>
      </c>
      <c r="M80" s="50">
        <f t="shared" si="32"/>
        <v>0</v>
      </c>
      <c r="N80" s="50">
        <f t="shared" si="32"/>
        <v>0</v>
      </c>
      <c r="P80" s="91">
        <f t="shared" si="36"/>
        <v>0</v>
      </c>
      <c r="Q80" s="287">
        <f t="shared" si="37"/>
        <v>0</v>
      </c>
      <c r="R80" s="2">
        <f t="shared" si="38"/>
        <v>0</v>
      </c>
      <c r="S80" s="2">
        <f t="shared" si="38"/>
        <v>0</v>
      </c>
      <c r="T80" s="2">
        <f t="shared" si="38"/>
        <v>0</v>
      </c>
      <c r="U80" s="2">
        <f t="shared" si="38"/>
        <v>0</v>
      </c>
      <c r="V80" s="2">
        <f t="shared" si="38"/>
        <v>0</v>
      </c>
      <c r="W80" s="2">
        <f t="shared" si="38"/>
        <v>0</v>
      </c>
      <c r="X80" s="2">
        <f t="shared" si="38"/>
        <v>0</v>
      </c>
      <c r="Y80" s="2">
        <f t="shared" si="38"/>
        <v>0</v>
      </c>
      <c r="Z80" s="2"/>
      <c r="AA80" s="2"/>
      <c r="AB80" s="2"/>
      <c r="AC80" s="2"/>
    </row>
    <row r="81" spans="2:29" ht="12.95">
      <c r="B81" s="864" t="s">
        <v>115</v>
      </c>
      <c r="C81" s="131">
        <f t="shared" si="30"/>
        <v>0.18285999999999999</v>
      </c>
      <c r="D81" s="131">
        <f t="shared" si="31"/>
        <v>0.19337142857142858</v>
      </c>
      <c r="E81" s="131">
        <f t="shared" si="32"/>
        <v>0.19337142857142858</v>
      </c>
      <c r="F81" s="131">
        <f t="shared" si="32"/>
        <v>0.38674285714285717</v>
      </c>
      <c r="G81" s="131">
        <f t="shared" si="33"/>
        <v>0.32631428571428572</v>
      </c>
      <c r="H81" s="131">
        <f t="shared" si="34"/>
        <v>0.38674285714285717</v>
      </c>
      <c r="I81" s="863">
        <f t="shared" si="39"/>
        <v>0.32952285714285712</v>
      </c>
      <c r="J81" s="50">
        <f t="shared" si="32"/>
        <v>0</v>
      </c>
      <c r="K81" s="50">
        <f t="shared" si="32"/>
        <v>0</v>
      </c>
      <c r="L81" s="50">
        <f t="shared" si="32"/>
        <v>0</v>
      </c>
      <c r="M81" s="50">
        <f t="shared" si="32"/>
        <v>0</v>
      </c>
      <c r="N81" s="50">
        <f t="shared" si="32"/>
        <v>0</v>
      </c>
      <c r="P81" s="91">
        <f t="shared" si="36"/>
        <v>2100376</v>
      </c>
      <c r="Q81" s="287" t="str">
        <f t="shared" si="37"/>
        <v>Plan celular</v>
      </c>
      <c r="R81" s="2">
        <f t="shared" si="38"/>
        <v>285999</v>
      </c>
      <c r="S81" s="2">
        <f t="shared" si="38"/>
        <v>282320</v>
      </c>
      <c r="T81" s="2">
        <f t="shared" si="38"/>
        <v>282320</v>
      </c>
      <c r="U81" s="2">
        <f t="shared" si="38"/>
        <v>214640</v>
      </c>
      <c r="V81" s="2">
        <f t="shared" si="38"/>
        <v>235790</v>
      </c>
      <c r="W81" s="2">
        <f t="shared" si="38"/>
        <v>214640</v>
      </c>
      <c r="X81" s="2">
        <f t="shared" si="38"/>
        <v>234667</v>
      </c>
      <c r="Y81" s="2">
        <f t="shared" si="38"/>
        <v>350000</v>
      </c>
      <c r="Z81" s="2"/>
      <c r="AA81" s="2"/>
      <c r="AB81" s="2"/>
      <c r="AC81" s="2"/>
    </row>
    <row r="82" spans="2:29" ht="12.95">
      <c r="B82" s="864" t="s">
        <v>116</v>
      </c>
      <c r="C82" s="131">
        <f t="shared" si="30"/>
        <v>0.15053333333333332</v>
      </c>
      <c r="D82" s="131">
        <f t="shared" si="31"/>
        <v>1.1858125333333334</v>
      </c>
      <c r="E82" s="131">
        <f t="shared" si="32"/>
        <v>1.1872907979999998</v>
      </c>
      <c r="F82" s="131">
        <f t="shared" si="32"/>
        <v>1.1102324480000001</v>
      </c>
      <c r="G82" s="131">
        <f t="shared" si="33"/>
        <v>1.3073770486666667</v>
      </c>
      <c r="H82" s="131">
        <f>+IFERROR(W30/H30,0)</f>
        <v>0.88147713333333333</v>
      </c>
      <c r="I82" s="863">
        <f t="shared" si="39"/>
        <v>0.54294015533333329</v>
      </c>
      <c r="J82" s="50">
        <f t="shared" si="32"/>
        <v>0</v>
      </c>
      <c r="K82" s="50">
        <f t="shared" si="32"/>
        <v>0</v>
      </c>
      <c r="L82" s="50">
        <f t="shared" si="32"/>
        <v>0</v>
      </c>
      <c r="M82" s="50">
        <f t="shared" si="32"/>
        <v>0</v>
      </c>
      <c r="N82" s="50">
        <f t="shared" si="32"/>
        <v>0</v>
      </c>
      <c r="P82" s="91">
        <f t="shared" si="36"/>
        <v>24515048.25</v>
      </c>
      <c r="Q82" s="287" t="str">
        <f t="shared" si="37"/>
        <v>publicidad</v>
      </c>
      <c r="R82" s="2">
        <f t="shared" si="38"/>
        <v>12742000</v>
      </c>
      <c r="S82" s="2">
        <f t="shared" si="38"/>
        <v>-2787188</v>
      </c>
      <c r="T82" s="2">
        <f t="shared" si="38"/>
        <v>-2809361.9699999988</v>
      </c>
      <c r="U82" s="2">
        <f t="shared" si="38"/>
        <v>-1653486.7200000007</v>
      </c>
      <c r="V82" s="2">
        <f t="shared" si="38"/>
        <v>-4610655.7300000004</v>
      </c>
      <c r="W82" s="2">
        <f t="shared" si="38"/>
        <v>1777843</v>
      </c>
      <c r="X82" s="2">
        <f t="shared" si="38"/>
        <v>6855897.6699999999</v>
      </c>
      <c r="Y82" s="2">
        <f t="shared" si="38"/>
        <v>15000000</v>
      </c>
      <c r="Z82" s="2"/>
      <c r="AA82" s="2"/>
      <c r="AB82" s="2"/>
      <c r="AC82" s="2"/>
    </row>
    <row r="83" spans="2:29" ht="12.95">
      <c r="B83" s="864"/>
      <c r="C83" s="131">
        <f t="shared" si="30"/>
        <v>0</v>
      </c>
      <c r="D83" s="131">
        <f t="shared" si="31"/>
        <v>0</v>
      </c>
      <c r="E83" s="131">
        <f t="shared" si="32"/>
        <v>0</v>
      </c>
      <c r="F83" s="131">
        <f t="shared" si="32"/>
        <v>0</v>
      </c>
      <c r="G83" s="131">
        <f t="shared" si="33"/>
        <v>0</v>
      </c>
      <c r="H83" s="131">
        <f t="shared" si="34"/>
        <v>0</v>
      </c>
      <c r="I83" s="863">
        <f t="shared" si="39"/>
        <v>0</v>
      </c>
      <c r="J83" s="50">
        <f t="shared" si="32"/>
        <v>0</v>
      </c>
      <c r="K83" s="50">
        <f t="shared" si="32"/>
        <v>0</v>
      </c>
      <c r="L83" s="50">
        <f t="shared" si="32"/>
        <v>0</v>
      </c>
      <c r="M83" s="50">
        <f t="shared" si="32"/>
        <v>0</v>
      </c>
      <c r="N83" s="50">
        <f t="shared" si="32"/>
        <v>0</v>
      </c>
      <c r="P83" s="91">
        <f t="shared" ref="P83:P86" si="40">+SUM(R83:Y83)</f>
        <v>0</v>
      </c>
      <c r="Q83" s="371">
        <f t="shared" si="37"/>
        <v>0</v>
      </c>
      <c r="R83" s="2">
        <f t="shared" si="38"/>
        <v>0</v>
      </c>
      <c r="S83" s="2">
        <f t="shared" si="38"/>
        <v>0</v>
      </c>
      <c r="T83" s="2">
        <f t="shared" si="38"/>
        <v>0</v>
      </c>
      <c r="U83" s="2">
        <f t="shared" si="38"/>
        <v>0</v>
      </c>
      <c r="V83" s="2">
        <f t="shared" si="38"/>
        <v>0</v>
      </c>
      <c r="W83" s="2">
        <f t="shared" si="38"/>
        <v>0</v>
      </c>
      <c r="X83" s="2">
        <f t="shared" si="38"/>
        <v>0</v>
      </c>
      <c r="Y83" s="2">
        <f t="shared" si="38"/>
        <v>0</v>
      </c>
      <c r="Z83" s="2"/>
      <c r="AA83" s="2"/>
      <c r="AB83" s="2"/>
      <c r="AC83" s="2"/>
    </row>
    <row r="84" spans="2:29" ht="12.95">
      <c r="B84" s="864" t="s">
        <v>277</v>
      </c>
      <c r="C84" s="131">
        <f t="shared" si="30"/>
        <v>1.5805372</v>
      </c>
      <c r="D84" s="131">
        <f t="shared" si="31"/>
        <v>1.2792416</v>
      </c>
      <c r="E84" s="131">
        <f t="shared" ref="E84:N84" si="41">+IFERROR(T32/E32,0)</f>
        <v>0.67448045199999995</v>
      </c>
      <c r="F84" s="131">
        <f t="shared" si="41"/>
        <v>0.73390120000000003</v>
      </c>
      <c r="G84" s="131">
        <f t="shared" si="33"/>
        <v>1.449986</v>
      </c>
      <c r="H84" s="868">
        <f t="shared" si="34"/>
        <v>0.87776849999999995</v>
      </c>
      <c r="I84" s="863">
        <f>+IFERROR(X32/I32,0)</f>
        <v>0.30118899999999998</v>
      </c>
      <c r="J84" s="50">
        <f t="shared" si="41"/>
        <v>0</v>
      </c>
      <c r="K84" s="50">
        <f t="shared" si="41"/>
        <v>0</v>
      </c>
      <c r="L84" s="50">
        <f t="shared" si="41"/>
        <v>0</v>
      </c>
      <c r="M84" s="50">
        <f t="shared" si="41"/>
        <v>0</v>
      </c>
      <c r="N84" s="50">
        <f t="shared" si="41"/>
        <v>0</v>
      </c>
      <c r="P84" s="466">
        <f t="shared" si="40"/>
        <v>2071711.87</v>
      </c>
      <c r="Q84" s="371" t="str">
        <f t="shared" si="37"/>
        <v>viaticos Juan Manuel</v>
      </c>
      <c r="R84" s="2">
        <f t="shared" ref="R84:Y85" si="42">+C32-R32</f>
        <v>-1451343</v>
      </c>
      <c r="S84" s="2">
        <f t="shared" si="42"/>
        <v>-698104</v>
      </c>
      <c r="T84" s="2">
        <f t="shared" si="42"/>
        <v>813798.87000000011</v>
      </c>
      <c r="U84" s="2">
        <f t="shared" si="42"/>
        <v>665247</v>
      </c>
      <c r="V84" s="2">
        <f t="shared" si="42"/>
        <v>-899972</v>
      </c>
      <c r="W84" s="2">
        <f t="shared" si="42"/>
        <v>244463</v>
      </c>
      <c r="X84" s="2">
        <f t="shared" si="42"/>
        <v>1397622</v>
      </c>
      <c r="Y84" s="2">
        <f t="shared" si="42"/>
        <v>2000000</v>
      </c>
    </row>
    <row r="85" spans="2:29" ht="12.95">
      <c r="B85" s="864" t="s">
        <v>9</v>
      </c>
      <c r="C85" s="131">
        <f t="shared" si="30"/>
        <v>10.444990000000001</v>
      </c>
      <c r="D85" s="131">
        <f t="shared" si="31"/>
        <v>2.8397250000000001</v>
      </c>
      <c r="E85" s="131">
        <f>+IFERROR(T33/E33,0)</f>
        <v>1.2449999999999999E-2</v>
      </c>
      <c r="F85" s="131">
        <f>+IFERROR(U33/F33,0)</f>
        <v>0.80669000000000002</v>
      </c>
      <c r="G85" s="131">
        <f t="shared" si="33"/>
        <v>5.3503333333333333E-2</v>
      </c>
      <c r="H85" s="131">
        <f>+IFERROR(#REF!/#REF!,0)</f>
        <v>0</v>
      </c>
      <c r="I85" s="863">
        <f t="shared" si="39"/>
        <v>0</v>
      </c>
      <c r="J85" s="50">
        <f>+IFERROR(#REF!/#REF!,0)</f>
        <v>0</v>
      </c>
      <c r="K85" s="50">
        <f>+IFERROR(#REF!/#REF!,0)</f>
        <v>0</v>
      </c>
      <c r="L85" s="50">
        <f>+IFERROR(AA33/L33,0)</f>
        <v>0</v>
      </c>
      <c r="M85" s="50">
        <f>+IFERROR(AB33/M33,0)</f>
        <v>0</v>
      </c>
      <c r="N85" s="50">
        <f>+IFERROR(#REF!/#REF!,0)</f>
        <v>0</v>
      </c>
      <c r="P85" s="91">
        <f t="shared" si="40"/>
        <v>-3815415</v>
      </c>
      <c r="Q85" s="287" t="s">
        <v>9</v>
      </c>
      <c r="R85" s="2">
        <f t="shared" si="42"/>
        <v>-5666994</v>
      </c>
      <c r="S85" s="2">
        <f t="shared" si="42"/>
        <v>-1103835</v>
      </c>
      <c r="T85" s="2">
        <f t="shared" si="42"/>
        <v>592530</v>
      </c>
      <c r="U85" s="2">
        <f t="shared" si="42"/>
        <v>115986</v>
      </c>
      <c r="V85" s="2">
        <f t="shared" si="42"/>
        <v>567898</v>
      </c>
      <c r="W85" s="2">
        <f t="shared" si="42"/>
        <v>479000</v>
      </c>
      <c r="X85" s="2">
        <f t="shared" si="42"/>
        <v>600000</v>
      </c>
      <c r="Y85" s="2">
        <f t="shared" si="42"/>
        <v>600000</v>
      </c>
      <c r="Z85" s="2"/>
      <c r="AA85" s="2"/>
      <c r="AB85" s="2"/>
      <c r="AC85" s="2"/>
    </row>
    <row r="86" spans="2:29" ht="12.95">
      <c r="B86" s="864"/>
      <c r="C86" s="131">
        <f t="shared" si="30"/>
        <v>0</v>
      </c>
      <c r="D86" s="131">
        <f t="shared" si="31"/>
        <v>0</v>
      </c>
      <c r="E86" s="131">
        <v>0</v>
      </c>
      <c r="F86" s="131">
        <f>+IFERROR(U34/F34,0)</f>
        <v>0</v>
      </c>
      <c r="G86" s="131">
        <v>0</v>
      </c>
      <c r="H86" s="131">
        <f>+IFERROR(W35/H35,0)</f>
        <v>2.2730340975491696</v>
      </c>
      <c r="I86" s="863">
        <f t="shared" si="39"/>
        <v>0</v>
      </c>
      <c r="J86" s="50">
        <f t="shared" ref="J86:N86" si="43">+IFERROR(Y35/J35,0)</f>
        <v>0</v>
      </c>
      <c r="K86" s="50">
        <f t="shared" si="43"/>
        <v>0</v>
      </c>
      <c r="L86" s="50">
        <f t="shared" si="43"/>
        <v>0</v>
      </c>
      <c r="M86" s="50">
        <f t="shared" si="43"/>
        <v>0</v>
      </c>
      <c r="N86" s="50">
        <f t="shared" si="43"/>
        <v>0</v>
      </c>
      <c r="P86" s="91">
        <f t="shared" si="40"/>
        <v>-18623469.411814809</v>
      </c>
      <c r="Q86" s="287">
        <f>+B86</f>
        <v>0</v>
      </c>
      <c r="R86" s="2">
        <f t="shared" ref="R86:Y86" si="44">+C35-R35</f>
        <v>-260635.57999999821</v>
      </c>
      <c r="S86" s="2">
        <f t="shared" si="44"/>
        <v>-8631128.1595555618</v>
      </c>
      <c r="T86" s="2">
        <f t="shared" si="44"/>
        <v>-13585114</v>
      </c>
      <c r="U86" s="2">
        <f t="shared" si="44"/>
        <v>-14839125.289999999</v>
      </c>
      <c r="V86" s="2">
        <f t="shared" si="44"/>
        <v>-12389477.553333335</v>
      </c>
      <c r="W86" s="2">
        <f t="shared" si="44"/>
        <v>-36917988.828925923</v>
      </c>
      <c r="X86" s="2">
        <f t="shared" si="44"/>
        <v>39000000</v>
      </c>
      <c r="Y86" s="2">
        <f t="shared" si="44"/>
        <v>29000000</v>
      </c>
      <c r="Z86" s="2"/>
      <c r="AA86" s="2"/>
      <c r="AB86" s="2"/>
      <c r="AC86" s="2"/>
    </row>
    <row r="87" spans="2:29" ht="12.95">
      <c r="B87" s="864" t="s">
        <v>121</v>
      </c>
      <c r="C87" s="131">
        <f>+IFERROR(R35/C35,0)</f>
        <v>1.0084925246008472</v>
      </c>
      <c r="D87" s="131">
        <f>+IFERROR(S35/D35,0)</f>
        <v>1.2089861539843962</v>
      </c>
      <c r="E87" s="131">
        <f>+IFERROR(T35/E35,0)</f>
        <v>1.4684522068965518</v>
      </c>
      <c r="F87" s="131">
        <f>+IFERROR(U35/F35,0)</f>
        <v>1.5116939755172414</v>
      </c>
      <c r="G87" s="131">
        <f>+IFERROR(V35/G35,0)</f>
        <v>1.427223363908046</v>
      </c>
      <c r="H87" s="131">
        <f>+IFERROR(W35/H35,0)</f>
        <v>2.2730340975491696</v>
      </c>
      <c r="I87" s="863">
        <f>+IFERROR(X35/I35,0)</f>
        <v>0</v>
      </c>
    </row>
    <row r="88" spans="2:29" ht="12.95">
      <c r="B88" s="864" t="s">
        <v>11</v>
      </c>
      <c r="C88" s="370">
        <f t="shared" ref="C88:H88" si="45">+R38/C38</f>
        <v>0.8565532598772535</v>
      </c>
      <c r="D88" s="370">
        <f t="shared" si="45"/>
        <v>1.2125041140965029</v>
      </c>
      <c r="E88" s="370">
        <f t="shared" si="45"/>
        <v>1.2609254132804757</v>
      </c>
      <c r="F88" s="370">
        <f t="shared" si="45"/>
        <v>1.2773558378592664</v>
      </c>
      <c r="G88" s="370">
        <f t="shared" si="45"/>
        <v>1.3487580643747894</v>
      </c>
      <c r="H88" s="370">
        <f t="shared" si="45"/>
        <v>1.6605845870359135</v>
      </c>
      <c r="I88" s="871">
        <f>+IFERROR(X38/I38,0)</f>
        <v>0.15025083818334736</v>
      </c>
      <c r="J88" s="859">
        <f>+SUM(J79:J85)</f>
        <v>0</v>
      </c>
      <c r="K88" s="99">
        <f>+SUM(K79:K85)</f>
        <v>0</v>
      </c>
      <c r="L88" s="99">
        <f>+SUM(L79:L85)</f>
        <v>0</v>
      </c>
      <c r="M88" s="99">
        <f>+SUM(M79:M86)</f>
        <v>0</v>
      </c>
      <c r="N88" s="99">
        <f>+SUM(N79:N85)</f>
        <v>0</v>
      </c>
      <c r="P88" s="91">
        <f>+SUM(P79:P85)</f>
        <v>35667453.719999999</v>
      </c>
      <c r="Q88" s="284" t="s">
        <v>11</v>
      </c>
      <c r="R88" s="99">
        <f t="shared" ref="R88:X88" si="46">+SUM(R79:R86)</f>
        <v>7479313.0300000012</v>
      </c>
      <c r="S88" s="99">
        <f t="shared" si="46"/>
        <v>-13334633.159555562</v>
      </c>
      <c r="T88" s="99">
        <f t="shared" si="46"/>
        <v>-13163687.099999998</v>
      </c>
      <c r="U88" s="99">
        <f t="shared" si="46"/>
        <v>-13992602.02</v>
      </c>
      <c r="V88" s="99">
        <f t="shared" si="46"/>
        <v>-17246086.283333335</v>
      </c>
      <c r="W88" s="99">
        <f t="shared" si="46"/>
        <v>-32665907.828925923</v>
      </c>
      <c r="X88" s="99">
        <f t="shared" si="46"/>
        <v>50517587.670000002</v>
      </c>
      <c r="Y88" s="99">
        <f>+SUM(Y79:Y85)</f>
        <v>20450000</v>
      </c>
      <c r="Z88" s="99">
        <f>+SUM(Z79:Z85)</f>
        <v>0</v>
      </c>
      <c r="AA88" s="99">
        <f>+SUM(AA79:AA85)</f>
        <v>0</v>
      </c>
      <c r="AB88" s="99">
        <f>+SUM(AB79:AB85)</f>
        <v>0</v>
      </c>
      <c r="AC88" s="99">
        <f>+SUM(AC79:AC85)</f>
        <v>0</v>
      </c>
    </row>
    <row r="89" spans="2:29" ht="12.95" thickBot="1">
      <c r="B89" s="865" t="s">
        <v>108</v>
      </c>
      <c r="C89" s="866">
        <f t="shared" ref="C89:H89" si="47">+C38-R38</f>
        <v>7479313.0300000012</v>
      </c>
      <c r="D89" s="866">
        <f t="shared" si="47"/>
        <v>-13334633.159555554</v>
      </c>
      <c r="E89" s="866">
        <f t="shared" si="47"/>
        <v>-13163687.099999994</v>
      </c>
      <c r="F89" s="866">
        <f t="shared" si="47"/>
        <v>-13992602.019999996</v>
      </c>
      <c r="G89" s="866">
        <f t="shared" si="47"/>
        <v>-17246086.283333331</v>
      </c>
      <c r="H89" s="866">
        <f t="shared" si="47"/>
        <v>-32665907.828925923</v>
      </c>
      <c r="I89" s="346">
        <f>+I38-X38</f>
        <v>50517587.670000002</v>
      </c>
      <c r="J89" s="787">
        <f t="shared" ref="J89:N89" si="48">+J38-Y38</f>
        <v>49450000</v>
      </c>
      <c r="K89" s="91">
        <f t="shared" si="48"/>
        <v>49450000</v>
      </c>
      <c r="L89" s="91">
        <f t="shared" si="48"/>
        <v>49450000</v>
      </c>
      <c r="M89" s="91">
        <f t="shared" si="48"/>
        <v>49450000</v>
      </c>
      <c r="N89" s="91">
        <f t="shared" si="48"/>
        <v>59450000</v>
      </c>
    </row>
    <row r="91" spans="2:29" ht="12.95" thickBot="1"/>
    <row r="92" spans="2:29" ht="17.25" customHeight="1">
      <c r="B92" s="794" t="s">
        <v>285</v>
      </c>
      <c r="C92" s="795">
        <f>+C23+D23+E23+F23+G23+H23</f>
        <v>1003510000</v>
      </c>
    </row>
    <row r="93" spans="2:29">
      <c r="B93" s="796" t="s">
        <v>286</v>
      </c>
      <c r="C93" s="797">
        <f>+R23+S23+T23+U23+V23+W23</f>
        <v>1006003228.7207778</v>
      </c>
    </row>
    <row r="94" spans="2:29" ht="12.6" customHeight="1">
      <c r="B94" s="937"/>
      <c r="C94" s="938"/>
    </row>
    <row r="95" spans="2:29" ht="12.95">
      <c r="B95" s="796" t="s">
        <v>111</v>
      </c>
      <c r="C95" s="855">
        <f>+C93/C92</f>
        <v>1.0024845080973561</v>
      </c>
    </row>
    <row r="96" spans="2:29" ht="12.95" thickBot="1">
      <c r="B96" s="799" t="s">
        <v>112</v>
      </c>
      <c r="C96" s="800">
        <f>+C92-C93</f>
        <v>-2493228.72077775</v>
      </c>
    </row>
    <row r="97" spans="2:3" ht="12.95" thickBot="1"/>
    <row r="98" spans="2:3" ht="18" customHeight="1">
      <c r="B98" s="794" t="s">
        <v>287</v>
      </c>
      <c r="C98" s="795">
        <f>+C38+D38+E38+F38+G38+H38</f>
        <v>314690000</v>
      </c>
    </row>
    <row r="99" spans="2:3">
      <c r="B99" s="796" t="s">
        <v>288</v>
      </c>
      <c r="C99" s="797">
        <f>+R38+S38+T38+U38+V38+W38</f>
        <v>397613603.3618148</v>
      </c>
    </row>
    <row r="100" spans="2:3">
      <c r="B100" s="801"/>
      <c r="C100" s="802"/>
    </row>
    <row r="101" spans="2:3" ht="12.95">
      <c r="B101" s="796" t="s">
        <v>111</v>
      </c>
      <c r="C101" s="855">
        <f>+C99/C98</f>
        <v>1.263508860662286</v>
      </c>
    </row>
    <row r="102" spans="2:3" ht="12.95" thickBot="1">
      <c r="B102" s="799" t="s">
        <v>112</v>
      </c>
      <c r="C102" s="800">
        <f>+C98-C99</f>
        <v>-82923603.361814797</v>
      </c>
    </row>
  </sheetData>
  <mergeCells count="9">
    <mergeCell ref="B94:C94"/>
    <mergeCell ref="Q77:AC77"/>
    <mergeCell ref="Q53:AC53"/>
    <mergeCell ref="B40:N40"/>
    <mergeCell ref="Q2:AC2"/>
    <mergeCell ref="Q25:AC25"/>
    <mergeCell ref="Q40:AC40"/>
    <mergeCell ref="B2:F2"/>
    <mergeCell ref="B25:F25"/>
  </mergeCells>
  <conditionalFormatting sqref="C55:C73">
    <cfRule type="colorScale" priority="6">
      <colorScale>
        <cfvo type="min"/>
        <cfvo type="percentile" val="50"/>
        <cfvo type="max"/>
        <color rgb="FF63BE7B"/>
        <color rgb="FFFFEB84"/>
        <color rgb="FFF8696B"/>
      </colorScale>
    </cfRule>
  </conditionalFormatting>
  <conditionalFormatting sqref="C55:D73">
    <cfRule type="colorScale" priority="56">
      <colorScale>
        <cfvo type="percent" val="0"/>
        <cfvo type="percent" val="50"/>
        <cfvo type="percent" val="100"/>
        <color rgb="FF63BE7B"/>
        <color rgb="FFFFEB84"/>
        <color rgb="FFF8696B"/>
      </colorScale>
    </cfRule>
  </conditionalFormatting>
  <conditionalFormatting sqref="C79:D87">
    <cfRule type="colorScale" priority="95">
      <colorScale>
        <cfvo type="min"/>
        <cfvo type="percentile" val="50"/>
        <cfvo type="max"/>
        <color rgb="FF63BE7B"/>
        <color rgb="FFFFEB84"/>
        <color rgb="FFF8696B"/>
      </colorScale>
    </cfRule>
  </conditionalFormatting>
  <conditionalFormatting sqref="D55:D73">
    <cfRule type="colorScale" priority="5">
      <colorScale>
        <cfvo type="min"/>
        <cfvo type="percentile" val="50"/>
        <cfvo type="max"/>
        <color rgb="FF63BE7B"/>
        <color rgb="FFFFEB84"/>
        <color rgb="FFF8696B"/>
      </colorScale>
    </cfRule>
  </conditionalFormatting>
  <conditionalFormatting sqref="E55:E73 F72:F73">
    <cfRule type="colorScale" priority="48">
      <colorScale>
        <cfvo type="min"/>
        <cfvo type="percentile" val="50"/>
        <cfvo type="max"/>
        <color rgb="FF63BE7B"/>
        <color rgb="FFFFEB84"/>
        <color rgb="FFF8696B"/>
      </colorScale>
    </cfRule>
  </conditionalFormatting>
  <conditionalFormatting sqref="E79:E87">
    <cfRule type="colorScale" priority="97">
      <colorScale>
        <cfvo type="min"/>
        <cfvo type="percentile" val="50"/>
        <cfvo type="max"/>
        <color rgb="FF63BE7B"/>
        <color rgb="FFFFEB84"/>
        <color rgb="FFF8696B"/>
      </colorScale>
    </cfRule>
  </conditionalFormatting>
  <conditionalFormatting sqref="F55:F68">
    <cfRule type="colorScale" priority="47">
      <colorScale>
        <cfvo type="min"/>
        <cfvo type="percentile" val="50"/>
        <cfvo type="max"/>
        <color rgb="FF63BE7B"/>
        <color rgb="FFFFEB84"/>
        <color rgb="FFF8696B"/>
      </colorScale>
    </cfRule>
  </conditionalFormatting>
  <conditionalFormatting sqref="F69:F70">
    <cfRule type="colorScale" priority="52">
      <colorScale>
        <cfvo type="min"/>
        <cfvo type="percentile" val="50"/>
        <cfvo type="max"/>
        <color rgb="FF63BE7B"/>
        <color rgb="FFFFEB84"/>
        <color rgb="FFF8696B"/>
      </colorScale>
    </cfRule>
  </conditionalFormatting>
  <conditionalFormatting sqref="F79:F87">
    <cfRule type="colorScale" priority="99">
      <colorScale>
        <cfvo type="min"/>
        <cfvo type="percentile" val="50"/>
        <cfvo type="max"/>
        <color rgb="FF63BE7B"/>
        <color rgb="FFFFEB84"/>
        <color rgb="FFF8696B"/>
      </colorScale>
    </cfRule>
  </conditionalFormatting>
  <conditionalFormatting sqref="G55:G68">
    <cfRule type="colorScale" priority="46">
      <colorScale>
        <cfvo type="min"/>
        <cfvo type="percentile" val="50"/>
        <cfvo type="max"/>
        <color rgb="FF63BE7B"/>
        <color rgb="FFFFEB84"/>
        <color rgb="FFF8696B"/>
      </colorScale>
    </cfRule>
  </conditionalFormatting>
  <conditionalFormatting sqref="G69:G70">
    <cfRule type="colorScale" priority="51">
      <colorScale>
        <cfvo type="min"/>
        <cfvo type="percentile" val="50"/>
        <cfvo type="max"/>
        <color rgb="FF63BE7B"/>
        <color rgb="FFFFEB84"/>
        <color rgb="FFF8696B"/>
      </colorScale>
    </cfRule>
  </conditionalFormatting>
  <conditionalFormatting sqref="G72:G73">
    <cfRule type="colorScale" priority="29">
      <colorScale>
        <cfvo type="min"/>
        <cfvo type="percentile" val="50"/>
        <cfvo type="max"/>
        <color rgb="FF63BE7B"/>
        <color rgb="FFFFEB84"/>
        <color rgb="FFF8696B"/>
      </colorScale>
    </cfRule>
  </conditionalFormatting>
  <conditionalFormatting sqref="G79:G87">
    <cfRule type="colorScale" priority="101">
      <colorScale>
        <cfvo type="min"/>
        <cfvo type="percentile" val="50"/>
        <cfvo type="max"/>
        <color rgb="FF63BE7B"/>
        <color rgb="FFFFEB84"/>
        <color rgb="FFF8696B"/>
      </colorScale>
    </cfRule>
  </conditionalFormatting>
  <conditionalFormatting sqref="H55:H73">
    <cfRule type="colorScale" priority="3">
      <colorScale>
        <cfvo type="min"/>
        <cfvo type="percentile" val="50"/>
        <cfvo type="max"/>
        <color rgb="FF63BE7B"/>
        <color rgb="FFFFEB84"/>
        <color rgb="FFF8696B"/>
      </colorScale>
    </cfRule>
    <cfRule type="colorScale" priority="4">
      <colorScale>
        <cfvo type="percent" val="0"/>
        <cfvo type="percent" val="50"/>
        <cfvo type="percent" val="100"/>
        <color rgb="FF63BE7B"/>
        <color rgb="FFFFEB84"/>
        <color rgb="FFF8696B"/>
      </colorScale>
    </cfRule>
  </conditionalFormatting>
  <conditionalFormatting sqref="H79:H87">
    <cfRule type="colorScale" priority="103">
      <colorScale>
        <cfvo type="min"/>
        <cfvo type="percentile" val="50"/>
        <cfvo type="max"/>
        <color rgb="FF63BE7B"/>
        <color rgb="FFFFEB84"/>
        <color rgb="FFF8696B"/>
      </colorScale>
    </cfRule>
  </conditionalFormatting>
  <conditionalFormatting sqref="I55:I73">
    <cfRule type="colorScale" priority="1">
      <colorScale>
        <cfvo type="min"/>
        <cfvo type="percentile" val="50"/>
        <cfvo type="max"/>
        <color rgb="FF63BE7B"/>
        <color rgb="FFFFEB84"/>
        <color rgb="FFF8696B"/>
      </colorScale>
    </cfRule>
    <cfRule type="colorScale" priority="2">
      <colorScale>
        <cfvo type="percent" val="0"/>
        <cfvo type="percent" val="50"/>
        <cfvo type="percent" val="100"/>
        <color rgb="FF63BE7B"/>
        <color rgb="FFFFEB84"/>
        <color rgb="FFF8696B"/>
      </colorScale>
    </cfRule>
  </conditionalFormatting>
  <conditionalFormatting sqref="I79:I87">
    <cfRule type="colorScale" priority="12">
      <colorScale>
        <cfvo type="min"/>
        <cfvo type="max"/>
        <color rgb="FF63BE7B"/>
        <color rgb="FFFFEF9C"/>
      </colorScale>
    </cfRule>
    <cfRule type="colorScale" priority="13">
      <colorScale>
        <cfvo type="min"/>
        <cfvo type="percentile" val="50"/>
        <cfvo type="max"/>
        <color rgb="FFF8696B"/>
        <color rgb="FFFFEB84"/>
        <color rgb="FF63BE7B"/>
      </colorScale>
    </cfRule>
  </conditionalFormatting>
  <conditionalFormatting sqref="J55:J68">
    <cfRule type="colorScale" priority="39">
      <colorScale>
        <cfvo type="min"/>
        <cfvo type="percentile" val="50"/>
        <cfvo type="max"/>
        <color rgb="FF63BE7B"/>
        <color rgb="FFFFEB84"/>
        <color rgb="FFF8696B"/>
      </colorScale>
    </cfRule>
  </conditionalFormatting>
  <conditionalFormatting sqref="J80:J86">
    <cfRule type="colorScale" priority="107">
      <colorScale>
        <cfvo type="min"/>
        <cfvo type="percentile" val="50"/>
        <cfvo type="max"/>
        <color rgb="FF63BE7B"/>
        <color rgb="FFFFEB84"/>
        <color rgb="FFF8696B"/>
      </colorScale>
    </cfRule>
  </conditionalFormatting>
  <conditionalFormatting sqref="K55:K68">
    <cfRule type="colorScale" priority="37">
      <colorScale>
        <cfvo type="min"/>
        <cfvo type="percentile" val="50"/>
        <cfvo type="max"/>
        <color rgb="FF63BE7B"/>
        <color rgb="FFFFEB84"/>
        <color rgb="FFF8696B"/>
      </colorScale>
    </cfRule>
  </conditionalFormatting>
  <conditionalFormatting sqref="K80:K86">
    <cfRule type="colorScale" priority="109">
      <colorScale>
        <cfvo type="min"/>
        <cfvo type="percentile" val="50"/>
        <cfvo type="max"/>
        <color rgb="FF63BE7B"/>
        <color rgb="FFFFEB84"/>
        <color rgb="FFF8696B"/>
      </colorScale>
    </cfRule>
  </conditionalFormatting>
  <conditionalFormatting sqref="L55:L68">
    <cfRule type="colorScale" priority="36">
      <colorScale>
        <cfvo type="min"/>
        <cfvo type="percentile" val="50"/>
        <cfvo type="max"/>
        <color rgb="FF63BE7B"/>
        <color rgb="FFFFEB84"/>
        <color rgb="FFF8696B"/>
      </colorScale>
    </cfRule>
  </conditionalFormatting>
  <conditionalFormatting sqref="M55:M68">
    <cfRule type="colorScale" priority="32">
      <colorScale>
        <cfvo type="min"/>
        <cfvo type="percentile" val="50"/>
        <cfvo type="max"/>
        <color rgb="FF63BE7B"/>
        <color rgb="FFFFEB84"/>
        <color rgb="FFF8696B"/>
      </colorScale>
    </cfRule>
  </conditionalFormatting>
  <conditionalFormatting sqref="M85:N85 L80:L86">
    <cfRule type="colorScale" priority="33">
      <colorScale>
        <cfvo type="min"/>
        <cfvo type="percentile" val="50"/>
        <cfvo type="max"/>
        <color rgb="FF63BE7B"/>
        <color rgb="FFFFEB84"/>
        <color rgb="FFF8696B"/>
      </colorScale>
    </cfRule>
  </conditionalFormatting>
  <conditionalFormatting sqref="M86:N86 M80:N84">
    <cfRule type="colorScale" priority="31">
      <colorScale>
        <cfvo type="min"/>
        <cfvo type="percentile" val="50"/>
        <cfvo type="max"/>
        <color rgb="FF63BE7B"/>
        <color rgb="FFFFEB84"/>
        <color rgb="FFF8696B"/>
      </colorScale>
    </cfRule>
  </conditionalFormatting>
  <conditionalFormatting sqref="N55:N68">
    <cfRule type="colorScale" priority="30">
      <colorScale>
        <cfvo type="min"/>
        <cfvo type="percentile" val="50"/>
        <cfvo type="max"/>
        <color rgb="FF63BE7B"/>
        <color rgb="FFFFEB84"/>
        <color rgb="FFF8696B"/>
      </colorScale>
    </cfRule>
  </conditionalFormatting>
  <pageMargins left="0.7" right="0.7" top="0.75" bottom="0.75" header="0.3" footer="0.3"/>
  <ignoredErrors>
    <ignoredError sqref="H23:N23 C23:G23 C38:N38" formulaRange="1"/>
    <ignoredError sqref="E59 D58:E58 D60:D65 C59 C66 F86 E60:E65"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AE880-60FC-42AD-BC97-1580201D5853}">
  <sheetPr>
    <outlinePr summaryBelow="0" summaryRight="0"/>
  </sheetPr>
  <dimension ref="A1:T12354"/>
  <sheetViews>
    <sheetView tabSelected="1" topLeftCell="A12343" zoomScale="80" zoomScaleNormal="80" workbookViewId="0">
      <selection activeCell="D5" sqref="D5"/>
    </sheetView>
  </sheetViews>
  <sheetFormatPr defaultColWidth="14.42578125" defaultRowHeight="15" customHeight="1"/>
  <cols>
    <col min="1" max="1" width="14.42578125" style="199"/>
    <col min="2" max="2" width="61.140625" style="202" customWidth="1"/>
    <col min="3" max="3" width="13.7109375" style="200" customWidth="1"/>
    <col min="4" max="4" width="21" style="204" customWidth="1"/>
    <col min="5" max="5" width="12.28515625" style="200" customWidth="1"/>
    <col min="6" max="6" width="17.140625" style="200" customWidth="1"/>
    <col min="7" max="7" width="17.7109375" style="200" customWidth="1"/>
    <col min="8" max="8" width="21.42578125" style="200" customWidth="1"/>
    <col min="9" max="9" width="12.5703125" style="200" customWidth="1"/>
    <col min="10" max="11" width="14.42578125" style="184"/>
    <col min="12" max="12" width="24.140625" style="184" customWidth="1"/>
    <col min="13" max="13" width="17.140625" style="184" bestFit="1" customWidth="1"/>
    <col min="14" max="14" width="15.85546875" style="184" bestFit="1" customWidth="1"/>
    <col min="15" max="15" width="17.140625" style="184" bestFit="1" customWidth="1"/>
    <col min="16" max="16" width="14.7109375" style="184" bestFit="1" customWidth="1"/>
    <col min="17" max="17" width="14.42578125" style="184"/>
    <col min="18" max="18" width="18.28515625" style="184" bestFit="1" customWidth="1"/>
    <col min="19" max="19" width="18.28515625" style="184" customWidth="1"/>
    <col min="20" max="20" width="18.28515625" style="184" bestFit="1" customWidth="1"/>
    <col min="21" max="16384" width="14.42578125" style="184"/>
  </cols>
  <sheetData>
    <row r="1" spans="1:20" ht="15" customHeight="1">
      <c r="A1" s="203"/>
      <c r="B1" s="203"/>
      <c r="C1" s="494"/>
      <c r="D1" s="495"/>
      <c r="E1" s="494"/>
      <c r="F1" s="494"/>
      <c r="G1" s="494"/>
      <c r="H1" s="494"/>
      <c r="I1" s="203"/>
      <c r="J1" s="203" t="s">
        <v>289</v>
      </c>
      <c r="K1" s="203"/>
      <c r="L1" s="939" t="s">
        <v>290</v>
      </c>
      <c r="M1" s="940" t="s">
        <v>86</v>
      </c>
      <c r="N1" s="940"/>
      <c r="O1" s="940"/>
      <c r="P1" s="940"/>
      <c r="Q1" s="940"/>
      <c r="R1" s="940"/>
      <c r="S1" s="940"/>
      <c r="T1" s="203"/>
    </row>
    <row r="2" spans="1:20" ht="15" customHeight="1">
      <c r="A2" s="203"/>
      <c r="B2" s="494"/>
      <c r="C2" s="494"/>
      <c r="D2" s="304"/>
      <c r="E2" s="494"/>
      <c r="F2" s="494"/>
      <c r="G2" s="494"/>
      <c r="H2" s="203"/>
      <c r="I2" s="203"/>
      <c r="J2" s="203"/>
      <c r="K2" s="203"/>
      <c r="L2" s="939"/>
      <c r="M2" s="940"/>
      <c r="N2" s="940"/>
      <c r="O2" s="940"/>
      <c r="P2" s="940"/>
      <c r="Q2" s="940"/>
      <c r="R2" s="940"/>
      <c r="S2" s="940"/>
      <c r="T2" s="203"/>
    </row>
    <row r="3" spans="1:20" ht="15.6" customHeight="1">
      <c r="A3" s="496"/>
      <c r="B3" s="496"/>
      <c r="C3" s="496"/>
      <c r="D3" s="304"/>
      <c r="E3" s="496"/>
      <c r="F3" s="203"/>
      <c r="G3" s="203"/>
      <c r="H3" s="203"/>
      <c r="I3" s="203"/>
      <c r="J3" s="203"/>
      <c r="K3" s="203"/>
      <c r="L3" s="939"/>
      <c r="M3" s="497" t="s">
        <v>291</v>
      </c>
      <c r="N3" s="497" t="s">
        <v>292</v>
      </c>
      <c r="O3" s="497" t="s">
        <v>293</v>
      </c>
      <c r="P3" s="497" t="s">
        <v>294</v>
      </c>
      <c r="Q3" s="497" t="s">
        <v>295</v>
      </c>
      <c r="R3" s="497" t="s">
        <v>296</v>
      </c>
      <c r="S3" s="497" t="s">
        <v>297</v>
      </c>
      <c r="T3" s="497" t="s">
        <v>298</v>
      </c>
    </row>
    <row r="4" spans="1:20" s="434" customFormat="1" ht="16.5">
      <c r="A4" s="498" t="s">
        <v>290</v>
      </c>
      <c r="B4" s="498" t="s">
        <v>299</v>
      </c>
      <c r="C4" s="499" t="s">
        <v>300</v>
      </c>
      <c r="D4" s="499" t="s">
        <v>124</v>
      </c>
      <c r="E4" s="500" t="s">
        <v>301</v>
      </c>
      <c r="F4" s="500" t="s">
        <v>302</v>
      </c>
      <c r="G4" s="501" t="s">
        <v>303</v>
      </c>
      <c r="H4" s="500" t="s">
        <v>304</v>
      </c>
      <c r="I4" s="501" t="s">
        <v>305</v>
      </c>
      <c r="J4" s="502"/>
      <c r="K4" s="502"/>
      <c r="L4" s="503">
        <v>45292</v>
      </c>
      <c r="M4" s="504" t="e">
        <f>-SUMIFS(#REF!,#REF!,L4,#REF!,$M$3)</f>
        <v>#REF!</v>
      </c>
      <c r="N4" s="504"/>
      <c r="O4" s="504" t="e">
        <f t="shared" ref="O4" si="0">+M4+N4</f>
        <v>#REF!</v>
      </c>
      <c r="P4" s="504"/>
      <c r="Q4" s="504"/>
      <c r="R4" s="504" t="e">
        <f>SUMIFS(#REF!,#REF!,L4,#REF!,$R$3)</f>
        <v>#REF!</v>
      </c>
      <c r="S4" s="504" t="e">
        <f>-SUMIFS(#REF!,#REF!,L4,#REF!,$S$3)</f>
        <v>#REF!</v>
      </c>
      <c r="T4" s="504" t="e">
        <f>SUMIFS(#REF!,#REF!,L4,#REF!,$T$3)</f>
        <v>#REF!</v>
      </c>
    </row>
    <row r="5" spans="1:20" ht="15" customHeight="1">
      <c r="A5" s="199">
        <v>45660</v>
      </c>
      <c r="B5" s="202" t="s">
        <v>306</v>
      </c>
      <c r="C5" s="200" t="s">
        <v>307</v>
      </c>
      <c r="D5" s="204">
        <v>-31000</v>
      </c>
      <c r="E5" s="532">
        <v>45658</v>
      </c>
      <c r="F5" s="200" t="s">
        <v>256</v>
      </c>
      <c r="G5" s="200" t="s">
        <v>256</v>
      </c>
      <c r="H5" s="200" t="s">
        <v>263</v>
      </c>
    </row>
    <row r="6" spans="1:20" ht="15" customHeight="1">
      <c r="A6" s="199">
        <v>45660</v>
      </c>
      <c r="B6" s="202" t="s">
        <v>308</v>
      </c>
      <c r="C6" s="200" t="s">
        <v>307</v>
      </c>
      <c r="D6" s="204">
        <v>-2400</v>
      </c>
      <c r="E6" s="532">
        <v>45658</v>
      </c>
      <c r="F6" s="200" t="s">
        <v>256</v>
      </c>
      <c r="G6" s="200" t="s">
        <v>256</v>
      </c>
      <c r="H6" s="200" t="s">
        <v>263</v>
      </c>
    </row>
    <row r="7" spans="1:20" ht="15" customHeight="1">
      <c r="A7" s="199">
        <v>45660</v>
      </c>
      <c r="B7" s="202" t="s">
        <v>309</v>
      </c>
      <c r="C7" s="200" t="s">
        <v>307</v>
      </c>
      <c r="D7" s="204">
        <v>-7000</v>
      </c>
      <c r="E7" s="532">
        <v>45658</v>
      </c>
      <c r="F7" s="200" t="s">
        <v>256</v>
      </c>
      <c r="G7" s="200" t="s">
        <v>256</v>
      </c>
      <c r="H7" s="200" t="s">
        <v>268</v>
      </c>
    </row>
    <row r="8" spans="1:20" ht="15" customHeight="1">
      <c r="A8" s="199">
        <v>45660</v>
      </c>
      <c r="B8" s="202" t="s">
        <v>309</v>
      </c>
      <c r="C8" s="200" t="s">
        <v>307</v>
      </c>
      <c r="D8" s="204">
        <v>-7000</v>
      </c>
      <c r="E8" s="532">
        <v>45658</v>
      </c>
      <c r="F8" s="200" t="s">
        <v>256</v>
      </c>
      <c r="G8" s="200" t="s">
        <v>256</v>
      </c>
      <c r="H8" s="200" t="s">
        <v>268</v>
      </c>
    </row>
    <row r="9" spans="1:20" ht="15" customHeight="1">
      <c r="A9" s="199">
        <v>45659</v>
      </c>
      <c r="B9" s="202" t="s">
        <v>310</v>
      </c>
      <c r="C9" s="200" t="s">
        <v>307</v>
      </c>
      <c r="D9" s="204">
        <v>-15000</v>
      </c>
      <c r="E9" s="532">
        <v>45658</v>
      </c>
      <c r="F9" s="200" t="s">
        <v>297</v>
      </c>
      <c r="G9" s="200" t="s">
        <v>311</v>
      </c>
      <c r="H9" s="200" t="s">
        <v>268</v>
      </c>
    </row>
    <row r="10" spans="1:20" ht="15" customHeight="1">
      <c r="A10" s="199">
        <v>45659</v>
      </c>
      <c r="B10" s="202" t="s">
        <v>312</v>
      </c>
      <c r="C10" s="200" t="s">
        <v>307</v>
      </c>
      <c r="D10" s="204">
        <v>-15000</v>
      </c>
      <c r="E10" s="532">
        <v>45658</v>
      </c>
      <c r="F10" s="200" t="s">
        <v>297</v>
      </c>
      <c r="G10" s="200" t="s">
        <v>311</v>
      </c>
      <c r="H10" s="200" t="s">
        <v>268</v>
      </c>
    </row>
    <row r="11" spans="1:20" ht="15" customHeight="1">
      <c r="A11" s="199">
        <v>45658</v>
      </c>
      <c r="B11" s="202" t="s">
        <v>313</v>
      </c>
      <c r="C11" s="200" t="s">
        <v>314</v>
      </c>
      <c r="D11" s="645">
        <v>-11111111</v>
      </c>
      <c r="E11" s="532">
        <v>45658</v>
      </c>
      <c r="F11" s="200" t="s">
        <v>298</v>
      </c>
    </row>
    <row r="12" spans="1:20" ht="15" customHeight="1">
      <c r="A12" s="199">
        <v>45658</v>
      </c>
      <c r="B12" s="202" t="s">
        <v>313</v>
      </c>
      <c r="C12" s="200" t="s">
        <v>314</v>
      </c>
      <c r="D12" s="645">
        <v>-3324414</v>
      </c>
      <c r="E12" s="532">
        <v>45658</v>
      </c>
      <c r="F12" s="200" t="s">
        <v>315</v>
      </c>
    </row>
    <row r="13" spans="1:20" ht="15" customHeight="1">
      <c r="A13" s="199">
        <v>45293</v>
      </c>
      <c r="B13" s="202" t="s">
        <v>316</v>
      </c>
      <c r="C13" s="200" t="s">
        <v>204</v>
      </c>
      <c r="D13" s="204">
        <v>-1386836</v>
      </c>
      <c r="E13" s="532">
        <v>45658</v>
      </c>
      <c r="F13" s="200" t="s">
        <v>315</v>
      </c>
    </row>
    <row r="14" spans="1:20" ht="15" customHeight="1">
      <c r="A14" s="199">
        <v>45293</v>
      </c>
      <c r="B14" s="202" t="s">
        <v>316</v>
      </c>
      <c r="C14" s="200" t="s">
        <v>204</v>
      </c>
      <c r="D14" s="649">
        <f>-3617663-75922</f>
        <v>-3693585</v>
      </c>
      <c r="E14" s="532">
        <v>45658</v>
      </c>
      <c r="F14" s="200" t="s">
        <v>298</v>
      </c>
    </row>
    <row r="15" spans="1:20" ht="15" customHeight="1">
      <c r="A15" s="199">
        <v>45660</v>
      </c>
      <c r="B15" s="202" t="s">
        <v>317</v>
      </c>
      <c r="C15" s="200" t="s">
        <v>136</v>
      </c>
      <c r="D15" s="668">
        <v>-853990</v>
      </c>
      <c r="E15" s="532">
        <v>45658</v>
      </c>
      <c r="F15" s="202" t="s">
        <v>256</v>
      </c>
      <c r="G15" s="200" t="s">
        <v>256</v>
      </c>
      <c r="H15" s="81" t="s">
        <v>257</v>
      </c>
    </row>
    <row r="16" spans="1:20" ht="15" customHeight="1">
      <c r="A16" s="199">
        <v>45659</v>
      </c>
      <c r="B16" s="202" t="s">
        <v>318</v>
      </c>
      <c r="C16" s="200" t="s">
        <v>136</v>
      </c>
      <c r="D16" s="668">
        <v>-6106046</v>
      </c>
      <c r="E16" s="532">
        <v>45658</v>
      </c>
      <c r="F16" s="200" t="s">
        <v>256</v>
      </c>
      <c r="G16" s="200" t="s">
        <v>107</v>
      </c>
      <c r="H16" s="200" t="s">
        <v>121</v>
      </c>
    </row>
    <row r="17" spans="1:9" ht="15" customHeight="1">
      <c r="A17" s="199">
        <v>45659</v>
      </c>
      <c r="B17" s="202" t="s">
        <v>319</v>
      </c>
      <c r="C17" s="200" t="s">
        <v>136</v>
      </c>
      <c r="D17" s="668">
        <v>-1100000</v>
      </c>
      <c r="E17" s="532">
        <v>45658</v>
      </c>
      <c r="F17" s="200" t="s">
        <v>256</v>
      </c>
      <c r="G17" s="200" t="s">
        <v>256</v>
      </c>
      <c r="H17" s="200" t="s">
        <v>258</v>
      </c>
    </row>
    <row r="18" spans="1:9" ht="15" customHeight="1">
      <c r="A18" s="540">
        <v>45659</v>
      </c>
      <c r="B18" s="534" t="s">
        <v>320</v>
      </c>
      <c r="C18" s="541" t="s">
        <v>307</v>
      </c>
      <c r="D18" s="586">
        <v>-31500</v>
      </c>
      <c r="E18" s="532">
        <v>45658</v>
      </c>
      <c r="F18" s="541" t="s">
        <v>296</v>
      </c>
      <c r="G18" s="541" t="s">
        <v>321</v>
      </c>
      <c r="H18" s="541" t="s">
        <v>322</v>
      </c>
    </row>
    <row r="19" spans="1:9" ht="15" customHeight="1">
      <c r="A19" s="529">
        <v>45665</v>
      </c>
      <c r="B19" s="530" t="s">
        <v>323</v>
      </c>
      <c r="C19" s="531" t="s">
        <v>307</v>
      </c>
      <c r="D19" s="587">
        <v>-177500</v>
      </c>
      <c r="E19" s="532">
        <v>45658</v>
      </c>
      <c r="F19" s="531" t="s">
        <v>256</v>
      </c>
      <c r="G19" s="531" t="s">
        <v>256</v>
      </c>
      <c r="H19" s="531" t="s">
        <v>9</v>
      </c>
    </row>
    <row r="20" spans="1:9" ht="15" customHeight="1">
      <c r="A20" s="529">
        <v>45665</v>
      </c>
      <c r="B20" s="530" t="s">
        <v>324</v>
      </c>
      <c r="C20" s="531" t="s">
        <v>307</v>
      </c>
      <c r="D20" s="587">
        <v>-177500</v>
      </c>
      <c r="E20" s="532">
        <v>45658</v>
      </c>
      <c r="F20" s="531" t="s">
        <v>256</v>
      </c>
      <c r="G20" s="531" t="s">
        <v>256</v>
      </c>
      <c r="H20" s="531" t="s">
        <v>9</v>
      </c>
    </row>
    <row r="21" spans="1:9" ht="15" customHeight="1">
      <c r="A21" s="529">
        <v>45665</v>
      </c>
      <c r="B21" s="530" t="s">
        <v>325</v>
      </c>
      <c r="C21" s="531" t="s">
        <v>307</v>
      </c>
      <c r="D21" s="587">
        <v>-7000</v>
      </c>
      <c r="E21" s="532">
        <v>45658</v>
      </c>
      <c r="F21" s="531" t="s">
        <v>296</v>
      </c>
      <c r="G21" s="531" t="s">
        <v>321</v>
      </c>
      <c r="H21" s="531" t="s">
        <v>326</v>
      </c>
    </row>
    <row r="22" spans="1:9" ht="15" customHeight="1">
      <c r="A22" s="529">
        <v>45665</v>
      </c>
      <c r="B22" s="530" t="s">
        <v>325</v>
      </c>
      <c r="C22" s="531" t="s">
        <v>307</v>
      </c>
      <c r="D22" s="587">
        <v>-7000</v>
      </c>
      <c r="E22" s="532">
        <v>45658</v>
      </c>
      <c r="F22" s="531" t="s">
        <v>296</v>
      </c>
      <c r="G22" s="531" t="s">
        <v>44</v>
      </c>
      <c r="H22" s="531" t="s">
        <v>326</v>
      </c>
    </row>
    <row r="23" spans="1:9" ht="15" customHeight="1">
      <c r="A23" s="529">
        <v>45666</v>
      </c>
      <c r="B23" s="530" t="s">
        <v>325</v>
      </c>
      <c r="C23" s="531" t="s">
        <v>307</v>
      </c>
      <c r="D23" s="587">
        <v>-7000</v>
      </c>
      <c r="E23" s="532">
        <v>45658</v>
      </c>
      <c r="F23" s="531" t="s">
        <v>296</v>
      </c>
      <c r="G23" s="531" t="s">
        <v>321</v>
      </c>
      <c r="H23" s="531" t="s">
        <v>326</v>
      </c>
    </row>
    <row r="24" spans="1:9" ht="15" customHeight="1">
      <c r="A24" s="529">
        <v>45666</v>
      </c>
      <c r="B24" s="530" t="s">
        <v>325</v>
      </c>
      <c r="C24" s="531" t="s">
        <v>307</v>
      </c>
      <c r="D24" s="587">
        <v>-7000</v>
      </c>
      <c r="E24" s="532">
        <v>45658</v>
      </c>
      <c r="F24" s="531" t="s">
        <v>296</v>
      </c>
      <c r="G24" s="531" t="s">
        <v>44</v>
      </c>
      <c r="H24" s="531" t="s">
        <v>326</v>
      </c>
    </row>
    <row r="25" spans="1:9" ht="15" customHeight="1">
      <c r="A25" s="529">
        <v>45666</v>
      </c>
      <c r="B25" s="530" t="s">
        <v>327</v>
      </c>
      <c r="C25" s="531" t="s">
        <v>307</v>
      </c>
      <c r="D25" s="587">
        <v>-14000</v>
      </c>
      <c r="E25" s="532">
        <v>45658</v>
      </c>
      <c r="F25" s="531" t="s">
        <v>296</v>
      </c>
      <c r="G25" s="531" t="s">
        <v>44</v>
      </c>
      <c r="H25" s="531" t="s">
        <v>326</v>
      </c>
    </row>
    <row r="26" spans="1:9" ht="15" customHeight="1">
      <c r="A26" s="529">
        <v>45666</v>
      </c>
      <c r="B26" s="530" t="s">
        <v>327</v>
      </c>
      <c r="C26" s="531" t="s">
        <v>307</v>
      </c>
      <c r="D26" s="587">
        <v>-7000</v>
      </c>
      <c r="E26" s="532">
        <v>45658</v>
      </c>
      <c r="F26" s="531" t="s">
        <v>296</v>
      </c>
      <c r="G26" s="531" t="s">
        <v>321</v>
      </c>
      <c r="H26" s="531" t="s">
        <v>326</v>
      </c>
    </row>
    <row r="27" spans="1:9" ht="15" customHeight="1">
      <c r="A27" s="529">
        <v>45666</v>
      </c>
      <c r="B27" s="530" t="s">
        <v>327</v>
      </c>
      <c r="C27" s="531" t="s">
        <v>307</v>
      </c>
      <c r="D27" s="587">
        <v>-26656</v>
      </c>
      <c r="E27" s="532">
        <v>45658</v>
      </c>
      <c r="F27" s="531" t="s">
        <v>296</v>
      </c>
      <c r="G27" s="531" t="s">
        <v>328</v>
      </c>
      <c r="H27" s="531" t="s">
        <v>268</v>
      </c>
    </row>
    <row r="28" spans="1:9" ht="15" customHeight="1">
      <c r="A28" s="529">
        <v>45666</v>
      </c>
      <c r="B28" s="530" t="s">
        <v>327</v>
      </c>
      <c r="C28" s="531" t="s">
        <v>307</v>
      </c>
      <c r="D28" s="587">
        <v>-14000</v>
      </c>
      <c r="E28" s="532">
        <v>45658</v>
      </c>
      <c r="F28" s="531" t="s">
        <v>297</v>
      </c>
      <c r="G28" s="531" t="s">
        <v>75</v>
      </c>
      <c r="H28" s="531" t="s">
        <v>268</v>
      </c>
    </row>
    <row r="29" spans="1:9" ht="15" customHeight="1">
      <c r="A29" s="529">
        <v>45666</v>
      </c>
      <c r="B29" s="530" t="s">
        <v>327</v>
      </c>
      <c r="C29" s="531" t="s">
        <v>307</v>
      </c>
      <c r="D29" s="587">
        <v>-7000</v>
      </c>
      <c r="E29" s="532">
        <v>45658</v>
      </c>
      <c r="F29" s="531" t="s">
        <v>256</v>
      </c>
      <c r="G29" s="531" t="s">
        <v>256</v>
      </c>
      <c r="H29" s="531" t="s">
        <v>268</v>
      </c>
    </row>
    <row r="30" spans="1:9" ht="15" customHeight="1">
      <c r="A30" s="529">
        <v>45666</v>
      </c>
      <c r="B30" s="530" t="s">
        <v>327</v>
      </c>
      <c r="C30" s="531" t="s">
        <v>307</v>
      </c>
      <c r="D30" s="587">
        <v>-14000</v>
      </c>
      <c r="E30" s="532">
        <v>45658</v>
      </c>
      <c r="F30" s="531" t="s">
        <v>297</v>
      </c>
      <c r="G30" s="531" t="s">
        <v>69</v>
      </c>
      <c r="H30" s="531" t="s">
        <v>268</v>
      </c>
      <c r="I30" s="522" t="s">
        <v>329</v>
      </c>
    </row>
    <row r="31" spans="1:9" ht="15" customHeight="1">
      <c r="A31" s="529">
        <v>45630</v>
      </c>
      <c r="B31" s="530" t="s">
        <v>330</v>
      </c>
      <c r="C31" s="531" t="s">
        <v>307</v>
      </c>
      <c r="D31" s="535">
        <v>-120000</v>
      </c>
      <c r="E31" s="532">
        <v>45658</v>
      </c>
      <c r="F31" s="531" t="s">
        <v>256</v>
      </c>
      <c r="G31" s="531" t="s">
        <v>107</v>
      </c>
      <c r="H31" s="531" t="s">
        <v>277</v>
      </c>
    </row>
    <row r="32" spans="1:9" ht="15" customHeight="1">
      <c r="A32" s="529">
        <v>45630</v>
      </c>
      <c r="B32" s="530" t="s">
        <v>331</v>
      </c>
      <c r="C32" s="531" t="s">
        <v>307</v>
      </c>
      <c r="D32" s="535">
        <v>-60000</v>
      </c>
      <c r="E32" s="532">
        <v>45658</v>
      </c>
      <c r="F32" s="531" t="s">
        <v>256</v>
      </c>
      <c r="G32" s="531" t="s">
        <v>107</v>
      </c>
      <c r="H32" s="531" t="s">
        <v>277</v>
      </c>
    </row>
    <row r="33" spans="1:9" ht="15" customHeight="1">
      <c r="A33" s="529">
        <v>45631</v>
      </c>
      <c r="B33" s="530" t="s">
        <v>332</v>
      </c>
      <c r="C33" s="531" t="s">
        <v>307</v>
      </c>
      <c r="D33" s="535">
        <v>-20000</v>
      </c>
      <c r="E33" s="532">
        <v>45658</v>
      </c>
      <c r="F33" s="531" t="s">
        <v>256</v>
      </c>
      <c r="G33" s="531" t="s">
        <v>107</v>
      </c>
      <c r="H33" s="531" t="s">
        <v>277</v>
      </c>
    </row>
    <row r="34" spans="1:9" ht="15" customHeight="1">
      <c r="A34" s="529">
        <v>45632</v>
      </c>
      <c r="B34" s="530" t="s">
        <v>330</v>
      </c>
      <c r="C34" s="531" t="s">
        <v>307</v>
      </c>
      <c r="D34" s="535">
        <v>-100000</v>
      </c>
      <c r="E34" s="532">
        <v>45658</v>
      </c>
      <c r="F34" s="531" t="s">
        <v>256</v>
      </c>
      <c r="G34" s="531" t="s">
        <v>107</v>
      </c>
      <c r="H34" s="531" t="s">
        <v>277</v>
      </c>
    </row>
    <row r="35" spans="1:9" ht="15" customHeight="1">
      <c r="A35" s="529">
        <v>45638</v>
      </c>
      <c r="B35" s="530" t="s">
        <v>333</v>
      </c>
      <c r="C35" s="531" t="s">
        <v>307</v>
      </c>
      <c r="D35" s="535">
        <v>-20000</v>
      </c>
      <c r="E35" s="532">
        <v>45658</v>
      </c>
      <c r="F35" s="531" t="s">
        <v>256</v>
      </c>
      <c r="G35" s="531" t="s">
        <v>107</v>
      </c>
      <c r="H35" s="531" t="s">
        <v>277</v>
      </c>
    </row>
    <row r="36" spans="1:9" ht="15" customHeight="1">
      <c r="A36" s="529">
        <v>45608</v>
      </c>
      <c r="B36" s="530" t="s">
        <v>330</v>
      </c>
      <c r="C36" s="531" t="s">
        <v>307</v>
      </c>
      <c r="D36" s="535">
        <v>-120000</v>
      </c>
      <c r="E36" s="532">
        <v>45658</v>
      </c>
      <c r="F36" s="531" t="s">
        <v>256</v>
      </c>
      <c r="G36" s="531" t="s">
        <v>107</v>
      </c>
      <c r="H36" s="531" t="s">
        <v>277</v>
      </c>
    </row>
    <row r="37" spans="1:9" ht="15" customHeight="1">
      <c r="A37" s="529">
        <v>45608</v>
      </c>
      <c r="B37" s="530" t="s">
        <v>331</v>
      </c>
      <c r="C37" s="531" t="s">
        <v>307</v>
      </c>
      <c r="D37" s="535">
        <v>-60000</v>
      </c>
      <c r="E37" s="532">
        <v>45658</v>
      </c>
      <c r="F37" s="531" t="s">
        <v>256</v>
      </c>
      <c r="G37" s="531" t="s">
        <v>107</v>
      </c>
      <c r="H37" s="531" t="s">
        <v>277</v>
      </c>
    </row>
    <row r="38" spans="1:9" ht="15" customHeight="1">
      <c r="A38" s="529">
        <v>45641</v>
      </c>
      <c r="B38" s="530" t="s">
        <v>330</v>
      </c>
      <c r="C38" s="531" t="s">
        <v>307</v>
      </c>
      <c r="D38" s="535">
        <v>-50000</v>
      </c>
      <c r="E38" s="532">
        <v>45658</v>
      </c>
      <c r="F38" s="531" t="s">
        <v>256</v>
      </c>
      <c r="G38" s="531" t="s">
        <v>107</v>
      </c>
      <c r="H38" s="531" t="s">
        <v>277</v>
      </c>
    </row>
    <row r="39" spans="1:9" ht="15" customHeight="1">
      <c r="A39" s="529">
        <v>45646</v>
      </c>
      <c r="B39" s="530" t="s">
        <v>334</v>
      </c>
      <c r="C39" s="531" t="s">
        <v>307</v>
      </c>
      <c r="D39" s="535">
        <v>-12000</v>
      </c>
      <c r="E39" s="532">
        <v>45658</v>
      </c>
      <c r="F39" s="531" t="s">
        <v>297</v>
      </c>
      <c r="G39" s="200" t="s">
        <v>311</v>
      </c>
      <c r="H39" s="531" t="s">
        <v>268</v>
      </c>
    </row>
    <row r="40" spans="1:9" ht="15" customHeight="1">
      <c r="A40" s="529">
        <v>45646</v>
      </c>
      <c r="B40" s="530" t="s">
        <v>335</v>
      </c>
      <c r="C40" s="531" t="s">
        <v>307</v>
      </c>
      <c r="D40" s="535">
        <v>-14000</v>
      </c>
      <c r="E40" s="532">
        <v>45658</v>
      </c>
      <c r="F40" s="531" t="s">
        <v>297</v>
      </c>
      <c r="G40" s="200" t="s">
        <v>311</v>
      </c>
      <c r="H40" s="531" t="s">
        <v>268</v>
      </c>
      <c r="I40" s="522" t="s">
        <v>329</v>
      </c>
    </row>
    <row r="41" spans="1:9" ht="15" customHeight="1">
      <c r="A41" s="540">
        <v>45660</v>
      </c>
      <c r="B41" s="534" t="s">
        <v>336</v>
      </c>
      <c r="C41" s="541" t="s">
        <v>136</v>
      </c>
      <c r="D41" s="669">
        <v>-613333</v>
      </c>
      <c r="E41" s="532">
        <v>45658</v>
      </c>
      <c r="F41" s="541" t="s">
        <v>296</v>
      </c>
      <c r="G41" s="541" t="s">
        <v>337</v>
      </c>
      <c r="H41" s="200" t="s">
        <v>338</v>
      </c>
    </row>
    <row r="42" spans="1:9" ht="15" customHeight="1">
      <c r="A42" s="529">
        <v>45660</v>
      </c>
      <c r="B42" s="530" t="s">
        <v>339</v>
      </c>
      <c r="C42" s="531" t="s">
        <v>136</v>
      </c>
      <c r="D42" s="670">
        <v>-11600</v>
      </c>
      <c r="E42" s="532">
        <v>45658</v>
      </c>
      <c r="F42" s="531" t="s">
        <v>296</v>
      </c>
      <c r="G42" s="531" t="s">
        <v>44</v>
      </c>
      <c r="H42" s="531" t="s">
        <v>322</v>
      </c>
    </row>
    <row r="43" spans="1:9" ht="15" customHeight="1">
      <c r="A43" s="529">
        <v>45644</v>
      </c>
      <c r="B43" s="530" t="s">
        <v>340</v>
      </c>
      <c r="C43" s="531" t="s">
        <v>136</v>
      </c>
      <c r="D43" s="670">
        <v>-36000</v>
      </c>
      <c r="E43" s="532">
        <v>45658</v>
      </c>
      <c r="F43" s="531" t="s">
        <v>296</v>
      </c>
      <c r="G43" s="531" t="s">
        <v>341</v>
      </c>
      <c r="H43" s="531" t="s">
        <v>342</v>
      </c>
    </row>
    <row r="44" spans="1:9" ht="15" customHeight="1">
      <c r="A44" s="529">
        <v>45644</v>
      </c>
      <c r="B44" s="530" t="s">
        <v>343</v>
      </c>
      <c r="C44" s="531" t="s">
        <v>136</v>
      </c>
      <c r="D44" s="670">
        <v>-66000</v>
      </c>
      <c r="E44" s="532">
        <v>45658</v>
      </c>
      <c r="F44" s="531" t="s">
        <v>296</v>
      </c>
      <c r="G44" s="531" t="s">
        <v>341</v>
      </c>
      <c r="H44" s="531" t="s">
        <v>342</v>
      </c>
    </row>
    <row r="45" spans="1:9" ht="15" customHeight="1">
      <c r="A45" s="529">
        <v>45644</v>
      </c>
      <c r="B45" s="530" t="s">
        <v>344</v>
      </c>
      <c r="C45" s="531" t="s">
        <v>136</v>
      </c>
      <c r="D45" s="670">
        <v>-69100</v>
      </c>
      <c r="E45" s="532">
        <v>45658</v>
      </c>
      <c r="F45" s="531" t="s">
        <v>296</v>
      </c>
      <c r="G45" s="531" t="s">
        <v>341</v>
      </c>
      <c r="H45" s="531" t="s">
        <v>342</v>
      </c>
    </row>
    <row r="46" spans="1:9" ht="15" customHeight="1">
      <c r="A46" s="529">
        <v>45644</v>
      </c>
      <c r="B46" s="530" t="s">
        <v>345</v>
      </c>
      <c r="C46" s="531" t="s">
        <v>136</v>
      </c>
      <c r="D46" s="670">
        <v>-240000</v>
      </c>
      <c r="E46" s="532">
        <v>45658</v>
      </c>
      <c r="F46" s="531" t="s">
        <v>296</v>
      </c>
      <c r="G46" s="531" t="s">
        <v>341</v>
      </c>
      <c r="H46" s="531" t="s">
        <v>346</v>
      </c>
    </row>
    <row r="47" spans="1:9" ht="15" customHeight="1">
      <c r="A47" s="529">
        <v>45644</v>
      </c>
      <c r="B47" s="530" t="s">
        <v>347</v>
      </c>
      <c r="C47" s="531" t="s">
        <v>136</v>
      </c>
      <c r="D47" s="670">
        <v>-8270</v>
      </c>
      <c r="E47" s="532">
        <v>45658</v>
      </c>
      <c r="F47" s="531" t="s">
        <v>296</v>
      </c>
      <c r="G47" s="531" t="s">
        <v>341</v>
      </c>
      <c r="H47" s="531" t="s">
        <v>342</v>
      </c>
    </row>
    <row r="48" spans="1:9" ht="15" customHeight="1">
      <c r="A48" s="529">
        <v>45645</v>
      </c>
      <c r="B48" s="530" t="s">
        <v>348</v>
      </c>
      <c r="C48" s="531" t="s">
        <v>136</v>
      </c>
      <c r="D48" s="670">
        <v>-36000</v>
      </c>
      <c r="E48" s="532">
        <v>45658</v>
      </c>
      <c r="F48" s="531" t="s">
        <v>296</v>
      </c>
      <c r="G48" s="531" t="s">
        <v>341</v>
      </c>
      <c r="H48" s="531" t="s">
        <v>342</v>
      </c>
    </row>
    <row r="49" spans="1:8" ht="15" customHeight="1">
      <c r="A49" s="529">
        <v>45645</v>
      </c>
      <c r="B49" s="530" t="s">
        <v>347</v>
      </c>
      <c r="C49" s="531" t="s">
        <v>136</v>
      </c>
      <c r="D49" s="670">
        <v>-7690</v>
      </c>
      <c r="E49" s="532">
        <v>45658</v>
      </c>
      <c r="F49" s="531" t="s">
        <v>296</v>
      </c>
      <c r="G49" s="531" t="s">
        <v>341</v>
      </c>
      <c r="H49" s="531" t="s">
        <v>342</v>
      </c>
    </row>
    <row r="50" spans="1:8" ht="15" customHeight="1">
      <c r="A50" s="529">
        <v>45645</v>
      </c>
      <c r="B50" s="530" t="s">
        <v>349</v>
      </c>
      <c r="C50" s="531" t="s">
        <v>136</v>
      </c>
      <c r="D50" s="670">
        <v>-6625</v>
      </c>
      <c r="E50" s="532">
        <v>45658</v>
      </c>
      <c r="F50" s="531" t="s">
        <v>296</v>
      </c>
      <c r="G50" s="531" t="s">
        <v>341</v>
      </c>
      <c r="H50" s="531" t="s">
        <v>350</v>
      </c>
    </row>
    <row r="51" spans="1:8" ht="15" customHeight="1">
      <c r="A51" s="529">
        <v>45645</v>
      </c>
      <c r="B51" s="530" t="s">
        <v>351</v>
      </c>
      <c r="C51" s="531" t="s">
        <v>136</v>
      </c>
      <c r="D51" s="670">
        <v>-27000</v>
      </c>
      <c r="E51" s="532">
        <v>45658</v>
      </c>
      <c r="F51" s="531" t="s">
        <v>296</v>
      </c>
      <c r="G51" s="531" t="s">
        <v>341</v>
      </c>
      <c r="H51" s="531" t="s">
        <v>350</v>
      </c>
    </row>
    <row r="52" spans="1:8" ht="15" customHeight="1">
      <c r="A52" s="529">
        <v>45645</v>
      </c>
      <c r="B52" s="530" t="s">
        <v>352</v>
      </c>
      <c r="C52" s="531" t="s">
        <v>136</v>
      </c>
      <c r="D52" s="670">
        <v>-48000</v>
      </c>
      <c r="E52" s="532">
        <v>45658</v>
      </c>
      <c r="F52" s="531" t="s">
        <v>296</v>
      </c>
      <c r="G52" s="531" t="s">
        <v>341</v>
      </c>
      <c r="H52" s="531" t="s">
        <v>342</v>
      </c>
    </row>
    <row r="53" spans="1:8" ht="15" customHeight="1">
      <c r="A53" s="529">
        <v>45645</v>
      </c>
      <c r="B53" s="530" t="s">
        <v>349</v>
      </c>
      <c r="C53" s="531" t="s">
        <v>136</v>
      </c>
      <c r="D53" s="670">
        <v>-5000</v>
      </c>
      <c r="E53" s="532">
        <v>45658</v>
      </c>
      <c r="F53" s="531" t="s">
        <v>296</v>
      </c>
      <c r="G53" s="531" t="s">
        <v>341</v>
      </c>
      <c r="H53" s="531" t="s">
        <v>350</v>
      </c>
    </row>
    <row r="54" spans="1:8" ht="15" customHeight="1">
      <c r="A54" s="529">
        <v>45645</v>
      </c>
      <c r="B54" s="530" t="s">
        <v>353</v>
      </c>
      <c r="C54" s="531" t="s">
        <v>136</v>
      </c>
      <c r="D54" s="670">
        <v>-8000</v>
      </c>
      <c r="E54" s="532">
        <v>45658</v>
      </c>
      <c r="F54" s="531" t="s">
        <v>296</v>
      </c>
      <c r="G54" s="531" t="s">
        <v>341</v>
      </c>
      <c r="H54" s="531" t="s">
        <v>268</v>
      </c>
    </row>
    <row r="55" spans="1:8" ht="15" customHeight="1">
      <c r="A55" s="529">
        <v>45646</v>
      </c>
      <c r="B55" s="530" t="s">
        <v>354</v>
      </c>
      <c r="C55" s="531" t="s">
        <v>136</v>
      </c>
      <c r="D55" s="670">
        <v>-20000</v>
      </c>
      <c r="E55" s="532">
        <v>45658</v>
      </c>
      <c r="F55" s="531" t="s">
        <v>296</v>
      </c>
      <c r="G55" s="531" t="s">
        <v>341</v>
      </c>
      <c r="H55" s="531" t="s">
        <v>268</v>
      </c>
    </row>
    <row r="56" spans="1:8" ht="15" customHeight="1">
      <c r="A56" s="529">
        <v>45646</v>
      </c>
      <c r="B56" s="530" t="s">
        <v>355</v>
      </c>
      <c r="C56" s="531" t="s">
        <v>136</v>
      </c>
      <c r="D56" s="670">
        <v>-16000</v>
      </c>
      <c r="E56" s="532">
        <v>45658</v>
      </c>
      <c r="F56" s="531" t="s">
        <v>296</v>
      </c>
      <c r="G56" s="531" t="s">
        <v>341</v>
      </c>
      <c r="H56" s="531" t="s">
        <v>268</v>
      </c>
    </row>
    <row r="57" spans="1:8" ht="15" customHeight="1">
      <c r="A57" s="529">
        <v>45646</v>
      </c>
      <c r="B57" s="530" t="s">
        <v>348</v>
      </c>
      <c r="C57" s="531" t="s">
        <v>136</v>
      </c>
      <c r="D57" s="670">
        <v>-30000</v>
      </c>
      <c r="E57" s="532">
        <v>45658</v>
      </c>
      <c r="F57" s="531" t="s">
        <v>296</v>
      </c>
      <c r="G57" s="531" t="s">
        <v>341</v>
      </c>
      <c r="H57" s="531" t="s">
        <v>342</v>
      </c>
    </row>
    <row r="58" spans="1:8" ht="15" customHeight="1">
      <c r="A58" s="529">
        <v>45646</v>
      </c>
      <c r="B58" s="530" t="s">
        <v>356</v>
      </c>
      <c r="C58" s="531" t="s">
        <v>136</v>
      </c>
      <c r="D58" s="670">
        <v>-40021</v>
      </c>
      <c r="E58" s="532">
        <v>45658</v>
      </c>
      <c r="F58" s="531" t="s">
        <v>296</v>
      </c>
      <c r="G58" s="531" t="s">
        <v>341</v>
      </c>
      <c r="H58" s="531" t="s">
        <v>268</v>
      </c>
    </row>
    <row r="59" spans="1:8" ht="15" customHeight="1">
      <c r="A59" s="529">
        <v>45646</v>
      </c>
      <c r="B59" s="530" t="s">
        <v>357</v>
      </c>
      <c r="C59" s="531" t="s">
        <v>136</v>
      </c>
      <c r="D59" s="670">
        <v>-39990</v>
      </c>
      <c r="E59" s="532">
        <v>45658</v>
      </c>
      <c r="F59" s="531" t="s">
        <v>296</v>
      </c>
      <c r="G59" s="531" t="s">
        <v>341</v>
      </c>
      <c r="H59" s="531" t="s">
        <v>268</v>
      </c>
    </row>
    <row r="60" spans="1:8" ht="15" customHeight="1">
      <c r="A60" s="529">
        <v>45646</v>
      </c>
      <c r="B60" s="530" t="s">
        <v>358</v>
      </c>
      <c r="C60" s="531" t="s">
        <v>136</v>
      </c>
      <c r="D60" s="670">
        <v>-21524</v>
      </c>
      <c r="E60" s="532">
        <v>45658</v>
      </c>
      <c r="F60" s="531" t="s">
        <v>296</v>
      </c>
      <c r="G60" s="531" t="s">
        <v>341</v>
      </c>
      <c r="H60" s="531" t="s">
        <v>268</v>
      </c>
    </row>
    <row r="61" spans="1:8" ht="15" customHeight="1">
      <c r="A61" s="529">
        <v>45646</v>
      </c>
      <c r="B61" s="530" t="s">
        <v>347</v>
      </c>
      <c r="C61" s="531" t="s">
        <v>136</v>
      </c>
      <c r="D61" s="670">
        <v>-4500</v>
      </c>
      <c r="E61" s="532">
        <v>45658</v>
      </c>
      <c r="F61" s="531" t="s">
        <v>296</v>
      </c>
      <c r="G61" s="531" t="s">
        <v>341</v>
      </c>
      <c r="H61" s="531" t="s">
        <v>342</v>
      </c>
    </row>
    <row r="62" spans="1:8" ht="15" customHeight="1">
      <c r="A62" s="529">
        <v>45646</v>
      </c>
      <c r="B62" s="530" t="s">
        <v>352</v>
      </c>
      <c r="C62" s="531" t="s">
        <v>136</v>
      </c>
      <c r="D62" s="670">
        <v>-48000</v>
      </c>
      <c r="E62" s="532">
        <v>45658</v>
      </c>
      <c r="F62" s="531" t="s">
        <v>296</v>
      </c>
      <c r="G62" s="531" t="s">
        <v>341</v>
      </c>
      <c r="H62" s="531" t="s">
        <v>342</v>
      </c>
    </row>
    <row r="63" spans="1:8" ht="15" customHeight="1">
      <c r="A63" s="529">
        <v>45646</v>
      </c>
      <c r="B63" s="530" t="s">
        <v>359</v>
      </c>
      <c r="C63" s="531" t="s">
        <v>136</v>
      </c>
      <c r="D63" s="670">
        <v>-76000</v>
      </c>
      <c r="E63" s="532">
        <v>45658</v>
      </c>
      <c r="F63" s="531" t="s">
        <v>296</v>
      </c>
      <c r="G63" s="531" t="s">
        <v>341</v>
      </c>
      <c r="H63" s="531" t="s">
        <v>342</v>
      </c>
    </row>
    <row r="64" spans="1:8" ht="15" customHeight="1">
      <c r="A64" s="529">
        <v>45646</v>
      </c>
      <c r="B64" s="530" t="s">
        <v>360</v>
      </c>
      <c r="C64" s="531" t="s">
        <v>136</v>
      </c>
      <c r="D64" s="670">
        <v>-79000</v>
      </c>
      <c r="E64" s="532">
        <v>45658</v>
      </c>
      <c r="F64" s="531" t="s">
        <v>296</v>
      </c>
      <c r="G64" s="531" t="s">
        <v>341</v>
      </c>
      <c r="H64" s="531" t="s">
        <v>350</v>
      </c>
    </row>
    <row r="65" spans="1:8" ht="15" customHeight="1">
      <c r="A65" s="529">
        <v>45646</v>
      </c>
      <c r="B65" s="530" t="s">
        <v>361</v>
      </c>
      <c r="C65" s="531" t="s">
        <v>136</v>
      </c>
      <c r="D65" s="670">
        <v>-30000</v>
      </c>
      <c r="E65" s="532">
        <v>45658</v>
      </c>
      <c r="F65" s="531" t="s">
        <v>296</v>
      </c>
      <c r="G65" s="531" t="s">
        <v>341</v>
      </c>
      <c r="H65" s="531" t="s">
        <v>350</v>
      </c>
    </row>
    <row r="66" spans="1:8" ht="15" customHeight="1">
      <c r="A66" s="529">
        <v>45647</v>
      </c>
      <c r="B66" s="530" t="s">
        <v>348</v>
      </c>
      <c r="C66" s="531" t="s">
        <v>136</v>
      </c>
      <c r="D66" s="670">
        <v>-30000</v>
      </c>
      <c r="E66" s="532">
        <v>45658</v>
      </c>
      <c r="F66" s="531" t="s">
        <v>296</v>
      </c>
      <c r="G66" s="531" t="s">
        <v>341</v>
      </c>
      <c r="H66" s="531" t="s">
        <v>342</v>
      </c>
    </row>
    <row r="67" spans="1:8" ht="15" customHeight="1">
      <c r="A67" s="529">
        <v>45647</v>
      </c>
      <c r="B67" s="530" t="s">
        <v>362</v>
      </c>
      <c r="C67" s="531" t="s">
        <v>136</v>
      </c>
      <c r="D67" s="670">
        <v>-44090</v>
      </c>
      <c r="E67" s="532">
        <v>45658</v>
      </c>
      <c r="F67" s="531" t="s">
        <v>296</v>
      </c>
      <c r="G67" s="531" t="s">
        <v>341</v>
      </c>
      <c r="H67" s="531" t="s">
        <v>342</v>
      </c>
    </row>
    <row r="68" spans="1:8" ht="15" customHeight="1">
      <c r="A68" s="529">
        <v>45666</v>
      </c>
      <c r="B68" s="530" t="s">
        <v>363</v>
      </c>
      <c r="C68" s="531" t="s">
        <v>136</v>
      </c>
      <c r="D68" s="670">
        <v>-701474</v>
      </c>
      <c r="E68" s="532">
        <v>45658</v>
      </c>
      <c r="F68" s="531" t="s">
        <v>297</v>
      </c>
      <c r="G68" s="531" t="s">
        <v>75</v>
      </c>
      <c r="H68" s="531" t="s">
        <v>364</v>
      </c>
    </row>
    <row r="69" spans="1:8" ht="15" customHeight="1">
      <c r="A69" s="529">
        <v>45666</v>
      </c>
      <c r="B69" s="530" t="s">
        <v>365</v>
      </c>
      <c r="C69" s="531" t="s">
        <v>136</v>
      </c>
      <c r="D69" s="670">
        <v>-1293357</v>
      </c>
      <c r="E69" s="532">
        <v>45658</v>
      </c>
      <c r="F69" s="531" t="s">
        <v>296</v>
      </c>
      <c r="G69" s="531" t="s">
        <v>321</v>
      </c>
      <c r="H69" s="531" t="s">
        <v>366</v>
      </c>
    </row>
    <row r="70" spans="1:8" ht="15" customHeight="1">
      <c r="A70" s="529">
        <v>45666</v>
      </c>
      <c r="B70" s="530" t="s">
        <v>367</v>
      </c>
      <c r="C70" s="531" t="s">
        <v>136</v>
      </c>
      <c r="D70" s="670">
        <v>-178500</v>
      </c>
      <c r="E70" s="532">
        <v>45658</v>
      </c>
      <c r="F70" s="531" t="s">
        <v>296</v>
      </c>
      <c r="G70" s="531" t="s">
        <v>321</v>
      </c>
      <c r="H70" s="531" t="s">
        <v>322</v>
      </c>
    </row>
    <row r="71" spans="1:8" ht="15" customHeight="1">
      <c r="A71" s="529">
        <v>45666</v>
      </c>
      <c r="B71" s="530" t="s">
        <v>368</v>
      </c>
      <c r="C71" s="531" t="s">
        <v>136</v>
      </c>
      <c r="D71" s="670">
        <v>-178500</v>
      </c>
      <c r="E71" s="532">
        <v>45658</v>
      </c>
      <c r="F71" s="531" t="s">
        <v>296</v>
      </c>
      <c r="G71" s="531" t="s">
        <v>337</v>
      </c>
      <c r="H71" s="531" t="s">
        <v>322</v>
      </c>
    </row>
    <row r="72" spans="1:8" ht="15" customHeight="1">
      <c r="A72" s="529">
        <v>45666</v>
      </c>
      <c r="B72" s="530" t="s">
        <v>369</v>
      </c>
      <c r="C72" s="531" t="s">
        <v>136</v>
      </c>
      <c r="D72" s="670">
        <v>-63189936.490000002</v>
      </c>
      <c r="E72" s="532">
        <v>45658</v>
      </c>
      <c r="F72" s="531" t="s">
        <v>296</v>
      </c>
      <c r="G72" s="531" t="s">
        <v>44</v>
      </c>
      <c r="H72" s="531" t="s">
        <v>370</v>
      </c>
    </row>
    <row r="73" spans="1:8" ht="15" customHeight="1">
      <c r="A73" s="529">
        <v>45660</v>
      </c>
      <c r="B73" s="530" t="s">
        <v>371</v>
      </c>
      <c r="C73" s="531" t="s">
        <v>372</v>
      </c>
      <c r="D73" s="657">
        <v>171609.78</v>
      </c>
      <c r="E73" s="532">
        <v>45658</v>
      </c>
      <c r="F73" s="531" t="s">
        <v>256</v>
      </c>
      <c r="G73" s="531"/>
      <c r="H73" s="531"/>
    </row>
    <row r="74" spans="1:8" ht="15" customHeight="1">
      <c r="A74" s="199">
        <v>45660</v>
      </c>
      <c r="B74" s="530" t="s">
        <v>373</v>
      </c>
      <c r="C74" s="200" t="s">
        <v>136</v>
      </c>
      <c r="D74" s="658">
        <v>-2451568.35</v>
      </c>
      <c r="E74" s="532">
        <v>45658</v>
      </c>
      <c r="F74" s="200" t="s">
        <v>315</v>
      </c>
      <c r="G74" s="531"/>
      <c r="H74" s="531"/>
    </row>
    <row r="75" spans="1:8" ht="15" customHeight="1">
      <c r="A75" s="529">
        <v>45660</v>
      </c>
      <c r="B75" s="530" t="s">
        <v>373</v>
      </c>
      <c r="C75" s="531" t="s">
        <v>136</v>
      </c>
      <c r="D75" s="657">
        <f>-6100152-1215.78</f>
        <v>-6101367.7800000003</v>
      </c>
      <c r="E75" s="532">
        <v>45658</v>
      </c>
      <c r="F75" s="531" t="s">
        <v>298</v>
      </c>
      <c r="G75" s="531"/>
      <c r="H75" s="531"/>
    </row>
    <row r="76" spans="1:8" ht="15" customHeight="1">
      <c r="A76" s="529">
        <v>45666</v>
      </c>
      <c r="B76" s="530" t="s">
        <v>374</v>
      </c>
      <c r="C76" s="531" t="s">
        <v>136</v>
      </c>
      <c r="D76" s="670">
        <v>-762902</v>
      </c>
      <c r="E76" s="532">
        <v>45658</v>
      </c>
      <c r="F76" s="531" t="s">
        <v>296</v>
      </c>
      <c r="G76" s="531" t="s">
        <v>328</v>
      </c>
      <c r="H76" s="531" t="s">
        <v>375</v>
      </c>
    </row>
    <row r="77" spans="1:8" ht="15" customHeight="1">
      <c r="A77" s="529">
        <v>45666</v>
      </c>
      <c r="B77" s="530" t="s">
        <v>376</v>
      </c>
      <c r="C77" s="531" t="s">
        <v>136</v>
      </c>
      <c r="D77" s="670">
        <v>-9134986</v>
      </c>
      <c r="E77" s="532">
        <v>45658</v>
      </c>
      <c r="F77" s="531" t="s">
        <v>296</v>
      </c>
      <c r="G77" s="531" t="s">
        <v>328</v>
      </c>
      <c r="H77" s="531" t="s">
        <v>377</v>
      </c>
    </row>
    <row r="78" spans="1:8" ht="15" customHeight="1">
      <c r="A78" s="529">
        <v>45666</v>
      </c>
      <c r="B78" s="530" t="s">
        <v>378</v>
      </c>
      <c r="C78" s="531" t="s">
        <v>136</v>
      </c>
      <c r="D78" s="670">
        <v>-2851200</v>
      </c>
      <c r="E78" s="532">
        <v>45658</v>
      </c>
      <c r="F78" s="531" t="s">
        <v>296</v>
      </c>
      <c r="G78" s="531" t="s">
        <v>341</v>
      </c>
      <c r="H78" s="531" t="s">
        <v>379</v>
      </c>
    </row>
    <row r="79" spans="1:8" ht="15" customHeight="1">
      <c r="A79" s="529">
        <v>45666</v>
      </c>
      <c r="B79" s="530" t="s">
        <v>380</v>
      </c>
      <c r="C79" s="531" t="s">
        <v>136</v>
      </c>
      <c r="D79" s="670">
        <v>-615853</v>
      </c>
      <c r="E79" s="532">
        <v>45658</v>
      </c>
      <c r="F79" s="531" t="s">
        <v>296</v>
      </c>
      <c r="G79" s="531" t="s">
        <v>44</v>
      </c>
      <c r="H79" s="531" t="s">
        <v>381</v>
      </c>
    </row>
    <row r="80" spans="1:8" ht="15" customHeight="1">
      <c r="A80" s="529">
        <v>45666</v>
      </c>
      <c r="B80" s="530" t="s">
        <v>382</v>
      </c>
      <c r="C80" s="531" t="s">
        <v>136</v>
      </c>
      <c r="D80" s="670">
        <v>-615853</v>
      </c>
      <c r="E80" s="532">
        <v>45658</v>
      </c>
      <c r="F80" s="531" t="s">
        <v>296</v>
      </c>
      <c r="G80" s="531" t="s">
        <v>337</v>
      </c>
      <c r="H80" s="531" t="s">
        <v>381</v>
      </c>
    </row>
    <row r="81" spans="1:9" ht="15" customHeight="1">
      <c r="A81" s="540">
        <v>45666</v>
      </c>
      <c r="B81" s="534" t="s">
        <v>383</v>
      </c>
      <c r="C81" s="541" t="s">
        <v>314</v>
      </c>
      <c r="D81" s="646">
        <v>-64001</v>
      </c>
      <c r="E81" s="532">
        <v>45658</v>
      </c>
      <c r="F81" s="541" t="s">
        <v>256</v>
      </c>
      <c r="G81" s="541" t="s">
        <v>107</v>
      </c>
      <c r="H81" s="541" t="s">
        <v>115</v>
      </c>
    </row>
    <row r="82" spans="1:9" ht="15" customHeight="1">
      <c r="A82" s="529">
        <v>45666</v>
      </c>
      <c r="B82" s="530" t="s">
        <v>384</v>
      </c>
      <c r="C82" s="531" t="s">
        <v>314</v>
      </c>
      <c r="D82" s="647">
        <v>-2189497.66</v>
      </c>
      <c r="E82" s="532">
        <v>45658</v>
      </c>
      <c r="F82" s="531" t="s">
        <v>297</v>
      </c>
      <c r="G82" s="531" t="s">
        <v>385</v>
      </c>
      <c r="H82" s="531" t="s">
        <v>386</v>
      </c>
      <c r="I82" s="522" t="s">
        <v>329</v>
      </c>
    </row>
    <row r="83" spans="1:9" ht="15" customHeight="1">
      <c r="A83" s="529">
        <v>45666</v>
      </c>
      <c r="B83" s="530" t="s">
        <v>387</v>
      </c>
      <c r="C83" s="531" t="s">
        <v>314</v>
      </c>
      <c r="D83" s="647">
        <v>-137366.06</v>
      </c>
      <c r="E83" s="532">
        <v>45658</v>
      </c>
      <c r="F83" s="531" t="s">
        <v>297</v>
      </c>
      <c r="G83" s="531" t="s">
        <v>388</v>
      </c>
      <c r="H83" s="531" t="s">
        <v>386</v>
      </c>
    </row>
    <row r="84" spans="1:9" ht="15" customHeight="1">
      <c r="A84" s="529">
        <v>45666</v>
      </c>
      <c r="B84" s="530" t="s">
        <v>389</v>
      </c>
      <c r="C84" s="531" t="s">
        <v>314</v>
      </c>
      <c r="D84" s="647">
        <v>-606900</v>
      </c>
      <c r="E84" s="532">
        <v>45658</v>
      </c>
      <c r="F84" s="531" t="s">
        <v>296</v>
      </c>
      <c r="G84" s="531" t="s">
        <v>390</v>
      </c>
      <c r="H84" s="531" t="s">
        <v>386</v>
      </c>
      <c r="I84" s="522" t="s">
        <v>329</v>
      </c>
    </row>
    <row r="85" spans="1:9" ht="15" customHeight="1">
      <c r="A85" s="529">
        <v>45666</v>
      </c>
      <c r="B85" s="530" t="s">
        <v>391</v>
      </c>
      <c r="C85" s="531" t="s">
        <v>314</v>
      </c>
      <c r="D85" s="647">
        <v>-606900</v>
      </c>
      <c r="E85" s="532">
        <v>45658</v>
      </c>
      <c r="F85" s="531" t="s">
        <v>296</v>
      </c>
      <c r="G85" s="531" t="s">
        <v>392</v>
      </c>
      <c r="H85" s="531" t="s">
        <v>386</v>
      </c>
      <c r="I85" s="522" t="s">
        <v>329</v>
      </c>
    </row>
    <row r="86" spans="1:9" ht="15" customHeight="1">
      <c r="A86" s="529">
        <v>45666</v>
      </c>
      <c r="B86" s="530" t="s">
        <v>393</v>
      </c>
      <c r="C86" s="531" t="s">
        <v>314</v>
      </c>
      <c r="D86" s="647">
        <v>-239654.1</v>
      </c>
      <c r="E86" s="532">
        <v>45658</v>
      </c>
      <c r="F86" s="531" t="s">
        <v>297</v>
      </c>
      <c r="G86" s="531" t="s">
        <v>75</v>
      </c>
      <c r="H86" s="531" t="s">
        <v>386</v>
      </c>
      <c r="I86" s="522" t="s">
        <v>329</v>
      </c>
    </row>
    <row r="87" spans="1:9" ht="15" customHeight="1">
      <c r="A87" s="529">
        <v>45666</v>
      </c>
      <c r="B87" s="530" t="s">
        <v>387</v>
      </c>
      <c r="C87" s="531" t="s">
        <v>314</v>
      </c>
      <c r="D87" s="647">
        <v>-274732.93</v>
      </c>
      <c r="E87" s="532">
        <v>45658</v>
      </c>
      <c r="F87" s="531" t="s">
        <v>297</v>
      </c>
      <c r="G87" s="531" t="s">
        <v>388</v>
      </c>
      <c r="H87" s="531" t="s">
        <v>386</v>
      </c>
      <c r="I87" s="522" t="s">
        <v>329</v>
      </c>
    </row>
    <row r="88" spans="1:9" ht="15" customHeight="1">
      <c r="A88" s="529">
        <v>45666</v>
      </c>
      <c r="B88" s="530" t="s">
        <v>394</v>
      </c>
      <c r="C88" s="531" t="s">
        <v>314</v>
      </c>
      <c r="D88" s="647">
        <v>-200723.25</v>
      </c>
      <c r="E88" s="532">
        <v>45658</v>
      </c>
      <c r="F88" s="655" t="s">
        <v>395</v>
      </c>
      <c r="G88" s="531" t="s">
        <v>395</v>
      </c>
      <c r="H88" s="531" t="s">
        <v>386</v>
      </c>
      <c r="I88" s="531"/>
    </row>
    <row r="89" spans="1:9" ht="15" customHeight="1">
      <c r="A89" s="540">
        <v>45666</v>
      </c>
      <c r="B89" s="534" t="s">
        <v>396</v>
      </c>
      <c r="C89" s="541" t="s">
        <v>204</v>
      </c>
      <c r="D89" s="667">
        <v>-500598</v>
      </c>
      <c r="E89" s="532">
        <v>45658</v>
      </c>
      <c r="F89" s="541" t="s">
        <v>296</v>
      </c>
      <c r="G89" s="541" t="s">
        <v>341</v>
      </c>
      <c r="H89" s="541" t="s">
        <v>342</v>
      </c>
    </row>
    <row r="90" spans="1:9" ht="15" customHeight="1">
      <c r="A90" s="540">
        <v>45661</v>
      </c>
      <c r="B90" s="534" t="s">
        <v>397</v>
      </c>
      <c r="C90" s="541" t="s">
        <v>398</v>
      </c>
      <c r="D90" s="656">
        <v>-88606.94</v>
      </c>
      <c r="E90" s="532">
        <v>45658</v>
      </c>
      <c r="F90" s="541" t="s">
        <v>256</v>
      </c>
      <c r="G90" s="541" t="s">
        <v>256</v>
      </c>
      <c r="H90" s="541" t="s">
        <v>266</v>
      </c>
    </row>
    <row r="91" spans="1:9" ht="15" customHeight="1">
      <c r="A91" s="529">
        <v>45666</v>
      </c>
      <c r="B91" s="530" t="s">
        <v>399</v>
      </c>
      <c r="C91" s="531" t="s">
        <v>398</v>
      </c>
      <c r="D91" s="657">
        <v>-95520</v>
      </c>
      <c r="E91" s="532">
        <v>45658</v>
      </c>
      <c r="F91" s="531" t="s">
        <v>256</v>
      </c>
      <c r="G91" s="531" t="s">
        <v>256</v>
      </c>
      <c r="H91" s="541" t="s">
        <v>266</v>
      </c>
    </row>
    <row r="92" spans="1:9" ht="15" customHeight="1">
      <c r="A92" s="540">
        <v>45666</v>
      </c>
      <c r="B92" s="534" t="s">
        <v>400</v>
      </c>
      <c r="C92" s="541" t="s">
        <v>372</v>
      </c>
      <c r="D92" s="660">
        <v>-840</v>
      </c>
      <c r="E92" s="532">
        <v>45658</v>
      </c>
      <c r="F92" s="541" t="s">
        <v>296</v>
      </c>
      <c r="G92" s="541" t="s">
        <v>328</v>
      </c>
      <c r="H92" s="541" t="s">
        <v>268</v>
      </c>
    </row>
    <row r="93" spans="1:9" ht="15" customHeight="1">
      <c r="A93" s="529">
        <v>45666</v>
      </c>
      <c r="B93" s="530" t="s">
        <v>401</v>
      </c>
      <c r="C93" s="531" t="s">
        <v>372</v>
      </c>
      <c r="D93" s="602">
        <v>-504</v>
      </c>
      <c r="E93" s="532">
        <v>45658</v>
      </c>
      <c r="F93" s="531" t="s">
        <v>296</v>
      </c>
      <c r="G93" s="531" t="s">
        <v>328</v>
      </c>
      <c r="H93" s="531" t="s">
        <v>268</v>
      </c>
    </row>
    <row r="94" spans="1:9" ht="15" customHeight="1">
      <c r="A94" s="529">
        <v>45666</v>
      </c>
      <c r="B94" s="530" t="s">
        <v>402</v>
      </c>
      <c r="C94" s="531" t="s">
        <v>372</v>
      </c>
      <c r="D94" s="604">
        <v>-3219</v>
      </c>
      <c r="E94" s="532">
        <v>45658</v>
      </c>
      <c r="F94" s="531" t="s">
        <v>296</v>
      </c>
      <c r="G94" s="531" t="s">
        <v>328</v>
      </c>
      <c r="H94" s="531" t="s">
        <v>375</v>
      </c>
    </row>
    <row r="95" spans="1:9" ht="15" customHeight="1">
      <c r="A95" s="529">
        <v>45666</v>
      </c>
      <c r="B95" s="530" t="s">
        <v>403</v>
      </c>
      <c r="C95" s="531" t="s">
        <v>372</v>
      </c>
      <c r="D95" s="604">
        <v>-410622</v>
      </c>
      <c r="E95" s="532">
        <v>45658</v>
      </c>
      <c r="F95" s="531" t="s">
        <v>296</v>
      </c>
      <c r="G95" s="531" t="s">
        <v>328</v>
      </c>
      <c r="H95" s="531" t="s">
        <v>377</v>
      </c>
    </row>
    <row r="96" spans="1:9" ht="15" customHeight="1">
      <c r="A96" s="529">
        <v>45666</v>
      </c>
      <c r="B96" s="530" t="s">
        <v>404</v>
      </c>
      <c r="C96" s="531" t="s">
        <v>372</v>
      </c>
      <c r="D96" s="604">
        <v>-290400</v>
      </c>
      <c r="E96" s="532">
        <v>45658</v>
      </c>
      <c r="F96" s="531" t="s">
        <v>296</v>
      </c>
      <c r="G96" s="531" t="s">
        <v>341</v>
      </c>
      <c r="H96" s="531" t="s">
        <v>379</v>
      </c>
    </row>
    <row r="97" spans="1:9" ht="15" customHeight="1">
      <c r="A97" s="529">
        <v>45666</v>
      </c>
      <c r="B97" s="530" t="s">
        <v>405</v>
      </c>
      <c r="C97" s="531" t="s">
        <v>372</v>
      </c>
      <c r="D97" s="604">
        <v>-2533</v>
      </c>
      <c r="E97" s="532">
        <v>45658</v>
      </c>
      <c r="F97" s="531" t="s">
        <v>296</v>
      </c>
      <c r="G97" s="531" t="s">
        <v>44</v>
      </c>
      <c r="H97" s="531" t="s">
        <v>381</v>
      </c>
    </row>
    <row r="98" spans="1:9" ht="15" customHeight="1">
      <c r="A98" s="529">
        <v>45666</v>
      </c>
      <c r="B98" s="530" t="s">
        <v>406</v>
      </c>
      <c r="C98" s="531" t="s">
        <v>372</v>
      </c>
      <c r="D98" s="604">
        <v>-3230</v>
      </c>
      <c r="E98" s="532">
        <v>45658</v>
      </c>
      <c r="F98" s="531" t="s">
        <v>296</v>
      </c>
      <c r="G98" s="531" t="s">
        <v>44</v>
      </c>
      <c r="H98" s="531" t="s">
        <v>381</v>
      </c>
      <c r="I98" s="655"/>
    </row>
    <row r="99" spans="1:9" ht="15" customHeight="1">
      <c r="A99" s="529">
        <v>45666</v>
      </c>
      <c r="B99" s="530" t="s">
        <v>407</v>
      </c>
      <c r="C99" s="531" t="s">
        <v>372</v>
      </c>
      <c r="D99" s="604">
        <v>-2533</v>
      </c>
      <c r="E99" s="532">
        <v>45658</v>
      </c>
      <c r="F99" s="531" t="s">
        <v>296</v>
      </c>
      <c r="G99" s="531" t="s">
        <v>337</v>
      </c>
      <c r="H99" s="531" t="s">
        <v>381</v>
      </c>
      <c r="I99" s="655"/>
    </row>
    <row r="100" spans="1:9" ht="15" customHeight="1">
      <c r="A100" s="601">
        <v>45666</v>
      </c>
      <c r="B100" s="602" t="s">
        <v>408</v>
      </c>
      <c r="C100" s="603" t="s">
        <v>372</v>
      </c>
      <c r="D100" s="604">
        <v>-3230</v>
      </c>
      <c r="E100" s="605">
        <v>45658</v>
      </c>
      <c r="F100" s="603" t="s">
        <v>296</v>
      </c>
      <c r="G100" s="603" t="s">
        <v>337</v>
      </c>
      <c r="H100" s="603" t="s">
        <v>381</v>
      </c>
      <c r="I100" s="655"/>
    </row>
    <row r="101" spans="1:9" ht="15" customHeight="1">
      <c r="A101" s="529">
        <v>45666</v>
      </c>
      <c r="B101" s="530" t="s">
        <v>409</v>
      </c>
      <c r="C101" s="531" t="s">
        <v>372</v>
      </c>
      <c r="D101" s="604">
        <v>-19250</v>
      </c>
      <c r="E101" s="532">
        <v>45658</v>
      </c>
      <c r="F101" s="531" t="s">
        <v>296</v>
      </c>
      <c r="G101" s="531" t="s">
        <v>341</v>
      </c>
      <c r="H101" s="531" t="s">
        <v>342</v>
      </c>
    </row>
    <row r="102" spans="1:9" s="643" customFormat="1" ht="15" customHeight="1">
      <c r="A102" s="640">
        <v>45672</v>
      </c>
      <c r="B102" s="641" t="s">
        <v>410</v>
      </c>
      <c r="C102" s="641" t="s">
        <v>307</v>
      </c>
      <c r="D102" s="642">
        <v>-16000</v>
      </c>
      <c r="E102" s="644">
        <v>45658</v>
      </c>
      <c r="F102" s="641" t="s">
        <v>296</v>
      </c>
      <c r="G102" s="641" t="s">
        <v>411</v>
      </c>
      <c r="H102" s="641" t="s">
        <v>268</v>
      </c>
      <c r="I102" s="641"/>
    </row>
    <row r="103" spans="1:9" ht="15" customHeight="1">
      <c r="A103" s="199">
        <v>45672</v>
      </c>
      <c r="B103" s="202" t="s">
        <v>412</v>
      </c>
      <c r="C103" s="200" t="s">
        <v>307</v>
      </c>
      <c r="D103" s="642">
        <v>-8900</v>
      </c>
      <c r="E103" s="201">
        <v>45658</v>
      </c>
      <c r="F103" s="200" t="s">
        <v>296</v>
      </c>
      <c r="G103" s="200" t="s">
        <v>411</v>
      </c>
      <c r="H103" s="200" t="s">
        <v>342</v>
      </c>
    </row>
    <row r="104" spans="1:9" ht="15" customHeight="1">
      <c r="A104" s="199">
        <v>45672</v>
      </c>
      <c r="B104" s="202" t="s">
        <v>413</v>
      </c>
      <c r="C104" s="200" t="s">
        <v>307</v>
      </c>
      <c r="D104" s="642">
        <v>-23900</v>
      </c>
      <c r="E104" s="201">
        <v>45658</v>
      </c>
      <c r="F104" s="200" t="s">
        <v>296</v>
      </c>
      <c r="G104" s="200" t="s">
        <v>411</v>
      </c>
      <c r="H104" s="200" t="s">
        <v>342</v>
      </c>
    </row>
    <row r="105" spans="1:9" ht="15" customHeight="1">
      <c r="A105" s="199">
        <v>45672</v>
      </c>
      <c r="B105" s="202" t="s">
        <v>414</v>
      </c>
      <c r="C105" s="200" t="s">
        <v>307</v>
      </c>
      <c r="D105" s="642">
        <v>-7000</v>
      </c>
      <c r="E105" s="201">
        <v>45658</v>
      </c>
      <c r="F105" s="200" t="s">
        <v>296</v>
      </c>
      <c r="G105" s="200" t="s">
        <v>415</v>
      </c>
      <c r="H105" s="200" t="s">
        <v>268</v>
      </c>
    </row>
    <row r="106" spans="1:9" ht="15" customHeight="1">
      <c r="A106" s="199">
        <v>45305</v>
      </c>
      <c r="B106" s="202" t="s">
        <v>416</v>
      </c>
      <c r="C106" s="200" t="s">
        <v>307</v>
      </c>
      <c r="D106" s="642">
        <v>-11300</v>
      </c>
      <c r="E106" s="201">
        <v>45658</v>
      </c>
      <c r="F106" s="655" t="s">
        <v>395</v>
      </c>
      <c r="G106" s="531" t="s">
        <v>395</v>
      </c>
      <c r="H106" s="200" t="s">
        <v>268</v>
      </c>
    </row>
    <row r="107" spans="1:9" ht="15" customHeight="1">
      <c r="A107" s="199">
        <v>45305</v>
      </c>
      <c r="B107" s="202" t="s">
        <v>417</v>
      </c>
      <c r="C107" s="200" t="s">
        <v>307</v>
      </c>
      <c r="D107" s="642">
        <v>-16000</v>
      </c>
      <c r="E107" s="201">
        <v>45658</v>
      </c>
      <c r="F107" s="655" t="s">
        <v>395</v>
      </c>
      <c r="G107" s="531" t="s">
        <v>395</v>
      </c>
      <c r="H107" s="200" t="s">
        <v>268</v>
      </c>
    </row>
    <row r="108" spans="1:9" ht="15" customHeight="1">
      <c r="A108" s="199">
        <v>45665</v>
      </c>
      <c r="B108" s="202" t="s">
        <v>418</v>
      </c>
      <c r="C108" s="200" t="s">
        <v>307</v>
      </c>
      <c r="D108" s="642">
        <v>-15000</v>
      </c>
      <c r="E108" s="201">
        <v>45658</v>
      </c>
      <c r="F108" s="200" t="s">
        <v>296</v>
      </c>
      <c r="G108" s="200" t="s">
        <v>337</v>
      </c>
      <c r="H108" s="200" t="s">
        <v>326</v>
      </c>
    </row>
    <row r="109" spans="1:9" ht="15" customHeight="1">
      <c r="A109" s="199">
        <v>45665</v>
      </c>
      <c r="B109" s="202" t="s">
        <v>419</v>
      </c>
      <c r="C109" s="200" t="s">
        <v>307</v>
      </c>
      <c r="D109" s="642">
        <v>-50000</v>
      </c>
      <c r="E109" s="201">
        <v>45658</v>
      </c>
      <c r="F109" s="200" t="s">
        <v>296</v>
      </c>
      <c r="G109" s="200" t="s">
        <v>337</v>
      </c>
      <c r="H109" s="200" t="s">
        <v>326</v>
      </c>
    </row>
    <row r="110" spans="1:9" ht="15" customHeight="1">
      <c r="A110" s="199">
        <v>45665</v>
      </c>
      <c r="B110" s="202" t="s">
        <v>420</v>
      </c>
      <c r="C110" s="200" t="s">
        <v>307</v>
      </c>
      <c r="D110" s="642">
        <v>-38999.11</v>
      </c>
      <c r="E110" s="201">
        <v>45658</v>
      </c>
      <c r="F110" s="200" t="s">
        <v>296</v>
      </c>
      <c r="G110" s="200" t="s">
        <v>337</v>
      </c>
      <c r="H110" s="200" t="s">
        <v>421</v>
      </c>
    </row>
    <row r="111" spans="1:9" ht="15" customHeight="1">
      <c r="A111" s="199">
        <v>45666</v>
      </c>
      <c r="B111" s="202" t="s">
        <v>422</v>
      </c>
      <c r="C111" s="200" t="s">
        <v>307</v>
      </c>
      <c r="D111" s="642">
        <v>-25000</v>
      </c>
      <c r="E111" s="201">
        <v>45658</v>
      </c>
      <c r="F111" s="200" t="s">
        <v>296</v>
      </c>
      <c r="G111" s="200" t="s">
        <v>337</v>
      </c>
      <c r="H111" s="200" t="s">
        <v>421</v>
      </c>
    </row>
    <row r="112" spans="1:9" ht="15" customHeight="1">
      <c r="A112" s="199">
        <v>45666</v>
      </c>
      <c r="B112" s="202" t="s">
        <v>423</v>
      </c>
      <c r="C112" s="200" t="s">
        <v>307</v>
      </c>
      <c r="D112" s="642">
        <v>-44625</v>
      </c>
      <c r="E112" s="201">
        <v>45658</v>
      </c>
      <c r="F112" s="200" t="s">
        <v>296</v>
      </c>
      <c r="G112" s="200" t="s">
        <v>337</v>
      </c>
      <c r="H112" s="200" t="s">
        <v>421</v>
      </c>
    </row>
    <row r="113" spans="1:8" ht="15" customHeight="1">
      <c r="A113" s="199">
        <v>45666</v>
      </c>
      <c r="B113" s="202" t="s">
        <v>424</v>
      </c>
      <c r="C113" s="200" t="s">
        <v>307</v>
      </c>
      <c r="D113" s="642">
        <v>-36000</v>
      </c>
      <c r="E113" s="201">
        <v>45658</v>
      </c>
      <c r="F113" s="200" t="s">
        <v>296</v>
      </c>
      <c r="G113" s="200" t="s">
        <v>337</v>
      </c>
      <c r="H113" s="200" t="s">
        <v>421</v>
      </c>
    </row>
    <row r="114" spans="1:8" ht="15" customHeight="1">
      <c r="A114" s="199">
        <v>45667</v>
      </c>
      <c r="B114" s="202" t="s">
        <v>425</v>
      </c>
      <c r="C114" s="200" t="s">
        <v>307</v>
      </c>
      <c r="D114" s="642">
        <v>-10000</v>
      </c>
      <c r="E114" s="201">
        <v>45658</v>
      </c>
      <c r="F114" s="200" t="s">
        <v>296</v>
      </c>
      <c r="G114" s="200" t="s">
        <v>337</v>
      </c>
      <c r="H114" s="200" t="s">
        <v>326</v>
      </c>
    </row>
    <row r="115" spans="1:8" ht="15" customHeight="1">
      <c r="A115" s="199">
        <v>45667</v>
      </c>
      <c r="B115" s="202" t="s">
        <v>426</v>
      </c>
      <c r="C115" s="200" t="s">
        <v>307</v>
      </c>
      <c r="D115" s="642">
        <v>-25000</v>
      </c>
      <c r="E115" s="201">
        <v>45658</v>
      </c>
      <c r="F115" s="200" t="s">
        <v>296</v>
      </c>
      <c r="G115" s="200" t="s">
        <v>337</v>
      </c>
      <c r="H115" s="200" t="s">
        <v>326</v>
      </c>
    </row>
    <row r="116" spans="1:8" ht="15" customHeight="1">
      <c r="A116" s="199">
        <v>45667</v>
      </c>
      <c r="B116" s="202" t="s">
        <v>427</v>
      </c>
      <c r="C116" s="200" t="s">
        <v>307</v>
      </c>
      <c r="D116" s="642">
        <v>-20000</v>
      </c>
      <c r="E116" s="201">
        <v>45658</v>
      </c>
      <c r="F116" s="200" t="s">
        <v>296</v>
      </c>
      <c r="G116" s="200" t="s">
        <v>337</v>
      </c>
      <c r="H116" s="200" t="s">
        <v>326</v>
      </c>
    </row>
    <row r="117" spans="1:8" ht="15" customHeight="1">
      <c r="A117" s="199">
        <v>45667</v>
      </c>
      <c r="B117" s="202" t="s">
        <v>424</v>
      </c>
      <c r="C117" s="200" t="s">
        <v>307</v>
      </c>
      <c r="D117" s="642">
        <v>-60000</v>
      </c>
      <c r="E117" s="201">
        <v>45658</v>
      </c>
      <c r="F117" s="200" t="s">
        <v>296</v>
      </c>
      <c r="G117" s="200" t="s">
        <v>337</v>
      </c>
      <c r="H117" s="200" t="s">
        <v>421</v>
      </c>
    </row>
    <row r="118" spans="1:8" ht="15" customHeight="1">
      <c r="A118" s="199">
        <v>45667</v>
      </c>
      <c r="B118" s="202" t="s">
        <v>428</v>
      </c>
      <c r="C118" s="200" t="s">
        <v>307</v>
      </c>
      <c r="D118" s="642">
        <v>-69300</v>
      </c>
      <c r="E118" s="201">
        <v>45658</v>
      </c>
      <c r="F118" s="200" t="s">
        <v>296</v>
      </c>
      <c r="G118" s="200" t="s">
        <v>44</v>
      </c>
      <c r="H118" s="200" t="s">
        <v>429</v>
      </c>
    </row>
    <row r="119" spans="1:8" ht="15" customHeight="1">
      <c r="A119" s="199">
        <v>45665</v>
      </c>
      <c r="B119" s="202" t="s">
        <v>430</v>
      </c>
      <c r="C119" s="200" t="s">
        <v>307</v>
      </c>
      <c r="D119" s="642">
        <v>-22999.73</v>
      </c>
      <c r="E119" s="201">
        <v>45658</v>
      </c>
      <c r="F119" s="200" t="s">
        <v>297</v>
      </c>
      <c r="G119" s="200" t="s">
        <v>75</v>
      </c>
      <c r="H119" s="200" t="s">
        <v>350</v>
      </c>
    </row>
    <row r="120" spans="1:8" ht="15" customHeight="1">
      <c r="A120" s="199">
        <v>45665</v>
      </c>
      <c r="B120" s="202" t="s">
        <v>431</v>
      </c>
      <c r="C120" s="200" t="s">
        <v>307</v>
      </c>
      <c r="D120" s="642">
        <v>-15200</v>
      </c>
      <c r="E120" s="201">
        <v>45658</v>
      </c>
      <c r="F120" s="200" t="s">
        <v>256</v>
      </c>
      <c r="G120" s="200" t="s">
        <v>256</v>
      </c>
      <c r="H120" s="200" t="s">
        <v>263</v>
      </c>
    </row>
    <row r="121" spans="1:8" ht="15" customHeight="1">
      <c r="A121" s="199">
        <v>45665</v>
      </c>
      <c r="B121" s="202" t="s">
        <v>432</v>
      </c>
      <c r="C121" s="200" t="s">
        <v>307</v>
      </c>
      <c r="D121" s="642">
        <v>-36999.440000000002</v>
      </c>
      <c r="E121" s="201">
        <v>45658</v>
      </c>
      <c r="F121" s="200" t="s">
        <v>297</v>
      </c>
      <c r="G121" s="200" t="s">
        <v>75</v>
      </c>
      <c r="H121" s="200" t="s">
        <v>350</v>
      </c>
    </row>
    <row r="122" spans="1:8" ht="15" customHeight="1">
      <c r="A122" s="199">
        <v>45665</v>
      </c>
      <c r="B122" s="202" t="s">
        <v>433</v>
      </c>
      <c r="C122" s="200" t="s">
        <v>307</v>
      </c>
      <c r="D122" s="642">
        <v>-30000</v>
      </c>
      <c r="E122" s="201">
        <v>45658</v>
      </c>
      <c r="F122" s="200" t="s">
        <v>297</v>
      </c>
      <c r="G122" s="200" t="s">
        <v>75</v>
      </c>
      <c r="H122" s="200" t="s">
        <v>346</v>
      </c>
    </row>
    <row r="123" spans="1:8" ht="15" customHeight="1">
      <c r="A123" s="199">
        <v>45665</v>
      </c>
      <c r="B123" s="202" t="s">
        <v>434</v>
      </c>
      <c r="C123" s="200" t="s">
        <v>307</v>
      </c>
      <c r="D123" s="642">
        <v>-45000</v>
      </c>
      <c r="E123" s="201">
        <v>45658</v>
      </c>
      <c r="F123" s="200" t="s">
        <v>297</v>
      </c>
      <c r="G123" s="200" t="s">
        <v>75</v>
      </c>
      <c r="H123" s="200" t="s">
        <v>346</v>
      </c>
    </row>
    <row r="124" spans="1:8" ht="15" customHeight="1">
      <c r="A124" s="199">
        <v>45666</v>
      </c>
      <c r="B124" s="202" t="s">
        <v>431</v>
      </c>
      <c r="C124" s="200" t="s">
        <v>307</v>
      </c>
      <c r="D124" s="642">
        <v>-15200</v>
      </c>
      <c r="E124" s="201">
        <v>45658</v>
      </c>
      <c r="F124" s="200" t="s">
        <v>296</v>
      </c>
      <c r="G124" s="200" t="s">
        <v>328</v>
      </c>
      <c r="H124" s="200" t="s">
        <v>350</v>
      </c>
    </row>
    <row r="125" spans="1:8" ht="15" customHeight="1">
      <c r="A125" s="199">
        <v>45666</v>
      </c>
      <c r="B125" s="202" t="s">
        <v>435</v>
      </c>
      <c r="C125" s="200" t="s">
        <v>307</v>
      </c>
      <c r="D125" s="642">
        <v>-128600</v>
      </c>
      <c r="E125" s="201">
        <v>45658</v>
      </c>
      <c r="F125" s="200" t="s">
        <v>296</v>
      </c>
      <c r="G125" s="200" t="s">
        <v>328</v>
      </c>
      <c r="H125" s="200" t="s">
        <v>350</v>
      </c>
    </row>
    <row r="126" spans="1:8" ht="15" customHeight="1">
      <c r="A126" s="199">
        <v>45666</v>
      </c>
      <c r="B126" s="202" t="s">
        <v>436</v>
      </c>
      <c r="C126" s="200" t="s">
        <v>307</v>
      </c>
      <c r="D126" s="642">
        <v>-9500</v>
      </c>
      <c r="E126" s="201">
        <v>45658</v>
      </c>
      <c r="F126" s="200" t="s">
        <v>296</v>
      </c>
      <c r="G126" s="200" t="s">
        <v>390</v>
      </c>
      <c r="H126" s="200" t="s">
        <v>350</v>
      </c>
    </row>
    <row r="127" spans="1:8" ht="15" customHeight="1">
      <c r="A127" s="199">
        <v>45667</v>
      </c>
      <c r="B127" s="202" t="s">
        <v>437</v>
      </c>
      <c r="C127" s="200" t="s">
        <v>307</v>
      </c>
      <c r="D127" s="642">
        <v>-83200</v>
      </c>
      <c r="E127" s="201">
        <v>45658</v>
      </c>
      <c r="F127" s="200" t="s">
        <v>296</v>
      </c>
      <c r="G127" s="200" t="s">
        <v>328</v>
      </c>
      <c r="H127" s="200" t="s">
        <v>350</v>
      </c>
    </row>
    <row r="128" spans="1:8" ht="15" customHeight="1">
      <c r="A128" s="199">
        <v>45667</v>
      </c>
      <c r="B128" s="202" t="s">
        <v>438</v>
      </c>
      <c r="C128" s="200" t="s">
        <v>307</v>
      </c>
      <c r="D128" s="642">
        <v>-90000</v>
      </c>
      <c r="E128" s="201">
        <v>45658</v>
      </c>
      <c r="F128" s="200" t="s">
        <v>297</v>
      </c>
      <c r="G128" s="200" t="s">
        <v>75</v>
      </c>
      <c r="H128" s="200" t="s">
        <v>350</v>
      </c>
    </row>
    <row r="129" spans="1:8" ht="15" customHeight="1">
      <c r="A129" s="199">
        <v>45667</v>
      </c>
      <c r="B129" s="202" t="s">
        <v>436</v>
      </c>
      <c r="C129" s="200" t="s">
        <v>307</v>
      </c>
      <c r="D129" s="642">
        <v>-6800</v>
      </c>
      <c r="E129" s="201">
        <v>45658</v>
      </c>
      <c r="F129" s="200" t="s">
        <v>296</v>
      </c>
      <c r="G129" s="531" t="s">
        <v>392</v>
      </c>
      <c r="H129" s="200" t="s">
        <v>350</v>
      </c>
    </row>
    <row r="130" spans="1:8" ht="15" customHeight="1">
      <c r="A130" s="199">
        <v>45665</v>
      </c>
      <c r="B130" s="202" t="s">
        <v>439</v>
      </c>
      <c r="C130" s="200" t="s">
        <v>307</v>
      </c>
      <c r="D130" s="642">
        <v>-653000</v>
      </c>
      <c r="E130" s="201">
        <v>45658</v>
      </c>
      <c r="F130" s="200" t="s">
        <v>296</v>
      </c>
      <c r="G130" s="200" t="s">
        <v>341</v>
      </c>
      <c r="H130" s="200" t="s">
        <v>350</v>
      </c>
    </row>
    <row r="131" spans="1:8" ht="15" customHeight="1">
      <c r="A131" s="199">
        <v>45670</v>
      </c>
      <c r="B131" s="202" t="s">
        <v>440</v>
      </c>
      <c r="C131" s="200" t="s">
        <v>307</v>
      </c>
      <c r="D131" s="642">
        <v>-135000</v>
      </c>
      <c r="E131" s="201">
        <v>45658</v>
      </c>
      <c r="F131" s="200" t="s">
        <v>256</v>
      </c>
      <c r="G131" s="200" t="s">
        <v>256</v>
      </c>
      <c r="H131" s="200" t="s">
        <v>263</v>
      </c>
    </row>
    <row r="132" spans="1:8" ht="15" customHeight="1">
      <c r="A132" s="199">
        <v>45665</v>
      </c>
      <c r="B132" s="202" t="s">
        <v>441</v>
      </c>
      <c r="C132" s="200" t="s">
        <v>307</v>
      </c>
      <c r="D132" s="642">
        <v>-20000</v>
      </c>
      <c r="E132" s="201">
        <v>45658</v>
      </c>
      <c r="F132" s="200" t="s">
        <v>296</v>
      </c>
      <c r="G132" s="200" t="s">
        <v>44</v>
      </c>
      <c r="H132" s="200" t="s">
        <v>442</v>
      </c>
    </row>
    <row r="133" spans="1:8" ht="15" customHeight="1">
      <c r="A133" s="199">
        <v>45665</v>
      </c>
      <c r="B133" s="202" t="s">
        <v>443</v>
      </c>
      <c r="C133" s="200" t="s">
        <v>307</v>
      </c>
      <c r="D133" s="642">
        <v>-7000</v>
      </c>
      <c r="E133" s="201">
        <v>45658</v>
      </c>
      <c r="F133" s="200" t="s">
        <v>296</v>
      </c>
      <c r="G133" s="200" t="s">
        <v>44</v>
      </c>
      <c r="H133" s="200" t="s">
        <v>326</v>
      </c>
    </row>
    <row r="134" spans="1:8" ht="15" customHeight="1">
      <c r="A134" s="199">
        <v>45665</v>
      </c>
      <c r="B134" s="202" t="s">
        <v>444</v>
      </c>
      <c r="C134" s="200" t="s">
        <v>307</v>
      </c>
      <c r="D134" s="642">
        <v>-25000</v>
      </c>
      <c r="E134" s="201">
        <v>45658</v>
      </c>
      <c r="F134" s="200" t="s">
        <v>296</v>
      </c>
      <c r="G134" s="200" t="s">
        <v>321</v>
      </c>
      <c r="H134" s="200" t="s">
        <v>326</v>
      </c>
    </row>
    <row r="135" spans="1:8" ht="15" customHeight="1">
      <c r="A135" s="199">
        <v>45665</v>
      </c>
      <c r="B135" s="202" t="s">
        <v>445</v>
      </c>
      <c r="C135" s="200" t="s">
        <v>307</v>
      </c>
      <c r="D135" s="642">
        <v>-5000</v>
      </c>
      <c r="E135" s="201">
        <v>45658</v>
      </c>
      <c r="F135" s="200" t="s">
        <v>296</v>
      </c>
      <c r="G135" s="200" t="s">
        <v>44</v>
      </c>
      <c r="H135" s="200" t="s">
        <v>446</v>
      </c>
    </row>
    <row r="136" spans="1:8" ht="15" customHeight="1">
      <c r="A136" s="199">
        <v>45665</v>
      </c>
      <c r="B136" s="202" t="s">
        <v>445</v>
      </c>
      <c r="C136" s="200" t="s">
        <v>307</v>
      </c>
      <c r="D136" s="642">
        <v>-5000</v>
      </c>
      <c r="E136" s="201">
        <v>45658</v>
      </c>
      <c r="F136" s="200" t="s">
        <v>296</v>
      </c>
      <c r="G136" s="200" t="s">
        <v>321</v>
      </c>
      <c r="H136" s="200" t="s">
        <v>446</v>
      </c>
    </row>
    <row r="137" spans="1:8" ht="15" customHeight="1">
      <c r="A137" s="199">
        <v>45670</v>
      </c>
      <c r="B137" s="202" t="s">
        <v>447</v>
      </c>
      <c r="C137" s="200" t="s">
        <v>307</v>
      </c>
      <c r="D137" s="642">
        <v>-19500</v>
      </c>
      <c r="E137" s="201">
        <v>45658</v>
      </c>
      <c r="F137" s="200" t="s">
        <v>296</v>
      </c>
      <c r="G137" s="200" t="s">
        <v>328</v>
      </c>
      <c r="H137" s="200" t="s">
        <v>268</v>
      </c>
    </row>
    <row r="138" spans="1:8" ht="15" customHeight="1">
      <c r="A138" s="199">
        <v>45670</v>
      </c>
      <c r="B138" s="202" t="s">
        <v>448</v>
      </c>
      <c r="C138" s="200" t="s">
        <v>307</v>
      </c>
      <c r="D138" s="642">
        <v>-42000</v>
      </c>
      <c r="E138" s="201">
        <v>45658</v>
      </c>
      <c r="F138" s="200" t="s">
        <v>256</v>
      </c>
      <c r="G138" s="200" t="s">
        <v>256</v>
      </c>
      <c r="H138" s="200" t="s">
        <v>269</v>
      </c>
    </row>
    <row r="139" spans="1:8" ht="15" customHeight="1">
      <c r="A139" s="199">
        <v>45646</v>
      </c>
      <c r="B139" s="202" t="s">
        <v>449</v>
      </c>
      <c r="C139" s="200" t="s">
        <v>307</v>
      </c>
      <c r="D139" s="642">
        <v>-12000</v>
      </c>
      <c r="E139" s="201">
        <v>45658</v>
      </c>
      <c r="F139" s="200" t="s">
        <v>297</v>
      </c>
      <c r="G139" s="200" t="s">
        <v>311</v>
      </c>
      <c r="H139" s="200" t="s">
        <v>268</v>
      </c>
    </row>
    <row r="140" spans="1:8" ht="15" customHeight="1">
      <c r="A140" s="199">
        <v>45646</v>
      </c>
      <c r="B140" s="202" t="s">
        <v>450</v>
      </c>
      <c r="C140" s="200" t="s">
        <v>307</v>
      </c>
      <c r="D140" s="642">
        <v>-14000</v>
      </c>
      <c r="E140" s="201">
        <v>45658</v>
      </c>
      <c r="F140" s="200" t="s">
        <v>297</v>
      </c>
      <c r="G140" s="200" t="s">
        <v>311</v>
      </c>
      <c r="H140" s="200" t="s">
        <v>268</v>
      </c>
    </row>
    <row r="141" spans="1:8" ht="15" customHeight="1">
      <c r="A141" s="199">
        <v>45665</v>
      </c>
      <c r="B141" s="202" t="s">
        <v>451</v>
      </c>
      <c r="C141" s="200" t="s">
        <v>307</v>
      </c>
      <c r="D141" s="642">
        <v>-60000</v>
      </c>
      <c r="E141" s="201">
        <v>45658</v>
      </c>
      <c r="F141" s="200" t="s">
        <v>452</v>
      </c>
      <c r="G141" s="200" t="s">
        <v>453</v>
      </c>
      <c r="H141" s="200" t="s">
        <v>97</v>
      </c>
    </row>
    <row r="142" spans="1:8" ht="15" customHeight="1">
      <c r="A142" s="199">
        <v>45665</v>
      </c>
      <c r="B142" s="202" t="s">
        <v>454</v>
      </c>
      <c r="C142" s="200" t="s">
        <v>307</v>
      </c>
      <c r="D142" s="642">
        <v>-137000</v>
      </c>
      <c r="E142" s="201">
        <v>45658</v>
      </c>
      <c r="F142" s="200" t="s">
        <v>452</v>
      </c>
      <c r="G142" s="200" t="s">
        <v>453</v>
      </c>
      <c r="H142" s="200" t="s">
        <v>97</v>
      </c>
    </row>
    <row r="143" spans="1:8" ht="15" customHeight="1">
      <c r="A143" s="199">
        <v>45666</v>
      </c>
      <c r="B143" s="202" t="s">
        <v>455</v>
      </c>
      <c r="C143" s="200" t="s">
        <v>307</v>
      </c>
      <c r="D143" s="642">
        <v>-24000</v>
      </c>
      <c r="E143" s="201">
        <v>45658</v>
      </c>
      <c r="F143" s="200" t="s">
        <v>452</v>
      </c>
      <c r="G143" s="200" t="s">
        <v>453</v>
      </c>
      <c r="H143" s="200" t="s">
        <v>97</v>
      </c>
    </row>
    <row r="144" spans="1:8" ht="15" customHeight="1">
      <c r="A144" s="199">
        <v>45666</v>
      </c>
      <c r="B144" s="202" t="s">
        <v>456</v>
      </c>
      <c r="C144" s="200" t="s">
        <v>307</v>
      </c>
      <c r="D144" s="642">
        <v>-20000</v>
      </c>
      <c r="E144" s="201">
        <v>45658</v>
      </c>
      <c r="F144" s="200" t="s">
        <v>452</v>
      </c>
      <c r="G144" s="200" t="s">
        <v>453</v>
      </c>
      <c r="H144" s="200" t="s">
        <v>97</v>
      </c>
    </row>
    <row r="145" spans="1:8" ht="15" customHeight="1">
      <c r="A145" s="199">
        <v>45666</v>
      </c>
      <c r="B145" s="202" t="s">
        <v>457</v>
      </c>
      <c r="C145" s="200" t="s">
        <v>307</v>
      </c>
      <c r="D145" s="642">
        <v>-6600</v>
      </c>
      <c r="E145" s="201">
        <v>45658</v>
      </c>
      <c r="F145" s="200" t="s">
        <v>452</v>
      </c>
      <c r="G145" s="200" t="s">
        <v>453</v>
      </c>
      <c r="H145" s="200" t="s">
        <v>97</v>
      </c>
    </row>
    <row r="146" spans="1:8" ht="15" customHeight="1">
      <c r="A146" s="199">
        <v>45666</v>
      </c>
      <c r="B146" s="202" t="s">
        <v>457</v>
      </c>
      <c r="C146" s="200" t="s">
        <v>307</v>
      </c>
      <c r="D146" s="642">
        <v>-6600</v>
      </c>
      <c r="E146" s="201">
        <v>45658</v>
      </c>
      <c r="F146" s="200" t="s">
        <v>452</v>
      </c>
      <c r="G146" s="200" t="s">
        <v>453</v>
      </c>
      <c r="H146" s="200" t="s">
        <v>97</v>
      </c>
    </row>
    <row r="147" spans="1:8" ht="15" customHeight="1">
      <c r="A147" s="199">
        <v>45666</v>
      </c>
      <c r="B147" s="202" t="s">
        <v>458</v>
      </c>
      <c r="C147" s="200" t="s">
        <v>307</v>
      </c>
      <c r="D147" s="642">
        <v>-70000</v>
      </c>
      <c r="E147" s="201">
        <v>45658</v>
      </c>
      <c r="F147" s="200" t="s">
        <v>452</v>
      </c>
      <c r="G147" s="200" t="s">
        <v>453</v>
      </c>
      <c r="H147" s="200" t="s">
        <v>97</v>
      </c>
    </row>
    <row r="148" spans="1:8" ht="15" customHeight="1">
      <c r="A148" s="199">
        <v>45667</v>
      </c>
      <c r="B148" s="202" t="s">
        <v>459</v>
      </c>
      <c r="C148" s="200" t="s">
        <v>307</v>
      </c>
      <c r="D148" s="642">
        <v>-30000</v>
      </c>
      <c r="E148" s="201">
        <v>45658</v>
      </c>
      <c r="F148" s="200" t="s">
        <v>452</v>
      </c>
      <c r="G148" s="200" t="s">
        <v>453</v>
      </c>
      <c r="H148" s="200" t="s">
        <v>97</v>
      </c>
    </row>
    <row r="149" spans="1:8" ht="15" customHeight="1">
      <c r="A149" s="199">
        <v>45665</v>
      </c>
      <c r="B149" s="202" t="s">
        <v>460</v>
      </c>
      <c r="C149" s="200" t="s">
        <v>307</v>
      </c>
      <c r="D149" s="642">
        <v>-240000</v>
      </c>
      <c r="E149" s="201">
        <v>45658</v>
      </c>
      <c r="F149" s="200" t="s">
        <v>452</v>
      </c>
      <c r="G149" s="200" t="s">
        <v>453</v>
      </c>
      <c r="H149" s="200" t="s">
        <v>97</v>
      </c>
    </row>
    <row r="150" spans="1:8" ht="15" customHeight="1">
      <c r="A150" s="199">
        <v>45671</v>
      </c>
      <c r="B150" s="202" t="s">
        <v>461</v>
      </c>
      <c r="C150" s="200" t="s">
        <v>307</v>
      </c>
      <c r="D150" s="642">
        <v>-60000</v>
      </c>
      <c r="E150" s="201">
        <v>45658</v>
      </c>
      <c r="F150" s="200" t="s">
        <v>297</v>
      </c>
      <c r="G150" s="200" t="s">
        <v>69</v>
      </c>
      <c r="H150" s="200" t="s">
        <v>268</v>
      </c>
    </row>
    <row r="151" spans="1:8" ht="15" customHeight="1">
      <c r="A151" s="199">
        <v>45671</v>
      </c>
      <c r="B151" s="202" t="s">
        <v>461</v>
      </c>
      <c r="C151" s="200" t="s">
        <v>307</v>
      </c>
      <c r="D151" s="642">
        <v>-74000</v>
      </c>
      <c r="E151" s="201">
        <v>45658</v>
      </c>
      <c r="F151" s="200" t="s">
        <v>452</v>
      </c>
      <c r="G151" s="531" t="s">
        <v>392</v>
      </c>
      <c r="H151" s="200" t="s">
        <v>268</v>
      </c>
    </row>
    <row r="152" spans="1:8" ht="15" customHeight="1">
      <c r="A152" s="199">
        <v>45671</v>
      </c>
      <c r="B152" s="202" t="s">
        <v>461</v>
      </c>
      <c r="C152" s="200" t="s">
        <v>307</v>
      </c>
      <c r="D152" s="642">
        <v>-22000</v>
      </c>
      <c r="E152" s="201">
        <v>45658</v>
      </c>
      <c r="F152" s="200" t="s">
        <v>452</v>
      </c>
      <c r="G152" s="200" t="s">
        <v>44</v>
      </c>
      <c r="H152" s="200" t="s">
        <v>326</v>
      </c>
    </row>
    <row r="153" spans="1:8" ht="15" customHeight="1">
      <c r="A153" s="199">
        <v>45671</v>
      </c>
      <c r="B153" s="202" t="s">
        <v>461</v>
      </c>
      <c r="C153" s="200" t="s">
        <v>307</v>
      </c>
      <c r="D153" s="642">
        <v>-125080</v>
      </c>
      <c r="E153" s="201">
        <v>45658</v>
      </c>
      <c r="F153" s="200" t="s">
        <v>297</v>
      </c>
      <c r="G153" s="200" t="s">
        <v>75</v>
      </c>
      <c r="H153" s="200" t="s">
        <v>268</v>
      </c>
    </row>
    <row r="154" spans="1:8" ht="15" customHeight="1">
      <c r="A154" s="199">
        <v>45671</v>
      </c>
      <c r="B154" s="202" t="s">
        <v>461</v>
      </c>
      <c r="C154" s="200" t="s">
        <v>307</v>
      </c>
      <c r="D154" s="642">
        <v>-46000</v>
      </c>
      <c r="E154" s="201">
        <v>45658</v>
      </c>
      <c r="F154" s="200" t="s">
        <v>452</v>
      </c>
      <c r="G154" s="200" t="s">
        <v>321</v>
      </c>
      <c r="H154" s="200" t="s">
        <v>326</v>
      </c>
    </row>
    <row r="155" spans="1:8" ht="15" customHeight="1">
      <c r="A155" s="199">
        <v>45671</v>
      </c>
      <c r="B155" s="202" t="s">
        <v>461</v>
      </c>
      <c r="C155" s="200" t="s">
        <v>307</v>
      </c>
      <c r="D155" s="642">
        <v>-103000</v>
      </c>
      <c r="E155" s="201">
        <v>45658</v>
      </c>
      <c r="F155" s="200" t="s">
        <v>452</v>
      </c>
      <c r="G155" s="200" t="s">
        <v>328</v>
      </c>
      <c r="H155" s="200" t="s">
        <v>268</v>
      </c>
    </row>
    <row r="156" spans="1:8" ht="15" customHeight="1">
      <c r="A156" s="199">
        <v>45671</v>
      </c>
      <c r="B156" s="202" t="s">
        <v>461</v>
      </c>
      <c r="C156" s="200" t="s">
        <v>307</v>
      </c>
      <c r="D156" s="642">
        <v>-28000</v>
      </c>
      <c r="E156" s="201">
        <v>45658</v>
      </c>
      <c r="F156" s="200" t="s">
        <v>256</v>
      </c>
      <c r="G156" s="200" t="s">
        <v>256</v>
      </c>
      <c r="H156" s="200" t="s">
        <v>268</v>
      </c>
    </row>
    <row r="157" spans="1:8" ht="15" customHeight="1">
      <c r="A157" s="199">
        <v>45671</v>
      </c>
      <c r="B157" s="202" t="s">
        <v>461</v>
      </c>
      <c r="C157" s="200" t="s">
        <v>307</v>
      </c>
      <c r="D157" s="642">
        <v>-22000</v>
      </c>
      <c r="E157" s="201">
        <v>45658</v>
      </c>
      <c r="F157" s="200" t="s">
        <v>452</v>
      </c>
      <c r="G157" s="200" t="s">
        <v>337</v>
      </c>
      <c r="H157" s="200" t="s">
        <v>326</v>
      </c>
    </row>
    <row r="158" spans="1:8" ht="15" customHeight="1">
      <c r="A158" s="199">
        <v>45671</v>
      </c>
      <c r="B158" s="202" t="s">
        <v>461</v>
      </c>
      <c r="C158" s="200" t="s">
        <v>307</v>
      </c>
      <c r="D158" s="642">
        <v>-7000</v>
      </c>
      <c r="E158" s="201">
        <v>45658</v>
      </c>
      <c r="F158" s="200" t="s">
        <v>452</v>
      </c>
      <c r="G158" s="200" t="s">
        <v>390</v>
      </c>
      <c r="H158" s="200" t="s">
        <v>268</v>
      </c>
    </row>
    <row r="159" spans="1:8" ht="15" customHeight="1">
      <c r="A159" s="199">
        <v>45673</v>
      </c>
      <c r="B159" s="202" t="s">
        <v>462</v>
      </c>
      <c r="C159" s="200" t="s">
        <v>307</v>
      </c>
      <c r="D159" s="642">
        <v>-37700</v>
      </c>
      <c r="E159" s="201">
        <v>45658</v>
      </c>
      <c r="F159" s="200" t="s">
        <v>452</v>
      </c>
      <c r="G159" s="200" t="s">
        <v>321</v>
      </c>
      <c r="H159" s="200" t="s">
        <v>326</v>
      </c>
    </row>
    <row r="160" spans="1:8" ht="15" customHeight="1">
      <c r="A160" s="199">
        <v>45670</v>
      </c>
      <c r="B160" s="202" t="s">
        <v>463</v>
      </c>
      <c r="C160" s="200" t="s">
        <v>307</v>
      </c>
      <c r="D160" s="642">
        <v>-10000</v>
      </c>
      <c r="E160" s="201">
        <v>45658</v>
      </c>
      <c r="F160" s="200" t="s">
        <v>452</v>
      </c>
      <c r="G160" s="200" t="s">
        <v>453</v>
      </c>
      <c r="H160" s="200" t="s">
        <v>97</v>
      </c>
    </row>
    <row r="161" spans="1:8" ht="15" customHeight="1">
      <c r="A161" s="199">
        <v>45670</v>
      </c>
      <c r="B161" s="202" t="s">
        <v>464</v>
      </c>
      <c r="C161" s="200" t="s">
        <v>307</v>
      </c>
      <c r="D161" s="642">
        <v>-12000</v>
      </c>
      <c r="E161" s="201">
        <v>45658</v>
      </c>
      <c r="F161" s="200" t="s">
        <v>452</v>
      </c>
      <c r="G161" s="200" t="s">
        <v>453</v>
      </c>
      <c r="H161" s="200" t="s">
        <v>97</v>
      </c>
    </row>
    <row r="162" spans="1:8" ht="15" customHeight="1">
      <c r="A162" s="199">
        <v>45670</v>
      </c>
      <c r="B162" s="202" t="s">
        <v>465</v>
      </c>
      <c r="C162" s="200" t="s">
        <v>307</v>
      </c>
      <c r="D162" s="642">
        <v>-11600</v>
      </c>
      <c r="E162" s="201">
        <v>45658</v>
      </c>
      <c r="F162" s="200" t="s">
        <v>452</v>
      </c>
      <c r="G162" s="200" t="s">
        <v>453</v>
      </c>
      <c r="H162" s="200" t="s">
        <v>97</v>
      </c>
    </row>
    <row r="163" spans="1:8" ht="15" customHeight="1">
      <c r="A163" s="199">
        <v>45670</v>
      </c>
      <c r="B163" s="202" t="s">
        <v>466</v>
      </c>
      <c r="C163" s="200" t="s">
        <v>307</v>
      </c>
      <c r="D163" s="642">
        <v>-20000</v>
      </c>
      <c r="E163" s="201">
        <v>45658</v>
      </c>
      <c r="F163" s="200" t="s">
        <v>452</v>
      </c>
      <c r="G163" s="200" t="s">
        <v>453</v>
      </c>
      <c r="H163" s="200" t="s">
        <v>97</v>
      </c>
    </row>
    <row r="164" spans="1:8" ht="15" customHeight="1">
      <c r="A164" s="199">
        <v>45670</v>
      </c>
      <c r="B164" s="202" t="s">
        <v>467</v>
      </c>
      <c r="C164" s="200" t="s">
        <v>307</v>
      </c>
      <c r="D164" s="642">
        <v>-8500</v>
      </c>
      <c r="E164" s="201">
        <v>45658</v>
      </c>
      <c r="F164" s="200" t="s">
        <v>452</v>
      </c>
      <c r="G164" s="200" t="s">
        <v>453</v>
      </c>
      <c r="H164" s="200" t="s">
        <v>97</v>
      </c>
    </row>
    <row r="165" spans="1:8" ht="15" customHeight="1">
      <c r="A165" s="199">
        <v>45671</v>
      </c>
      <c r="B165" s="202" t="s">
        <v>468</v>
      </c>
      <c r="C165" s="200" t="s">
        <v>307</v>
      </c>
      <c r="D165" s="642">
        <v>-10000</v>
      </c>
      <c r="E165" s="201">
        <v>45658</v>
      </c>
      <c r="F165" s="200" t="s">
        <v>452</v>
      </c>
      <c r="G165" s="200" t="s">
        <v>453</v>
      </c>
      <c r="H165" s="200" t="s">
        <v>97</v>
      </c>
    </row>
    <row r="166" spans="1:8" ht="15" customHeight="1">
      <c r="A166" s="199">
        <v>45671</v>
      </c>
      <c r="B166" s="202" t="s">
        <v>469</v>
      </c>
      <c r="C166" s="200" t="s">
        <v>307</v>
      </c>
      <c r="D166" s="642">
        <v>-7000</v>
      </c>
      <c r="E166" s="201">
        <v>45658</v>
      </c>
      <c r="F166" s="200" t="s">
        <v>452</v>
      </c>
      <c r="G166" s="200" t="s">
        <v>453</v>
      </c>
      <c r="H166" s="200" t="s">
        <v>97</v>
      </c>
    </row>
    <row r="167" spans="1:8" ht="15" customHeight="1">
      <c r="A167" s="199">
        <v>45671</v>
      </c>
      <c r="B167" s="202" t="s">
        <v>466</v>
      </c>
      <c r="C167" s="200" t="s">
        <v>307</v>
      </c>
      <c r="D167" s="642">
        <v>-30800</v>
      </c>
      <c r="E167" s="201">
        <v>45658</v>
      </c>
      <c r="F167" s="200" t="s">
        <v>452</v>
      </c>
      <c r="G167" s="200" t="s">
        <v>453</v>
      </c>
      <c r="H167" s="200" t="s">
        <v>97</v>
      </c>
    </row>
    <row r="168" spans="1:8" ht="15" customHeight="1">
      <c r="A168" s="199">
        <v>45671</v>
      </c>
      <c r="B168" s="202" t="s">
        <v>469</v>
      </c>
      <c r="C168" s="200" t="s">
        <v>307</v>
      </c>
      <c r="D168" s="642">
        <v>-7000</v>
      </c>
      <c r="E168" s="201">
        <v>45658</v>
      </c>
      <c r="F168" s="200" t="s">
        <v>452</v>
      </c>
      <c r="G168" s="200" t="s">
        <v>453</v>
      </c>
      <c r="H168" s="200" t="s">
        <v>97</v>
      </c>
    </row>
    <row r="169" spans="1:8" ht="15" customHeight="1">
      <c r="A169" s="199">
        <v>45671</v>
      </c>
      <c r="B169" s="202" t="s">
        <v>467</v>
      </c>
      <c r="C169" s="200" t="s">
        <v>307</v>
      </c>
      <c r="D169" s="642">
        <v>-35000</v>
      </c>
      <c r="E169" s="201">
        <v>45658</v>
      </c>
      <c r="F169" s="200" t="s">
        <v>452</v>
      </c>
      <c r="G169" s="200" t="s">
        <v>453</v>
      </c>
      <c r="H169" s="200" t="s">
        <v>97</v>
      </c>
    </row>
    <row r="170" spans="1:8" ht="15" customHeight="1">
      <c r="A170" s="199">
        <v>45672</v>
      </c>
      <c r="B170" s="202" t="s">
        <v>470</v>
      </c>
      <c r="C170" s="200" t="s">
        <v>307</v>
      </c>
      <c r="D170" s="642">
        <v>-40000</v>
      </c>
      <c r="E170" s="201">
        <v>45658</v>
      </c>
      <c r="F170" s="200" t="s">
        <v>452</v>
      </c>
      <c r="G170" s="200" t="s">
        <v>453</v>
      </c>
      <c r="H170" s="200" t="s">
        <v>97</v>
      </c>
    </row>
    <row r="171" spans="1:8" ht="15" customHeight="1">
      <c r="A171" s="199">
        <v>45672</v>
      </c>
      <c r="B171" s="202" t="s">
        <v>471</v>
      </c>
      <c r="C171" s="200" t="s">
        <v>307</v>
      </c>
      <c r="D171" s="642">
        <v>-20000</v>
      </c>
      <c r="E171" s="201">
        <v>45658</v>
      </c>
      <c r="F171" s="200" t="s">
        <v>452</v>
      </c>
      <c r="G171" s="200" t="s">
        <v>453</v>
      </c>
      <c r="H171" s="200" t="s">
        <v>97</v>
      </c>
    </row>
    <row r="172" spans="1:8" ht="15" customHeight="1">
      <c r="A172" s="199">
        <v>45672</v>
      </c>
      <c r="B172" s="202" t="s">
        <v>472</v>
      </c>
      <c r="C172" s="200" t="s">
        <v>307</v>
      </c>
      <c r="D172" s="642">
        <v>-193000</v>
      </c>
      <c r="E172" s="201">
        <v>45658</v>
      </c>
      <c r="F172" s="200" t="s">
        <v>452</v>
      </c>
      <c r="G172" s="200" t="s">
        <v>453</v>
      </c>
      <c r="H172" s="200" t="s">
        <v>97</v>
      </c>
    </row>
    <row r="173" spans="1:8" ht="15" customHeight="1">
      <c r="A173" s="199">
        <v>45672</v>
      </c>
      <c r="B173" s="202" t="s">
        <v>473</v>
      </c>
      <c r="C173" s="200" t="s">
        <v>307</v>
      </c>
      <c r="D173" s="642">
        <v>-16000</v>
      </c>
      <c r="E173" s="201">
        <v>45658</v>
      </c>
      <c r="F173" s="200" t="s">
        <v>296</v>
      </c>
      <c r="G173" s="200" t="s">
        <v>411</v>
      </c>
      <c r="H173" s="200" t="s">
        <v>268</v>
      </c>
    </row>
    <row r="174" spans="1:8" ht="15" customHeight="1">
      <c r="A174" s="199">
        <v>45672</v>
      </c>
      <c r="B174" s="202" t="s">
        <v>474</v>
      </c>
      <c r="C174" s="200" t="s">
        <v>307</v>
      </c>
      <c r="D174" s="642">
        <v>-6500</v>
      </c>
      <c r="E174" s="201">
        <v>45658</v>
      </c>
      <c r="F174" s="200" t="s">
        <v>296</v>
      </c>
      <c r="G174" s="200" t="s">
        <v>411</v>
      </c>
      <c r="H174" s="200" t="s">
        <v>268</v>
      </c>
    </row>
    <row r="175" spans="1:8" ht="15" customHeight="1">
      <c r="A175" s="199">
        <v>45672</v>
      </c>
      <c r="B175" s="202" t="s">
        <v>475</v>
      </c>
      <c r="C175" s="200" t="s">
        <v>307</v>
      </c>
      <c r="D175" s="642">
        <v>-12900</v>
      </c>
      <c r="E175" s="201">
        <v>45658</v>
      </c>
      <c r="F175" s="200" t="s">
        <v>296</v>
      </c>
      <c r="G175" s="200" t="s">
        <v>411</v>
      </c>
      <c r="H175" s="200" t="s">
        <v>342</v>
      </c>
    </row>
    <row r="176" spans="1:8" ht="15" customHeight="1">
      <c r="A176" s="199">
        <v>45672</v>
      </c>
      <c r="B176" s="202" t="s">
        <v>476</v>
      </c>
      <c r="C176" s="200" t="s">
        <v>307</v>
      </c>
      <c r="D176" s="642">
        <v>-6500</v>
      </c>
      <c r="E176" s="201">
        <v>45658</v>
      </c>
      <c r="F176" s="200" t="s">
        <v>296</v>
      </c>
      <c r="G176" s="200" t="s">
        <v>411</v>
      </c>
      <c r="H176" s="200" t="s">
        <v>268</v>
      </c>
    </row>
    <row r="177" spans="1:8" ht="15" customHeight="1">
      <c r="A177" s="199">
        <v>45672</v>
      </c>
      <c r="B177" s="202" t="s">
        <v>477</v>
      </c>
      <c r="C177" s="200" t="s">
        <v>307</v>
      </c>
      <c r="D177" s="642">
        <v>-21100</v>
      </c>
      <c r="E177" s="201">
        <v>45658</v>
      </c>
      <c r="F177" s="200" t="s">
        <v>296</v>
      </c>
      <c r="G177" s="200" t="s">
        <v>411</v>
      </c>
      <c r="H177" s="200" t="s">
        <v>342</v>
      </c>
    </row>
    <row r="178" spans="1:8" ht="15" customHeight="1">
      <c r="A178" s="199">
        <v>45672</v>
      </c>
      <c r="B178" s="202" t="s">
        <v>478</v>
      </c>
      <c r="C178" s="200" t="s">
        <v>307</v>
      </c>
      <c r="D178" s="642">
        <v>-6500</v>
      </c>
      <c r="E178" s="201">
        <v>45658</v>
      </c>
      <c r="F178" s="200" t="s">
        <v>296</v>
      </c>
      <c r="G178" s="200" t="s">
        <v>411</v>
      </c>
      <c r="H178" s="200" t="s">
        <v>268</v>
      </c>
    </row>
    <row r="179" spans="1:8" ht="15" customHeight="1">
      <c r="A179" s="199">
        <v>45672</v>
      </c>
      <c r="B179" s="202" t="s">
        <v>479</v>
      </c>
      <c r="C179" s="200" t="s">
        <v>307</v>
      </c>
      <c r="D179" s="642">
        <v>-6500</v>
      </c>
      <c r="E179" s="201">
        <v>45658</v>
      </c>
      <c r="F179" s="655" t="s">
        <v>395</v>
      </c>
      <c r="G179" s="531" t="s">
        <v>395</v>
      </c>
      <c r="H179" s="200" t="s">
        <v>268</v>
      </c>
    </row>
    <row r="180" spans="1:8" ht="15" customHeight="1">
      <c r="A180" s="199">
        <v>45672</v>
      </c>
      <c r="B180" s="202" t="s">
        <v>480</v>
      </c>
      <c r="C180" s="200" t="s">
        <v>307</v>
      </c>
      <c r="D180" s="642">
        <v>-16000</v>
      </c>
      <c r="E180" s="201">
        <v>45658</v>
      </c>
      <c r="F180" s="200" t="s">
        <v>296</v>
      </c>
      <c r="G180" s="200" t="s">
        <v>411</v>
      </c>
      <c r="H180" s="200" t="s">
        <v>268</v>
      </c>
    </row>
    <row r="181" spans="1:8" ht="15" customHeight="1">
      <c r="A181" s="199">
        <v>45673</v>
      </c>
      <c r="B181" s="202" t="s">
        <v>481</v>
      </c>
      <c r="C181" s="200" t="s">
        <v>307</v>
      </c>
      <c r="D181" s="642">
        <v>-42000</v>
      </c>
      <c r="E181" s="201">
        <v>45658</v>
      </c>
      <c r="F181" s="200" t="s">
        <v>296</v>
      </c>
      <c r="G181" s="200" t="s">
        <v>337</v>
      </c>
      <c r="H181" s="200" t="s">
        <v>326</v>
      </c>
    </row>
    <row r="182" spans="1:8" ht="15" customHeight="1">
      <c r="A182" s="199">
        <v>45673</v>
      </c>
      <c r="B182" s="202" t="s">
        <v>481</v>
      </c>
      <c r="C182" s="200" t="s">
        <v>307</v>
      </c>
      <c r="D182" s="642">
        <v>-79888</v>
      </c>
      <c r="E182" s="201">
        <v>45658</v>
      </c>
      <c r="F182" s="200" t="s">
        <v>297</v>
      </c>
      <c r="G182" s="200" t="s">
        <v>75</v>
      </c>
      <c r="H182" s="200" t="s">
        <v>268</v>
      </c>
    </row>
    <row r="183" spans="1:8" ht="15" customHeight="1">
      <c r="A183" s="199">
        <v>45673</v>
      </c>
      <c r="B183" s="202" t="s">
        <v>481</v>
      </c>
      <c r="C183" s="200" t="s">
        <v>307</v>
      </c>
      <c r="D183" s="642">
        <v>-14000</v>
      </c>
      <c r="E183" s="201">
        <v>45658</v>
      </c>
      <c r="F183" s="200" t="s">
        <v>296</v>
      </c>
      <c r="G183" s="200" t="s">
        <v>44</v>
      </c>
      <c r="H183" s="200" t="s">
        <v>326</v>
      </c>
    </row>
    <row r="184" spans="1:8" ht="15" customHeight="1">
      <c r="A184" s="199">
        <v>45673</v>
      </c>
      <c r="B184" s="202" t="s">
        <v>481</v>
      </c>
      <c r="C184" s="200" t="s">
        <v>307</v>
      </c>
      <c r="D184" s="642">
        <v>-28000</v>
      </c>
      <c r="E184" s="201">
        <v>45658</v>
      </c>
      <c r="F184" s="200" t="s">
        <v>296</v>
      </c>
      <c r="G184" s="200" t="s">
        <v>328</v>
      </c>
      <c r="H184" s="200" t="s">
        <v>268</v>
      </c>
    </row>
    <row r="185" spans="1:8" ht="15" customHeight="1">
      <c r="A185" s="199">
        <v>45673</v>
      </c>
      <c r="B185" s="202" t="s">
        <v>481</v>
      </c>
      <c r="C185" s="200" t="s">
        <v>307</v>
      </c>
      <c r="D185" s="642">
        <v>-47000</v>
      </c>
      <c r="E185" s="201">
        <v>45658</v>
      </c>
      <c r="F185" s="200" t="s">
        <v>296</v>
      </c>
      <c r="G185" s="200" t="s">
        <v>482</v>
      </c>
      <c r="H185" s="200" t="s">
        <v>268</v>
      </c>
    </row>
    <row r="186" spans="1:8" ht="15" customHeight="1">
      <c r="A186" s="199">
        <v>45673</v>
      </c>
      <c r="B186" s="202" t="s">
        <v>481</v>
      </c>
      <c r="C186" s="200" t="s">
        <v>307</v>
      </c>
      <c r="D186" s="642">
        <v>-42000</v>
      </c>
      <c r="E186" s="201">
        <v>45658</v>
      </c>
      <c r="F186" s="200" t="s">
        <v>256</v>
      </c>
      <c r="G186" s="200" t="s">
        <v>256</v>
      </c>
      <c r="H186" s="200" t="s">
        <v>268</v>
      </c>
    </row>
    <row r="187" spans="1:8" ht="15" customHeight="1">
      <c r="A187" s="199">
        <v>45672</v>
      </c>
      <c r="B187" s="202" t="s">
        <v>483</v>
      </c>
      <c r="C187" s="200" t="s">
        <v>136</v>
      </c>
      <c r="D187" s="668">
        <v>-215472</v>
      </c>
      <c r="E187" s="201">
        <v>45658</v>
      </c>
      <c r="F187" s="200" t="s">
        <v>256</v>
      </c>
      <c r="G187" s="200" t="s">
        <v>107</v>
      </c>
      <c r="H187" s="200" t="s">
        <v>9</v>
      </c>
    </row>
    <row r="188" spans="1:8" ht="15" customHeight="1">
      <c r="A188" s="199">
        <v>45672</v>
      </c>
      <c r="B188" s="202" t="s">
        <v>484</v>
      </c>
      <c r="C188" s="200" t="s">
        <v>136</v>
      </c>
      <c r="D188" s="668">
        <v>-3840999</v>
      </c>
      <c r="E188" s="201">
        <v>45658</v>
      </c>
      <c r="F188" s="200" t="s">
        <v>256</v>
      </c>
      <c r="G188" s="200" t="s">
        <v>256</v>
      </c>
      <c r="H188" s="200" t="s">
        <v>257</v>
      </c>
    </row>
    <row r="189" spans="1:8" ht="15" customHeight="1">
      <c r="A189" s="199">
        <v>45672</v>
      </c>
      <c r="B189" s="202" t="s">
        <v>485</v>
      </c>
      <c r="C189" s="200" t="s">
        <v>372</v>
      </c>
      <c r="D189" s="659">
        <v>-133600</v>
      </c>
      <c r="E189" s="201">
        <v>45658</v>
      </c>
      <c r="F189" s="200" t="s">
        <v>256</v>
      </c>
      <c r="G189" s="200" t="s">
        <v>256</v>
      </c>
      <c r="H189" s="200" t="s">
        <v>257</v>
      </c>
    </row>
    <row r="190" spans="1:8" ht="15" customHeight="1">
      <c r="A190" s="199">
        <v>45670</v>
      </c>
      <c r="B190" s="202" t="s">
        <v>486</v>
      </c>
      <c r="C190" s="200" t="s">
        <v>136</v>
      </c>
      <c r="D190" s="668">
        <v>-322400</v>
      </c>
      <c r="E190" s="201">
        <v>45658</v>
      </c>
      <c r="F190" s="200" t="s">
        <v>452</v>
      </c>
      <c r="G190" s="200" t="s">
        <v>453</v>
      </c>
      <c r="H190" s="200" t="s">
        <v>97</v>
      </c>
    </row>
    <row r="191" spans="1:8" ht="15" customHeight="1">
      <c r="A191" s="199">
        <v>45672</v>
      </c>
      <c r="B191" s="202" t="s">
        <v>487</v>
      </c>
      <c r="C191" s="200" t="s">
        <v>136</v>
      </c>
      <c r="D191" s="668">
        <v>-1357200</v>
      </c>
      <c r="E191" s="201">
        <v>45658</v>
      </c>
      <c r="F191" s="200" t="s">
        <v>452</v>
      </c>
      <c r="G191" s="200" t="s">
        <v>44</v>
      </c>
      <c r="H191" s="200" t="s">
        <v>488</v>
      </c>
    </row>
    <row r="192" spans="1:8" ht="15" customHeight="1">
      <c r="A192" s="199">
        <v>45672</v>
      </c>
      <c r="B192" s="202" t="s">
        <v>489</v>
      </c>
      <c r="C192" s="200" t="s">
        <v>136</v>
      </c>
      <c r="D192" s="668">
        <v>-1208000</v>
      </c>
      <c r="E192" s="201">
        <v>45658</v>
      </c>
      <c r="F192" s="200" t="s">
        <v>452</v>
      </c>
      <c r="G192" s="200" t="s">
        <v>44</v>
      </c>
      <c r="H192" s="200" t="s">
        <v>490</v>
      </c>
    </row>
    <row r="193" spans="1:8" ht="15" customHeight="1">
      <c r="A193" s="199">
        <v>45672</v>
      </c>
      <c r="B193" s="202" t="s">
        <v>491</v>
      </c>
      <c r="C193" s="200" t="s">
        <v>136</v>
      </c>
      <c r="D193" s="668">
        <v>-620000</v>
      </c>
      <c r="E193" s="201">
        <v>45658</v>
      </c>
      <c r="F193" s="200" t="s">
        <v>452</v>
      </c>
      <c r="G193" s="200" t="s">
        <v>321</v>
      </c>
      <c r="H193" s="200" t="s">
        <v>446</v>
      </c>
    </row>
    <row r="194" spans="1:8" ht="15" customHeight="1">
      <c r="A194" s="199">
        <v>45672</v>
      </c>
      <c r="B194" s="202" t="s">
        <v>492</v>
      </c>
      <c r="C194" s="200" t="s">
        <v>136</v>
      </c>
      <c r="D194" s="668">
        <v>-620000</v>
      </c>
      <c r="E194" s="201">
        <v>45658</v>
      </c>
      <c r="F194" s="200" t="s">
        <v>452</v>
      </c>
      <c r="G194" s="200" t="s">
        <v>337</v>
      </c>
      <c r="H194" s="200" t="s">
        <v>446</v>
      </c>
    </row>
    <row r="195" spans="1:8" ht="15" customHeight="1">
      <c r="A195" s="199">
        <v>45659</v>
      </c>
      <c r="B195" s="202" t="s">
        <v>493</v>
      </c>
      <c r="C195" s="200" t="s">
        <v>136</v>
      </c>
      <c r="D195" s="668">
        <v>-20000</v>
      </c>
      <c r="E195" s="201">
        <v>45658</v>
      </c>
      <c r="F195" s="200" t="s">
        <v>452</v>
      </c>
      <c r="G195" s="200" t="s">
        <v>341</v>
      </c>
      <c r="H195" s="200" t="s">
        <v>268</v>
      </c>
    </row>
    <row r="196" spans="1:8" ht="15" customHeight="1">
      <c r="A196" s="199">
        <v>45659</v>
      </c>
      <c r="B196" s="202" t="s">
        <v>494</v>
      </c>
      <c r="C196" s="200" t="s">
        <v>136</v>
      </c>
      <c r="D196" s="668">
        <v>-20000</v>
      </c>
      <c r="E196" s="201">
        <v>45658</v>
      </c>
      <c r="F196" s="200" t="s">
        <v>452</v>
      </c>
      <c r="G196" s="200" t="s">
        <v>341</v>
      </c>
      <c r="H196" s="200" t="s">
        <v>268</v>
      </c>
    </row>
    <row r="197" spans="1:8" ht="15" customHeight="1">
      <c r="A197" s="199">
        <v>45659</v>
      </c>
      <c r="B197" s="202" t="s">
        <v>495</v>
      </c>
      <c r="C197" s="200" t="s">
        <v>136</v>
      </c>
      <c r="D197" s="668">
        <v>-10000</v>
      </c>
      <c r="E197" s="201">
        <v>45658</v>
      </c>
      <c r="F197" s="200" t="s">
        <v>452</v>
      </c>
      <c r="G197" s="200" t="s">
        <v>341</v>
      </c>
      <c r="H197" s="200" t="s">
        <v>268</v>
      </c>
    </row>
    <row r="198" spans="1:8" ht="15" customHeight="1">
      <c r="A198" s="199">
        <v>45659</v>
      </c>
      <c r="B198" s="202" t="s">
        <v>496</v>
      </c>
      <c r="C198" s="200" t="s">
        <v>136</v>
      </c>
      <c r="D198" s="668">
        <v>-25000</v>
      </c>
      <c r="E198" s="201">
        <v>45658</v>
      </c>
      <c r="F198" s="200" t="s">
        <v>452</v>
      </c>
      <c r="G198" s="200" t="s">
        <v>341</v>
      </c>
      <c r="H198" s="200" t="s">
        <v>342</v>
      </c>
    </row>
    <row r="199" spans="1:8" ht="15" customHeight="1">
      <c r="A199" s="199">
        <v>45659</v>
      </c>
      <c r="B199" s="202" t="s">
        <v>497</v>
      </c>
      <c r="C199" s="200" t="s">
        <v>136</v>
      </c>
      <c r="D199" s="668">
        <v>-146000</v>
      </c>
      <c r="E199" s="201">
        <v>45658</v>
      </c>
      <c r="F199" s="200" t="s">
        <v>452</v>
      </c>
      <c r="G199" s="200" t="s">
        <v>341</v>
      </c>
      <c r="H199" s="200" t="s">
        <v>267</v>
      </c>
    </row>
    <row r="200" spans="1:8" ht="15" customHeight="1">
      <c r="A200" s="199">
        <v>45659</v>
      </c>
      <c r="B200" s="202" t="s">
        <v>498</v>
      </c>
      <c r="C200" s="200" t="s">
        <v>136</v>
      </c>
      <c r="D200" s="668">
        <v>-3400</v>
      </c>
      <c r="E200" s="201">
        <v>45658</v>
      </c>
      <c r="F200" s="200" t="s">
        <v>452</v>
      </c>
      <c r="G200" s="200" t="s">
        <v>341</v>
      </c>
      <c r="H200" s="200" t="s">
        <v>342</v>
      </c>
    </row>
    <row r="201" spans="1:8" ht="15" customHeight="1">
      <c r="A201" s="199">
        <v>45659</v>
      </c>
      <c r="B201" s="202" t="s">
        <v>499</v>
      </c>
      <c r="C201" s="200" t="s">
        <v>136</v>
      </c>
      <c r="D201" s="668">
        <v>-50000</v>
      </c>
      <c r="E201" s="201">
        <v>45658</v>
      </c>
      <c r="F201" s="200" t="s">
        <v>452</v>
      </c>
      <c r="G201" s="200" t="s">
        <v>341</v>
      </c>
      <c r="H201" s="200" t="s">
        <v>342</v>
      </c>
    </row>
    <row r="202" spans="1:8" ht="15" customHeight="1">
      <c r="A202" s="199">
        <v>45659</v>
      </c>
      <c r="B202" s="202" t="s">
        <v>500</v>
      </c>
      <c r="C202" s="200" t="s">
        <v>136</v>
      </c>
      <c r="D202" s="668">
        <v>-83000</v>
      </c>
      <c r="E202" s="201">
        <v>45658</v>
      </c>
      <c r="F202" s="200" t="s">
        <v>452</v>
      </c>
      <c r="G202" s="200" t="s">
        <v>341</v>
      </c>
      <c r="H202" s="200" t="s">
        <v>342</v>
      </c>
    </row>
    <row r="203" spans="1:8" ht="15" customHeight="1">
      <c r="A203" s="199">
        <v>45660</v>
      </c>
      <c r="B203" s="202" t="s">
        <v>501</v>
      </c>
      <c r="C203" s="200" t="s">
        <v>136</v>
      </c>
      <c r="D203" s="668">
        <v>-39000</v>
      </c>
      <c r="E203" s="201">
        <v>45658</v>
      </c>
      <c r="F203" s="200" t="s">
        <v>452</v>
      </c>
      <c r="G203" s="200" t="s">
        <v>341</v>
      </c>
      <c r="H203" s="200" t="s">
        <v>342</v>
      </c>
    </row>
    <row r="204" spans="1:8" ht="15" customHeight="1">
      <c r="A204" s="199">
        <v>45660</v>
      </c>
      <c r="B204" s="202" t="s">
        <v>502</v>
      </c>
      <c r="C204" s="200" t="s">
        <v>136</v>
      </c>
      <c r="D204" s="668">
        <v>-119000</v>
      </c>
      <c r="E204" s="201">
        <v>45658</v>
      </c>
      <c r="F204" s="200" t="s">
        <v>452</v>
      </c>
      <c r="G204" s="200" t="s">
        <v>341</v>
      </c>
      <c r="H204" s="200" t="s">
        <v>350</v>
      </c>
    </row>
    <row r="205" spans="1:8" ht="15" customHeight="1">
      <c r="A205" s="199">
        <v>45660</v>
      </c>
      <c r="B205" s="202" t="s">
        <v>499</v>
      </c>
      <c r="C205" s="200" t="s">
        <v>136</v>
      </c>
      <c r="D205" s="668">
        <v>-50000</v>
      </c>
      <c r="E205" s="201">
        <v>45658</v>
      </c>
      <c r="F205" s="200" t="s">
        <v>452</v>
      </c>
      <c r="G205" s="200" t="s">
        <v>341</v>
      </c>
      <c r="H205" s="200" t="s">
        <v>342</v>
      </c>
    </row>
    <row r="206" spans="1:8" ht="15" customHeight="1">
      <c r="A206" s="199">
        <v>45660</v>
      </c>
      <c r="B206" s="202" t="s">
        <v>358</v>
      </c>
      <c r="C206" s="200" t="s">
        <v>136</v>
      </c>
      <c r="D206" s="668">
        <v>-31900</v>
      </c>
      <c r="E206" s="201">
        <v>45658</v>
      </c>
      <c r="F206" s="200" t="s">
        <v>452</v>
      </c>
      <c r="G206" s="200" t="s">
        <v>341</v>
      </c>
      <c r="H206" s="200" t="s">
        <v>268</v>
      </c>
    </row>
    <row r="207" spans="1:8" ht="15" customHeight="1">
      <c r="A207" s="199">
        <v>45660</v>
      </c>
      <c r="B207" s="202" t="s">
        <v>503</v>
      </c>
      <c r="C207" s="200" t="s">
        <v>136</v>
      </c>
      <c r="D207" s="668">
        <v>-31900</v>
      </c>
      <c r="E207" s="201">
        <v>45658</v>
      </c>
      <c r="F207" s="200" t="s">
        <v>452</v>
      </c>
      <c r="G207" s="200" t="s">
        <v>341</v>
      </c>
      <c r="H207" s="200" t="s">
        <v>268</v>
      </c>
    </row>
    <row r="208" spans="1:8" ht="15" customHeight="1">
      <c r="A208" s="199">
        <v>45660</v>
      </c>
      <c r="B208" s="202" t="s">
        <v>356</v>
      </c>
      <c r="C208" s="200" t="s">
        <v>136</v>
      </c>
      <c r="D208" s="668">
        <v>-16000</v>
      </c>
      <c r="E208" s="201">
        <v>45658</v>
      </c>
      <c r="F208" s="200" t="s">
        <v>452</v>
      </c>
      <c r="G208" s="200" t="s">
        <v>341</v>
      </c>
      <c r="H208" s="200" t="s">
        <v>268</v>
      </c>
    </row>
    <row r="209" spans="1:9" ht="15" customHeight="1">
      <c r="A209" s="199">
        <v>45660</v>
      </c>
      <c r="B209" s="202" t="s">
        <v>504</v>
      </c>
      <c r="C209" s="200" t="s">
        <v>136</v>
      </c>
      <c r="D209" s="668">
        <v>-70500</v>
      </c>
      <c r="E209" s="201">
        <v>45658</v>
      </c>
      <c r="F209" s="200" t="s">
        <v>452</v>
      </c>
      <c r="G209" s="200" t="s">
        <v>341</v>
      </c>
      <c r="H209" s="200" t="s">
        <v>342</v>
      </c>
    </row>
    <row r="210" spans="1:9" ht="15" customHeight="1">
      <c r="A210" s="199">
        <v>45660</v>
      </c>
      <c r="B210" s="202" t="s">
        <v>505</v>
      </c>
      <c r="C210" s="200" t="s">
        <v>136</v>
      </c>
      <c r="D210" s="668">
        <v>-20000</v>
      </c>
      <c r="E210" s="201">
        <v>45658</v>
      </c>
      <c r="F210" s="200" t="s">
        <v>452</v>
      </c>
      <c r="G210" s="200" t="s">
        <v>341</v>
      </c>
      <c r="H210" s="200" t="s">
        <v>268</v>
      </c>
    </row>
    <row r="211" spans="1:9" ht="15" customHeight="1">
      <c r="A211" s="199">
        <v>45660</v>
      </c>
      <c r="B211" s="202" t="s">
        <v>355</v>
      </c>
      <c r="C211" s="200" t="s">
        <v>136</v>
      </c>
      <c r="D211" s="668">
        <v>-20000</v>
      </c>
      <c r="E211" s="201">
        <v>45658</v>
      </c>
      <c r="F211" s="200" t="s">
        <v>452</v>
      </c>
      <c r="G211" s="200" t="s">
        <v>341</v>
      </c>
      <c r="H211" s="200" t="s">
        <v>268</v>
      </c>
    </row>
    <row r="212" spans="1:9" ht="15" customHeight="1">
      <c r="A212" s="199">
        <v>45661</v>
      </c>
      <c r="B212" s="202" t="s">
        <v>348</v>
      </c>
      <c r="C212" s="200" t="s">
        <v>136</v>
      </c>
      <c r="D212" s="668">
        <v>-28000</v>
      </c>
      <c r="E212" s="201">
        <v>45658</v>
      </c>
      <c r="F212" s="200" t="s">
        <v>452</v>
      </c>
      <c r="G212" s="200" t="s">
        <v>341</v>
      </c>
      <c r="H212" s="200" t="s">
        <v>342</v>
      </c>
    </row>
    <row r="213" spans="1:9" ht="15" customHeight="1">
      <c r="A213" s="199">
        <v>45661</v>
      </c>
      <c r="B213" s="202" t="s">
        <v>506</v>
      </c>
      <c r="C213" s="200" t="s">
        <v>136</v>
      </c>
      <c r="D213" s="668">
        <v>-30000</v>
      </c>
      <c r="E213" s="201">
        <v>45658</v>
      </c>
      <c r="F213" s="200" t="s">
        <v>452</v>
      </c>
      <c r="G213" s="200" t="s">
        <v>341</v>
      </c>
      <c r="H213" s="200" t="s">
        <v>342</v>
      </c>
    </row>
    <row r="214" spans="1:9" ht="15" customHeight="1">
      <c r="A214" s="199">
        <v>45661</v>
      </c>
      <c r="B214" s="202" t="s">
        <v>507</v>
      </c>
      <c r="C214" s="200" t="s">
        <v>136</v>
      </c>
      <c r="D214" s="668">
        <v>-76000</v>
      </c>
      <c r="E214" s="201">
        <v>45658</v>
      </c>
      <c r="F214" s="200" t="s">
        <v>452</v>
      </c>
      <c r="G214" s="200" t="s">
        <v>341</v>
      </c>
      <c r="H214" s="200" t="s">
        <v>342</v>
      </c>
      <c r="I214" s="781"/>
    </row>
    <row r="215" spans="1:9" ht="15" customHeight="1">
      <c r="A215" s="199">
        <v>45661</v>
      </c>
      <c r="B215" s="202" t="s">
        <v>508</v>
      </c>
      <c r="C215" s="200" t="s">
        <v>136</v>
      </c>
      <c r="D215" s="668">
        <v>-29500</v>
      </c>
      <c r="E215" s="201">
        <v>45658</v>
      </c>
      <c r="F215" s="200" t="s">
        <v>452</v>
      </c>
      <c r="G215" s="200" t="s">
        <v>341</v>
      </c>
      <c r="H215" s="200" t="s">
        <v>342</v>
      </c>
      <c r="I215" s="759"/>
    </row>
    <row r="216" spans="1:9" ht="15" customHeight="1">
      <c r="A216" s="199">
        <v>45664</v>
      </c>
      <c r="B216" s="202" t="s">
        <v>493</v>
      </c>
      <c r="C216" s="200" t="s">
        <v>136</v>
      </c>
      <c r="D216" s="668">
        <v>-20000</v>
      </c>
      <c r="E216" s="201">
        <v>45658</v>
      </c>
      <c r="F216" s="200" t="s">
        <v>452</v>
      </c>
      <c r="G216" s="200" t="s">
        <v>341</v>
      </c>
      <c r="H216" s="200" t="s">
        <v>268</v>
      </c>
      <c r="I216" s="759"/>
    </row>
    <row r="217" spans="1:9" ht="15" customHeight="1">
      <c r="A217" s="199">
        <v>45664</v>
      </c>
      <c r="B217" s="202" t="s">
        <v>494</v>
      </c>
      <c r="C217" s="200" t="s">
        <v>136</v>
      </c>
      <c r="D217" s="668">
        <v>-20000</v>
      </c>
      <c r="E217" s="201">
        <v>45658</v>
      </c>
      <c r="F217" s="200" t="s">
        <v>452</v>
      </c>
      <c r="G217" s="200" t="s">
        <v>341</v>
      </c>
      <c r="H217" s="200" t="s">
        <v>268</v>
      </c>
      <c r="I217" s="759"/>
    </row>
    <row r="218" spans="1:9" ht="15" customHeight="1">
      <c r="A218" s="199">
        <v>45664</v>
      </c>
      <c r="B218" s="202" t="s">
        <v>495</v>
      </c>
      <c r="C218" s="200" t="s">
        <v>136</v>
      </c>
      <c r="D218" s="668">
        <v>-12000</v>
      </c>
      <c r="E218" s="201">
        <v>45658</v>
      </c>
      <c r="F218" s="200" t="s">
        <v>452</v>
      </c>
      <c r="G218" s="200" t="s">
        <v>341</v>
      </c>
      <c r="H218" s="200" t="s">
        <v>268</v>
      </c>
      <c r="I218" s="759"/>
    </row>
    <row r="219" spans="1:9" ht="15" customHeight="1">
      <c r="A219" s="199">
        <v>45664</v>
      </c>
      <c r="B219" s="202" t="s">
        <v>496</v>
      </c>
      <c r="C219" s="200" t="s">
        <v>136</v>
      </c>
      <c r="D219" s="668">
        <v>-25700</v>
      </c>
      <c r="E219" s="201">
        <v>45658</v>
      </c>
      <c r="F219" s="200" t="s">
        <v>452</v>
      </c>
      <c r="G219" s="200" t="s">
        <v>341</v>
      </c>
      <c r="H219" s="200" t="s">
        <v>342</v>
      </c>
      <c r="I219" s="200" t="s">
        <v>509</v>
      </c>
    </row>
    <row r="220" spans="1:9" ht="15" customHeight="1">
      <c r="A220" s="199">
        <v>45664</v>
      </c>
      <c r="B220" s="202" t="s">
        <v>358</v>
      </c>
      <c r="C220" s="200" t="s">
        <v>136</v>
      </c>
      <c r="D220" s="668">
        <v>-31900</v>
      </c>
      <c r="E220" s="201">
        <v>45658</v>
      </c>
      <c r="F220" s="200" t="s">
        <v>452</v>
      </c>
      <c r="G220" s="200" t="s">
        <v>341</v>
      </c>
      <c r="H220" s="200" t="s">
        <v>342</v>
      </c>
      <c r="I220" s="200" t="s">
        <v>509</v>
      </c>
    </row>
    <row r="221" spans="1:9" ht="15" customHeight="1">
      <c r="A221" s="199">
        <v>45664</v>
      </c>
      <c r="B221" s="202" t="s">
        <v>510</v>
      </c>
      <c r="C221" s="200" t="s">
        <v>136</v>
      </c>
      <c r="D221" s="668">
        <v>-40000</v>
      </c>
      <c r="E221" s="201">
        <v>45658</v>
      </c>
      <c r="F221" s="200" t="s">
        <v>452</v>
      </c>
      <c r="G221" s="200" t="s">
        <v>341</v>
      </c>
      <c r="H221" s="200" t="s">
        <v>342</v>
      </c>
      <c r="I221" s="200" t="s">
        <v>509</v>
      </c>
    </row>
    <row r="222" spans="1:9" ht="15" customHeight="1">
      <c r="A222" s="199">
        <v>45664</v>
      </c>
      <c r="B222" s="202" t="s">
        <v>511</v>
      </c>
      <c r="C222" s="200" t="s">
        <v>136</v>
      </c>
      <c r="D222" s="668">
        <v>-81000</v>
      </c>
      <c r="E222" s="201">
        <v>45658</v>
      </c>
      <c r="F222" s="200" t="s">
        <v>452</v>
      </c>
      <c r="G222" s="200" t="s">
        <v>341</v>
      </c>
      <c r="H222" s="200" t="s">
        <v>342</v>
      </c>
    </row>
    <row r="223" spans="1:9" ht="15" customHeight="1">
      <c r="A223" s="199">
        <v>45673</v>
      </c>
      <c r="B223" s="202" t="s">
        <v>512</v>
      </c>
      <c r="C223" s="200" t="s">
        <v>136</v>
      </c>
      <c r="D223" s="668">
        <v>-212000</v>
      </c>
      <c r="E223" s="201">
        <v>45658</v>
      </c>
      <c r="F223" s="200" t="s">
        <v>296</v>
      </c>
      <c r="G223" s="200" t="s">
        <v>513</v>
      </c>
      <c r="H223" s="200" t="s">
        <v>322</v>
      </c>
    </row>
    <row r="224" spans="1:9" ht="15" customHeight="1">
      <c r="A224" s="199">
        <v>45673</v>
      </c>
      <c r="B224" s="202" t="s">
        <v>514</v>
      </c>
      <c r="C224" s="200" t="s">
        <v>136</v>
      </c>
      <c r="D224" s="668">
        <v>-2441692</v>
      </c>
      <c r="E224" s="201">
        <v>45658</v>
      </c>
      <c r="F224" s="200" t="s">
        <v>256</v>
      </c>
      <c r="G224" s="200" t="s">
        <v>256</v>
      </c>
      <c r="H224" s="200" t="s">
        <v>267</v>
      </c>
    </row>
    <row r="225" spans="1:8" ht="15" customHeight="1">
      <c r="A225" s="199">
        <v>45673</v>
      </c>
      <c r="B225" s="202" t="s">
        <v>515</v>
      </c>
      <c r="C225" s="200" t="s">
        <v>136</v>
      </c>
      <c r="D225" s="668">
        <v>-80000</v>
      </c>
      <c r="E225" s="201">
        <v>45658</v>
      </c>
      <c r="F225" s="200" t="s">
        <v>296</v>
      </c>
      <c r="G225" s="200" t="s">
        <v>44</v>
      </c>
      <c r="H225" s="200" t="s">
        <v>322</v>
      </c>
    </row>
    <row r="226" spans="1:8" ht="15" customHeight="1">
      <c r="A226" s="199">
        <v>45673</v>
      </c>
      <c r="B226" s="202" t="s">
        <v>515</v>
      </c>
      <c r="C226" s="200" t="s">
        <v>136</v>
      </c>
      <c r="D226" s="668">
        <v>-80000</v>
      </c>
      <c r="E226" s="201">
        <v>45658</v>
      </c>
      <c r="F226" s="200" t="s">
        <v>296</v>
      </c>
      <c r="G226" s="200" t="s">
        <v>321</v>
      </c>
      <c r="H226" s="200" t="s">
        <v>322</v>
      </c>
    </row>
    <row r="227" spans="1:8" ht="15" customHeight="1">
      <c r="A227" s="199">
        <v>45673</v>
      </c>
      <c r="B227" s="202" t="s">
        <v>515</v>
      </c>
      <c r="C227" s="200" t="s">
        <v>136</v>
      </c>
      <c r="D227" s="668">
        <v>-80000</v>
      </c>
      <c r="E227" s="201">
        <v>45658</v>
      </c>
      <c r="F227" s="200" t="s">
        <v>296</v>
      </c>
      <c r="G227" s="200" t="s">
        <v>337</v>
      </c>
      <c r="H227" s="200" t="s">
        <v>322</v>
      </c>
    </row>
    <row r="228" spans="1:8" ht="15" customHeight="1">
      <c r="A228" s="199">
        <v>45672</v>
      </c>
      <c r="B228" s="202" t="s">
        <v>516</v>
      </c>
      <c r="C228" s="200" t="s">
        <v>314</v>
      </c>
      <c r="D228" s="645">
        <v>-109000</v>
      </c>
      <c r="E228" s="201">
        <v>45658</v>
      </c>
      <c r="F228" s="200" t="s">
        <v>256</v>
      </c>
      <c r="G228" s="200" t="s">
        <v>256</v>
      </c>
      <c r="H228" s="200" t="s">
        <v>115</v>
      </c>
    </row>
    <row r="229" spans="1:8" ht="15" customHeight="1">
      <c r="A229" s="199">
        <v>45673</v>
      </c>
      <c r="B229" s="202" t="s">
        <v>517</v>
      </c>
      <c r="C229" s="200" t="s">
        <v>314</v>
      </c>
      <c r="D229" s="645">
        <v>-333653</v>
      </c>
      <c r="E229" s="201">
        <v>45658</v>
      </c>
      <c r="F229" s="200" t="s">
        <v>296</v>
      </c>
      <c r="G229" s="200" t="s">
        <v>411</v>
      </c>
      <c r="H229" s="200" t="s">
        <v>518</v>
      </c>
    </row>
    <row r="230" spans="1:8" ht="15" customHeight="1">
      <c r="A230" s="199">
        <v>45671</v>
      </c>
      <c r="B230" s="202" t="s">
        <v>519</v>
      </c>
      <c r="C230" s="200" t="s">
        <v>314</v>
      </c>
      <c r="D230" s="645">
        <v>-181610</v>
      </c>
      <c r="E230" s="201">
        <v>45658</v>
      </c>
      <c r="F230" s="200" t="s">
        <v>256</v>
      </c>
      <c r="G230" s="200" t="s">
        <v>256</v>
      </c>
      <c r="H230" s="200" t="s">
        <v>265</v>
      </c>
    </row>
    <row r="231" spans="1:8" ht="15" customHeight="1">
      <c r="A231" s="199">
        <v>45671</v>
      </c>
      <c r="B231" s="202" t="s">
        <v>520</v>
      </c>
      <c r="C231" s="200" t="s">
        <v>314</v>
      </c>
      <c r="D231" s="645">
        <v>-111470</v>
      </c>
      <c r="E231" s="201">
        <v>45658</v>
      </c>
      <c r="F231" s="200" t="s">
        <v>256</v>
      </c>
      <c r="G231" s="200" t="s">
        <v>256</v>
      </c>
      <c r="H231" s="200" t="s">
        <v>265</v>
      </c>
    </row>
    <row r="232" spans="1:8" ht="15" customHeight="1">
      <c r="A232" s="199">
        <v>45671</v>
      </c>
      <c r="B232" s="202" t="s">
        <v>521</v>
      </c>
      <c r="C232" s="200" t="s">
        <v>314</v>
      </c>
      <c r="D232" s="645">
        <v>-800000</v>
      </c>
      <c r="E232" s="201">
        <v>45658</v>
      </c>
      <c r="F232" s="200" t="s">
        <v>296</v>
      </c>
      <c r="G232" s="200" t="s">
        <v>522</v>
      </c>
      <c r="H232" s="200" t="s">
        <v>442</v>
      </c>
    </row>
    <row r="233" spans="1:8" ht="15" customHeight="1">
      <c r="A233" s="199">
        <v>45672</v>
      </c>
      <c r="B233" s="202" t="s">
        <v>523</v>
      </c>
      <c r="C233" s="200" t="s">
        <v>314</v>
      </c>
      <c r="D233" s="645">
        <v>-21900</v>
      </c>
      <c r="E233" s="201">
        <v>45658</v>
      </c>
      <c r="F233" s="200" t="s">
        <v>296</v>
      </c>
      <c r="G233" s="200" t="s">
        <v>453</v>
      </c>
      <c r="H233" s="200" t="s">
        <v>98</v>
      </c>
    </row>
    <row r="234" spans="1:8" ht="15" customHeight="1">
      <c r="A234" s="199">
        <v>45672</v>
      </c>
      <c r="B234" s="202" t="s">
        <v>523</v>
      </c>
      <c r="C234" s="200" t="s">
        <v>314</v>
      </c>
      <c r="D234" s="645">
        <v>-21900</v>
      </c>
      <c r="E234" s="201">
        <v>45658</v>
      </c>
      <c r="F234" s="200" t="s">
        <v>296</v>
      </c>
      <c r="G234" s="200" t="s">
        <v>453</v>
      </c>
      <c r="H234" s="200" t="s">
        <v>98</v>
      </c>
    </row>
    <row r="235" spans="1:8" ht="15" customHeight="1">
      <c r="A235" s="199">
        <v>45671</v>
      </c>
      <c r="B235" s="202" t="s">
        <v>524</v>
      </c>
      <c r="C235" s="200" t="s">
        <v>204</v>
      </c>
      <c r="D235" s="649">
        <v>-49000</v>
      </c>
      <c r="E235" s="201">
        <v>45658</v>
      </c>
      <c r="F235" s="200" t="s">
        <v>525</v>
      </c>
    </row>
    <row r="236" spans="1:8" ht="15" customHeight="1">
      <c r="A236" s="199">
        <v>45673</v>
      </c>
      <c r="B236" s="202" t="s">
        <v>526</v>
      </c>
      <c r="C236" s="200" t="s">
        <v>204</v>
      </c>
      <c r="D236" s="649">
        <v>-500000</v>
      </c>
      <c r="E236" s="201">
        <v>45658</v>
      </c>
      <c r="F236" s="200" t="s">
        <v>256</v>
      </c>
      <c r="G236" s="200" t="s">
        <v>256</v>
      </c>
      <c r="H236" s="200" t="s">
        <v>9</v>
      </c>
    </row>
    <row r="237" spans="1:8" ht="15" customHeight="1">
      <c r="A237" s="199">
        <v>45673</v>
      </c>
      <c r="B237" s="202" t="s">
        <v>527</v>
      </c>
      <c r="C237" s="200" t="s">
        <v>204</v>
      </c>
      <c r="D237" s="649">
        <v>-5971750</v>
      </c>
      <c r="E237" s="201">
        <v>45658</v>
      </c>
      <c r="F237" s="200" t="s">
        <v>256</v>
      </c>
      <c r="G237" s="200" t="s">
        <v>107</v>
      </c>
      <c r="H237" s="200" t="s">
        <v>9</v>
      </c>
    </row>
    <row r="238" spans="1:8" ht="15" customHeight="1">
      <c r="A238" s="199">
        <v>45672</v>
      </c>
      <c r="B238" s="202" t="s">
        <v>528</v>
      </c>
      <c r="C238" s="200" t="s">
        <v>204</v>
      </c>
      <c r="D238" s="649">
        <v>-331129</v>
      </c>
      <c r="E238" s="201">
        <v>45658</v>
      </c>
      <c r="F238" s="200" t="s">
        <v>296</v>
      </c>
      <c r="G238" s="200" t="s">
        <v>328</v>
      </c>
      <c r="H238" s="200" t="s">
        <v>350</v>
      </c>
    </row>
    <row r="239" spans="1:8" ht="15" customHeight="1">
      <c r="A239" s="199">
        <v>45672</v>
      </c>
      <c r="B239" s="202" t="s">
        <v>529</v>
      </c>
      <c r="C239" s="200" t="s">
        <v>204</v>
      </c>
      <c r="D239" s="649">
        <v>-648311</v>
      </c>
      <c r="E239" s="201">
        <v>45658</v>
      </c>
      <c r="F239" s="200" t="s">
        <v>296</v>
      </c>
      <c r="G239" s="200" t="s">
        <v>341</v>
      </c>
      <c r="H239" s="200" t="s">
        <v>350</v>
      </c>
    </row>
    <row r="240" spans="1:8" ht="15" customHeight="1">
      <c r="A240" s="199">
        <v>45672</v>
      </c>
      <c r="B240" s="202" t="s">
        <v>530</v>
      </c>
      <c r="C240" s="200" t="s">
        <v>204</v>
      </c>
      <c r="D240" s="649">
        <v>-615626</v>
      </c>
      <c r="E240" s="201">
        <v>45658</v>
      </c>
      <c r="F240" s="200" t="s">
        <v>296</v>
      </c>
      <c r="G240" s="531" t="s">
        <v>392</v>
      </c>
      <c r="H240" s="200" t="s">
        <v>364</v>
      </c>
    </row>
    <row r="241" spans="1:8" ht="15" customHeight="1">
      <c r="A241" s="199">
        <v>45672</v>
      </c>
      <c r="B241" s="202" t="s">
        <v>531</v>
      </c>
      <c r="C241" s="200" t="s">
        <v>204</v>
      </c>
      <c r="D241" s="649">
        <v>-449731</v>
      </c>
      <c r="E241" s="201">
        <v>45658</v>
      </c>
      <c r="F241" s="200" t="s">
        <v>297</v>
      </c>
      <c r="G241" s="200" t="s">
        <v>75</v>
      </c>
      <c r="H241" s="200" t="s">
        <v>364</v>
      </c>
    </row>
    <row r="242" spans="1:8" ht="15" customHeight="1">
      <c r="A242" s="199">
        <v>45672</v>
      </c>
      <c r="B242" s="202" t="s">
        <v>532</v>
      </c>
      <c r="C242" s="200" t="s">
        <v>204</v>
      </c>
      <c r="D242" s="649">
        <v>-31382853</v>
      </c>
      <c r="E242" s="201">
        <v>45658</v>
      </c>
      <c r="F242" s="200" t="s">
        <v>452</v>
      </c>
      <c r="G242" s="200" t="s">
        <v>321</v>
      </c>
      <c r="H242" s="200" t="s">
        <v>364</v>
      </c>
    </row>
    <row r="243" spans="1:8" ht="15" customHeight="1">
      <c r="A243" s="199">
        <v>45672</v>
      </c>
      <c r="B243" s="202" t="s">
        <v>533</v>
      </c>
      <c r="C243" s="200" t="s">
        <v>136</v>
      </c>
      <c r="D243" s="668">
        <v>-1201033.33</v>
      </c>
      <c r="E243" s="201">
        <v>45658</v>
      </c>
      <c r="F243" s="200" t="s">
        <v>297</v>
      </c>
      <c r="G243" s="200" t="s">
        <v>75</v>
      </c>
      <c r="H243" s="200" t="s">
        <v>342</v>
      </c>
    </row>
    <row r="244" spans="1:8" ht="15" customHeight="1">
      <c r="A244" s="199">
        <v>45672</v>
      </c>
      <c r="B244" s="202" t="s">
        <v>534</v>
      </c>
      <c r="C244" s="200" t="s">
        <v>136</v>
      </c>
      <c r="D244" s="668">
        <v>-835333.33299999998</v>
      </c>
      <c r="E244" s="201">
        <v>45658</v>
      </c>
      <c r="F244" s="200" t="s">
        <v>256</v>
      </c>
      <c r="G244" s="200" t="s">
        <v>256</v>
      </c>
      <c r="H244" s="200" t="s">
        <v>121</v>
      </c>
    </row>
    <row r="245" spans="1:8" ht="15" customHeight="1">
      <c r="A245" s="199">
        <v>45672</v>
      </c>
      <c r="B245" s="202" t="s">
        <v>535</v>
      </c>
      <c r="C245" s="200" t="s">
        <v>136</v>
      </c>
      <c r="D245" s="668">
        <v>-708143.33</v>
      </c>
      <c r="E245" s="201">
        <v>45658</v>
      </c>
      <c r="F245" s="200" t="s">
        <v>297</v>
      </c>
      <c r="G245" s="200" t="s">
        <v>75</v>
      </c>
      <c r="H245" s="200" t="s">
        <v>342</v>
      </c>
    </row>
    <row r="246" spans="1:8" ht="15" customHeight="1">
      <c r="A246" s="199">
        <v>45672</v>
      </c>
      <c r="B246" s="202" t="s">
        <v>536</v>
      </c>
      <c r="C246" s="200" t="s">
        <v>136</v>
      </c>
      <c r="D246" s="668">
        <v>-1201033</v>
      </c>
      <c r="E246" s="201">
        <v>45658</v>
      </c>
      <c r="F246" s="200" t="s">
        <v>452</v>
      </c>
      <c r="G246" s="200" t="s">
        <v>328</v>
      </c>
      <c r="H246" s="200" t="s">
        <v>342</v>
      </c>
    </row>
    <row r="247" spans="1:8" ht="15" customHeight="1">
      <c r="A247" s="199">
        <v>45672</v>
      </c>
      <c r="B247" s="202" t="s">
        <v>537</v>
      </c>
      <c r="C247" s="200" t="s">
        <v>136</v>
      </c>
      <c r="D247" s="668">
        <v>-789333.33</v>
      </c>
      <c r="E247" s="201">
        <v>45658</v>
      </c>
      <c r="F247" s="200" t="s">
        <v>452</v>
      </c>
      <c r="G247" s="200" t="s">
        <v>328</v>
      </c>
      <c r="H247" s="200" t="s">
        <v>342</v>
      </c>
    </row>
    <row r="248" spans="1:8" ht="15" customHeight="1">
      <c r="A248" s="199">
        <v>45672</v>
      </c>
      <c r="B248" s="202" t="s">
        <v>538</v>
      </c>
      <c r="C248" s="200" t="s">
        <v>136</v>
      </c>
      <c r="D248" s="668">
        <v>-275076</v>
      </c>
      <c r="E248" s="201">
        <v>45658</v>
      </c>
      <c r="F248" s="200" t="s">
        <v>297</v>
      </c>
      <c r="G248" s="200" t="s">
        <v>69</v>
      </c>
      <c r="H248" s="200" t="s">
        <v>342</v>
      </c>
    </row>
    <row r="249" spans="1:8" ht="15" customHeight="1">
      <c r="A249" s="199">
        <v>45672</v>
      </c>
      <c r="B249" s="202" t="s">
        <v>538</v>
      </c>
      <c r="C249" s="200" t="s">
        <v>136</v>
      </c>
      <c r="D249" s="668">
        <v>-412614</v>
      </c>
      <c r="E249" s="201">
        <v>45658</v>
      </c>
      <c r="F249" s="200" t="s">
        <v>452</v>
      </c>
      <c r="G249" s="531" t="s">
        <v>392</v>
      </c>
      <c r="H249" s="200" t="s">
        <v>342</v>
      </c>
    </row>
    <row r="250" spans="1:8" ht="15" customHeight="1">
      <c r="A250" s="199">
        <v>45672</v>
      </c>
      <c r="B250" s="202" t="s">
        <v>539</v>
      </c>
      <c r="C250" s="200" t="s">
        <v>136</v>
      </c>
      <c r="D250" s="668">
        <v>-280544</v>
      </c>
      <c r="E250" s="201">
        <v>45658</v>
      </c>
      <c r="F250" s="200" t="s">
        <v>452</v>
      </c>
      <c r="G250" s="200" t="s">
        <v>540</v>
      </c>
      <c r="H250" s="200" t="s">
        <v>342</v>
      </c>
    </row>
    <row r="251" spans="1:8" ht="15" customHeight="1">
      <c r="A251" s="199">
        <v>45672</v>
      </c>
      <c r="B251" s="202" t="s">
        <v>539</v>
      </c>
      <c r="C251" s="200" t="s">
        <v>136</v>
      </c>
      <c r="D251" s="668">
        <v>-280544</v>
      </c>
      <c r="E251" s="201">
        <v>45658</v>
      </c>
      <c r="F251" s="200" t="s">
        <v>297</v>
      </c>
      <c r="G251" s="200" t="s">
        <v>69</v>
      </c>
      <c r="H251" s="200" t="s">
        <v>342</v>
      </c>
    </row>
    <row r="252" spans="1:8" ht="15" customHeight="1">
      <c r="A252" s="199">
        <v>45672</v>
      </c>
      <c r="B252" s="202" t="s">
        <v>539</v>
      </c>
      <c r="C252" s="200" t="s">
        <v>136</v>
      </c>
      <c r="D252" s="668">
        <v>-841632</v>
      </c>
      <c r="E252" s="201">
        <v>45658</v>
      </c>
      <c r="F252" s="200" t="s">
        <v>452</v>
      </c>
      <c r="G252" s="531" t="s">
        <v>392</v>
      </c>
      <c r="H252" s="200" t="s">
        <v>342</v>
      </c>
    </row>
    <row r="253" spans="1:8" ht="15" customHeight="1">
      <c r="A253" s="199">
        <v>45672</v>
      </c>
      <c r="B253" s="202" t="s">
        <v>541</v>
      </c>
      <c r="C253" s="200" t="s">
        <v>136</v>
      </c>
      <c r="D253" s="668">
        <v>-789333.33</v>
      </c>
      <c r="E253" s="201">
        <v>45658</v>
      </c>
      <c r="F253" s="200" t="s">
        <v>297</v>
      </c>
      <c r="G253" s="200" t="s">
        <v>75</v>
      </c>
      <c r="H253" s="200" t="s">
        <v>342</v>
      </c>
    </row>
    <row r="254" spans="1:8" ht="15" customHeight="1">
      <c r="A254" s="199">
        <v>45672</v>
      </c>
      <c r="B254" s="202" t="s">
        <v>542</v>
      </c>
      <c r="C254" s="200" t="s">
        <v>136</v>
      </c>
      <c r="D254" s="668">
        <v>-708143.33</v>
      </c>
      <c r="E254" s="201">
        <v>45658</v>
      </c>
      <c r="F254" s="200" t="s">
        <v>452</v>
      </c>
      <c r="G254" s="200" t="s">
        <v>328</v>
      </c>
      <c r="H254" s="200" t="s">
        <v>342</v>
      </c>
    </row>
    <row r="255" spans="1:8" ht="15" customHeight="1">
      <c r="A255" s="199">
        <v>45672</v>
      </c>
      <c r="B255" s="202" t="s">
        <v>543</v>
      </c>
      <c r="C255" s="200" t="s">
        <v>136</v>
      </c>
      <c r="D255" s="668">
        <v>-149978.666</v>
      </c>
      <c r="E255" s="201">
        <v>45658</v>
      </c>
      <c r="F255" s="200" t="s">
        <v>452</v>
      </c>
      <c r="G255" s="200" t="s">
        <v>540</v>
      </c>
      <c r="H255" s="200" t="s">
        <v>342</v>
      </c>
    </row>
    <row r="256" spans="1:8" ht="15" customHeight="1">
      <c r="A256" s="199">
        <v>45672</v>
      </c>
      <c r="B256" s="202" t="s">
        <v>543</v>
      </c>
      <c r="C256" s="200" t="s">
        <v>136</v>
      </c>
      <c r="D256" s="668">
        <v>-149978.666</v>
      </c>
      <c r="E256" s="201">
        <v>45658</v>
      </c>
      <c r="F256" s="200" t="s">
        <v>297</v>
      </c>
      <c r="G256" s="200" t="s">
        <v>69</v>
      </c>
      <c r="H256" s="200" t="s">
        <v>342</v>
      </c>
    </row>
    <row r="257" spans="1:8" ht="15" customHeight="1">
      <c r="A257" s="199">
        <v>45672</v>
      </c>
      <c r="B257" s="202" t="s">
        <v>543</v>
      </c>
      <c r="C257" s="200" t="s">
        <v>136</v>
      </c>
      <c r="D257" s="668">
        <v>-449935.99800000002</v>
      </c>
      <c r="E257" s="201">
        <v>45658</v>
      </c>
      <c r="F257" s="200" t="s">
        <v>452</v>
      </c>
      <c r="G257" s="531" t="s">
        <v>392</v>
      </c>
      <c r="H257" s="200" t="s">
        <v>342</v>
      </c>
    </row>
    <row r="258" spans="1:8" ht="15" customHeight="1">
      <c r="A258" s="199">
        <v>45672</v>
      </c>
      <c r="B258" s="202" t="s">
        <v>544</v>
      </c>
      <c r="C258" s="200" t="s">
        <v>136</v>
      </c>
      <c r="D258" s="668">
        <v>-708143.33</v>
      </c>
      <c r="E258" s="201">
        <v>45658</v>
      </c>
      <c r="F258" s="200" t="s">
        <v>452</v>
      </c>
      <c r="G258" s="200" t="s">
        <v>328</v>
      </c>
      <c r="H258" s="200" t="s">
        <v>342</v>
      </c>
    </row>
    <row r="259" spans="1:8" ht="15" customHeight="1">
      <c r="A259" s="199">
        <v>45672</v>
      </c>
      <c r="B259" s="202" t="s">
        <v>545</v>
      </c>
      <c r="C259" s="200" t="s">
        <v>136</v>
      </c>
      <c r="D259" s="668">
        <v>-708143.33</v>
      </c>
      <c r="E259" s="201">
        <v>45658</v>
      </c>
      <c r="F259" s="200" t="s">
        <v>297</v>
      </c>
      <c r="G259" s="200" t="s">
        <v>75</v>
      </c>
      <c r="H259" s="200" t="s">
        <v>342</v>
      </c>
    </row>
    <row r="260" spans="1:8" ht="15" customHeight="1">
      <c r="A260" s="199">
        <v>45672</v>
      </c>
      <c r="B260" s="202" t="s">
        <v>546</v>
      </c>
      <c r="C260" s="200" t="s">
        <v>136</v>
      </c>
      <c r="D260" s="668">
        <v>-280590.66800000001</v>
      </c>
      <c r="E260" s="201">
        <v>45658</v>
      </c>
      <c r="F260" s="200" t="s">
        <v>297</v>
      </c>
      <c r="G260" s="200" t="s">
        <v>69</v>
      </c>
      <c r="H260" s="200" t="s">
        <v>342</v>
      </c>
    </row>
    <row r="261" spans="1:8" ht="15" customHeight="1">
      <c r="A261" s="199">
        <v>45672</v>
      </c>
      <c r="B261" s="202" t="s">
        <v>546</v>
      </c>
      <c r="C261" s="200" t="s">
        <v>136</v>
      </c>
      <c r="D261" s="668">
        <v>-420886.00199999998</v>
      </c>
      <c r="E261" s="201">
        <v>45658</v>
      </c>
      <c r="F261" s="200" t="s">
        <v>452</v>
      </c>
      <c r="G261" s="531" t="s">
        <v>392</v>
      </c>
      <c r="H261" s="200" t="s">
        <v>342</v>
      </c>
    </row>
    <row r="262" spans="1:8" ht="15" customHeight="1">
      <c r="A262" s="199">
        <v>45672</v>
      </c>
      <c r="B262" s="202" t="s">
        <v>547</v>
      </c>
      <c r="C262" s="200" t="s">
        <v>136</v>
      </c>
      <c r="D262" s="668">
        <v>-708143.33</v>
      </c>
      <c r="E262" s="201">
        <v>45658</v>
      </c>
      <c r="F262" s="200" t="s">
        <v>297</v>
      </c>
      <c r="G262" s="200" t="s">
        <v>75</v>
      </c>
      <c r="H262" s="200" t="s">
        <v>342</v>
      </c>
    </row>
    <row r="263" spans="1:8" ht="15" customHeight="1">
      <c r="A263" s="199">
        <v>45672</v>
      </c>
      <c r="B263" s="202" t="s">
        <v>548</v>
      </c>
      <c r="C263" s="200" t="s">
        <v>136</v>
      </c>
      <c r="D263" s="668">
        <v>-708143.33</v>
      </c>
      <c r="E263" s="201">
        <v>45658</v>
      </c>
      <c r="F263" s="200" t="s">
        <v>452</v>
      </c>
      <c r="G263" s="200" t="s">
        <v>328</v>
      </c>
      <c r="H263" s="200" t="s">
        <v>342</v>
      </c>
    </row>
    <row r="264" spans="1:8" ht="15" customHeight="1">
      <c r="A264" s="199">
        <v>45672</v>
      </c>
      <c r="B264" s="202" t="s">
        <v>549</v>
      </c>
      <c r="C264" s="200" t="s">
        <v>136</v>
      </c>
      <c r="D264" s="668">
        <v>-708143.33333333326</v>
      </c>
      <c r="E264" s="201">
        <v>45658</v>
      </c>
      <c r="F264" s="200" t="s">
        <v>297</v>
      </c>
      <c r="G264" s="200" t="s">
        <v>75</v>
      </c>
      <c r="H264" s="200" t="s">
        <v>342</v>
      </c>
    </row>
    <row r="265" spans="1:8" ht="15" customHeight="1">
      <c r="A265" s="199">
        <v>45672</v>
      </c>
      <c r="B265" s="202" t="s">
        <v>550</v>
      </c>
      <c r="C265" s="200" t="s">
        <v>136</v>
      </c>
      <c r="D265" s="668">
        <v>-708143.33333333326</v>
      </c>
      <c r="E265" s="201">
        <v>45658</v>
      </c>
      <c r="F265" s="200" t="s">
        <v>297</v>
      </c>
      <c r="G265" s="200" t="s">
        <v>75</v>
      </c>
      <c r="H265" s="200" t="s">
        <v>342</v>
      </c>
    </row>
    <row r="266" spans="1:8" ht="15" customHeight="1">
      <c r="A266" s="199">
        <v>45672</v>
      </c>
      <c r="B266" s="202" t="s">
        <v>551</v>
      </c>
      <c r="C266" s="200" t="s">
        <v>136</v>
      </c>
      <c r="D266" s="668">
        <v>-708143.33333333326</v>
      </c>
      <c r="E266" s="201">
        <v>45658</v>
      </c>
      <c r="F266" s="200" t="s">
        <v>297</v>
      </c>
      <c r="G266" s="200" t="s">
        <v>75</v>
      </c>
      <c r="H266" s="200" t="s">
        <v>342</v>
      </c>
    </row>
    <row r="267" spans="1:8" ht="15" customHeight="1">
      <c r="A267" s="199">
        <v>45672</v>
      </c>
      <c r="B267" s="202" t="s">
        <v>552</v>
      </c>
      <c r="C267" s="200" t="s">
        <v>136</v>
      </c>
      <c r="D267" s="668">
        <v>-708143.33333333326</v>
      </c>
      <c r="E267" s="201">
        <v>45658</v>
      </c>
      <c r="F267" s="200" t="s">
        <v>452</v>
      </c>
      <c r="G267" s="200" t="s">
        <v>328</v>
      </c>
      <c r="H267" s="200" t="s">
        <v>342</v>
      </c>
    </row>
    <row r="268" spans="1:8" ht="15" customHeight="1">
      <c r="A268" s="199">
        <v>45672</v>
      </c>
      <c r="B268" s="202" t="s">
        <v>553</v>
      </c>
      <c r="C268" s="200" t="s">
        <v>136</v>
      </c>
      <c r="D268" s="668">
        <v>-708143.33333333326</v>
      </c>
      <c r="E268" s="201">
        <v>45658</v>
      </c>
      <c r="F268" s="200" t="s">
        <v>452</v>
      </c>
      <c r="G268" s="200" t="s">
        <v>328</v>
      </c>
      <c r="H268" s="200" t="s">
        <v>342</v>
      </c>
    </row>
    <row r="269" spans="1:8" ht="15" customHeight="1">
      <c r="A269" s="199">
        <v>45672</v>
      </c>
      <c r="B269" s="202" t="s">
        <v>554</v>
      </c>
      <c r="C269" s="200" t="s">
        <v>136</v>
      </c>
      <c r="D269" s="668">
        <v>-708143.33333333326</v>
      </c>
      <c r="E269" s="201">
        <v>45658</v>
      </c>
      <c r="F269" s="200" t="s">
        <v>452</v>
      </c>
      <c r="G269" s="200" t="s">
        <v>44</v>
      </c>
      <c r="H269" s="200" t="s">
        <v>429</v>
      </c>
    </row>
    <row r="270" spans="1:8" ht="15" customHeight="1">
      <c r="A270" s="199">
        <v>45672</v>
      </c>
      <c r="B270" s="202" t="s">
        <v>555</v>
      </c>
      <c r="C270" s="200" t="s">
        <v>136</v>
      </c>
      <c r="D270" s="668">
        <v>-708143.33333333326</v>
      </c>
      <c r="E270" s="201">
        <v>45658</v>
      </c>
      <c r="F270" s="200" t="s">
        <v>452</v>
      </c>
      <c r="G270" s="200" t="s">
        <v>44</v>
      </c>
      <c r="H270" s="200" t="s">
        <v>429</v>
      </c>
    </row>
    <row r="271" spans="1:8" ht="15" customHeight="1">
      <c r="A271" s="199">
        <v>45672</v>
      </c>
      <c r="B271" s="202" t="s">
        <v>556</v>
      </c>
      <c r="C271" s="200" t="s">
        <v>136</v>
      </c>
      <c r="D271" s="668">
        <v>-708143.33333333326</v>
      </c>
      <c r="E271" s="201">
        <v>45658</v>
      </c>
      <c r="F271" s="200" t="s">
        <v>452</v>
      </c>
      <c r="G271" s="200" t="s">
        <v>44</v>
      </c>
      <c r="H271" s="200" t="s">
        <v>429</v>
      </c>
    </row>
    <row r="272" spans="1:8" ht="15" customHeight="1">
      <c r="A272" s="199">
        <v>45672</v>
      </c>
      <c r="B272" s="202" t="s">
        <v>557</v>
      </c>
      <c r="C272" s="200" t="s">
        <v>136</v>
      </c>
      <c r="D272" s="668">
        <v>-557181.33333333326</v>
      </c>
      <c r="E272" s="201">
        <v>45658</v>
      </c>
      <c r="F272" s="200" t="s">
        <v>452</v>
      </c>
      <c r="G272" s="200" t="s">
        <v>44</v>
      </c>
      <c r="H272" s="200" t="s">
        <v>429</v>
      </c>
    </row>
    <row r="273" spans="1:8" ht="15" customHeight="1">
      <c r="A273" s="199">
        <v>45672</v>
      </c>
      <c r="B273" s="202" t="s">
        <v>558</v>
      </c>
      <c r="C273" s="200" t="s">
        <v>136</v>
      </c>
      <c r="D273" s="668">
        <v>-708143.33333333326</v>
      </c>
      <c r="E273" s="201">
        <v>45658</v>
      </c>
      <c r="F273" s="200" t="s">
        <v>452</v>
      </c>
      <c r="G273" s="200" t="s">
        <v>44</v>
      </c>
      <c r="H273" s="200" t="s">
        <v>429</v>
      </c>
    </row>
    <row r="274" spans="1:8" ht="15" customHeight="1">
      <c r="A274" s="199">
        <v>45672</v>
      </c>
      <c r="B274" s="202" t="s">
        <v>559</v>
      </c>
      <c r="C274" s="200" t="s">
        <v>136</v>
      </c>
      <c r="D274" s="668">
        <v>-708143.33333333326</v>
      </c>
      <c r="E274" s="201">
        <v>45658</v>
      </c>
      <c r="F274" s="200" t="s">
        <v>452</v>
      </c>
      <c r="G274" s="200" t="s">
        <v>44</v>
      </c>
      <c r="H274" s="200" t="s">
        <v>429</v>
      </c>
    </row>
    <row r="275" spans="1:8" ht="15" customHeight="1">
      <c r="A275" s="199">
        <v>45672</v>
      </c>
      <c r="B275" s="202" t="s">
        <v>560</v>
      </c>
      <c r="C275" s="200" t="s">
        <v>136</v>
      </c>
      <c r="D275" s="668">
        <v>-402565.33333333331</v>
      </c>
      <c r="E275" s="201">
        <v>45658</v>
      </c>
      <c r="F275" s="200" t="s">
        <v>452</v>
      </c>
      <c r="G275" s="200" t="s">
        <v>44</v>
      </c>
      <c r="H275" s="200" t="s">
        <v>429</v>
      </c>
    </row>
    <row r="276" spans="1:8" ht="15" customHeight="1">
      <c r="A276" s="199">
        <v>45672</v>
      </c>
      <c r="B276" s="202" t="s">
        <v>561</v>
      </c>
      <c r="C276" s="200" t="s">
        <v>136</v>
      </c>
      <c r="D276" s="668">
        <v>-402565.33333333331</v>
      </c>
      <c r="E276" s="201">
        <v>45658</v>
      </c>
      <c r="F276" s="200" t="s">
        <v>452</v>
      </c>
      <c r="G276" s="200" t="s">
        <v>44</v>
      </c>
      <c r="H276" s="200" t="s">
        <v>429</v>
      </c>
    </row>
    <row r="277" spans="1:8" ht="15" customHeight="1">
      <c r="A277" s="199">
        <v>45672</v>
      </c>
      <c r="B277" s="202" t="s">
        <v>562</v>
      </c>
      <c r="C277" s="200" t="s">
        <v>136</v>
      </c>
      <c r="D277" s="668">
        <v>-402565.33333333331</v>
      </c>
      <c r="E277" s="201">
        <v>45658</v>
      </c>
      <c r="F277" s="200" t="s">
        <v>452</v>
      </c>
      <c r="G277" s="200" t="s">
        <v>44</v>
      </c>
      <c r="H277" s="200" t="s">
        <v>429</v>
      </c>
    </row>
    <row r="278" spans="1:8" ht="15" customHeight="1">
      <c r="A278" s="199">
        <v>45672</v>
      </c>
      <c r="B278" s="202" t="s">
        <v>563</v>
      </c>
      <c r="C278" s="200" t="s">
        <v>136</v>
      </c>
      <c r="D278" s="668">
        <v>-402565.33333333331</v>
      </c>
      <c r="E278" s="201">
        <v>45658</v>
      </c>
      <c r="F278" s="200" t="s">
        <v>452</v>
      </c>
      <c r="G278" s="200" t="s">
        <v>44</v>
      </c>
      <c r="H278" s="200" t="s">
        <v>429</v>
      </c>
    </row>
    <row r="279" spans="1:8" ht="15" customHeight="1">
      <c r="A279" s="199">
        <v>45672</v>
      </c>
      <c r="B279" s="202" t="s">
        <v>564</v>
      </c>
      <c r="C279" s="200" t="s">
        <v>136</v>
      </c>
      <c r="D279" s="668">
        <v>-402565.33333333331</v>
      </c>
      <c r="E279" s="201">
        <v>45658</v>
      </c>
      <c r="F279" s="200" t="s">
        <v>452</v>
      </c>
      <c r="G279" s="200" t="s">
        <v>44</v>
      </c>
      <c r="H279" s="200" t="s">
        <v>429</v>
      </c>
    </row>
    <row r="280" spans="1:8" ht="15" customHeight="1">
      <c r="A280" s="199">
        <v>45672</v>
      </c>
      <c r="B280" s="202" t="s">
        <v>565</v>
      </c>
      <c r="C280" s="200" t="s">
        <v>136</v>
      </c>
      <c r="D280" s="668">
        <v>-402565.33333333331</v>
      </c>
      <c r="E280" s="201">
        <v>45658</v>
      </c>
      <c r="F280" s="200" t="s">
        <v>452</v>
      </c>
      <c r="G280" s="200" t="s">
        <v>44</v>
      </c>
      <c r="H280" s="200" t="s">
        <v>429</v>
      </c>
    </row>
    <row r="281" spans="1:8" ht="15" customHeight="1">
      <c r="A281" s="199">
        <v>45672</v>
      </c>
      <c r="B281" s="202" t="s">
        <v>566</v>
      </c>
      <c r="C281" s="200" t="s">
        <v>136</v>
      </c>
      <c r="D281" s="668">
        <v>-102222.22222222223</v>
      </c>
      <c r="E281" s="201">
        <v>45658</v>
      </c>
      <c r="F281" s="200" t="s">
        <v>297</v>
      </c>
      <c r="G281" s="200" t="s">
        <v>75</v>
      </c>
      <c r="H281" s="200" t="s">
        <v>567</v>
      </c>
    </row>
    <row r="282" spans="1:8" ht="15" customHeight="1">
      <c r="A282" s="199">
        <v>45672</v>
      </c>
      <c r="B282" s="202" t="s">
        <v>566</v>
      </c>
      <c r="C282" s="200" t="s">
        <v>136</v>
      </c>
      <c r="D282" s="668">
        <v>-102222.22222222223</v>
      </c>
      <c r="E282" s="201">
        <v>45658</v>
      </c>
      <c r="F282" s="200" t="s">
        <v>296</v>
      </c>
      <c r="G282" s="200" t="s">
        <v>328</v>
      </c>
      <c r="H282" s="200" t="s">
        <v>567</v>
      </c>
    </row>
    <row r="283" spans="1:8" ht="15" customHeight="1">
      <c r="A283" s="199">
        <v>45672</v>
      </c>
      <c r="B283" s="202" t="s">
        <v>566</v>
      </c>
      <c r="C283" s="200" t="s">
        <v>136</v>
      </c>
      <c r="D283" s="668">
        <v>-102222.22222222223</v>
      </c>
      <c r="E283" s="201">
        <v>45658</v>
      </c>
      <c r="F283" s="200" t="s">
        <v>297</v>
      </c>
      <c r="G283" s="200" t="s">
        <v>69</v>
      </c>
      <c r="H283" s="200" t="s">
        <v>567</v>
      </c>
    </row>
    <row r="284" spans="1:8" ht="15" customHeight="1">
      <c r="A284" s="199">
        <v>45672</v>
      </c>
      <c r="B284" s="202" t="s">
        <v>568</v>
      </c>
      <c r="C284" s="200" t="s">
        <v>136</v>
      </c>
      <c r="D284" s="668">
        <v>-339777.77777777781</v>
      </c>
      <c r="E284" s="201">
        <v>45658</v>
      </c>
      <c r="F284" s="200" t="s">
        <v>297</v>
      </c>
      <c r="G284" s="200" t="s">
        <v>75</v>
      </c>
      <c r="H284" s="200" t="s">
        <v>567</v>
      </c>
    </row>
    <row r="285" spans="1:8" ht="15" customHeight="1">
      <c r="A285" s="199">
        <v>45672</v>
      </c>
      <c r="B285" s="202" t="s">
        <v>568</v>
      </c>
      <c r="C285" s="200" t="s">
        <v>136</v>
      </c>
      <c r="D285" s="668">
        <v>-339777.77777777781</v>
      </c>
      <c r="E285" s="201">
        <v>45658</v>
      </c>
      <c r="F285" s="200" t="s">
        <v>296</v>
      </c>
      <c r="G285" s="200" t="s">
        <v>328</v>
      </c>
      <c r="H285" s="200" t="s">
        <v>567</v>
      </c>
    </row>
    <row r="286" spans="1:8" ht="15" customHeight="1">
      <c r="A286" s="199">
        <v>45672</v>
      </c>
      <c r="B286" s="202" t="s">
        <v>568</v>
      </c>
      <c r="C286" s="200" t="s">
        <v>136</v>
      </c>
      <c r="D286" s="668">
        <v>-339777.77777777781</v>
      </c>
      <c r="E286" s="201">
        <v>45658</v>
      </c>
      <c r="F286" s="200" t="s">
        <v>297</v>
      </c>
      <c r="G286" s="200" t="s">
        <v>69</v>
      </c>
      <c r="H286" s="200" t="s">
        <v>567</v>
      </c>
    </row>
    <row r="287" spans="1:8" ht="15" customHeight="1">
      <c r="A287" s="199">
        <v>45672</v>
      </c>
      <c r="B287" s="202" t="s">
        <v>569</v>
      </c>
      <c r="C287" s="200" t="s">
        <v>136</v>
      </c>
      <c r="D287" s="668">
        <v>-25555.555555555558</v>
      </c>
      <c r="E287" s="201">
        <v>45658</v>
      </c>
      <c r="F287" s="200" t="s">
        <v>297</v>
      </c>
      <c r="G287" s="200" t="s">
        <v>75</v>
      </c>
      <c r="H287" s="200" t="s">
        <v>567</v>
      </c>
    </row>
    <row r="288" spans="1:8" ht="15" customHeight="1">
      <c r="A288" s="199">
        <v>45672</v>
      </c>
      <c r="B288" s="202" t="s">
        <v>570</v>
      </c>
      <c r="C288" s="200" t="s">
        <v>136</v>
      </c>
      <c r="D288" s="668">
        <v>-25555.555555555558</v>
      </c>
      <c r="E288" s="201">
        <v>45658</v>
      </c>
      <c r="F288" s="200" t="s">
        <v>296</v>
      </c>
      <c r="G288" s="200" t="s">
        <v>328</v>
      </c>
      <c r="H288" s="200" t="s">
        <v>567</v>
      </c>
    </row>
    <row r="289" spans="1:8" ht="15" customHeight="1">
      <c r="A289" s="199">
        <v>45672</v>
      </c>
      <c r="B289" s="202" t="s">
        <v>569</v>
      </c>
      <c r="C289" s="200" t="s">
        <v>136</v>
      </c>
      <c r="D289" s="668">
        <v>-25555.555555555558</v>
      </c>
      <c r="E289" s="201">
        <v>45658</v>
      </c>
      <c r="F289" s="200" t="s">
        <v>297</v>
      </c>
      <c r="G289" s="200" t="s">
        <v>69</v>
      </c>
      <c r="H289" s="200" t="s">
        <v>567</v>
      </c>
    </row>
    <row r="290" spans="1:8" ht="15" customHeight="1">
      <c r="A290" s="199">
        <v>45672</v>
      </c>
      <c r="B290" s="202" t="s">
        <v>571</v>
      </c>
      <c r="C290" s="200" t="s">
        <v>136</v>
      </c>
      <c r="D290" s="668">
        <v>-83333.333333333328</v>
      </c>
      <c r="E290" s="201">
        <v>45658</v>
      </c>
      <c r="F290" s="200" t="s">
        <v>297</v>
      </c>
      <c r="G290" s="200" t="s">
        <v>75</v>
      </c>
      <c r="H290" s="200" t="s">
        <v>567</v>
      </c>
    </row>
    <row r="291" spans="1:8" ht="15" customHeight="1">
      <c r="A291" s="199">
        <v>45672</v>
      </c>
      <c r="B291" s="202" t="s">
        <v>572</v>
      </c>
      <c r="C291" s="200" t="s">
        <v>136</v>
      </c>
      <c r="D291" s="668">
        <v>-83333.333333333328</v>
      </c>
      <c r="E291" s="201">
        <v>45658</v>
      </c>
      <c r="F291" s="200" t="s">
        <v>296</v>
      </c>
      <c r="G291" s="200" t="s">
        <v>328</v>
      </c>
      <c r="H291" s="200" t="s">
        <v>567</v>
      </c>
    </row>
    <row r="292" spans="1:8" ht="15" customHeight="1">
      <c r="A292" s="199">
        <v>45672</v>
      </c>
      <c r="B292" s="202" t="s">
        <v>571</v>
      </c>
      <c r="C292" s="200" t="s">
        <v>136</v>
      </c>
      <c r="D292" s="668">
        <v>-83333.333333333328</v>
      </c>
      <c r="E292" s="201">
        <v>45658</v>
      </c>
      <c r="F292" s="200" t="s">
        <v>297</v>
      </c>
      <c r="G292" s="200" t="s">
        <v>69</v>
      </c>
      <c r="H292" s="200" t="s">
        <v>567</v>
      </c>
    </row>
    <row r="293" spans="1:8" ht="15" customHeight="1">
      <c r="A293" s="199">
        <v>45672</v>
      </c>
      <c r="B293" s="202" t="s">
        <v>573</v>
      </c>
      <c r="C293" s="200" t="s">
        <v>136</v>
      </c>
      <c r="D293" s="668">
        <v>-15333.333333333334</v>
      </c>
      <c r="E293" s="201">
        <v>45658</v>
      </c>
      <c r="F293" s="200" t="s">
        <v>297</v>
      </c>
      <c r="G293" s="200" t="s">
        <v>75</v>
      </c>
      <c r="H293" s="200" t="s">
        <v>567</v>
      </c>
    </row>
    <row r="294" spans="1:8" ht="15" customHeight="1">
      <c r="A294" s="199">
        <v>45672</v>
      </c>
      <c r="B294" s="202" t="s">
        <v>574</v>
      </c>
      <c r="C294" s="200" t="s">
        <v>136</v>
      </c>
      <c r="D294" s="668">
        <v>-15333.333333333334</v>
      </c>
      <c r="E294" s="201">
        <v>45658</v>
      </c>
      <c r="F294" s="200" t="s">
        <v>296</v>
      </c>
      <c r="G294" s="200" t="s">
        <v>328</v>
      </c>
      <c r="H294" s="200" t="s">
        <v>567</v>
      </c>
    </row>
    <row r="295" spans="1:8" ht="15" customHeight="1">
      <c r="A295" s="199">
        <v>45672</v>
      </c>
      <c r="B295" s="202" t="s">
        <v>573</v>
      </c>
      <c r="C295" s="200" t="s">
        <v>136</v>
      </c>
      <c r="D295" s="668">
        <v>-15333.333333333334</v>
      </c>
      <c r="E295" s="201">
        <v>45658</v>
      </c>
      <c r="F295" s="200" t="s">
        <v>297</v>
      </c>
      <c r="G295" s="200" t="s">
        <v>69</v>
      </c>
      <c r="H295" s="200" t="s">
        <v>567</v>
      </c>
    </row>
    <row r="296" spans="1:8" ht="15" customHeight="1">
      <c r="A296" s="199">
        <v>45672</v>
      </c>
      <c r="B296" s="202" t="s">
        <v>575</v>
      </c>
      <c r="C296" s="200" t="s">
        <v>136</v>
      </c>
      <c r="D296" s="668">
        <v>-334936.66666666669</v>
      </c>
      <c r="E296" s="201">
        <v>45658</v>
      </c>
      <c r="F296" s="200" t="s">
        <v>297</v>
      </c>
      <c r="G296" s="200" t="s">
        <v>75</v>
      </c>
      <c r="H296" s="200" t="s">
        <v>567</v>
      </c>
    </row>
    <row r="297" spans="1:8" ht="15" customHeight="1">
      <c r="A297" s="199">
        <v>45672</v>
      </c>
      <c r="B297" s="202" t="s">
        <v>575</v>
      </c>
      <c r="C297" s="200" t="s">
        <v>136</v>
      </c>
      <c r="D297" s="668">
        <v>-334936.66666666669</v>
      </c>
      <c r="E297" s="201">
        <v>45658</v>
      </c>
      <c r="F297" s="200" t="s">
        <v>296</v>
      </c>
      <c r="G297" s="200" t="s">
        <v>328</v>
      </c>
      <c r="H297" s="200" t="s">
        <v>567</v>
      </c>
    </row>
    <row r="298" spans="1:8" ht="15" customHeight="1">
      <c r="A298" s="199">
        <v>45672</v>
      </c>
      <c r="B298" s="202" t="s">
        <v>576</v>
      </c>
      <c r="C298" s="200" t="s">
        <v>136</v>
      </c>
      <c r="D298" s="668">
        <v>-334936.66666666669</v>
      </c>
      <c r="E298" s="201">
        <v>45658</v>
      </c>
      <c r="F298" s="200" t="s">
        <v>297</v>
      </c>
      <c r="G298" s="200" t="s">
        <v>69</v>
      </c>
      <c r="H298" s="200" t="s">
        <v>567</v>
      </c>
    </row>
    <row r="299" spans="1:8" ht="15" customHeight="1">
      <c r="A299" s="199">
        <v>45672</v>
      </c>
      <c r="B299" s="202" t="s">
        <v>577</v>
      </c>
      <c r="C299" s="200" t="s">
        <v>136</v>
      </c>
      <c r="D299" s="668">
        <v>-25555.555555555558</v>
      </c>
      <c r="E299" s="201">
        <v>45658</v>
      </c>
      <c r="F299" s="200" t="s">
        <v>297</v>
      </c>
      <c r="G299" s="200" t="s">
        <v>75</v>
      </c>
      <c r="H299" s="200" t="s">
        <v>567</v>
      </c>
    </row>
    <row r="300" spans="1:8" ht="15" customHeight="1">
      <c r="A300" s="199">
        <v>45672</v>
      </c>
      <c r="B300" s="202" t="s">
        <v>578</v>
      </c>
      <c r="C300" s="200" t="s">
        <v>136</v>
      </c>
      <c r="D300" s="668">
        <v>-25555.555555555558</v>
      </c>
      <c r="E300" s="201">
        <v>45658</v>
      </c>
      <c r="F300" s="200" t="s">
        <v>296</v>
      </c>
      <c r="G300" s="200" t="s">
        <v>328</v>
      </c>
      <c r="H300" s="200" t="s">
        <v>567</v>
      </c>
    </row>
    <row r="301" spans="1:8" ht="15" customHeight="1">
      <c r="A301" s="199">
        <v>45672</v>
      </c>
      <c r="B301" s="202" t="s">
        <v>577</v>
      </c>
      <c r="C301" s="200" t="s">
        <v>136</v>
      </c>
      <c r="D301" s="668">
        <v>-25555.555555555558</v>
      </c>
      <c r="E301" s="201">
        <v>45658</v>
      </c>
      <c r="F301" s="200" t="s">
        <v>297</v>
      </c>
      <c r="G301" s="200" t="s">
        <v>69</v>
      </c>
      <c r="H301" s="200" t="s">
        <v>567</v>
      </c>
    </row>
    <row r="302" spans="1:8" ht="15" customHeight="1">
      <c r="A302" s="199">
        <v>45672</v>
      </c>
      <c r="B302" s="202" t="s">
        <v>579</v>
      </c>
      <c r="C302" s="200" t="s">
        <v>136</v>
      </c>
      <c r="D302" s="668">
        <v>-400000</v>
      </c>
      <c r="E302" s="201">
        <v>45658</v>
      </c>
      <c r="F302" s="200" t="s">
        <v>256</v>
      </c>
      <c r="G302" s="200" t="s">
        <v>107</v>
      </c>
      <c r="H302" s="200" t="s">
        <v>121</v>
      </c>
    </row>
    <row r="303" spans="1:8" ht="15" customHeight="1">
      <c r="A303" s="199">
        <v>45672</v>
      </c>
      <c r="B303" s="202" t="s">
        <v>580</v>
      </c>
      <c r="C303" s="200" t="s">
        <v>136</v>
      </c>
      <c r="D303" s="668">
        <v>-33333.333333333336</v>
      </c>
      <c r="E303" s="201">
        <v>45658</v>
      </c>
      <c r="F303" s="200" t="s">
        <v>256</v>
      </c>
      <c r="G303" s="200" t="s">
        <v>107</v>
      </c>
      <c r="H303" s="200" t="s">
        <v>121</v>
      </c>
    </row>
    <row r="304" spans="1:8" ht="15" customHeight="1">
      <c r="A304" s="199">
        <v>45672</v>
      </c>
      <c r="B304" s="202" t="s">
        <v>580</v>
      </c>
      <c r="C304" s="200" t="s">
        <v>136</v>
      </c>
      <c r="D304" s="668">
        <v>-33333.333333333336</v>
      </c>
      <c r="E304" s="201">
        <v>45658</v>
      </c>
      <c r="F304" s="200" t="s">
        <v>256</v>
      </c>
      <c r="G304" s="200" t="s">
        <v>107</v>
      </c>
      <c r="H304" s="200" t="s">
        <v>121</v>
      </c>
    </row>
    <row r="305" spans="1:8" ht="15" customHeight="1">
      <c r="A305" s="199">
        <v>45672</v>
      </c>
      <c r="B305" s="202" t="s">
        <v>580</v>
      </c>
      <c r="C305" s="200" t="s">
        <v>136</v>
      </c>
      <c r="D305" s="668">
        <v>-33333.333333333336</v>
      </c>
      <c r="E305" s="201">
        <v>45658</v>
      </c>
      <c r="F305" s="200" t="s">
        <v>256</v>
      </c>
      <c r="G305" s="200" t="s">
        <v>107</v>
      </c>
      <c r="H305" s="200" t="s">
        <v>121</v>
      </c>
    </row>
    <row r="306" spans="1:8" ht="15" customHeight="1">
      <c r="A306" s="199">
        <v>45672</v>
      </c>
      <c r="B306" s="202" t="s">
        <v>581</v>
      </c>
      <c r="C306" s="200" t="s">
        <v>136</v>
      </c>
      <c r="D306" s="668">
        <v>-2760000</v>
      </c>
      <c r="E306" s="201">
        <v>45658</v>
      </c>
      <c r="F306" s="200" t="s">
        <v>256</v>
      </c>
      <c r="G306" s="200" t="s">
        <v>256</v>
      </c>
      <c r="H306" s="200" t="s">
        <v>121</v>
      </c>
    </row>
    <row r="307" spans="1:8" ht="15" customHeight="1">
      <c r="A307" s="199">
        <v>45672</v>
      </c>
      <c r="B307" s="202" t="s">
        <v>582</v>
      </c>
      <c r="C307" s="200" t="s">
        <v>136</v>
      </c>
      <c r="D307" s="668">
        <v>-904080</v>
      </c>
      <c r="E307" s="201">
        <v>45658</v>
      </c>
      <c r="F307" s="200" t="s">
        <v>256</v>
      </c>
      <c r="G307" s="200" t="s">
        <v>256</v>
      </c>
      <c r="H307" s="200" t="s">
        <v>121</v>
      </c>
    </row>
    <row r="308" spans="1:8" ht="15" customHeight="1">
      <c r="A308" s="199">
        <v>45672</v>
      </c>
      <c r="B308" s="202" t="s">
        <v>583</v>
      </c>
      <c r="C308" s="200" t="s">
        <v>136</v>
      </c>
      <c r="D308" s="668">
        <v>-748143.33333333337</v>
      </c>
      <c r="E308" s="201">
        <v>45658</v>
      </c>
      <c r="F308" s="200" t="s">
        <v>256</v>
      </c>
      <c r="G308" s="200" t="s">
        <v>256</v>
      </c>
      <c r="H308" s="200" t="s">
        <v>121</v>
      </c>
    </row>
    <row r="309" spans="1:8" ht="15" customHeight="1">
      <c r="A309" s="199">
        <v>45672</v>
      </c>
      <c r="B309" s="202" t="s">
        <v>584</v>
      </c>
      <c r="C309" s="200" t="s">
        <v>136</v>
      </c>
      <c r="D309" s="668">
        <v>-813000</v>
      </c>
      <c r="E309" s="201">
        <v>45658</v>
      </c>
      <c r="F309" s="200" t="s">
        <v>256</v>
      </c>
      <c r="G309" s="200" t="s">
        <v>256</v>
      </c>
      <c r="H309" s="200" t="s">
        <v>121</v>
      </c>
    </row>
    <row r="310" spans="1:8" ht="15" customHeight="1">
      <c r="A310" s="199">
        <v>45672</v>
      </c>
      <c r="B310" s="202" t="s">
        <v>585</v>
      </c>
      <c r="C310" s="200" t="s">
        <v>136</v>
      </c>
      <c r="D310" s="668">
        <v>-835333.33333333326</v>
      </c>
      <c r="E310" s="201">
        <v>45658</v>
      </c>
      <c r="F310" s="200" t="s">
        <v>256</v>
      </c>
      <c r="G310" s="200" t="s">
        <v>256</v>
      </c>
      <c r="H310" s="200" t="s">
        <v>121</v>
      </c>
    </row>
    <row r="311" spans="1:8" ht="15" customHeight="1">
      <c r="A311" s="199">
        <v>45672</v>
      </c>
      <c r="B311" s="202" t="s">
        <v>586</v>
      </c>
      <c r="C311" s="200" t="s">
        <v>136</v>
      </c>
      <c r="D311" s="668">
        <v>-708143.33333333326</v>
      </c>
      <c r="E311" s="201">
        <v>45658</v>
      </c>
      <c r="F311" s="200" t="s">
        <v>256</v>
      </c>
      <c r="G311" s="200" t="s">
        <v>256</v>
      </c>
      <c r="H311" s="200" t="s">
        <v>121</v>
      </c>
    </row>
    <row r="312" spans="1:8" ht="15" customHeight="1">
      <c r="A312" s="199">
        <v>45672</v>
      </c>
      <c r="B312" s="202" t="s">
        <v>587</v>
      </c>
      <c r="C312" s="200" t="s">
        <v>136</v>
      </c>
      <c r="D312" s="668">
        <v>-754810</v>
      </c>
      <c r="E312" s="201">
        <v>45658</v>
      </c>
      <c r="F312" s="200" t="s">
        <v>256</v>
      </c>
      <c r="G312" s="200" t="s">
        <v>256</v>
      </c>
      <c r="H312" s="200" t="s">
        <v>121</v>
      </c>
    </row>
    <row r="313" spans="1:8" ht="15" customHeight="1">
      <c r="A313" s="199">
        <v>45672</v>
      </c>
      <c r="B313" s="202" t="s">
        <v>588</v>
      </c>
      <c r="C313" s="200" t="s">
        <v>136</v>
      </c>
      <c r="D313" s="668">
        <v>-402565.33333333331</v>
      </c>
      <c r="E313" s="201">
        <v>45658</v>
      </c>
      <c r="F313" s="200" t="s">
        <v>256</v>
      </c>
      <c r="G313" s="200" t="s">
        <v>107</v>
      </c>
      <c r="H313" s="200" t="s">
        <v>121</v>
      </c>
    </row>
    <row r="314" spans="1:8" ht="15" customHeight="1">
      <c r="A314" s="199">
        <v>45672</v>
      </c>
      <c r="B314" s="202" t="s">
        <v>589</v>
      </c>
      <c r="C314" s="200" t="s">
        <v>136</v>
      </c>
      <c r="D314" s="668">
        <v>-2752803.25</v>
      </c>
      <c r="E314" s="201">
        <v>45658</v>
      </c>
      <c r="F314" s="200" t="s">
        <v>256</v>
      </c>
      <c r="G314" s="200" t="s">
        <v>256</v>
      </c>
      <c r="H314" s="200" t="s">
        <v>121</v>
      </c>
    </row>
    <row r="315" spans="1:8" ht="15" customHeight="1">
      <c r="A315" s="199">
        <v>45672</v>
      </c>
      <c r="B315" s="202" t="s">
        <v>590</v>
      </c>
      <c r="C315" s="200" t="s">
        <v>136</v>
      </c>
      <c r="D315" s="668">
        <v>-853480</v>
      </c>
      <c r="E315" s="201">
        <v>45658</v>
      </c>
      <c r="F315" s="200" t="s">
        <v>296</v>
      </c>
      <c r="G315" s="200" t="s">
        <v>341</v>
      </c>
      <c r="H315" s="200" t="s">
        <v>342</v>
      </c>
    </row>
    <row r="316" spans="1:8" ht="15" customHeight="1">
      <c r="A316" s="199">
        <v>45672</v>
      </c>
      <c r="B316" s="202" t="s">
        <v>591</v>
      </c>
      <c r="C316" s="200" t="s">
        <v>136</v>
      </c>
      <c r="D316" s="668">
        <v>-853480</v>
      </c>
      <c r="E316" s="201">
        <v>45658</v>
      </c>
      <c r="F316" s="200" t="s">
        <v>296</v>
      </c>
      <c r="G316" s="200" t="s">
        <v>341</v>
      </c>
      <c r="H316" s="200" t="s">
        <v>342</v>
      </c>
    </row>
    <row r="317" spans="1:8" ht="15" customHeight="1">
      <c r="A317" s="199">
        <v>45672</v>
      </c>
      <c r="B317" s="202" t="s">
        <v>592</v>
      </c>
      <c r="C317" s="200" t="s">
        <v>136</v>
      </c>
      <c r="D317" s="668">
        <v>-1345562</v>
      </c>
      <c r="E317" s="201">
        <v>45658</v>
      </c>
      <c r="F317" s="200" t="s">
        <v>296</v>
      </c>
      <c r="G317" s="200" t="s">
        <v>341</v>
      </c>
      <c r="H317" s="200" t="s">
        <v>342</v>
      </c>
    </row>
    <row r="318" spans="1:8" ht="15" customHeight="1">
      <c r="A318" s="199">
        <v>45672</v>
      </c>
      <c r="B318" s="202" t="s">
        <v>593</v>
      </c>
      <c r="C318" s="200" t="s">
        <v>136</v>
      </c>
      <c r="D318" s="668">
        <v>-859250</v>
      </c>
      <c r="E318" s="201">
        <v>45658</v>
      </c>
      <c r="F318" s="200" t="s">
        <v>296</v>
      </c>
      <c r="G318" s="200" t="s">
        <v>341</v>
      </c>
      <c r="H318" s="200" t="s">
        <v>342</v>
      </c>
    </row>
    <row r="319" spans="1:8" ht="15" customHeight="1">
      <c r="A319" s="199">
        <v>45672</v>
      </c>
      <c r="B319" s="202" t="s">
        <v>594</v>
      </c>
      <c r="C319" s="200" t="s">
        <v>136</v>
      </c>
      <c r="D319" s="668">
        <v>-402565.33</v>
      </c>
      <c r="E319" s="201">
        <v>45658</v>
      </c>
      <c r="F319" s="200" t="s">
        <v>256</v>
      </c>
      <c r="G319" s="200" t="s">
        <v>107</v>
      </c>
      <c r="H319" s="200" t="s">
        <v>121</v>
      </c>
    </row>
    <row r="320" spans="1:8" ht="15" customHeight="1">
      <c r="A320" s="199">
        <v>45672</v>
      </c>
      <c r="B320" s="202" t="s">
        <v>595</v>
      </c>
      <c r="C320" s="200" t="s">
        <v>136</v>
      </c>
      <c r="D320" s="668">
        <v>-1334000</v>
      </c>
      <c r="E320" s="201">
        <v>45658</v>
      </c>
      <c r="F320" s="200" t="s">
        <v>296</v>
      </c>
      <c r="G320" s="200" t="s">
        <v>337</v>
      </c>
      <c r="H320" s="200" t="s">
        <v>429</v>
      </c>
    </row>
    <row r="321" spans="1:8" ht="15" customHeight="1">
      <c r="A321" s="199">
        <v>45672</v>
      </c>
      <c r="B321" s="202" t="s">
        <v>596</v>
      </c>
      <c r="C321" s="200" t="s">
        <v>136</v>
      </c>
      <c r="D321" s="668">
        <v>-1019333.3333333335</v>
      </c>
      <c r="E321" s="201">
        <v>45658</v>
      </c>
      <c r="F321" s="200" t="s">
        <v>296</v>
      </c>
      <c r="G321" s="200" t="s">
        <v>337</v>
      </c>
      <c r="H321" s="200" t="s">
        <v>429</v>
      </c>
    </row>
    <row r="322" spans="1:8" ht="15" customHeight="1">
      <c r="A322" s="199">
        <v>45672</v>
      </c>
      <c r="B322" s="202" t="s">
        <v>597</v>
      </c>
      <c r="C322" s="200" t="s">
        <v>136</v>
      </c>
      <c r="D322" s="668">
        <v>-708143.33333333326</v>
      </c>
      <c r="E322" s="201">
        <v>45658</v>
      </c>
      <c r="F322" s="200" t="s">
        <v>296</v>
      </c>
      <c r="G322" s="200" t="s">
        <v>337</v>
      </c>
      <c r="H322" s="200" t="s">
        <v>429</v>
      </c>
    </row>
    <row r="323" spans="1:8" ht="15" customHeight="1">
      <c r="A323" s="199">
        <v>45672</v>
      </c>
      <c r="B323" s="202" t="s">
        <v>598</v>
      </c>
      <c r="C323" s="200" t="s">
        <v>136</v>
      </c>
      <c r="D323" s="668">
        <v>-789333.33333333326</v>
      </c>
      <c r="E323" s="201">
        <v>45658</v>
      </c>
      <c r="F323" s="200" t="s">
        <v>296</v>
      </c>
      <c r="G323" s="200" t="s">
        <v>337</v>
      </c>
      <c r="H323" s="200" t="s">
        <v>429</v>
      </c>
    </row>
    <row r="324" spans="1:8" ht="15" customHeight="1">
      <c r="A324" s="199">
        <v>45672</v>
      </c>
      <c r="B324" s="202" t="s">
        <v>599</v>
      </c>
      <c r="C324" s="200" t="s">
        <v>136</v>
      </c>
      <c r="D324" s="668">
        <v>-1203333.3333333335</v>
      </c>
      <c r="E324" s="201">
        <v>45658</v>
      </c>
      <c r="F324" s="200" t="s">
        <v>296</v>
      </c>
      <c r="G324" s="200" t="s">
        <v>337</v>
      </c>
      <c r="H324" s="200" t="s">
        <v>429</v>
      </c>
    </row>
    <row r="325" spans="1:8" ht="15" customHeight="1">
      <c r="A325" s="199">
        <v>45672</v>
      </c>
      <c r="B325" s="202" t="s">
        <v>600</v>
      </c>
      <c r="C325" s="200" t="s">
        <v>136</v>
      </c>
      <c r="D325" s="668">
        <v>-708143.33333333326</v>
      </c>
      <c r="E325" s="201">
        <v>45658</v>
      </c>
      <c r="F325" s="200" t="s">
        <v>296</v>
      </c>
      <c r="G325" s="200" t="s">
        <v>337</v>
      </c>
      <c r="H325" s="200" t="s">
        <v>429</v>
      </c>
    </row>
    <row r="326" spans="1:8" ht="15" customHeight="1">
      <c r="A326" s="199">
        <v>45672</v>
      </c>
      <c r="B326" s="202" t="s">
        <v>601</v>
      </c>
      <c r="C326" s="200" t="s">
        <v>136</v>
      </c>
      <c r="D326" s="668">
        <v>-708143.33333333326</v>
      </c>
      <c r="E326" s="201">
        <v>45658</v>
      </c>
      <c r="F326" s="200" t="s">
        <v>296</v>
      </c>
      <c r="G326" s="200" t="s">
        <v>337</v>
      </c>
      <c r="H326" s="200" t="s">
        <v>429</v>
      </c>
    </row>
    <row r="327" spans="1:8" ht="15" customHeight="1">
      <c r="A327" s="199">
        <v>45672</v>
      </c>
      <c r="B327" s="202" t="s">
        <v>602</v>
      </c>
      <c r="C327" s="200" t="s">
        <v>136</v>
      </c>
      <c r="D327" s="668">
        <v>-708143.33333333326</v>
      </c>
      <c r="E327" s="201">
        <v>45658</v>
      </c>
      <c r="F327" s="200" t="s">
        <v>296</v>
      </c>
      <c r="G327" s="200" t="s">
        <v>337</v>
      </c>
      <c r="H327" s="200" t="s">
        <v>429</v>
      </c>
    </row>
    <row r="328" spans="1:8" ht="15" customHeight="1">
      <c r="A328" s="199">
        <v>45672</v>
      </c>
      <c r="B328" s="202" t="s">
        <v>603</v>
      </c>
      <c r="C328" s="200" t="s">
        <v>136</v>
      </c>
      <c r="D328" s="668">
        <v>-708143.33333333326</v>
      </c>
      <c r="E328" s="201">
        <v>45658</v>
      </c>
      <c r="F328" s="200" t="s">
        <v>296</v>
      </c>
      <c r="G328" s="200" t="s">
        <v>337</v>
      </c>
      <c r="H328" s="200" t="s">
        <v>429</v>
      </c>
    </row>
    <row r="329" spans="1:8" ht="15" customHeight="1">
      <c r="A329" s="199">
        <v>45672</v>
      </c>
      <c r="B329" s="202" t="s">
        <v>604</v>
      </c>
      <c r="C329" s="200" t="s">
        <v>136</v>
      </c>
      <c r="D329" s="668">
        <v>-708143.33333333326</v>
      </c>
      <c r="E329" s="201">
        <v>45658</v>
      </c>
      <c r="F329" s="200" t="s">
        <v>296</v>
      </c>
      <c r="G329" s="200" t="s">
        <v>337</v>
      </c>
      <c r="H329" s="200" t="s">
        <v>429</v>
      </c>
    </row>
    <row r="330" spans="1:8" ht="15" customHeight="1">
      <c r="A330" s="199">
        <v>45672</v>
      </c>
      <c r="B330" s="202" t="s">
        <v>605</v>
      </c>
      <c r="C330" s="200" t="s">
        <v>136</v>
      </c>
      <c r="D330" s="668">
        <v>-708143.33333333326</v>
      </c>
      <c r="E330" s="201">
        <v>45658</v>
      </c>
      <c r="F330" s="200" t="s">
        <v>296</v>
      </c>
      <c r="G330" s="200" t="s">
        <v>337</v>
      </c>
      <c r="H330" s="200" t="s">
        <v>429</v>
      </c>
    </row>
    <row r="331" spans="1:8" ht="15" customHeight="1">
      <c r="A331" s="199">
        <v>45672</v>
      </c>
      <c r="B331" s="202" t="s">
        <v>606</v>
      </c>
      <c r="C331" s="200" t="s">
        <v>136</v>
      </c>
      <c r="D331" s="668">
        <v>-708143.33333333326</v>
      </c>
      <c r="E331" s="201">
        <v>45658</v>
      </c>
      <c r="F331" s="200" t="s">
        <v>296</v>
      </c>
      <c r="G331" s="200" t="s">
        <v>337</v>
      </c>
      <c r="H331" s="200" t="s">
        <v>429</v>
      </c>
    </row>
    <row r="332" spans="1:8" ht="15" customHeight="1">
      <c r="A332" s="199">
        <v>45672</v>
      </c>
      <c r="B332" s="202" t="s">
        <v>607</v>
      </c>
      <c r="C332" s="200" t="s">
        <v>136</v>
      </c>
      <c r="D332" s="668">
        <v>-708143.33333333326</v>
      </c>
      <c r="E332" s="201">
        <v>45658</v>
      </c>
      <c r="F332" s="200" t="s">
        <v>296</v>
      </c>
      <c r="G332" s="200" t="s">
        <v>337</v>
      </c>
      <c r="H332" s="200" t="s">
        <v>429</v>
      </c>
    </row>
    <row r="333" spans="1:8" ht="15" customHeight="1">
      <c r="A333" s="199">
        <v>45672</v>
      </c>
      <c r="B333" s="202" t="s">
        <v>608</v>
      </c>
      <c r="C333" s="200" t="s">
        <v>136</v>
      </c>
      <c r="D333" s="668">
        <v>-708143.33333333326</v>
      </c>
      <c r="E333" s="201">
        <v>45658</v>
      </c>
      <c r="F333" s="200" t="s">
        <v>296</v>
      </c>
      <c r="G333" s="200" t="s">
        <v>337</v>
      </c>
      <c r="H333" s="200" t="s">
        <v>429</v>
      </c>
    </row>
    <row r="334" spans="1:8" ht="15" customHeight="1">
      <c r="A334" s="199">
        <v>45672</v>
      </c>
      <c r="B334" s="202" t="s">
        <v>609</v>
      </c>
      <c r="C334" s="200" t="s">
        <v>136</v>
      </c>
      <c r="D334" s="668">
        <v>-708143.33333333326</v>
      </c>
      <c r="E334" s="201">
        <v>45658</v>
      </c>
      <c r="F334" s="200" t="s">
        <v>296</v>
      </c>
      <c r="G334" s="200" t="s">
        <v>337</v>
      </c>
      <c r="H334" s="200" t="s">
        <v>429</v>
      </c>
    </row>
    <row r="335" spans="1:8" ht="15" customHeight="1">
      <c r="A335" s="199">
        <v>45672</v>
      </c>
      <c r="B335" s="202" t="s">
        <v>610</v>
      </c>
      <c r="C335" s="200" t="s">
        <v>136</v>
      </c>
      <c r="D335" s="668">
        <v>-708143.33333333326</v>
      </c>
      <c r="E335" s="201">
        <v>45658</v>
      </c>
      <c r="F335" s="200" t="s">
        <v>296</v>
      </c>
      <c r="G335" s="200" t="s">
        <v>337</v>
      </c>
      <c r="H335" s="200" t="s">
        <v>429</v>
      </c>
    </row>
    <row r="336" spans="1:8" ht="15" customHeight="1">
      <c r="A336" s="199">
        <v>45672</v>
      </c>
      <c r="B336" s="202" t="s">
        <v>611</v>
      </c>
      <c r="C336" s="200" t="s">
        <v>136</v>
      </c>
      <c r="D336" s="668">
        <v>-708143.33333333326</v>
      </c>
      <c r="E336" s="201">
        <v>45658</v>
      </c>
      <c r="F336" s="200" t="s">
        <v>296</v>
      </c>
      <c r="G336" s="200" t="s">
        <v>337</v>
      </c>
      <c r="H336" s="200" t="s">
        <v>429</v>
      </c>
    </row>
    <row r="337" spans="1:8" ht="15" customHeight="1">
      <c r="A337" s="199">
        <v>45672</v>
      </c>
      <c r="B337" s="202" t="s">
        <v>612</v>
      </c>
      <c r="C337" s="200" t="s">
        <v>136</v>
      </c>
      <c r="D337" s="668">
        <v>-835333.33333333326</v>
      </c>
      <c r="E337" s="201">
        <v>45658</v>
      </c>
      <c r="F337" s="200" t="s">
        <v>296</v>
      </c>
      <c r="G337" s="200" t="s">
        <v>337</v>
      </c>
      <c r="H337" s="200" t="s">
        <v>429</v>
      </c>
    </row>
    <row r="338" spans="1:8" ht="15" customHeight="1">
      <c r="A338" s="199">
        <v>45672</v>
      </c>
      <c r="B338" s="202" t="s">
        <v>613</v>
      </c>
      <c r="C338" s="200" t="s">
        <v>136</v>
      </c>
      <c r="D338" s="668">
        <v>-708143.33333333326</v>
      </c>
      <c r="E338" s="201">
        <v>45658</v>
      </c>
      <c r="F338" s="200" t="s">
        <v>296</v>
      </c>
      <c r="G338" s="200" t="s">
        <v>337</v>
      </c>
      <c r="H338" s="200" t="s">
        <v>429</v>
      </c>
    </row>
    <row r="339" spans="1:8" ht="15" customHeight="1">
      <c r="A339" s="199">
        <v>45672</v>
      </c>
      <c r="B339" s="202" t="s">
        <v>614</v>
      </c>
      <c r="C339" s="200" t="s">
        <v>136</v>
      </c>
      <c r="D339" s="668">
        <v>-708143.33333333326</v>
      </c>
      <c r="E339" s="201">
        <v>45658</v>
      </c>
      <c r="F339" s="200" t="s">
        <v>296</v>
      </c>
      <c r="G339" s="200" t="s">
        <v>337</v>
      </c>
      <c r="H339" s="200" t="s">
        <v>429</v>
      </c>
    </row>
    <row r="340" spans="1:8" ht="15" customHeight="1">
      <c r="A340" s="199">
        <v>45672</v>
      </c>
      <c r="B340" s="202" t="s">
        <v>615</v>
      </c>
      <c r="C340" s="200" t="s">
        <v>136</v>
      </c>
      <c r="D340" s="668">
        <v>-708143.33333333326</v>
      </c>
      <c r="E340" s="201">
        <v>45658</v>
      </c>
      <c r="F340" s="200" t="s">
        <v>296</v>
      </c>
      <c r="G340" s="200" t="s">
        <v>337</v>
      </c>
      <c r="H340" s="200" t="s">
        <v>429</v>
      </c>
    </row>
    <row r="341" spans="1:8" ht="15" customHeight="1">
      <c r="A341" s="199">
        <v>45672</v>
      </c>
      <c r="B341" s="202" t="s">
        <v>616</v>
      </c>
      <c r="C341" s="200" t="s">
        <v>136</v>
      </c>
      <c r="D341" s="668">
        <v>-708143.33333333326</v>
      </c>
      <c r="E341" s="201">
        <v>45658</v>
      </c>
      <c r="F341" s="200" t="s">
        <v>296</v>
      </c>
      <c r="G341" s="200" t="s">
        <v>337</v>
      </c>
      <c r="H341" s="200" t="s">
        <v>429</v>
      </c>
    </row>
    <row r="342" spans="1:8" ht="15" customHeight="1">
      <c r="A342" s="199">
        <v>45672</v>
      </c>
      <c r="B342" s="202" t="s">
        <v>617</v>
      </c>
      <c r="C342" s="200" t="s">
        <v>136</v>
      </c>
      <c r="D342" s="668">
        <v>-708143.33333333326</v>
      </c>
      <c r="E342" s="201">
        <v>45658</v>
      </c>
      <c r="F342" s="200" t="s">
        <v>296</v>
      </c>
      <c r="G342" s="200" t="s">
        <v>337</v>
      </c>
      <c r="H342" s="200" t="s">
        <v>429</v>
      </c>
    </row>
    <row r="343" spans="1:8" ht="15" customHeight="1">
      <c r="A343" s="199">
        <v>45672</v>
      </c>
      <c r="B343" s="202" t="s">
        <v>618</v>
      </c>
      <c r="C343" s="200" t="s">
        <v>136</v>
      </c>
      <c r="D343" s="668">
        <v>-506860.66666666663</v>
      </c>
      <c r="E343" s="201">
        <v>45658</v>
      </c>
      <c r="F343" s="200" t="s">
        <v>296</v>
      </c>
      <c r="G343" s="200" t="s">
        <v>337</v>
      </c>
      <c r="H343" s="200" t="s">
        <v>429</v>
      </c>
    </row>
    <row r="344" spans="1:8" ht="15" customHeight="1">
      <c r="A344" s="199">
        <v>45672</v>
      </c>
      <c r="B344" s="202" t="s">
        <v>619</v>
      </c>
      <c r="C344" s="200" t="s">
        <v>136</v>
      </c>
      <c r="D344" s="668">
        <v>-355875</v>
      </c>
      <c r="E344" s="201">
        <v>45658</v>
      </c>
      <c r="F344" s="200" t="s">
        <v>296</v>
      </c>
      <c r="G344" s="200" t="s">
        <v>337</v>
      </c>
      <c r="H344" s="200" t="s">
        <v>429</v>
      </c>
    </row>
    <row r="345" spans="1:8" ht="15" customHeight="1">
      <c r="A345" s="199">
        <v>45672</v>
      </c>
      <c r="B345" s="202" t="s">
        <v>620</v>
      </c>
      <c r="C345" s="200" t="s">
        <v>136</v>
      </c>
      <c r="D345" s="668">
        <v>-666666.66666666663</v>
      </c>
      <c r="E345" s="201">
        <v>45658</v>
      </c>
      <c r="F345" s="200" t="s">
        <v>296</v>
      </c>
      <c r="G345" s="200" t="s">
        <v>337</v>
      </c>
      <c r="H345" s="200" t="s">
        <v>338</v>
      </c>
    </row>
    <row r="346" spans="1:8" ht="15" customHeight="1">
      <c r="A346" s="199">
        <v>45672</v>
      </c>
      <c r="B346" s="202" t="s">
        <v>621</v>
      </c>
      <c r="C346" s="200" t="s">
        <v>136</v>
      </c>
      <c r="D346" s="668">
        <v>-470399.99999999994</v>
      </c>
      <c r="E346" s="201">
        <v>45658</v>
      </c>
      <c r="F346" s="200" t="s">
        <v>296</v>
      </c>
      <c r="G346" s="200" t="s">
        <v>337</v>
      </c>
      <c r="H346" s="200" t="s">
        <v>429</v>
      </c>
    </row>
    <row r="347" spans="1:8" ht="15" customHeight="1">
      <c r="A347" s="199">
        <v>45672</v>
      </c>
      <c r="B347" s="202" t="s">
        <v>622</v>
      </c>
      <c r="C347" s="200" t="s">
        <v>136</v>
      </c>
      <c r="D347" s="668">
        <v>-402565.33333333331</v>
      </c>
      <c r="E347" s="201">
        <v>45658</v>
      </c>
      <c r="F347" s="200" t="s">
        <v>256</v>
      </c>
      <c r="G347" s="200" t="s">
        <v>107</v>
      </c>
      <c r="H347" s="200" t="s">
        <v>121</v>
      </c>
    </row>
    <row r="348" spans="1:8" ht="15" customHeight="1">
      <c r="A348" s="199">
        <v>45672</v>
      </c>
      <c r="B348" s="202" t="s">
        <v>623</v>
      </c>
      <c r="C348" s="200" t="s">
        <v>136</v>
      </c>
      <c r="D348" s="668">
        <v>-402565.33333333331</v>
      </c>
      <c r="E348" s="201">
        <v>45658</v>
      </c>
      <c r="F348" s="200" t="s">
        <v>296</v>
      </c>
      <c r="G348" s="200" t="s">
        <v>337</v>
      </c>
      <c r="H348" s="200" t="s">
        <v>429</v>
      </c>
    </row>
    <row r="349" spans="1:8" ht="15" customHeight="1">
      <c r="A349" s="199">
        <v>45672</v>
      </c>
      <c r="B349" s="202" t="s">
        <v>624</v>
      </c>
      <c r="C349" s="200" t="s">
        <v>136</v>
      </c>
      <c r="D349" s="668">
        <f>-352244.666666667-47450</f>
        <v>-399694.66666666698</v>
      </c>
      <c r="E349" s="201">
        <v>45658</v>
      </c>
      <c r="F349" s="200" t="s">
        <v>296</v>
      </c>
      <c r="G349" s="200" t="s">
        <v>337</v>
      </c>
      <c r="H349" s="200" t="s">
        <v>429</v>
      </c>
    </row>
    <row r="350" spans="1:8" ht="15" customHeight="1">
      <c r="A350" s="199">
        <v>45672</v>
      </c>
      <c r="B350" s="202" t="s">
        <v>625</v>
      </c>
      <c r="C350" s="200" t="s">
        <v>136</v>
      </c>
      <c r="D350" s="668">
        <v>-402565.33333333331</v>
      </c>
      <c r="E350" s="201">
        <v>45658</v>
      </c>
      <c r="F350" s="200" t="s">
        <v>296</v>
      </c>
      <c r="G350" s="200" t="s">
        <v>337</v>
      </c>
      <c r="H350" s="200" t="s">
        <v>429</v>
      </c>
    </row>
    <row r="351" spans="1:8" ht="15" customHeight="1">
      <c r="A351" s="199">
        <v>45672</v>
      </c>
      <c r="B351" s="202" t="s">
        <v>626</v>
      </c>
      <c r="C351" s="200" t="s">
        <v>136</v>
      </c>
      <c r="D351" s="668">
        <v>-402565.33333333331</v>
      </c>
      <c r="E351" s="201">
        <v>45658</v>
      </c>
      <c r="F351" s="200" t="s">
        <v>296</v>
      </c>
      <c r="G351" s="200" t="s">
        <v>337</v>
      </c>
      <c r="H351" s="200" t="s">
        <v>429</v>
      </c>
    </row>
    <row r="352" spans="1:8" ht="15" customHeight="1">
      <c r="A352" s="199">
        <v>45672</v>
      </c>
      <c r="B352" s="202" t="s">
        <v>627</v>
      </c>
      <c r="C352" s="200" t="s">
        <v>136</v>
      </c>
      <c r="D352" s="668">
        <v>-352244.66666666669</v>
      </c>
      <c r="E352" s="201">
        <v>45658</v>
      </c>
      <c r="F352" s="200" t="s">
        <v>296</v>
      </c>
      <c r="G352" s="200" t="s">
        <v>337</v>
      </c>
      <c r="H352" s="200" t="s">
        <v>429</v>
      </c>
    </row>
    <row r="353" spans="1:8" ht="15" customHeight="1">
      <c r="A353" s="199">
        <v>45672</v>
      </c>
      <c r="B353" s="202" t="s">
        <v>628</v>
      </c>
      <c r="C353" s="200" t="s">
        <v>136</v>
      </c>
      <c r="D353" s="668">
        <v>-352244.66666666669</v>
      </c>
      <c r="E353" s="201">
        <v>45658</v>
      </c>
      <c r="F353" s="200" t="s">
        <v>296</v>
      </c>
      <c r="G353" s="200" t="s">
        <v>337</v>
      </c>
      <c r="H353" s="200" t="s">
        <v>429</v>
      </c>
    </row>
    <row r="354" spans="1:8" ht="15" customHeight="1">
      <c r="A354" s="199">
        <v>45672</v>
      </c>
      <c r="B354" s="202" t="s">
        <v>629</v>
      </c>
      <c r="C354" s="200" t="s">
        <v>136</v>
      </c>
      <c r="D354" s="668">
        <v>-352244.66666666669</v>
      </c>
      <c r="E354" s="201">
        <v>45658</v>
      </c>
      <c r="F354" s="200" t="s">
        <v>296</v>
      </c>
      <c r="G354" s="200" t="s">
        <v>337</v>
      </c>
      <c r="H354" s="200" t="s">
        <v>429</v>
      </c>
    </row>
    <row r="355" spans="1:8" ht="15" customHeight="1">
      <c r="A355" s="199">
        <v>45673</v>
      </c>
      <c r="B355" s="202" t="s">
        <v>630</v>
      </c>
      <c r="C355" s="200" t="s">
        <v>136</v>
      </c>
      <c r="D355" s="668">
        <v>-667307</v>
      </c>
      <c r="E355" s="201">
        <v>45658</v>
      </c>
      <c r="F355" s="200" t="s">
        <v>452</v>
      </c>
      <c r="G355" s="200" t="s">
        <v>341</v>
      </c>
      <c r="H355" s="200" t="s">
        <v>518</v>
      </c>
    </row>
    <row r="356" spans="1:8" ht="15" customHeight="1">
      <c r="A356" s="199">
        <v>45673</v>
      </c>
      <c r="B356" s="202" t="s">
        <v>631</v>
      </c>
      <c r="C356" s="200" t="s">
        <v>136</v>
      </c>
      <c r="D356" s="668">
        <v>-8100000</v>
      </c>
      <c r="E356" s="201">
        <v>45658</v>
      </c>
      <c r="F356" s="200" t="s">
        <v>452</v>
      </c>
      <c r="G356" s="200" t="s">
        <v>453</v>
      </c>
      <c r="H356" s="200" t="s">
        <v>98</v>
      </c>
    </row>
    <row r="357" spans="1:8" ht="15" customHeight="1">
      <c r="A357" s="199">
        <v>45673</v>
      </c>
      <c r="B357" s="202" t="s">
        <v>632</v>
      </c>
      <c r="C357" s="200" t="s">
        <v>372</v>
      </c>
      <c r="D357" s="659">
        <v>-825000</v>
      </c>
      <c r="E357" s="201">
        <v>45658</v>
      </c>
      <c r="F357" s="200" t="s">
        <v>452</v>
      </c>
      <c r="G357" s="200" t="s">
        <v>453</v>
      </c>
      <c r="H357" s="200" t="s">
        <v>98</v>
      </c>
    </row>
    <row r="358" spans="1:8" ht="15" customHeight="1">
      <c r="A358" s="199">
        <v>45673</v>
      </c>
      <c r="B358" s="202" t="s">
        <v>633</v>
      </c>
      <c r="C358" s="200" t="s">
        <v>136</v>
      </c>
      <c r="D358" s="668">
        <v>-1622766</v>
      </c>
      <c r="E358" s="201">
        <v>45658</v>
      </c>
      <c r="F358" s="200" t="s">
        <v>452</v>
      </c>
      <c r="G358" s="200" t="s">
        <v>44</v>
      </c>
      <c r="H358" s="200" t="s">
        <v>429</v>
      </c>
    </row>
    <row r="359" spans="1:8" ht="15" customHeight="1">
      <c r="A359" s="199">
        <v>45673</v>
      </c>
      <c r="B359" s="202" t="s">
        <v>634</v>
      </c>
      <c r="C359" s="200" t="s">
        <v>136</v>
      </c>
      <c r="D359" s="668">
        <v>-1300000</v>
      </c>
      <c r="E359" s="201">
        <v>45658</v>
      </c>
      <c r="F359" s="200" t="s">
        <v>256</v>
      </c>
      <c r="G359" s="200" t="s">
        <v>256</v>
      </c>
      <c r="H359" s="200" t="s">
        <v>258</v>
      </c>
    </row>
    <row r="360" spans="1:8" ht="15" customHeight="1">
      <c r="A360" s="199">
        <v>45673</v>
      </c>
      <c r="B360" s="202" t="s">
        <v>635</v>
      </c>
      <c r="C360" s="200" t="s">
        <v>136</v>
      </c>
      <c r="D360" s="668">
        <v>-728204</v>
      </c>
      <c r="E360" s="201">
        <v>45658</v>
      </c>
      <c r="F360" s="200" t="s">
        <v>452</v>
      </c>
      <c r="G360" s="531" t="s">
        <v>392</v>
      </c>
      <c r="H360" s="200" t="s">
        <v>379</v>
      </c>
    </row>
    <row r="361" spans="1:8" ht="15" customHeight="1">
      <c r="A361" s="199">
        <v>45673</v>
      </c>
      <c r="B361" s="202" t="s">
        <v>636</v>
      </c>
      <c r="C361" s="200" t="s">
        <v>372</v>
      </c>
      <c r="D361" s="659">
        <v>-21345</v>
      </c>
      <c r="E361" s="201">
        <v>45658</v>
      </c>
      <c r="F361" s="200" t="s">
        <v>452</v>
      </c>
      <c r="G361" s="531" t="s">
        <v>392</v>
      </c>
      <c r="H361" s="200" t="s">
        <v>379</v>
      </c>
    </row>
    <row r="362" spans="1:8" ht="15" customHeight="1">
      <c r="A362" s="199">
        <v>45673</v>
      </c>
      <c r="B362" s="202" t="s">
        <v>637</v>
      </c>
      <c r="C362" s="200" t="s">
        <v>136</v>
      </c>
      <c r="D362" s="668">
        <v>-5940000</v>
      </c>
      <c r="E362" s="201">
        <v>45658</v>
      </c>
      <c r="F362" s="200" t="s">
        <v>452</v>
      </c>
      <c r="G362" s="200" t="s">
        <v>321</v>
      </c>
      <c r="H362" s="200" t="s">
        <v>366</v>
      </c>
    </row>
    <row r="363" spans="1:8" ht="15" customHeight="1">
      <c r="A363" s="199">
        <v>45673</v>
      </c>
      <c r="B363" s="202" t="s">
        <v>638</v>
      </c>
      <c r="C363" s="200" t="s">
        <v>372</v>
      </c>
      <c r="D363" s="659">
        <v>-605000</v>
      </c>
      <c r="E363" s="201">
        <v>45658</v>
      </c>
      <c r="F363" s="200" t="s">
        <v>452</v>
      </c>
      <c r="G363" s="200" t="s">
        <v>321</v>
      </c>
      <c r="H363" s="200" t="s">
        <v>366</v>
      </c>
    </row>
    <row r="364" spans="1:8" ht="15" customHeight="1">
      <c r="A364" s="199">
        <v>45673</v>
      </c>
      <c r="B364" s="202" t="s">
        <v>639</v>
      </c>
      <c r="C364" s="200" t="s">
        <v>136</v>
      </c>
      <c r="D364" s="668">
        <v>-2010336</v>
      </c>
      <c r="E364" s="201">
        <v>45658</v>
      </c>
      <c r="F364" s="200" t="s">
        <v>452</v>
      </c>
      <c r="G364" s="200" t="s">
        <v>44</v>
      </c>
      <c r="H364" s="200" t="s">
        <v>490</v>
      </c>
    </row>
    <row r="365" spans="1:8" ht="15" customHeight="1">
      <c r="A365" s="199">
        <v>45673</v>
      </c>
      <c r="B365" s="202" t="s">
        <v>640</v>
      </c>
      <c r="C365" s="200" t="s">
        <v>372</v>
      </c>
      <c r="D365" s="659">
        <v>-41280</v>
      </c>
      <c r="E365" s="201">
        <v>45658</v>
      </c>
      <c r="F365" s="200" t="s">
        <v>452</v>
      </c>
      <c r="G365" s="200" t="s">
        <v>44</v>
      </c>
      <c r="H365" s="200" t="s">
        <v>490</v>
      </c>
    </row>
    <row r="366" spans="1:8" ht="15" customHeight="1">
      <c r="A366" s="199">
        <v>45673</v>
      </c>
      <c r="B366" s="202" t="s">
        <v>641</v>
      </c>
      <c r="C366" s="200" t="s">
        <v>372</v>
      </c>
      <c r="D366" s="659">
        <v>-12384</v>
      </c>
      <c r="E366" s="201">
        <v>45658</v>
      </c>
      <c r="F366" s="200" t="s">
        <v>452</v>
      </c>
      <c r="G366" s="200" t="s">
        <v>44</v>
      </c>
      <c r="H366" s="200" t="s">
        <v>490</v>
      </c>
    </row>
    <row r="367" spans="1:8" ht="15" customHeight="1">
      <c r="A367" s="199">
        <v>45673</v>
      </c>
      <c r="B367" s="202" t="s">
        <v>642</v>
      </c>
      <c r="C367" s="200" t="s">
        <v>136</v>
      </c>
      <c r="D367" s="668">
        <v>-255870</v>
      </c>
      <c r="E367" s="201">
        <v>45658</v>
      </c>
      <c r="F367" s="200" t="s">
        <v>452</v>
      </c>
      <c r="G367" s="531" t="s">
        <v>392</v>
      </c>
      <c r="H367" s="200" t="s">
        <v>350</v>
      </c>
    </row>
    <row r="368" spans="1:8" ht="15" customHeight="1">
      <c r="A368" s="199">
        <v>45673</v>
      </c>
      <c r="B368" s="202" t="s">
        <v>642</v>
      </c>
      <c r="C368" s="200" t="s">
        <v>136</v>
      </c>
      <c r="D368" s="668">
        <v>-6960</v>
      </c>
      <c r="E368" s="201">
        <v>45658</v>
      </c>
      <c r="F368" s="200" t="s">
        <v>452</v>
      </c>
      <c r="G368" s="200" t="s">
        <v>328</v>
      </c>
      <c r="H368" s="200" t="s">
        <v>350</v>
      </c>
    </row>
    <row r="369" spans="1:9" ht="15" customHeight="1">
      <c r="A369" s="199">
        <v>45673</v>
      </c>
      <c r="B369" s="202" t="s">
        <v>643</v>
      </c>
      <c r="C369" s="200" t="s">
        <v>136</v>
      </c>
      <c r="D369" s="668">
        <v>-111700</v>
      </c>
      <c r="E369" s="201">
        <v>45658</v>
      </c>
      <c r="F369" s="200" t="s">
        <v>452</v>
      </c>
      <c r="G369" s="200" t="s">
        <v>321</v>
      </c>
      <c r="H369" s="200" t="s">
        <v>322</v>
      </c>
    </row>
    <row r="370" spans="1:9" ht="15" customHeight="1">
      <c r="A370" s="199">
        <v>45673</v>
      </c>
      <c r="B370" s="202" t="s">
        <v>643</v>
      </c>
      <c r="C370" s="200" t="s">
        <v>136</v>
      </c>
      <c r="D370" s="668">
        <v>-111700</v>
      </c>
      <c r="E370" s="201">
        <v>45658</v>
      </c>
      <c r="F370" s="200" t="s">
        <v>452</v>
      </c>
      <c r="G370" s="200" t="s">
        <v>337</v>
      </c>
      <c r="H370" s="200" t="s">
        <v>322</v>
      </c>
    </row>
    <row r="371" spans="1:9" ht="15" customHeight="1">
      <c r="A371" s="199">
        <v>45673</v>
      </c>
      <c r="B371" s="202" t="s">
        <v>643</v>
      </c>
      <c r="C371" s="200" t="s">
        <v>136</v>
      </c>
      <c r="D371" s="668">
        <v>-111700</v>
      </c>
      <c r="E371" s="201">
        <v>45658</v>
      </c>
      <c r="F371" s="200" t="s">
        <v>452</v>
      </c>
      <c r="G371" s="200" t="s">
        <v>44</v>
      </c>
      <c r="H371" s="200" t="s">
        <v>322</v>
      </c>
    </row>
    <row r="372" spans="1:9" ht="15" customHeight="1">
      <c r="A372" s="199">
        <v>45674</v>
      </c>
      <c r="B372" s="202" t="s">
        <v>644</v>
      </c>
      <c r="C372" s="200" t="s">
        <v>136</v>
      </c>
      <c r="D372" s="668">
        <v>-1340000</v>
      </c>
      <c r="E372" s="201">
        <v>45658</v>
      </c>
      <c r="F372" s="200" t="s">
        <v>452</v>
      </c>
      <c r="G372" s="200" t="s">
        <v>337</v>
      </c>
      <c r="H372" s="200" t="s">
        <v>429</v>
      </c>
    </row>
    <row r="373" spans="1:9" ht="15" customHeight="1">
      <c r="A373" s="199">
        <v>45674</v>
      </c>
      <c r="B373" s="202" t="s">
        <v>645</v>
      </c>
      <c r="C373" s="200" t="s">
        <v>136</v>
      </c>
      <c r="D373" s="668">
        <v>-575000</v>
      </c>
      <c r="E373" s="201">
        <v>45658</v>
      </c>
      <c r="F373" s="655" t="s">
        <v>395</v>
      </c>
      <c r="G373" s="531" t="s">
        <v>395</v>
      </c>
      <c r="H373" s="200" t="s">
        <v>342</v>
      </c>
    </row>
    <row r="374" spans="1:9" ht="15" customHeight="1">
      <c r="A374" s="199">
        <v>45671</v>
      </c>
      <c r="B374" s="202" t="s">
        <v>646</v>
      </c>
      <c r="C374" s="200" t="s">
        <v>136</v>
      </c>
      <c r="D374" s="668">
        <v>1370721</v>
      </c>
      <c r="E374" s="201">
        <v>45658</v>
      </c>
      <c r="F374" s="200" t="s">
        <v>295</v>
      </c>
    </row>
    <row r="375" spans="1:9" ht="15" customHeight="1">
      <c r="A375" s="199">
        <v>45671</v>
      </c>
      <c r="B375" s="202" t="s">
        <v>647</v>
      </c>
      <c r="C375" s="200" t="s">
        <v>136</v>
      </c>
      <c r="D375" s="668">
        <v>1022477</v>
      </c>
      <c r="E375" s="201">
        <v>45658</v>
      </c>
      <c r="F375" s="200" t="s">
        <v>295</v>
      </c>
    </row>
    <row r="376" spans="1:9" ht="15" customHeight="1">
      <c r="A376" s="199">
        <v>45672</v>
      </c>
      <c r="B376" s="202" t="s">
        <v>648</v>
      </c>
      <c r="C376" s="200" t="s">
        <v>136</v>
      </c>
      <c r="D376" s="668">
        <v>705232.14</v>
      </c>
      <c r="E376" s="201">
        <v>45658</v>
      </c>
      <c r="F376" s="200" t="s">
        <v>295</v>
      </c>
    </row>
    <row r="377" spans="1:9" ht="15" customHeight="1">
      <c r="A377" s="199">
        <v>45673</v>
      </c>
      <c r="B377" s="202" t="s">
        <v>649</v>
      </c>
      <c r="C377" s="200" t="s">
        <v>136</v>
      </c>
      <c r="D377" s="668">
        <v>6362819</v>
      </c>
      <c r="E377" s="201">
        <v>45658</v>
      </c>
      <c r="F377" s="200" t="s">
        <v>650</v>
      </c>
    </row>
    <row r="378" spans="1:9" ht="15" customHeight="1">
      <c r="A378" s="199">
        <v>45672</v>
      </c>
      <c r="B378" s="202" t="s">
        <v>651</v>
      </c>
      <c r="C378" s="200" t="s">
        <v>136</v>
      </c>
      <c r="D378" s="668">
        <v>120000000</v>
      </c>
      <c r="E378" s="201">
        <v>45658</v>
      </c>
      <c r="F378" s="200" t="s">
        <v>652</v>
      </c>
      <c r="G378" s="200" t="s">
        <v>337</v>
      </c>
    </row>
    <row r="379" spans="1:9" ht="15" customHeight="1">
      <c r="A379" s="199">
        <v>45672</v>
      </c>
      <c r="B379" s="202" t="s">
        <v>653</v>
      </c>
      <c r="C379" s="200" t="s">
        <v>204</v>
      </c>
      <c r="D379" s="649">
        <v>-588500</v>
      </c>
      <c r="E379" s="201">
        <v>45658</v>
      </c>
      <c r="F379" s="200" t="s">
        <v>296</v>
      </c>
      <c r="G379" s="200" t="s">
        <v>341</v>
      </c>
      <c r="H379" s="200" t="s">
        <v>342</v>
      </c>
    </row>
    <row r="380" spans="1:9" s="203" customFormat="1" ht="15" customHeight="1">
      <c r="A380" s="661">
        <v>45673</v>
      </c>
      <c r="B380" s="202" t="s">
        <v>654</v>
      </c>
      <c r="C380" s="202" t="s">
        <v>204</v>
      </c>
      <c r="D380" s="649">
        <v>-16322000</v>
      </c>
      <c r="E380" s="662">
        <v>45658</v>
      </c>
      <c r="F380" s="202" t="s">
        <v>296</v>
      </c>
      <c r="G380" s="202" t="s">
        <v>44</v>
      </c>
      <c r="H380" s="202" t="s">
        <v>655</v>
      </c>
      <c r="I380" s="200"/>
    </row>
    <row r="381" spans="1:9" ht="15" customHeight="1">
      <c r="A381" s="199">
        <v>45671</v>
      </c>
      <c r="B381" s="202" t="s">
        <v>656</v>
      </c>
      <c r="C381" s="200" t="s">
        <v>204</v>
      </c>
      <c r="D381" s="649">
        <v>-116060000</v>
      </c>
      <c r="E381" s="201">
        <v>45658</v>
      </c>
      <c r="F381" s="200" t="s">
        <v>525</v>
      </c>
    </row>
    <row r="382" spans="1:9" ht="15" customHeight="1">
      <c r="A382" s="199">
        <v>45671</v>
      </c>
      <c r="B382" s="202" t="s">
        <v>657</v>
      </c>
      <c r="C382" s="200" t="s">
        <v>204</v>
      </c>
      <c r="D382" s="649">
        <v>115000000</v>
      </c>
      <c r="E382" s="201">
        <v>45658</v>
      </c>
      <c r="F382" s="200" t="s">
        <v>652</v>
      </c>
      <c r="G382" s="200" t="s">
        <v>337</v>
      </c>
    </row>
    <row r="383" spans="1:9" ht="15" customHeight="1">
      <c r="A383" s="199">
        <v>45671</v>
      </c>
      <c r="B383" s="202" t="s">
        <v>658</v>
      </c>
      <c r="C383" s="200" t="s">
        <v>204</v>
      </c>
      <c r="D383" s="649">
        <v>400000000</v>
      </c>
      <c r="E383" s="201">
        <v>45658</v>
      </c>
      <c r="F383" s="200" t="s">
        <v>652</v>
      </c>
      <c r="G383" s="200" t="s">
        <v>522</v>
      </c>
    </row>
    <row r="384" spans="1:9" ht="15" customHeight="1">
      <c r="A384" s="199">
        <v>45672</v>
      </c>
      <c r="B384" s="202" t="s">
        <v>659</v>
      </c>
      <c r="C384" s="200" t="s">
        <v>314</v>
      </c>
      <c r="D384" s="645">
        <v>-11600</v>
      </c>
      <c r="E384" s="201">
        <v>45658</v>
      </c>
      <c r="F384" s="200" t="s">
        <v>296</v>
      </c>
      <c r="G384" s="200" t="s">
        <v>453</v>
      </c>
      <c r="H384" s="200" t="s">
        <v>98</v>
      </c>
    </row>
    <row r="385" spans="1:9" ht="15" customHeight="1">
      <c r="A385" s="199">
        <v>45672</v>
      </c>
      <c r="B385" s="202" t="s">
        <v>660</v>
      </c>
      <c r="C385" s="200" t="s">
        <v>314</v>
      </c>
      <c r="D385" s="645">
        <v>-11600</v>
      </c>
      <c r="E385" s="201">
        <v>45658</v>
      </c>
      <c r="F385" s="200" t="s">
        <v>296</v>
      </c>
      <c r="G385" s="200" t="s">
        <v>453</v>
      </c>
      <c r="H385" s="200" t="s">
        <v>98</v>
      </c>
    </row>
    <row r="386" spans="1:9" ht="15" customHeight="1">
      <c r="A386" s="199">
        <v>45671</v>
      </c>
      <c r="B386" s="202" t="s">
        <v>661</v>
      </c>
      <c r="C386" s="200" t="s">
        <v>314</v>
      </c>
      <c r="D386" s="649">
        <v>435129</v>
      </c>
      <c r="E386" s="201">
        <v>45658</v>
      </c>
      <c r="F386" s="200" t="s">
        <v>295</v>
      </c>
    </row>
    <row r="387" spans="1:9" ht="15" customHeight="1">
      <c r="A387" s="199">
        <v>45671</v>
      </c>
      <c r="B387" s="202" t="s">
        <v>662</v>
      </c>
      <c r="C387" s="200" t="s">
        <v>314</v>
      </c>
      <c r="D387" s="649">
        <v>1167191</v>
      </c>
      <c r="E387" s="201">
        <v>45658</v>
      </c>
      <c r="F387" s="200" t="s">
        <v>295</v>
      </c>
    </row>
    <row r="388" spans="1:9" ht="15" customHeight="1">
      <c r="A388" s="199">
        <v>45671</v>
      </c>
      <c r="B388" s="202" t="s">
        <v>663</v>
      </c>
      <c r="C388" s="200" t="s">
        <v>314</v>
      </c>
      <c r="D388" s="649">
        <v>407700</v>
      </c>
      <c r="E388" s="201">
        <v>45658</v>
      </c>
      <c r="F388" s="200" t="s">
        <v>295</v>
      </c>
    </row>
    <row r="389" spans="1:9" ht="15" customHeight="1">
      <c r="A389" s="199">
        <v>45671</v>
      </c>
      <c r="B389" s="202" t="s">
        <v>664</v>
      </c>
      <c r="C389" s="200" t="s">
        <v>314</v>
      </c>
      <c r="D389" s="649">
        <v>2860767</v>
      </c>
      <c r="E389" s="201">
        <v>45658</v>
      </c>
      <c r="F389" s="200" t="s">
        <v>295</v>
      </c>
    </row>
    <row r="390" spans="1:9" ht="15" customHeight="1">
      <c r="A390" s="199">
        <v>45672</v>
      </c>
      <c r="B390" s="202" t="s">
        <v>665</v>
      </c>
      <c r="C390" s="531" t="s">
        <v>398</v>
      </c>
      <c r="D390" s="658">
        <v>-365981.62</v>
      </c>
      <c r="E390" s="532">
        <v>45658</v>
      </c>
      <c r="F390" s="200" t="s">
        <v>256</v>
      </c>
      <c r="G390" s="200" t="s">
        <v>256</v>
      </c>
      <c r="H390" s="541" t="s">
        <v>266</v>
      </c>
    </row>
    <row r="391" spans="1:9" ht="15" customHeight="1">
      <c r="A391" s="199">
        <v>45672</v>
      </c>
      <c r="B391" s="202" t="s">
        <v>666</v>
      </c>
      <c r="C391" s="531" t="s">
        <v>398</v>
      </c>
      <c r="D391" s="658">
        <v>-123500</v>
      </c>
      <c r="E391" s="532">
        <v>45658</v>
      </c>
      <c r="F391" s="200" t="s">
        <v>256</v>
      </c>
      <c r="G391" s="200" t="s">
        <v>256</v>
      </c>
      <c r="H391" s="541" t="s">
        <v>266</v>
      </c>
    </row>
    <row r="392" spans="1:9" ht="15" customHeight="1">
      <c r="A392" s="199">
        <v>45672</v>
      </c>
      <c r="B392" s="202" t="s">
        <v>667</v>
      </c>
      <c r="C392" s="531" t="s">
        <v>398</v>
      </c>
      <c r="D392" s="658">
        <v>-314760</v>
      </c>
      <c r="E392" s="532">
        <v>45658</v>
      </c>
      <c r="F392" s="200" t="s">
        <v>256</v>
      </c>
      <c r="G392" s="200" t="s">
        <v>107</v>
      </c>
      <c r="H392" s="200" t="s">
        <v>277</v>
      </c>
    </row>
    <row r="393" spans="1:9" ht="15" customHeight="1">
      <c r="A393" s="199">
        <v>45672</v>
      </c>
      <c r="B393" s="202" t="s">
        <v>668</v>
      </c>
      <c r="C393" s="531" t="s">
        <v>398</v>
      </c>
      <c r="D393" s="204">
        <v>4731736.03</v>
      </c>
      <c r="E393" s="532">
        <v>45658</v>
      </c>
      <c r="F393" s="200" t="s">
        <v>295</v>
      </c>
    </row>
    <row r="394" spans="1:9" ht="15" customHeight="1">
      <c r="A394" s="199">
        <v>45671</v>
      </c>
      <c r="B394" s="202" t="s">
        <v>669</v>
      </c>
      <c r="C394" s="200" t="s">
        <v>204</v>
      </c>
      <c r="D394" s="649">
        <v>-319210000</v>
      </c>
      <c r="E394" s="201">
        <v>45658</v>
      </c>
      <c r="F394" s="200" t="s">
        <v>296</v>
      </c>
      <c r="G394" s="200" t="s">
        <v>522</v>
      </c>
      <c r="H394" s="200" t="s">
        <v>670</v>
      </c>
    </row>
    <row r="395" spans="1:9" ht="15" customHeight="1">
      <c r="A395" s="199">
        <v>45672</v>
      </c>
      <c r="B395" s="202" t="s">
        <v>671</v>
      </c>
      <c r="C395" s="200" t="s">
        <v>136</v>
      </c>
      <c r="D395" s="668">
        <v>402565.33</v>
      </c>
      <c r="E395" s="201">
        <v>45658</v>
      </c>
      <c r="F395" s="200" t="s">
        <v>296</v>
      </c>
      <c r="G395" s="200" t="s">
        <v>337</v>
      </c>
      <c r="H395" s="200" t="s">
        <v>429</v>
      </c>
    </row>
    <row r="396" spans="1:9" ht="15" customHeight="1">
      <c r="A396" s="199">
        <v>45672</v>
      </c>
      <c r="B396" s="202" t="s">
        <v>672</v>
      </c>
      <c r="C396" s="200" t="s">
        <v>136</v>
      </c>
      <c r="D396" s="668">
        <v>352244.67</v>
      </c>
      <c r="E396" s="201">
        <v>45658</v>
      </c>
      <c r="F396" s="200" t="s">
        <v>296</v>
      </c>
      <c r="G396" s="200" t="s">
        <v>337</v>
      </c>
      <c r="H396" s="200" t="s">
        <v>429</v>
      </c>
    </row>
    <row r="397" spans="1:9" s="654" customFormat="1" ht="15" customHeight="1">
      <c r="A397" s="650">
        <v>45674</v>
      </c>
      <c r="B397" s="651" t="s">
        <v>673</v>
      </c>
      <c r="C397" s="651" t="s">
        <v>307</v>
      </c>
      <c r="D397" s="652">
        <v>-42000</v>
      </c>
      <c r="E397" s="653">
        <v>45658</v>
      </c>
      <c r="F397" s="651" t="s">
        <v>296</v>
      </c>
      <c r="G397" s="651" t="s">
        <v>522</v>
      </c>
      <c r="H397" s="651" t="s">
        <v>322</v>
      </c>
      <c r="I397" s="200"/>
    </row>
    <row r="398" spans="1:9" ht="15" customHeight="1">
      <c r="A398" s="199">
        <v>45674</v>
      </c>
      <c r="B398" s="202" t="s">
        <v>674</v>
      </c>
      <c r="C398" s="200" t="s">
        <v>307</v>
      </c>
      <c r="D398" s="204">
        <v>-111650</v>
      </c>
      <c r="E398" s="201">
        <v>45658</v>
      </c>
      <c r="F398" s="200" t="s">
        <v>296</v>
      </c>
      <c r="G398" s="200" t="s">
        <v>513</v>
      </c>
      <c r="H398" s="200" t="s">
        <v>326</v>
      </c>
    </row>
    <row r="399" spans="1:9" ht="15" customHeight="1">
      <c r="A399" s="199">
        <v>45678</v>
      </c>
      <c r="B399" s="202" t="s">
        <v>481</v>
      </c>
      <c r="C399" s="200" t="s">
        <v>307</v>
      </c>
      <c r="D399" s="204">
        <v>-14000</v>
      </c>
      <c r="E399" s="201">
        <v>45658</v>
      </c>
      <c r="F399" s="200" t="s">
        <v>256</v>
      </c>
      <c r="G399" s="200" t="s">
        <v>256</v>
      </c>
      <c r="H399" s="531" t="s">
        <v>268</v>
      </c>
    </row>
    <row r="400" spans="1:9" ht="15" customHeight="1">
      <c r="A400" s="199">
        <v>45678</v>
      </c>
      <c r="B400" s="202" t="s">
        <v>481</v>
      </c>
      <c r="C400" s="200" t="s">
        <v>307</v>
      </c>
      <c r="D400" s="204">
        <v>-56000</v>
      </c>
      <c r="E400" s="201">
        <v>45658</v>
      </c>
      <c r="F400" s="200" t="s">
        <v>296</v>
      </c>
      <c r="G400" s="531" t="s">
        <v>392</v>
      </c>
      <c r="H400" s="531" t="s">
        <v>268</v>
      </c>
    </row>
    <row r="401" spans="1:8" ht="15" customHeight="1">
      <c r="A401" s="199">
        <v>45678</v>
      </c>
      <c r="B401" s="202" t="s">
        <v>481</v>
      </c>
      <c r="C401" s="200" t="s">
        <v>307</v>
      </c>
      <c r="D401" s="204">
        <v>-136280</v>
      </c>
      <c r="E401" s="201">
        <v>45658</v>
      </c>
      <c r="F401" s="200" t="s">
        <v>296</v>
      </c>
      <c r="G401" s="200" t="s">
        <v>482</v>
      </c>
      <c r="H401" s="531" t="s">
        <v>268</v>
      </c>
    </row>
    <row r="402" spans="1:8" ht="15" customHeight="1">
      <c r="A402" s="199">
        <v>45678</v>
      </c>
      <c r="B402" s="202" t="s">
        <v>481</v>
      </c>
      <c r="C402" s="200" t="s">
        <v>307</v>
      </c>
      <c r="D402" s="204">
        <v>-35000</v>
      </c>
      <c r="E402" s="201">
        <v>45658</v>
      </c>
      <c r="F402" s="200" t="s">
        <v>296</v>
      </c>
      <c r="G402" s="200" t="s">
        <v>337</v>
      </c>
      <c r="H402" s="200" t="s">
        <v>326</v>
      </c>
    </row>
    <row r="403" spans="1:8" ht="15" customHeight="1">
      <c r="A403" s="199">
        <v>45678</v>
      </c>
      <c r="B403" s="202" t="s">
        <v>481</v>
      </c>
      <c r="C403" s="200" t="s">
        <v>307</v>
      </c>
      <c r="D403" s="204">
        <v>-21000</v>
      </c>
      <c r="E403" s="201">
        <v>45658</v>
      </c>
      <c r="F403" s="200" t="s">
        <v>296</v>
      </c>
      <c r="G403" s="200" t="s">
        <v>328</v>
      </c>
      <c r="H403" s="531" t="s">
        <v>268</v>
      </c>
    </row>
    <row r="404" spans="1:8" ht="15" customHeight="1">
      <c r="A404" s="199">
        <v>45678</v>
      </c>
      <c r="B404" s="202" t="s">
        <v>481</v>
      </c>
      <c r="C404" s="200" t="s">
        <v>307</v>
      </c>
      <c r="D404" s="204">
        <v>-21000</v>
      </c>
      <c r="E404" s="201">
        <v>45658</v>
      </c>
      <c r="F404" s="200" t="s">
        <v>297</v>
      </c>
      <c r="G404" s="200" t="s">
        <v>75</v>
      </c>
      <c r="H404" s="531" t="s">
        <v>268</v>
      </c>
    </row>
    <row r="405" spans="1:8" ht="15" customHeight="1">
      <c r="A405" s="199">
        <v>45678</v>
      </c>
      <c r="B405" s="202" t="s">
        <v>481</v>
      </c>
      <c r="C405" s="200" t="s">
        <v>307</v>
      </c>
      <c r="D405" s="204">
        <v>-7000</v>
      </c>
      <c r="E405" s="201">
        <v>45658</v>
      </c>
      <c r="F405" s="200" t="s">
        <v>296</v>
      </c>
      <c r="G405" s="200" t="s">
        <v>43</v>
      </c>
      <c r="H405" s="531" t="s">
        <v>268</v>
      </c>
    </row>
    <row r="406" spans="1:8" ht="15" customHeight="1">
      <c r="A406" s="199">
        <v>45678</v>
      </c>
      <c r="B406" s="202" t="s">
        <v>400</v>
      </c>
      <c r="C406" s="200" t="s">
        <v>372</v>
      </c>
      <c r="D406" s="204">
        <v>-2950</v>
      </c>
      <c r="E406" s="201">
        <v>45658</v>
      </c>
      <c r="F406" s="200" t="s">
        <v>296</v>
      </c>
      <c r="G406" s="200" t="s">
        <v>482</v>
      </c>
      <c r="H406" s="531" t="s">
        <v>268</v>
      </c>
    </row>
    <row r="407" spans="1:8" ht="15" customHeight="1">
      <c r="A407" s="199">
        <v>45678</v>
      </c>
      <c r="B407" s="202" t="s">
        <v>401</v>
      </c>
      <c r="C407" s="200" t="s">
        <v>372</v>
      </c>
      <c r="D407" s="204">
        <v>-1770</v>
      </c>
      <c r="E407" s="201">
        <v>45658</v>
      </c>
      <c r="F407" s="200" t="s">
        <v>296</v>
      </c>
      <c r="G407" s="200" t="s">
        <v>482</v>
      </c>
      <c r="H407" s="531" t="s">
        <v>268</v>
      </c>
    </row>
    <row r="408" spans="1:8" ht="15" customHeight="1">
      <c r="A408" s="199">
        <v>45678</v>
      </c>
      <c r="B408" s="202" t="s">
        <v>461</v>
      </c>
      <c r="C408" s="200" t="s">
        <v>307</v>
      </c>
      <c r="D408" s="204">
        <v>-358144</v>
      </c>
      <c r="E408" s="201">
        <v>45658</v>
      </c>
      <c r="F408" s="200" t="s">
        <v>296</v>
      </c>
      <c r="G408" s="200" t="s">
        <v>482</v>
      </c>
      <c r="H408" s="531" t="s">
        <v>268</v>
      </c>
    </row>
    <row r="409" spans="1:8" ht="15" customHeight="1">
      <c r="A409" s="199">
        <v>45678</v>
      </c>
      <c r="B409" s="202" t="s">
        <v>461</v>
      </c>
      <c r="C409" s="200" t="s">
        <v>307</v>
      </c>
      <c r="D409" s="204">
        <v>-100000</v>
      </c>
      <c r="E409" s="201">
        <v>45658</v>
      </c>
      <c r="F409" s="200" t="s">
        <v>296</v>
      </c>
      <c r="G409" s="200" t="s">
        <v>328</v>
      </c>
      <c r="H409" s="531" t="s">
        <v>268</v>
      </c>
    </row>
    <row r="410" spans="1:8" ht="15" customHeight="1">
      <c r="A410" s="199">
        <v>45678</v>
      </c>
      <c r="B410" s="202" t="s">
        <v>461</v>
      </c>
      <c r="C410" s="200" t="s">
        <v>307</v>
      </c>
      <c r="D410" s="204">
        <v>-49000</v>
      </c>
      <c r="E410" s="201">
        <v>45658</v>
      </c>
      <c r="F410" s="200" t="s">
        <v>296</v>
      </c>
      <c r="G410" s="531" t="s">
        <v>392</v>
      </c>
      <c r="H410" s="531" t="s">
        <v>268</v>
      </c>
    </row>
    <row r="411" spans="1:8" ht="15" customHeight="1">
      <c r="A411" s="199">
        <v>45678</v>
      </c>
      <c r="B411" s="202" t="s">
        <v>461</v>
      </c>
      <c r="C411" s="200" t="s">
        <v>307</v>
      </c>
      <c r="D411" s="204">
        <v>-7000</v>
      </c>
      <c r="E411" s="201">
        <v>45658</v>
      </c>
      <c r="F411" s="200" t="s">
        <v>296</v>
      </c>
      <c r="G411" s="200" t="s">
        <v>337</v>
      </c>
      <c r="H411" s="200" t="s">
        <v>326</v>
      </c>
    </row>
    <row r="412" spans="1:8" ht="15" customHeight="1">
      <c r="A412" s="199">
        <v>45678</v>
      </c>
      <c r="B412" s="202" t="s">
        <v>461</v>
      </c>
      <c r="C412" s="200" t="s">
        <v>307</v>
      </c>
      <c r="D412" s="204">
        <v>-29000</v>
      </c>
      <c r="E412" s="201">
        <v>45658</v>
      </c>
      <c r="F412" s="200" t="s">
        <v>256</v>
      </c>
      <c r="G412" s="200" t="s">
        <v>256</v>
      </c>
      <c r="H412" s="531" t="s">
        <v>268</v>
      </c>
    </row>
    <row r="413" spans="1:8" ht="15" customHeight="1">
      <c r="A413" s="199">
        <v>45678</v>
      </c>
      <c r="B413" s="202" t="s">
        <v>461</v>
      </c>
      <c r="C413" s="200" t="s">
        <v>307</v>
      </c>
      <c r="D413" s="204">
        <v>-7000</v>
      </c>
      <c r="E413" s="201">
        <v>45658</v>
      </c>
      <c r="F413" s="655" t="s">
        <v>395</v>
      </c>
      <c r="G413" s="531" t="s">
        <v>395</v>
      </c>
      <c r="H413" s="531" t="s">
        <v>268</v>
      </c>
    </row>
    <row r="414" spans="1:8" ht="15" customHeight="1">
      <c r="A414" s="199">
        <v>45678</v>
      </c>
      <c r="B414" s="202" t="s">
        <v>461</v>
      </c>
      <c r="C414" s="200" t="s">
        <v>307</v>
      </c>
      <c r="D414" s="204">
        <v>-14000</v>
      </c>
      <c r="E414" s="201">
        <v>45658</v>
      </c>
      <c r="F414" s="655" t="s">
        <v>395</v>
      </c>
      <c r="G414" s="531" t="s">
        <v>395</v>
      </c>
      <c r="H414" s="531" t="s">
        <v>268</v>
      </c>
    </row>
    <row r="415" spans="1:8" ht="15" customHeight="1">
      <c r="A415" s="199">
        <v>45678</v>
      </c>
      <c r="B415" s="202" t="s">
        <v>461</v>
      </c>
      <c r="C415" s="200" t="s">
        <v>307</v>
      </c>
      <c r="D415" s="204">
        <v>-28000</v>
      </c>
      <c r="E415" s="201">
        <v>45658</v>
      </c>
      <c r="F415" s="200" t="s">
        <v>297</v>
      </c>
      <c r="G415" s="200" t="s">
        <v>69</v>
      </c>
      <c r="H415" s="531" t="s">
        <v>268</v>
      </c>
    </row>
    <row r="416" spans="1:8" ht="15" customHeight="1">
      <c r="A416" s="199">
        <v>45678</v>
      </c>
      <c r="B416" s="202" t="s">
        <v>461</v>
      </c>
      <c r="C416" s="200" t="s">
        <v>307</v>
      </c>
      <c r="D416" s="204">
        <v>-7000</v>
      </c>
      <c r="E416" s="201">
        <v>45658</v>
      </c>
      <c r="F416" s="200" t="s">
        <v>395</v>
      </c>
      <c r="G416" s="531" t="s">
        <v>395</v>
      </c>
      <c r="H416" s="531" t="s">
        <v>268</v>
      </c>
    </row>
    <row r="417" spans="1:9" ht="15" customHeight="1">
      <c r="A417" s="199">
        <v>45678</v>
      </c>
      <c r="B417" s="202" t="s">
        <v>461</v>
      </c>
      <c r="C417" s="200" t="s">
        <v>307</v>
      </c>
      <c r="D417" s="204">
        <v>-7000</v>
      </c>
      <c r="E417" s="201">
        <v>45658</v>
      </c>
      <c r="F417" s="200" t="s">
        <v>297</v>
      </c>
      <c r="G417" s="200" t="s">
        <v>75</v>
      </c>
      <c r="H417" s="531" t="s">
        <v>268</v>
      </c>
    </row>
    <row r="418" spans="1:9" ht="15" customHeight="1">
      <c r="A418" s="199">
        <v>45678</v>
      </c>
      <c r="B418" s="202" t="s">
        <v>675</v>
      </c>
      <c r="C418" s="200" t="s">
        <v>372</v>
      </c>
      <c r="D418" s="204">
        <v>-6160</v>
      </c>
      <c r="E418" s="201">
        <v>45658</v>
      </c>
      <c r="F418" s="200" t="s">
        <v>296</v>
      </c>
      <c r="G418" s="200" t="s">
        <v>482</v>
      </c>
      <c r="H418" s="531" t="s">
        <v>268</v>
      </c>
    </row>
    <row r="419" spans="1:9" ht="15" customHeight="1">
      <c r="A419" s="199">
        <v>45678</v>
      </c>
      <c r="B419" s="202" t="s">
        <v>675</v>
      </c>
      <c r="C419" s="200" t="s">
        <v>372</v>
      </c>
      <c r="D419" s="204">
        <v>-3696</v>
      </c>
      <c r="E419" s="201">
        <v>45658</v>
      </c>
      <c r="F419" s="200" t="s">
        <v>296</v>
      </c>
      <c r="G419" s="200" t="s">
        <v>482</v>
      </c>
      <c r="H419" s="531" t="s">
        <v>268</v>
      </c>
    </row>
    <row r="420" spans="1:9" ht="15" customHeight="1">
      <c r="A420" s="199">
        <v>45670</v>
      </c>
      <c r="B420" s="202" t="s">
        <v>676</v>
      </c>
      <c r="C420" s="200" t="s">
        <v>307</v>
      </c>
      <c r="D420" s="204">
        <v>-10000</v>
      </c>
      <c r="E420" s="201">
        <v>45658</v>
      </c>
      <c r="F420" s="200" t="s">
        <v>296</v>
      </c>
      <c r="G420" s="200" t="s">
        <v>44</v>
      </c>
      <c r="H420" s="200" t="s">
        <v>442</v>
      </c>
    </row>
    <row r="421" spans="1:9" ht="15" customHeight="1">
      <c r="A421" s="199">
        <v>45670</v>
      </c>
      <c r="B421" s="202" t="s">
        <v>677</v>
      </c>
      <c r="C421" s="200" t="s">
        <v>307</v>
      </c>
      <c r="D421" s="204">
        <v>-69000</v>
      </c>
      <c r="E421" s="201">
        <v>45658</v>
      </c>
      <c r="F421" s="200" t="s">
        <v>296</v>
      </c>
      <c r="G421" s="200" t="s">
        <v>337</v>
      </c>
      <c r="H421" s="200" t="s">
        <v>366</v>
      </c>
    </row>
    <row r="422" spans="1:9" ht="15" customHeight="1">
      <c r="A422" s="199">
        <v>45671</v>
      </c>
      <c r="B422" s="202" t="s">
        <v>678</v>
      </c>
      <c r="C422" s="200" t="s">
        <v>307</v>
      </c>
      <c r="D422" s="204">
        <v>-64070</v>
      </c>
      <c r="E422" s="201">
        <v>45658</v>
      </c>
      <c r="F422" s="200" t="s">
        <v>296</v>
      </c>
      <c r="G422" s="200" t="s">
        <v>337</v>
      </c>
      <c r="H422" s="200" t="s">
        <v>322</v>
      </c>
    </row>
    <row r="423" spans="1:9" ht="15" customHeight="1">
      <c r="A423" s="199">
        <v>45671</v>
      </c>
      <c r="B423" s="202" t="s">
        <v>423</v>
      </c>
      <c r="C423" s="200" t="s">
        <v>307</v>
      </c>
      <c r="D423" s="204">
        <v>-28917</v>
      </c>
      <c r="E423" s="201">
        <v>45658</v>
      </c>
      <c r="F423" s="200" t="s">
        <v>296</v>
      </c>
      <c r="G423" s="200" t="s">
        <v>337</v>
      </c>
      <c r="H423" s="200" t="s">
        <v>421</v>
      </c>
    </row>
    <row r="424" spans="1:9" ht="15" customHeight="1">
      <c r="A424" s="199">
        <v>45672</v>
      </c>
      <c r="B424" s="202" t="s">
        <v>679</v>
      </c>
      <c r="C424" s="200" t="s">
        <v>307</v>
      </c>
      <c r="D424" s="204">
        <v>-25000</v>
      </c>
      <c r="E424" s="201">
        <v>45658</v>
      </c>
      <c r="F424" s="200" t="s">
        <v>296</v>
      </c>
      <c r="G424" s="200" t="s">
        <v>44</v>
      </c>
      <c r="H424" s="200" t="s">
        <v>442</v>
      </c>
    </row>
    <row r="425" spans="1:9" ht="15" customHeight="1">
      <c r="A425" s="199">
        <v>45670</v>
      </c>
      <c r="B425" s="202" t="s">
        <v>680</v>
      </c>
      <c r="C425" s="200" t="s">
        <v>307</v>
      </c>
      <c r="D425" s="204">
        <v>-5400</v>
      </c>
      <c r="E425" s="201">
        <v>45658</v>
      </c>
      <c r="F425" s="200" t="s">
        <v>256</v>
      </c>
      <c r="G425" s="200" t="s">
        <v>256</v>
      </c>
      <c r="H425" s="200" t="s">
        <v>263</v>
      </c>
    </row>
    <row r="426" spans="1:9" ht="15" customHeight="1">
      <c r="A426" s="199">
        <v>45670</v>
      </c>
      <c r="B426" s="202" t="s">
        <v>681</v>
      </c>
      <c r="C426" s="200" t="s">
        <v>307</v>
      </c>
      <c r="D426" s="204">
        <v>-54000</v>
      </c>
      <c r="E426" s="201">
        <v>45658</v>
      </c>
      <c r="F426" s="655" t="s">
        <v>395</v>
      </c>
      <c r="G426" s="531" t="s">
        <v>395</v>
      </c>
      <c r="H426" s="200" t="s">
        <v>350</v>
      </c>
    </row>
    <row r="427" spans="1:9" ht="15" customHeight="1">
      <c r="A427" s="199">
        <v>45670</v>
      </c>
      <c r="B427" s="202" t="s">
        <v>431</v>
      </c>
      <c r="C427" s="200" t="s">
        <v>307</v>
      </c>
      <c r="D427" s="204">
        <v>-15200</v>
      </c>
      <c r="E427" s="201">
        <v>45658</v>
      </c>
      <c r="F427" s="200" t="s">
        <v>256</v>
      </c>
      <c r="G427" s="200" t="s">
        <v>256</v>
      </c>
      <c r="H427" s="200" t="s">
        <v>263</v>
      </c>
    </row>
    <row r="428" spans="1:9" ht="15" customHeight="1">
      <c r="A428" s="199">
        <v>45670</v>
      </c>
      <c r="B428" s="202" t="s">
        <v>682</v>
      </c>
      <c r="C428" s="200" t="s">
        <v>307</v>
      </c>
      <c r="D428" s="204">
        <v>-186499</v>
      </c>
      <c r="E428" s="201">
        <v>45658</v>
      </c>
      <c r="F428" s="200" t="s">
        <v>296</v>
      </c>
      <c r="G428" s="200" t="s">
        <v>328</v>
      </c>
      <c r="H428" s="200" t="s">
        <v>350</v>
      </c>
    </row>
    <row r="429" spans="1:9" ht="15" customHeight="1">
      <c r="A429" s="199">
        <v>45670</v>
      </c>
      <c r="B429" s="202" t="s">
        <v>683</v>
      </c>
      <c r="C429" s="200" t="s">
        <v>307</v>
      </c>
      <c r="D429" s="204">
        <v>-25000</v>
      </c>
      <c r="E429" s="201">
        <v>45658</v>
      </c>
      <c r="F429" s="655" t="s">
        <v>395</v>
      </c>
      <c r="G429" s="531" t="s">
        <v>395</v>
      </c>
      <c r="H429" s="200" t="s">
        <v>346</v>
      </c>
    </row>
    <row r="430" spans="1:9" ht="15" customHeight="1">
      <c r="A430" s="199">
        <v>45670</v>
      </c>
      <c r="B430" s="202" t="s">
        <v>684</v>
      </c>
      <c r="C430" s="200" t="s">
        <v>307</v>
      </c>
      <c r="D430" s="204">
        <v>-3000</v>
      </c>
      <c r="E430" s="201">
        <v>45658</v>
      </c>
      <c r="F430" s="200" t="s">
        <v>256</v>
      </c>
      <c r="G430" s="200" t="s">
        <v>256</v>
      </c>
      <c r="H430" s="200" t="s">
        <v>267</v>
      </c>
      <c r="I430" s="200" t="s">
        <v>685</v>
      </c>
    </row>
    <row r="431" spans="1:9" ht="15" customHeight="1">
      <c r="A431" s="199">
        <v>45670</v>
      </c>
      <c r="B431" s="202" t="s">
        <v>686</v>
      </c>
      <c r="C431" s="200" t="s">
        <v>307</v>
      </c>
      <c r="D431" s="204">
        <v>-35500</v>
      </c>
      <c r="E431" s="201">
        <v>45658</v>
      </c>
      <c r="F431" s="200" t="s">
        <v>296</v>
      </c>
      <c r="G431" s="200" t="s">
        <v>328</v>
      </c>
      <c r="H431" s="200" t="s">
        <v>350</v>
      </c>
      <c r="I431" s="200" t="s">
        <v>685</v>
      </c>
    </row>
    <row r="432" spans="1:9" ht="15" customHeight="1">
      <c r="A432" s="199">
        <v>45671</v>
      </c>
      <c r="B432" s="202" t="s">
        <v>687</v>
      </c>
      <c r="C432" s="200" t="s">
        <v>307</v>
      </c>
      <c r="D432" s="204">
        <v>-16800</v>
      </c>
      <c r="E432" s="201">
        <v>45658</v>
      </c>
      <c r="F432" s="200" t="s">
        <v>256</v>
      </c>
      <c r="G432" s="200" t="s">
        <v>256</v>
      </c>
      <c r="H432" s="200" t="s">
        <v>263</v>
      </c>
      <c r="I432" s="200" t="s">
        <v>685</v>
      </c>
    </row>
    <row r="433" spans="1:9" ht="15" customHeight="1">
      <c r="A433" s="199">
        <v>45671</v>
      </c>
      <c r="B433" s="202" t="s">
        <v>688</v>
      </c>
      <c r="C433" s="200" t="s">
        <v>307</v>
      </c>
      <c r="D433" s="204">
        <v>-12000</v>
      </c>
      <c r="E433" s="201">
        <v>45658</v>
      </c>
      <c r="F433" s="200" t="s">
        <v>297</v>
      </c>
      <c r="G433" s="200" t="s">
        <v>311</v>
      </c>
      <c r="H433" s="200" t="s">
        <v>268</v>
      </c>
      <c r="I433" s="200" t="s">
        <v>685</v>
      </c>
    </row>
    <row r="434" spans="1:9" ht="15" customHeight="1">
      <c r="A434" s="199">
        <v>45671</v>
      </c>
      <c r="B434" s="202" t="s">
        <v>689</v>
      </c>
      <c r="C434" s="200" t="s">
        <v>307</v>
      </c>
      <c r="D434" s="204">
        <v>-15000</v>
      </c>
      <c r="E434" s="201">
        <v>45658</v>
      </c>
      <c r="F434" s="200" t="s">
        <v>297</v>
      </c>
      <c r="G434" s="200" t="s">
        <v>311</v>
      </c>
      <c r="H434" s="200" t="s">
        <v>268</v>
      </c>
      <c r="I434" s="648" t="s">
        <v>329</v>
      </c>
    </row>
    <row r="435" spans="1:9" ht="15" customHeight="1">
      <c r="A435" s="199">
        <v>45671</v>
      </c>
      <c r="B435" s="202" t="s">
        <v>690</v>
      </c>
      <c r="C435" s="200" t="s">
        <v>307</v>
      </c>
      <c r="D435" s="204">
        <v>-7000</v>
      </c>
      <c r="E435" s="201">
        <v>45658</v>
      </c>
      <c r="F435" s="200" t="s">
        <v>297</v>
      </c>
      <c r="G435" s="200" t="s">
        <v>69</v>
      </c>
      <c r="H435" s="200" t="s">
        <v>268</v>
      </c>
      <c r="I435" s="200" t="s">
        <v>685</v>
      </c>
    </row>
    <row r="436" spans="1:9" ht="15" customHeight="1">
      <c r="A436" s="199">
        <v>45671</v>
      </c>
      <c r="B436" s="202" t="s">
        <v>691</v>
      </c>
      <c r="C436" s="200" t="s">
        <v>307</v>
      </c>
      <c r="D436" s="204">
        <v>-15745</v>
      </c>
      <c r="E436" s="201">
        <v>45658</v>
      </c>
      <c r="F436" s="200" t="s">
        <v>296</v>
      </c>
      <c r="G436" s="200" t="s">
        <v>328</v>
      </c>
      <c r="H436" s="200" t="s">
        <v>350</v>
      </c>
      <c r="I436" s="200" t="s">
        <v>685</v>
      </c>
    </row>
    <row r="437" spans="1:9" ht="15" customHeight="1">
      <c r="A437" s="199">
        <v>45671</v>
      </c>
      <c r="B437" s="202" t="s">
        <v>692</v>
      </c>
      <c r="C437" s="200" t="s">
        <v>307</v>
      </c>
      <c r="D437" s="204">
        <v>-8000</v>
      </c>
      <c r="E437" s="201">
        <v>45658</v>
      </c>
      <c r="F437" s="200" t="s">
        <v>296</v>
      </c>
      <c r="G437" s="200" t="s">
        <v>482</v>
      </c>
      <c r="H437" s="200" t="s">
        <v>350</v>
      </c>
      <c r="I437" s="200" t="s">
        <v>685</v>
      </c>
    </row>
    <row r="438" spans="1:9" ht="15" customHeight="1">
      <c r="A438" s="199">
        <v>45671</v>
      </c>
      <c r="B438" s="202" t="s">
        <v>692</v>
      </c>
      <c r="C438" s="200" t="s">
        <v>307</v>
      </c>
      <c r="D438" s="204">
        <v>-13328</v>
      </c>
      <c r="E438" s="201">
        <v>45658</v>
      </c>
      <c r="F438" s="200" t="s">
        <v>296</v>
      </c>
      <c r="G438" s="200" t="s">
        <v>411</v>
      </c>
      <c r="H438" s="200" t="s">
        <v>350</v>
      </c>
      <c r="I438" s="648" t="s">
        <v>329</v>
      </c>
    </row>
    <row r="439" spans="1:9" ht="15" customHeight="1">
      <c r="A439" s="199">
        <v>45672</v>
      </c>
      <c r="B439" s="202" t="s">
        <v>693</v>
      </c>
      <c r="C439" s="200" t="s">
        <v>307</v>
      </c>
      <c r="D439" s="204">
        <v>-2900</v>
      </c>
      <c r="E439" s="201">
        <v>45658</v>
      </c>
      <c r="F439" s="200" t="s">
        <v>256</v>
      </c>
      <c r="G439" s="200" t="s">
        <v>256</v>
      </c>
      <c r="H439" s="200" t="s">
        <v>263</v>
      </c>
      <c r="I439" s="200" t="s">
        <v>685</v>
      </c>
    </row>
    <row r="440" spans="1:9" ht="15" customHeight="1">
      <c r="A440" s="199">
        <v>45673</v>
      </c>
      <c r="B440" s="202" t="s">
        <v>694</v>
      </c>
      <c r="C440" s="200" t="s">
        <v>307</v>
      </c>
      <c r="D440" s="204">
        <v>-129000</v>
      </c>
      <c r="E440" s="201">
        <v>45658</v>
      </c>
      <c r="F440" s="200" t="s">
        <v>256</v>
      </c>
      <c r="G440" s="200" t="s">
        <v>256</v>
      </c>
      <c r="H440" s="200" t="s">
        <v>267</v>
      </c>
      <c r="I440" s="200" t="s">
        <v>685</v>
      </c>
    </row>
    <row r="441" spans="1:9" ht="15" customHeight="1">
      <c r="A441" s="199">
        <v>45673</v>
      </c>
      <c r="B441" s="202" t="s">
        <v>694</v>
      </c>
      <c r="C441" s="200" t="s">
        <v>307</v>
      </c>
      <c r="D441" s="204">
        <v>-129000</v>
      </c>
      <c r="E441" s="201">
        <v>45658</v>
      </c>
      <c r="F441" s="200" t="s">
        <v>256</v>
      </c>
      <c r="G441" s="200" t="s">
        <v>256</v>
      </c>
      <c r="H441" s="200" t="s">
        <v>267</v>
      </c>
      <c r="I441" s="200" t="s">
        <v>685</v>
      </c>
    </row>
    <row r="442" spans="1:9" ht="15" customHeight="1">
      <c r="A442" s="199">
        <v>45673</v>
      </c>
      <c r="B442" s="202" t="s">
        <v>695</v>
      </c>
      <c r="C442" s="200" t="s">
        <v>307</v>
      </c>
      <c r="D442" s="204">
        <v>-43300</v>
      </c>
      <c r="E442" s="201">
        <v>45658</v>
      </c>
      <c r="F442" s="200" t="s">
        <v>296</v>
      </c>
      <c r="G442" s="531" t="s">
        <v>392</v>
      </c>
      <c r="H442" s="200" t="s">
        <v>350</v>
      </c>
      <c r="I442" s="200" t="s">
        <v>685</v>
      </c>
    </row>
    <row r="443" spans="1:9" ht="15" customHeight="1">
      <c r="A443" s="199">
        <v>45674</v>
      </c>
      <c r="B443" s="202" t="s">
        <v>696</v>
      </c>
      <c r="C443" s="200" t="s">
        <v>307</v>
      </c>
      <c r="D443" s="204">
        <v>-20000</v>
      </c>
      <c r="E443" s="201">
        <v>45658</v>
      </c>
      <c r="F443" s="200" t="s">
        <v>296</v>
      </c>
      <c r="G443" s="200" t="s">
        <v>337</v>
      </c>
      <c r="H443" s="200" t="s">
        <v>326</v>
      </c>
      <c r="I443" s="200" t="s">
        <v>685</v>
      </c>
    </row>
    <row r="444" spans="1:9" ht="15" customHeight="1">
      <c r="A444" s="199">
        <v>45674</v>
      </c>
      <c r="B444" s="202" t="s">
        <v>697</v>
      </c>
      <c r="C444" s="200" t="s">
        <v>307</v>
      </c>
      <c r="D444" s="204">
        <v>-56900</v>
      </c>
      <c r="E444" s="201">
        <v>45658</v>
      </c>
      <c r="F444" s="200" t="s">
        <v>296</v>
      </c>
      <c r="G444" s="200" t="s">
        <v>44</v>
      </c>
      <c r="H444" s="200" t="s">
        <v>322</v>
      </c>
      <c r="I444" s="200" t="s">
        <v>685</v>
      </c>
    </row>
    <row r="445" spans="1:9" ht="15" customHeight="1">
      <c r="A445" s="199">
        <v>45674</v>
      </c>
      <c r="B445" s="202" t="s">
        <v>697</v>
      </c>
      <c r="C445" s="200" t="s">
        <v>307</v>
      </c>
      <c r="D445" s="204">
        <v>-56900</v>
      </c>
      <c r="E445" s="201">
        <v>45658</v>
      </c>
      <c r="F445" s="200" t="s">
        <v>296</v>
      </c>
      <c r="G445" s="200" t="s">
        <v>337</v>
      </c>
      <c r="H445" s="200" t="s">
        <v>322</v>
      </c>
      <c r="I445" s="200" t="s">
        <v>685</v>
      </c>
    </row>
    <row r="446" spans="1:9" ht="15" customHeight="1">
      <c r="A446" s="199">
        <v>45674</v>
      </c>
      <c r="B446" s="202" t="s">
        <v>697</v>
      </c>
      <c r="C446" s="200" t="s">
        <v>307</v>
      </c>
      <c r="D446" s="204">
        <v>-56900</v>
      </c>
      <c r="E446" s="201">
        <v>45658</v>
      </c>
      <c r="F446" s="200" t="s">
        <v>296</v>
      </c>
      <c r="G446" s="200" t="s">
        <v>522</v>
      </c>
      <c r="H446" s="200" t="s">
        <v>322</v>
      </c>
      <c r="I446" s="200" t="s">
        <v>685</v>
      </c>
    </row>
    <row r="447" spans="1:9" ht="15" customHeight="1">
      <c r="A447" s="199">
        <v>45674</v>
      </c>
      <c r="B447" s="202" t="s">
        <v>697</v>
      </c>
      <c r="C447" s="200" t="s">
        <v>307</v>
      </c>
      <c r="D447" s="204">
        <v>-56900</v>
      </c>
      <c r="E447" s="201">
        <v>45658</v>
      </c>
      <c r="F447" s="200" t="s">
        <v>296</v>
      </c>
      <c r="G447" s="200" t="s">
        <v>44</v>
      </c>
      <c r="H447" s="200" t="s">
        <v>322</v>
      </c>
      <c r="I447" s="200" t="s">
        <v>685</v>
      </c>
    </row>
    <row r="448" spans="1:9" ht="15" customHeight="1">
      <c r="A448" s="199">
        <v>45674</v>
      </c>
      <c r="B448" s="202" t="s">
        <v>697</v>
      </c>
      <c r="C448" s="200" t="s">
        <v>307</v>
      </c>
      <c r="D448" s="204">
        <v>-56900</v>
      </c>
      <c r="E448" s="201">
        <v>45658</v>
      </c>
      <c r="F448" s="200" t="s">
        <v>296</v>
      </c>
      <c r="G448" s="200" t="s">
        <v>337</v>
      </c>
      <c r="H448" s="200" t="s">
        <v>322</v>
      </c>
      <c r="I448" s="200" t="s">
        <v>685</v>
      </c>
    </row>
    <row r="449" spans="1:9" ht="15" customHeight="1">
      <c r="A449" s="199">
        <v>45674</v>
      </c>
      <c r="B449" s="202" t="s">
        <v>697</v>
      </c>
      <c r="C449" s="200" t="s">
        <v>307</v>
      </c>
      <c r="D449" s="204">
        <v>-56900</v>
      </c>
      <c r="E449" s="201">
        <v>45658</v>
      </c>
      <c r="F449" s="200" t="s">
        <v>296</v>
      </c>
      <c r="G449" s="200" t="s">
        <v>522</v>
      </c>
      <c r="H449" s="200" t="s">
        <v>322</v>
      </c>
      <c r="I449" s="200" t="s">
        <v>685</v>
      </c>
    </row>
    <row r="450" spans="1:9" ht="15" customHeight="1">
      <c r="A450" s="199">
        <v>45674</v>
      </c>
      <c r="B450" s="202" t="s">
        <v>697</v>
      </c>
      <c r="C450" s="200" t="s">
        <v>307</v>
      </c>
      <c r="D450" s="204">
        <v>-18966.6666</v>
      </c>
      <c r="E450" s="201">
        <v>45658</v>
      </c>
      <c r="F450" s="200" t="s">
        <v>296</v>
      </c>
      <c r="G450" s="200" t="s">
        <v>44</v>
      </c>
      <c r="H450" s="200" t="s">
        <v>322</v>
      </c>
      <c r="I450" s="200" t="s">
        <v>685</v>
      </c>
    </row>
    <row r="451" spans="1:9" ht="15" customHeight="1">
      <c r="A451" s="199">
        <v>45674</v>
      </c>
      <c r="B451" s="202" t="s">
        <v>697</v>
      </c>
      <c r="C451" s="200" t="s">
        <v>307</v>
      </c>
      <c r="D451" s="204">
        <v>-18966.6666</v>
      </c>
      <c r="E451" s="201">
        <v>45658</v>
      </c>
      <c r="F451" s="200" t="s">
        <v>296</v>
      </c>
      <c r="G451" s="200" t="s">
        <v>337</v>
      </c>
      <c r="H451" s="200" t="s">
        <v>322</v>
      </c>
      <c r="I451" s="200" t="s">
        <v>685</v>
      </c>
    </row>
    <row r="452" spans="1:9" ht="15" customHeight="1">
      <c r="A452" s="199">
        <v>45674</v>
      </c>
      <c r="B452" s="202" t="s">
        <v>697</v>
      </c>
      <c r="C452" s="200" t="s">
        <v>307</v>
      </c>
      <c r="D452" s="204">
        <v>-18966.6666</v>
      </c>
      <c r="E452" s="201">
        <v>45658</v>
      </c>
      <c r="F452" s="200" t="s">
        <v>296</v>
      </c>
      <c r="G452" s="200" t="s">
        <v>522</v>
      </c>
      <c r="H452" s="200" t="s">
        <v>322</v>
      </c>
      <c r="I452" s="200" t="s">
        <v>685</v>
      </c>
    </row>
    <row r="453" spans="1:9" ht="15" customHeight="1">
      <c r="A453" s="199">
        <v>45677</v>
      </c>
      <c r="B453" s="202" t="s">
        <v>698</v>
      </c>
      <c r="C453" s="200" t="s">
        <v>307</v>
      </c>
      <c r="D453" s="204">
        <v>-15000</v>
      </c>
      <c r="E453" s="201">
        <v>45658</v>
      </c>
      <c r="F453" s="200" t="s">
        <v>296</v>
      </c>
      <c r="G453" s="200" t="s">
        <v>321</v>
      </c>
      <c r="H453" s="200" t="s">
        <v>326</v>
      </c>
      <c r="I453" s="200" t="s">
        <v>685</v>
      </c>
    </row>
    <row r="454" spans="1:9" ht="15" customHeight="1">
      <c r="A454" s="199">
        <v>45678</v>
      </c>
      <c r="B454" s="202" t="s">
        <v>699</v>
      </c>
      <c r="C454" s="200" t="s">
        <v>307</v>
      </c>
      <c r="D454" s="204">
        <v>-6040</v>
      </c>
      <c r="E454" s="201">
        <v>45658</v>
      </c>
      <c r="F454" s="200" t="s">
        <v>296</v>
      </c>
      <c r="G454" s="200" t="s">
        <v>321</v>
      </c>
      <c r="H454" s="200" t="s">
        <v>322</v>
      </c>
      <c r="I454" s="200" t="s">
        <v>685</v>
      </c>
    </row>
    <row r="455" spans="1:9" ht="15" customHeight="1">
      <c r="A455" s="199">
        <v>45678</v>
      </c>
      <c r="B455" s="202" t="s">
        <v>700</v>
      </c>
      <c r="C455" s="200" t="s">
        <v>307</v>
      </c>
      <c r="D455" s="204">
        <v>-50000</v>
      </c>
      <c r="E455" s="201">
        <v>45658</v>
      </c>
      <c r="F455" s="200" t="s">
        <v>296</v>
      </c>
      <c r="G455" s="200" t="s">
        <v>321</v>
      </c>
      <c r="H455" s="200" t="s">
        <v>322</v>
      </c>
      <c r="I455" s="200" t="s">
        <v>685</v>
      </c>
    </row>
    <row r="456" spans="1:9" ht="15" customHeight="1">
      <c r="A456" s="199">
        <v>45678</v>
      </c>
      <c r="B456" s="202" t="s">
        <v>701</v>
      </c>
      <c r="C456" s="200" t="s">
        <v>307</v>
      </c>
      <c r="D456" s="204">
        <v>-44400</v>
      </c>
      <c r="E456" s="201">
        <v>45658</v>
      </c>
      <c r="F456" s="200" t="s">
        <v>296</v>
      </c>
      <c r="G456" s="200" t="s">
        <v>321</v>
      </c>
      <c r="H456" s="200" t="s">
        <v>326</v>
      </c>
      <c r="I456" s="200" t="s">
        <v>685</v>
      </c>
    </row>
    <row r="457" spans="1:9" ht="15" customHeight="1">
      <c r="A457" s="199">
        <v>45678</v>
      </c>
      <c r="B457" s="202" t="s">
        <v>702</v>
      </c>
      <c r="C457" s="200" t="s">
        <v>307</v>
      </c>
      <c r="D457" s="204">
        <v>-20000</v>
      </c>
      <c r="E457" s="201">
        <v>45658</v>
      </c>
      <c r="F457" s="200" t="s">
        <v>296</v>
      </c>
      <c r="G457" s="200" t="s">
        <v>321</v>
      </c>
      <c r="H457" s="200" t="s">
        <v>326</v>
      </c>
      <c r="I457" s="200" t="s">
        <v>685</v>
      </c>
    </row>
    <row r="458" spans="1:9" ht="15" customHeight="1">
      <c r="A458" s="199">
        <v>45678</v>
      </c>
      <c r="B458" s="202" t="s">
        <v>703</v>
      </c>
      <c r="C458" s="200" t="s">
        <v>307</v>
      </c>
      <c r="D458" s="204">
        <v>-20000</v>
      </c>
      <c r="E458" s="201">
        <v>45658</v>
      </c>
      <c r="F458" s="200" t="s">
        <v>296</v>
      </c>
      <c r="G458" s="200" t="s">
        <v>321</v>
      </c>
      <c r="H458" s="200" t="s">
        <v>326</v>
      </c>
      <c r="I458" s="200" t="s">
        <v>685</v>
      </c>
    </row>
    <row r="459" spans="1:9" ht="15" customHeight="1">
      <c r="A459" s="199">
        <v>45678</v>
      </c>
      <c r="B459" s="202" t="s">
        <v>704</v>
      </c>
      <c r="C459" s="200" t="s">
        <v>307</v>
      </c>
      <c r="D459" s="204">
        <v>-127000</v>
      </c>
      <c r="E459" s="201">
        <v>45658</v>
      </c>
      <c r="F459" s="200" t="s">
        <v>256</v>
      </c>
      <c r="G459" s="200" t="s">
        <v>256</v>
      </c>
      <c r="H459" s="200" t="s">
        <v>263</v>
      </c>
    </row>
    <row r="460" spans="1:9" ht="15" customHeight="1">
      <c r="A460" s="199">
        <v>45673</v>
      </c>
      <c r="B460" s="202" t="s">
        <v>705</v>
      </c>
      <c r="C460" s="200" t="s">
        <v>307</v>
      </c>
      <c r="D460" s="204">
        <v>-8000</v>
      </c>
      <c r="E460" s="201">
        <v>45658</v>
      </c>
      <c r="F460" s="200" t="s">
        <v>452</v>
      </c>
      <c r="G460" s="200" t="s">
        <v>328</v>
      </c>
      <c r="H460" s="200" t="s">
        <v>346</v>
      </c>
      <c r="I460" s="200" t="s">
        <v>685</v>
      </c>
    </row>
    <row r="461" spans="1:9" ht="15" customHeight="1">
      <c r="A461" s="199">
        <v>45673</v>
      </c>
      <c r="B461" s="202" t="s">
        <v>431</v>
      </c>
      <c r="C461" s="200" t="s">
        <v>307</v>
      </c>
      <c r="D461" s="204">
        <v>-15200</v>
      </c>
      <c r="E461" s="201">
        <v>45658</v>
      </c>
      <c r="F461" s="200" t="s">
        <v>452</v>
      </c>
      <c r="G461" s="200" t="s">
        <v>482</v>
      </c>
      <c r="H461" s="200" t="s">
        <v>350</v>
      </c>
      <c r="I461" s="200" t="s">
        <v>685</v>
      </c>
    </row>
    <row r="462" spans="1:9" ht="15" customHeight="1">
      <c r="A462" s="199">
        <v>45673</v>
      </c>
      <c r="B462" s="202" t="s">
        <v>706</v>
      </c>
      <c r="C462" s="200" t="s">
        <v>307</v>
      </c>
      <c r="D462" s="204">
        <v>-2200</v>
      </c>
      <c r="E462" s="201">
        <v>45658</v>
      </c>
      <c r="F462" s="200" t="s">
        <v>452</v>
      </c>
      <c r="G462" s="200" t="s">
        <v>482</v>
      </c>
      <c r="H462" s="200" t="s">
        <v>350</v>
      </c>
      <c r="I462" s="200" t="s">
        <v>685</v>
      </c>
    </row>
    <row r="463" spans="1:9" ht="15" customHeight="1">
      <c r="A463" s="199">
        <v>45674</v>
      </c>
      <c r="B463" s="202" t="s">
        <v>431</v>
      </c>
      <c r="C463" s="200" t="s">
        <v>307</v>
      </c>
      <c r="D463" s="204">
        <v>-15200</v>
      </c>
      <c r="E463" s="201">
        <v>45658</v>
      </c>
      <c r="F463" s="200" t="s">
        <v>256</v>
      </c>
      <c r="G463" s="200" t="s">
        <v>256</v>
      </c>
      <c r="H463" s="200" t="s">
        <v>263</v>
      </c>
      <c r="I463" s="200" t="s">
        <v>685</v>
      </c>
    </row>
    <row r="464" spans="1:9" ht="15" customHeight="1">
      <c r="A464" s="199">
        <v>45677</v>
      </c>
      <c r="B464" s="202" t="s">
        <v>707</v>
      </c>
      <c r="C464" s="200" t="s">
        <v>307</v>
      </c>
      <c r="D464" s="204">
        <v>-21000</v>
      </c>
      <c r="E464" s="201">
        <v>45658</v>
      </c>
      <c r="F464" s="200" t="s">
        <v>452</v>
      </c>
      <c r="G464" s="200" t="s">
        <v>482</v>
      </c>
      <c r="H464" s="200" t="s">
        <v>350</v>
      </c>
      <c r="I464" s="200" t="s">
        <v>685</v>
      </c>
    </row>
    <row r="465" spans="1:9" ht="15" customHeight="1">
      <c r="A465" s="199">
        <v>45677</v>
      </c>
      <c r="B465" s="202" t="s">
        <v>708</v>
      </c>
      <c r="C465" s="200" t="s">
        <v>307</v>
      </c>
      <c r="D465" s="204">
        <v>-112799.91</v>
      </c>
      <c r="E465" s="201">
        <v>45658</v>
      </c>
      <c r="F465" s="200" t="s">
        <v>452</v>
      </c>
      <c r="G465" s="531" t="s">
        <v>392</v>
      </c>
      <c r="H465" s="200" t="s">
        <v>350</v>
      </c>
      <c r="I465" s="200" t="s">
        <v>685</v>
      </c>
    </row>
    <row r="466" spans="1:9" ht="15" customHeight="1">
      <c r="A466" s="199">
        <v>45677</v>
      </c>
      <c r="B466" s="202" t="s">
        <v>709</v>
      </c>
      <c r="C466" s="200" t="s">
        <v>307</v>
      </c>
      <c r="D466" s="204">
        <v>-37700</v>
      </c>
      <c r="E466" s="201">
        <v>45658</v>
      </c>
      <c r="F466" s="200" t="s">
        <v>452</v>
      </c>
      <c r="G466" s="200" t="s">
        <v>328</v>
      </c>
      <c r="H466" s="200" t="s">
        <v>350</v>
      </c>
      <c r="I466" s="200" t="s">
        <v>685</v>
      </c>
    </row>
    <row r="467" spans="1:9" ht="15" customHeight="1">
      <c r="A467" s="199">
        <v>45677</v>
      </c>
      <c r="B467" s="202" t="s">
        <v>710</v>
      </c>
      <c r="C467" s="200" t="s">
        <v>307</v>
      </c>
      <c r="D467" s="204">
        <v>-61000</v>
      </c>
      <c r="E467" s="201">
        <v>45658</v>
      </c>
      <c r="F467" s="200" t="s">
        <v>452</v>
      </c>
      <c r="G467" s="200" t="s">
        <v>328</v>
      </c>
      <c r="H467" s="200" t="s">
        <v>350</v>
      </c>
      <c r="I467" s="200" t="s">
        <v>685</v>
      </c>
    </row>
    <row r="468" spans="1:9" ht="15" customHeight="1">
      <c r="A468" s="199">
        <v>45677</v>
      </c>
      <c r="B468" s="202" t="s">
        <v>711</v>
      </c>
      <c r="C468" s="200" t="s">
        <v>307</v>
      </c>
      <c r="D468" s="204">
        <v>-88320</v>
      </c>
      <c r="E468" s="201">
        <v>45658</v>
      </c>
      <c r="F468" s="200" t="s">
        <v>452</v>
      </c>
      <c r="G468" s="200" t="s">
        <v>328</v>
      </c>
      <c r="H468" s="200" t="s">
        <v>350</v>
      </c>
      <c r="I468" s="200" t="s">
        <v>685</v>
      </c>
    </row>
    <row r="469" spans="1:9" ht="15" customHeight="1">
      <c r="A469" s="199">
        <v>45678</v>
      </c>
      <c r="B469" s="202" t="s">
        <v>712</v>
      </c>
      <c r="C469" s="200" t="s">
        <v>307</v>
      </c>
      <c r="D469" s="204">
        <v>-21000</v>
      </c>
      <c r="E469" s="201">
        <v>45658</v>
      </c>
      <c r="F469" s="200" t="s">
        <v>452</v>
      </c>
      <c r="G469" s="531" t="s">
        <v>392</v>
      </c>
      <c r="H469" s="200" t="s">
        <v>350</v>
      </c>
      <c r="I469" s="200" t="s">
        <v>685</v>
      </c>
    </row>
    <row r="470" spans="1:9" ht="15" customHeight="1">
      <c r="A470" s="199">
        <v>45678</v>
      </c>
      <c r="B470" s="202" t="s">
        <v>713</v>
      </c>
      <c r="C470" s="200" t="s">
        <v>307</v>
      </c>
      <c r="D470" s="204">
        <v>-130800</v>
      </c>
      <c r="E470" s="201">
        <v>45658</v>
      </c>
      <c r="F470" s="200" t="s">
        <v>452</v>
      </c>
      <c r="G470" s="200" t="s">
        <v>43</v>
      </c>
      <c r="H470" s="200" t="s">
        <v>350</v>
      </c>
      <c r="I470" s="200" t="s">
        <v>685</v>
      </c>
    </row>
    <row r="471" spans="1:9" ht="15" customHeight="1">
      <c r="A471" s="199">
        <v>45678</v>
      </c>
      <c r="B471" s="202" t="s">
        <v>714</v>
      </c>
      <c r="C471" s="200" t="s">
        <v>307</v>
      </c>
      <c r="D471" s="204">
        <v>-23200</v>
      </c>
      <c r="E471" s="201">
        <v>45658</v>
      </c>
      <c r="F471" s="200" t="s">
        <v>452</v>
      </c>
      <c r="G471" s="531" t="s">
        <v>392</v>
      </c>
      <c r="H471" s="200" t="s">
        <v>350</v>
      </c>
      <c r="I471" s="200" t="s">
        <v>685</v>
      </c>
    </row>
    <row r="472" spans="1:9" ht="15" customHeight="1">
      <c r="A472" s="199">
        <v>45678</v>
      </c>
      <c r="B472" s="202" t="s">
        <v>715</v>
      </c>
      <c r="C472" s="200" t="s">
        <v>307</v>
      </c>
      <c r="D472" s="204">
        <v>-7000</v>
      </c>
      <c r="E472" s="201">
        <v>45658</v>
      </c>
      <c r="F472" s="200" t="s">
        <v>452</v>
      </c>
      <c r="G472" s="200" t="s">
        <v>43</v>
      </c>
      <c r="H472" s="200" t="s">
        <v>268</v>
      </c>
      <c r="I472" s="648" t="s">
        <v>329</v>
      </c>
    </row>
    <row r="473" spans="1:9" ht="15" customHeight="1">
      <c r="A473" s="199">
        <v>45678</v>
      </c>
      <c r="B473" s="202" t="s">
        <v>716</v>
      </c>
      <c r="C473" s="200" t="s">
        <v>307</v>
      </c>
      <c r="D473" s="204">
        <v>-8000</v>
      </c>
      <c r="E473" s="201">
        <v>45658</v>
      </c>
      <c r="F473" s="200" t="s">
        <v>297</v>
      </c>
      <c r="G473" s="200" t="s">
        <v>75</v>
      </c>
      <c r="H473" s="200" t="s">
        <v>350</v>
      </c>
      <c r="I473" s="200" t="s">
        <v>685</v>
      </c>
    </row>
    <row r="474" spans="1:9" ht="15" customHeight="1">
      <c r="A474" s="199">
        <v>45673</v>
      </c>
      <c r="B474" s="202" t="s">
        <v>717</v>
      </c>
      <c r="C474" s="200" t="s">
        <v>307</v>
      </c>
      <c r="D474" s="204">
        <v>-25000</v>
      </c>
      <c r="E474" s="201">
        <v>45658</v>
      </c>
      <c r="F474" s="200" t="s">
        <v>296</v>
      </c>
      <c r="G474" s="200" t="s">
        <v>44</v>
      </c>
      <c r="H474" s="200" t="s">
        <v>442</v>
      </c>
      <c r="I474" s="200" t="s">
        <v>718</v>
      </c>
    </row>
    <row r="475" spans="1:9" ht="15" customHeight="1">
      <c r="A475" s="199">
        <v>45673</v>
      </c>
      <c r="B475" s="202" t="s">
        <v>719</v>
      </c>
      <c r="C475" s="200" t="s">
        <v>307</v>
      </c>
      <c r="D475" s="204">
        <v>-7000</v>
      </c>
      <c r="E475" s="201">
        <v>45658</v>
      </c>
      <c r="F475" s="200" t="s">
        <v>296</v>
      </c>
      <c r="G475" s="200" t="s">
        <v>44</v>
      </c>
      <c r="H475" s="200" t="s">
        <v>326</v>
      </c>
      <c r="I475" s="200" t="s">
        <v>718</v>
      </c>
    </row>
    <row r="476" spans="1:9" ht="15" customHeight="1">
      <c r="A476" s="199">
        <v>45673</v>
      </c>
      <c r="B476" s="202" t="s">
        <v>720</v>
      </c>
      <c r="C476" s="200" t="s">
        <v>307</v>
      </c>
      <c r="D476" s="204">
        <v>-22000</v>
      </c>
      <c r="E476" s="201">
        <v>45658</v>
      </c>
      <c r="F476" s="200" t="s">
        <v>296</v>
      </c>
      <c r="G476" s="200" t="s">
        <v>321</v>
      </c>
      <c r="H476" s="200" t="s">
        <v>721</v>
      </c>
      <c r="I476" s="200" t="s">
        <v>718</v>
      </c>
    </row>
    <row r="477" spans="1:9" ht="15" customHeight="1">
      <c r="A477" s="199">
        <v>45673</v>
      </c>
      <c r="B477" s="202" t="s">
        <v>722</v>
      </c>
      <c r="C477" s="200" t="s">
        <v>307</v>
      </c>
      <c r="D477" s="204">
        <v>-5000</v>
      </c>
      <c r="E477" s="201">
        <v>45658</v>
      </c>
      <c r="F477" s="200" t="s">
        <v>296</v>
      </c>
      <c r="G477" s="200" t="s">
        <v>44</v>
      </c>
      <c r="H477" s="200" t="s">
        <v>326</v>
      </c>
      <c r="I477" s="200" t="s">
        <v>718</v>
      </c>
    </row>
    <row r="478" spans="1:9" ht="15" customHeight="1">
      <c r="A478" s="199">
        <v>45673</v>
      </c>
      <c r="B478" s="202" t="s">
        <v>723</v>
      </c>
      <c r="C478" s="200" t="s">
        <v>307</v>
      </c>
      <c r="D478" s="204">
        <v>-5000</v>
      </c>
      <c r="E478" s="201">
        <v>45658</v>
      </c>
      <c r="F478" s="200" t="s">
        <v>296</v>
      </c>
      <c r="G478" s="200" t="s">
        <v>321</v>
      </c>
      <c r="H478" s="200" t="s">
        <v>721</v>
      </c>
      <c r="I478" s="200" t="s">
        <v>718</v>
      </c>
    </row>
    <row r="479" spans="1:9" ht="15" customHeight="1">
      <c r="A479" s="199">
        <v>45678</v>
      </c>
      <c r="B479" s="202" t="s">
        <v>724</v>
      </c>
      <c r="C479" s="200" t="s">
        <v>307</v>
      </c>
      <c r="D479" s="204">
        <v>-6500</v>
      </c>
      <c r="E479" s="201">
        <v>45658</v>
      </c>
      <c r="F479" s="200" t="s">
        <v>296</v>
      </c>
      <c r="G479" s="200" t="s">
        <v>328</v>
      </c>
      <c r="H479" s="200" t="s">
        <v>268</v>
      </c>
      <c r="I479" s="200" t="s">
        <v>718</v>
      </c>
    </row>
    <row r="480" spans="1:9" ht="15" customHeight="1">
      <c r="A480" s="199">
        <v>45678</v>
      </c>
      <c r="B480" s="202" t="s">
        <v>725</v>
      </c>
      <c r="C480" s="200" t="s">
        <v>307</v>
      </c>
      <c r="D480" s="204">
        <v>-6500</v>
      </c>
      <c r="E480" s="201">
        <v>45658</v>
      </c>
      <c r="F480" s="200" t="s">
        <v>296</v>
      </c>
      <c r="G480" s="531" t="s">
        <v>392</v>
      </c>
      <c r="H480" s="200" t="s">
        <v>268</v>
      </c>
      <c r="I480" s="200" t="s">
        <v>718</v>
      </c>
    </row>
    <row r="481" spans="1:9" ht="15" customHeight="1">
      <c r="A481" s="199">
        <v>45670</v>
      </c>
      <c r="B481" s="202" t="s">
        <v>726</v>
      </c>
      <c r="C481" s="200" t="s">
        <v>307</v>
      </c>
      <c r="D481" s="204">
        <v>-7000</v>
      </c>
      <c r="E481" s="201">
        <v>45658</v>
      </c>
      <c r="F481" s="200" t="s">
        <v>296</v>
      </c>
      <c r="G481" s="200" t="s">
        <v>321</v>
      </c>
      <c r="H481" s="200" t="s">
        <v>326</v>
      </c>
      <c r="I481" s="200" t="s">
        <v>727</v>
      </c>
    </row>
    <row r="482" spans="1:9" ht="15" customHeight="1">
      <c r="A482" s="199">
        <v>45670</v>
      </c>
      <c r="B482" s="202" t="s">
        <v>728</v>
      </c>
      <c r="C482" s="200" t="s">
        <v>307</v>
      </c>
      <c r="D482" s="204">
        <v>-20000</v>
      </c>
      <c r="E482" s="201">
        <v>45658</v>
      </c>
      <c r="F482" s="200" t="s">
        <v>296</v>
      </c>
      <c r="G482" s="200" t="s">
        <v>321</v>
      </c>
      <c r="H482" s="200" t="s">
        <v>326</v>
      </c>
      <c r="I482" s="200" t="s">
        <v>727</v>
      </c>
    </row>
    <row r="483" spans="1:9" ht="15" customHeight="1">
      <c r="A483" s="199">
        <v>45670</v>
      </c>
      <c r="B483" s="202" t="s">
        <v>729</v>
      </c>
      <c r="C483" s="200" t="s">
        <v>307</v>
      </c>
      <c r="D483" s="204">
        <v>-10000</v>
      </c>
      <c r="E483" s="201">
        <v>45658</v>
      </c>
      <c r="F483" s="200" t="s">
        <v>296</v>
      </c>
      <c r="G483" s="200" t="s">
        <v>321</v>
      </c>
      <c r="H483" s="200" t="s">
        <v>326</v>
      </c>
      <c r="I483" s="200" t="s">
        <v>727</v>
      </c>
    </row>
    <row r="484" spans="1:9" ht="15" customHeight="1">
      <c r="A484" s="199">
        <v>45670</v>
      </c>
      <c r="B484" s="202" t="s">
        <v>730</v>
      </c>
      <c r="C484" s="200" t="s">
        <v>307</v>
      </c>
      <c r="D484" s="204">
        <v>-18000</v>
      </c>
      <c r="E484" s="201">
        <v>45658</v>
      </c>
      <c r="F484" s="200" t="s">
        <v>296</v>
      </c>
      <c r="G484" s="200" t="s">
        <v>44</v>
      </c>
      <c r="H484" s="200" t="s">
        <v>326</v>
      </c>
      <c r="I484" s="200" t="s">
        <v>727</v>
      </c>
    </row>
    <row r="485" spans="1:9" ht="15" customHeight="1">
      <c r="A485" s="199">
        <v>45671</v>
      </c>
      <c r="B485" s="202" t="s">
        <v>728</v>
      </c>
      <c r="C485" s="200" t="s">
        <v>307</v>
      </c>
      <c r="D485" s="204">
        <v>-22000</v>
      </c>
      <c r="E485" s="201">
        <v>45658</v>
      </c>
      <c r="F485" s="200" t="s">
        <v>296</v>
      </c>
      <c r="G485" s="200" t="s">
        <v>44</v>
      </c>
      <c r="H485" s="200" t="s">
        <v>442</v>
      </c>
      <c r="I485" s="200" t="s">
        <v>727</v>
      </c>
    </row>
    <row r="486" spans="1:9" ht="15" customHeight="1">
      <c r="A486" s="199">
        <v>45670</v>
      </c>
      <c r="B486" s="202" t="s">
        <v>731</v>
      </c>
      <c r="C486" s="200" t="s">
        <v>307</v>
      </c>
      <c r="D486" s="204">
        <v>-112039</v>
      </c>
      <c r="E486" s="201">
        <v>45658</v>
      </c>
      <c r="F486" s="200" t="s">
        <v>256</v>
      </c>
      <c r="G486" s="200" t="s">
        <v>107</v>
      </c>
      <c r="H486" s="200" t="s">
        <v>275</v>
      </c>
      <c r="I486" s="200" t="s">
        <v>732</v>
      </c>
    </row>
    <row r="487" spans="1:9" ht="15" customHeight="1">
      <c r="A487" s="199">
        <v>45670</v>
      </c>
      <c r="B487" s="202" t="s">
        <v>733</v>
      </c>
      <c r="C487" s="200" t="s">
        <v>307</v>
      </c>
      <c r="D487" s="204">
        <v>-13800</v>
      </c>
      <c r="E487" s="201">
        <v>45658</v>
      </c>
      <c r="F487" s="200" t="s">
        <v>256</v>
      </c>
      <c r="G487" s="200" t="s">
        <v>107</v>
      </c>
      <c r="H487" s="200" t="s">
        <v>275</v>
      </c>
      <c r="I487" s="200" t="s">
        <v>732</v>
      </c>
    </row>
    <row r="488" spans="1:9" ht="15" customHeight="1">
      <c r="A488" s="199">
        <v>45670</v>
      </c>
      <c r="B488" s="202" t="s">
        <v>729</v>
      </c>
      <c r="C488" s="200" t="s">
        <v>307</v>
      </c>
      <c r="D488" s="204">
        <v>-10000</v>
      </c>
      <c r="E488" s="201">
        <v>45658</v>
      </c>
      <c r="F488" s="200" t="s">
        <v>256</v>
      </c>
      <c r="G488" s="200" t="s">
        <v>107</v>
      </c>
      <c r="H488" s="200" t="s">
        <v>275</v>
      </c>
      <c r="I488" s="200" t="s">
        <v>732</v>
      </c>
    </row>
    <row r="489" spans="1:9" ht="15" customHeight="1">
      <c r="A489" s="199">
        <v>45670</v>
      </c>
      <c r="B489" s="202" t="s">
        <v>734</v>
      </c>
      <c r="C489" s="200" t="s">
        <v>307</v>
      </c>
      <c r="D489" s="204">
        <v>-12000</v>
      </c>
      <c r="E489" s="201">
        <v>45658</v>
      </c>
      <c r="F489" s="200" t="s">
        <v>256</v>
      </c>
      <c r="G489" s="200" t="s">
        <v>107</v>
      </c>
      <c r="H489" s="200" t="s">
        <v>275</v>
      </c>
      <c r="I489" s="200" t="s">
        <v>732</v>
      </c>
    </row>
    <row r="490" spans="1:9" ht="15" customHeight="1">
      <c r="A490" s="199">
        <v>45670</v>
      </c>
      <c r="B490" s="202" t="s">
        <v>735</v>
      </c>
      <c r="C490" s="200" t="s">
        <v>307</v>
      </c>
      <c r="D490" s="204">
        <v>-18000</v>
      </c>
      <c r="E490" s="201">
        <v>45658</v>
      </c>
      <c r="F490" s="200" t="s">
        <v>256</v>
      </c>
      <c r="G490" s="200" t="s">
        <v>107</v>
      </c>
      <c r="H490" s="200" t="s">
        <v>275</v>
      </c>
      <c r="I490" s="200" t="s">
        <v>732</v>
      </c>
    </row>
    <row r="491" spans="1:9" ht="15" customHeight="1">
      <c r="A491" s="199">
        <v>45670</v>
      </c>
      <c r="B491" s="202" t="s">
        <v>736</v>
      </c>
      <c r="C491" s="200" t="s">
        <v>307</v>
      </c>
      <c r="D491" s="204">
        <v>-28900</v>
      </c>
      <c r="E491" s="201">
        <v>45658</v>
      </c>
      <c r="F491" s="200" t="s">
        <v>256</v>
      </c>
      <c r="G491" s="200" t="s">
        <v>107</v>
      </c>
      <c r="H491" s="200" t="s">
        <v>275</v>
      </c>
      <c r="I491" s="200" t="s">
        <v>732</v>
      </c>
    </row>
    <row r="492" spans="1:9" ht="15" customHeight="1">
      <c r="A492" s="199">
        <v>45671</v>
      </c>
      <c r="B492" s="202" t="s">
        <v>735</v>
      </c>
      <c r="C492" s="200" t="s">
        <v>307</v>
      </c>
      <c r="D492" s="204">
        <v>-30800</v>
      </c>
      <c r="E492" s="201">
        <v>45658</v>
      </c>
      <c r="F492" s="200" t="s">
        <v>256</v>
      </c>
      <c r="G492" s="200" t="s">
        <v>107</v>
      </c>
      <c r="H492" s="200" t="s">
        <v>275</v>
      </c>
      <c r="I492" s="200" t="s">
        <v>732</v>
      </c>
    </row>
    <row r="493" spans="1:9" ht="15" customHeight="1">
      <c r="A493" s="199">
        <v>45671</v>
      </c>
      <c r="B493" s="202" t="s">
        <v>729</v>
      </c>
      <c r="C493" s="200" t="s">
        <v>307</v>
      </c>
      <c r="D493" s="204">
        <v>-10000</v>
      </c>
      <c r="E493" s="201">
        <v>45658</v>
      </c>
      <c r="F493" s="200" t="s">
        <v>256</v>
      </c>
      <c r="G493" s="200" t="s">
        <v>107</v>
      </c>
      <c r="H493" s="200" t="s">
        <v>275</v>
      </c>
      <c r="I493" s="200" t="s">
        <v>732</v>
      </c>
    </row>
    <row r="494" spans="1:9" ht="15" customHeight="1">
      <c r="A494" s="199">
        <v>45671</v>
      </c>
      <c r="B494" s="202" t="s">
        <v>736</v>
      </c>
      <c r="C494" s="200" t="s">
        <v>307</v>
      </c>
      <c r="D494" s="204">
        <v>-33000</v>
      </c>
      <c r="E494" s="201">
        <v>45658</v>
      </c>
      <c r="F494" s="200" t="s">
        <v>256</v>
      </c>
      <c r="G494" s="200" t="s">
        <v>107</v>
      </c>
      <c r="H494" s="200" t="s">
        <v>275</v>
      </c>
      <c r="I494" s="200" t="s">
        <v>732</v>
      </c>
    </row>
    <row r="495" spans="1:9" ht="15" customHeight="1">
      <c r="A495" s="199">
        <v>45672</v>
      </c>
      <c r="B495" s="202" t="s">
        <v>735</v>
      </c>
      <c r="C495" s="200" t="s">
        <v>307</v>
      </c>
      <c r="D495" s="204">
        <v>-19500</v>
      </c>
      <c r="E495" s="201">
        <v>45658</v>
      </c>
      <c r="F495" s="200" t="s">
        <v>256</v>
      </c>
      <c r="G495" s="200" t="s">
        <v>107</v>
      </c>
      <c r="H495" s="200" t="s">
        <v>275</v>
      </c>
      <c r="I495" s="200" t="s">
        <v>732</v>
      </c>
    </row>
    <row r="496" spans="1:9" ht="15" customHeight="1">
      <c r="A496" s="199">
        <v>45672</v>
      </c>
      <c r="B496" s="202" t="s">
        <v>736</v>
      </c>
      <c r="C496" s="200" t="s">
        <v>307</v>
      </c>
      <c r="D496" s="204">
        <v>-40426</v>
      </c>
      <c r="E496" s="201">
        <v>45658</v>
      </c>
      <c r="F496" s="200" t="s">
        <v>256</v>
      </c>
      <c r="G496" s="200" t="s">
        <v>107</v>
      </c>
      <c r="H496" s="200" t="s">
        <v>275</v>
      </c>
      <c r="I496" s="200" t="s">
        <v>732</v>
      </c>
    </row>
    <row r="497" spans="1:9" ht="15" customHeight="1">
      <c r="A497" s="199">
        <v>45672</v>
      </c>
      <c r="B497" s="202" t="s">
        <v>729</v>
      </c>
      <c r="C497" s="200" t="s">
        <v>307</v>
      </c>
      <c r="D497" s="204">
        <v>-10000</v>
      </c>
      <c r="E497" s="201">
        <v>45658</v>
      </c>
      <c r="F497" s="200" t="s">
        <v>256</v>
      </c>
      <c r="G497" s="200" t="s">
        <v>107</v>
      </c>
      <c r="H497" s="200" t="s">
        <v>275</v>
      </c>
      <c r="I497" s="200" t="s">
        <v>732</v>
      </c>
    </row>
    <row r="498" spans="1:9" ht="15" customHeight="1">
      <c r="A498" s="199">
        <v>45673</v>
      </c>
      <c r="B498" s="202" t="s">
        <v>737</v>
      </c>
      <c r="C498" s="200" t="s">
        <v>307</v>
      </c>
      <c r="D498" s="204">
        <v>-289500</v>
      </c>
      <c r="E498" s="201">
        <v>45658</v>
      </c>
      <c r="F498" s="200" t="s">
        <v>256</v>
      </c>
      <c r="G498" s="200" t="s">
        <v>107</v>
      </c>
      <c r="H498" s="200" t="s">
        <v>275</v>
      </c>
      <c r="I498" s="200" t="s">
        <v>732</v>
      </c>
    </row>
    <row r="499" spans="1:9" ht="15" customHeight="1">
      <c r="A499" s="199">
        <v>45673</v>
      </c>
      <c r="B499" s="202" t="s">
        <v>735</v>
      </c>
      <c r="C499" s="200" t="s">
        <v>307</v>
      </c>
      <c r="D499" s="204">
        <v>-20000</v>
      </c>
      <c r="E499" s="201">
        <v>45658</v>
      </c>
      <c r="F499" s="200" t="s">
        <v>256</v>
      </c>
      <c r="G499" s="200" t="s">
        <v>107</v>
      </c>
      <c r="H499" s="200" t="s">
        <v>275</v>
      </c>
      <c r="I499" s="200" t="s">
        <v>732</v>
      </c>
    </row>
    <row r="500" spans="1:9" ht="15" customHeight="1">
      <c r="A500" s="199">
        <v>45673</v>
      </c>
      <c r="B500" s="202" t="s">
        <v>729</v>
      </c>
      <c r="C500" s="200" t="s">
        <v>307</v>
      </c>
      <c r="D500" s="204">
        <v>-10000</v>
      </c>
      <c r="E500" s="201">
        <v>45658</v>
      </c>
      <c r="F500" s="200" t="s">
        <v>256</v>
      </c>
      <c r="G500" s="200" t="s">
        <v>107</v>
      </c>
      <c r="H500" s="200" t="s">
        <v>275</v>
      </c>
      <c r="I500" s="200" t="s">
        <v>732</v>
      </c>
    </row>
    <row r="501" spans="1:9" ht="15" customHeight="1">
      <c r="A501" s="199">
        <v>45673</v>
      </c>
      <c r="B501" s="202" t="s">
        <v>731</v>
      </c>
      <c r="C501" s="200" t="s">
        <v>307</v>
      </c>
      <c r="D501" s="204">
        <v>-115062</v>
      </c>
      <c r="E501" s="201">
        <v>45658</v>
      </c>
      <c r="F501" s="200" t="s">
        <v>256</v>
      </c>
      <c r="G501" s="200" t="s">
        <v>107</v>
      </c>
      <c r="H501" s="200" t="s">
        <v>275</v>
      </c>
      <c r="I501" s="200" t="s">
        <v>732</v>
      </c>
    </row>
    <row r="502" spans="1:9" ht="15" customHeight="1">
      <c r="A502" s="199">
        <v>45673</v>
      </c>
      <c r="B502" s="202" t="s">
        <v>738</v>
      </c>
      <c r="C502" s="200" t="s">
        <v>307</v>
      </c>
      <c r="D502" s="204">
        <v>-12200</v>
      </c>
      <c r="E502" s="201">
        <v>45658</v>
      </c>
      <c r="F502" s="200" t="s">
        <v>256</v>
      </c>
      <c r="G502" s="200" t="s">
        <v>107</v>
      </c>
      <c r="H502" s="200" t="s">
        <v>275</v>
      </c>
      <c r="I502" s="200" t="s">
        <v>732</v>
      </c>
    </row>
    <row r="503" spans="1:9" ht="15" customHeight="1">
      <c r="A503" s="199">
        <v>45673</v>
      </c>
      <c r="B503" s="202" t="s">
        <v>733</v>
      </c>
      <c r="C503" s="200" t="s">
        <v>307</v>
      </c>
      <c r="D503" s="204">
        <v>-14500</v>
      </c>
      <c r="E503" s="201">
        <v>45658</v>
      </c>
      <c r="F503" s="200" t="s">
        <v>256</v>
      </c>
      <c r="G503" s="200" t="s">
        <v>107</v>
      </c>
      <c r="H503" s="200" t="s">
        <v>275</v>
      </c>
      <c r="I503" s="200" t="s">
        <v>732</v>
      </c>
    </row>
    <row r="504" spans="1:9" ht="15" customHeight="1">
      <c r="A504" s="199">
        <v>45665</v>
      </c>
      <c r="B504" s="202" t="s">
        <v>739</v>
      </c>
      <c r="C504" s="200" t="s">
        <v>307</v>
      </c>
      <c r="D504" s="204">
        <v>-20171</v>
      </c>
      <c r="E504" s="201">
        <v>45658</v>
      </c>
      <c r="F504" s="200" t="s">
        <v>296</v>
      </c>
      <c r="G504" s="200" t="s">
        <v>453</v>
      </c>
      <c r="H504" s="200" t="s">
        <v>97</v>
      </c>
      <c r="I504" s="200" t="s">
        <v>209</v>
      </c>
    </row>
    <row r="505" spans="1:9" ht="15" customHeight="1">
      <c r="A505" s="199">
        <v>45665</v>
      </c>
      <c r="B505" s="202" t="s">
        <v>740</v>
      </c>
      <c r="C505" s="200" t="s">
        <v>307</v>
      </c>
      <c r="D505" s="204">
        <v>-15500</v>
      </c>
      <c r="E505" s="201">
        <v>45658</v>
      </c>
      <c r="F505" s="200" t="s">
        <v>296</v>
      </c>
      <c r="G505" s="200" t="s">
        <v>453</v>
      </c>
      <c r="H505" s="200" t="s">
        <v>97</v>
      </c>
      <c r="I505" s="200" t="s">
        <v>209</v>
      </c>
    </row>
    <row r="506" spans="1:9" ht="15" customHeight="1">
      <c r="A506" s="199">
        <v>45666</v>
      </c>
      <c r="B506" s="202" t="s">
        <v>741</v>
      </c>
      <c r="C506" s="200" t="s">
        <v>307</v>
      </c>
      <c r="D506" s="204">
        <v>-210000</v>
      </c>
      <c r="E506" s="201">
        <v>45658</v>
      </c>
      <c r="F506" s="200" t="s">
        <v>296</v>
      </c>
      <c r="G506" s="200" t="s">
        <v>453</v>
      </c>
      <c r="H506" s="200" t="s">
        <v>97</v>
      </c>
      <c r="I506" s="200" t="s">
        <v>209</v>
      </c>
    </row>
    <row r="507" spans="1:9" ht="15" customHeight="1">
      <c r="A507" s="199">
        <v>45666</v>
      </c>
      <c r="B507" s="202" t="s">
        <v>742</v>
      </c>
      <c r="C507" s="200" t="s">
        <v>307</v>
      </c>
      <c r="D507" s="204">
        <v>-71019</v>
      </c>
      <c r="E507" s="201">
        <v>45658</v>
      </c>
      <c r="F507" s="200" t="s">
        <v>296</v>
      </c>
      <c r="G507" s="200" t="s">
        <v>453</v>
      </c>
      <c r="H507" s="200" t="s">
        <v>97</v>
      </c>
      <c r="I507" s="200" t="s">
        <v>209</v>
      </c>
    </row>
    <row r="508" spans="1:9" ht="15" customHeight="1">
      <c r="A508" s="199">
        <v>45668</v>
      </c>
      <c r="B508" s="202" t="s">
        <v>743</v>
      </c>
      <c r="C508" s="200" t="s">
        <v>307</v>
      </c>
      <c r="D508" s="204">
        <v>-20000</v>
      </c>
      <c r="E508" s="201">
        <v>45658</v>
      </c>
      <c r="F508" s="200" t="s">
        <v>296</v>
      </c>
      <c r="G508" s="200" t="s">
        <v>453</v>
      </c>
      <c r="H508" s="200" t="s">
        <v>97</v>
      </c>
      <c r="I508" s="200" t="s">
        <v>209</v>
      </c>
    </row>
    <row r="509" spans="1:9" ht="15" customHeight="1">
      <c r="A509" s="199">
        <v>45668</v>
      </c>
      <c r="B509" s="202" t="s">
        <v>744</v>
      </c>
      <c r="C509" s="200" t="s">
        <v>307</v>
      </c>
      <c r="D509" s="204">
        <v>-70000</v>
      </c>
      <c r="E509" s="201">
        <v>45658</v>
      </c>
      <c r="F509" s="200" t="s">
        <v>296</v>
      </c>
      <c r="G509" s="200" t="s">
        <v>453</v>
      </c>
      <c r="H509" s="200" t="s">
        <v>97</v>
      </c>
      <c r="I509" s="200" t="s">
        <v>209</v>
      </c>
    </row>
    <row r="510" spans="1:9" ht="15" customHeight="1">
      <c r="A510" s="199">
        <v>45668</v>
      </c>
      <c r="B510" s="202" t="s">
        <v>745</v>
      </c>
      <c r="C510" s="200" t="s">
        <v>307</v>
      </c>
      <c r="D510" s="204">
        <v>-21800</v>
      </c>
      <c r="E510" s="201">
        <v>45658</v>
      </c>
      <c r="F510" s="200" t="s">
        <v>296</v>
      </c>
      <c r="G510" s="200" t="s">
        <v>453</v>
      </c>
      <c r="H510" s="200" t="s">
        <v>97</v>
      </c>
      <c r="I510" s="200" t="s">
        <v>209</v>
      </c>
    </row>
    <row r="511" spans="1:9" ht="15" customHeight="1">
      <c r="A511" s="199">
        <v>45669</v>
      </c>
      <c r="B511" s="202" t="s">
        <v>746</v>
      </c>
      <c r="C511" s="200" t="s">
        <v>307</v>
      </c>
      <c r="D511" s="204">
        <v>-30000</v>
      </c>
      <c r="E511" s="201">
        <v>45658</v>
      </c>
      <c r="F511" s="200" t="s">
        <v>296</v>
      </c>
      <c r="G511" s="200" t="s">
        <v>453</v>
      </c>
      <c r="H511" s="200" t="s">
        <v>97</v>
      </c>
      <c r="I511" s="200" t="s">
        <v>209</v>
      </c>
    </row>
    <row r="512" spans="1:9" ht="15" customHeight="1">
      <c r="A512" s="199">
        <v>45669</v>
      </c>
      <c r="B512" s="202" t="s">
        <v>747</v>
      </c>
      <c r="C512" s="200" t="s">
        <v>307</v>
      </c>
      <c r="D512" s="204">
        <v>-21800</v>
      </c>
      <c r="E512" s="201">
        <v>45658</v>
      </c>
      <c r="F512" s="200" t="s">
        <v>296</v>
      </c>
      <c r="G512" s="200" t="s">
        <v>453</v>
      </c>
      <c r="H512" s="200" t="s">
        <v>97</v>
      </c>
      <c r="I512" s="200" t="s">
        <v>209</v>
      </c>
    </row>
    <row r="513" spans="1:9" ht="15" customHeight="1">
      <c r="A513" s="199">
        <v>45670</v>
      </c>
      <c r="B513" s="202" t="s">
        <v>745</v>
      </c>
      <c r="C513" s="200" t="s">
        <v>307</v>
      </c>
      <c r="D513" s="204">
        <v>-32600</v>
      </c>
      <c r="E513" s="201">
        <v>45658</v>
      </c>
      <c r="F513" s="200" t="s">
        <v>296</v>
      </c>
      <c r="G513" s="200" t="s">
        <v>453</v>
      </c>
      <c r="H513" s="200" t="s">
        <v>97</v>
      </c>
      <c r="I513" s="200" t="s">
        <v>209</v>
      </c>
    </row>
    <row r="514" spans="1:9" ht="15" customHeight="1">
      <c r="A514" s="199">
        <v>45671</v>
      </c>
      <c r="B514" s="202" t="s">
        <v>745</v>
      </c>
      <c r="C514" s="200" t="s">
        <v>307</v>
      </c>
      <c r="D514" s="204">
        <v>-36000</v>
      </c>
      <c r="E514" s="201">
        <v>45658</v>
      </c>
      <c r="F514" s="200" t="s">
        <v>296</v>
      </c>
      <c r="G514" s="200" t="s">
        <v>453</v>
      </c>
      <c r="H514" s="200" t="s">
        <v>97</v>
      </c>
      <c r="I514" s="200" t="s">
        <v>209</v>
      </c>
    </row>
    <row r="515" spans="1:9" ht="15" customHeight="1">
      <c r="A515" s="199">
        <v>45671</v>
      </c>
      <c r="B515" s="202" t="s">
        <v>747</v>
      </c>
      <c r="C515" s="200" t="s">
        <v>307</v>
      </c>
      <c r="D515" s="204">
        <v>-24000</v>
      </c>
      <c r="E515" s="201">
        <v>45658</v>
      </c>
      <c r="F515" s="200" t="s">
        <v>296</v>
      </c>
      <c r="G515" s="200" t="s">
        <v>453</v>
      </c>
      <c r="H515" s="200" t="s">
        <v>97</v>
      </c>
      <c r="I515" s="200" t="s">
        <v>209</v>
      </c>
    </row>
    <row r="516" spans="1:9" ht="15" customHeight="1">
      <c r="A516" s="199">
        <v>45672</v>
      </c>
      <c r="B516" s="202" t="s">
        <v>748</v>
      </c>
      <c r="C516" s="200" t="s">
        <v>307</v>
      </c>
      <c r="D516" s="204">
        <v>-20500</v>
      </c>
      <c r="E516" s="201">
        <v>45658</v>
      </c>
      <c r="F516" s="200" t="s">
        <v>296</v>
      </c>
      <c r="G516" s="200" t="s">
        <v>453</v>
      </c>
      <c r="H516" s="200" t="s">
        <v>97</v>
      </c>
      <c r="I516" s="200" t="s">
        <v>209</v>
      </c>
    </row>
    <row r="517" spans="1:9" ht="15" customHeight="1">
      <c r="A517" s="199">
        <v>45672</v>
      </c>
      <c r="B517" s="202" t="s">
        <v>745</v>
      </c>
      <c r="C517" s="200" t="s">
        <v>307</v>
      </c>
      <c r="D517" s="204">
        <v>-18000</v>
      </c>
      <c r="E517" s="201">
        <v>45658</v>
      </c>
      <c r="F517" s="200" t="s">
        <v>296</v>
      </c>
      <c r="G517" s="200" t="s">
        <v>453</v>
      </c>
      <c r="H517" s="200" t="s">
        <v>97</v>
      </c>
      <c r="I517" s="200" t="s">
        <v>209</v>
      </c>
    </row>
    <row r="518" spans="1:9" ht="15" customHeight="1">
      <c r="A518" s="199">
        <v>45672</v>
      </c>
      <c r="B518" s="202" t="s">
        <v>747</v>
      </c>
      <c r="C518" s="200" t="s">
        <v>307</v>
      </c>
      <c r="D518" s="204">
        <v>-25000</v>
      </c>
      <c r="E518" s="201">
        <v>45658</v>
      </c>
      <c r="F518" s="200" t="s">
        <v>296</v>
      </c>
      <c r="G518" s="200" t="s">
        <v>453</v>
      </c>
      <c r="H518" s="200" t="s">
        <v>97</v>
      </c>
      <c r="I518" s="200" t="s">
        <v>209</v>
      </c>
    </row>
    <row r="519" spans="1:9" ht="15" customHeight="1">
      <c r="A519" s="199">
        <v>45673</v>
      </c>
      <c r="B519" s="202" t="s">
        <v>748</v>
      </c>
      <c r="C519" s="200" t="s">
        <v>307</v>
      </c>
      <c r="D519" s="204">
        <v>-15100</v>
      </c>
      <c r="E519" s="201">
        <v>45658</v>
      </c>
      <c r="F519" s="200" t="s">
        <v>296</v>
      </c>
      <c r="G519" s="200" t="s">
        <v>453</v>
      </c>
      <c r="H519" s="200" t="s">
        <v>97</v>
      </c>
      <c r="I519" s="200" t="s">
        <v>209</v>
      </c>
    </row>
    <row r="520" spans="1:9" ht="15" customHeight="1">
      <c r="A520" s="199">
        <v>45673</v>
      </c>
      <c r="B520" s="202" t="s">
        <v>745</v>
      </c>
      <c r="C520" s="200" t="s">
        <v>307</v>
      </c>
      <c r="D520" s="204">
        <v>-35800</v>
      </c>
      <c r="E520" s="201">
        <v>45658</v>
      </c>
      <c r="F520" s="200" t="s">
        <v>296</v>
      </c>
      <c r="G520" s="200" t="s">
        <v>453</v>
      </c>
      <c r="H520" s="200" t="s">
        <v>97</v>
      </c>
      <c r="I520" s="200" t="s">
        <v>209</v>
      </c>
    </row>
    <row r="521" spans="1:9" ht="15" customHeight="1">
      <c r="A521" s="199">
        <v>45674</v>
      </c>
      <c r="B521" s="202" t="s">
        <v>749</v>
      </c>
      <c r="C521" s="200" t="s">
        <v>307</v>
      </c>
      <c r="D521" s="204">
        <v>-62000</v>
      </c>
      <c r="E521" s="201">
        <v>45658</v>
      </c>
      <c r="F521" s="200" t="s">
        <v>296</v>
      </c>
      <c r="G521" s="200" t="s">
        <v>453</v>
      </c>
      <c r="H521" s="200" t="s">
        <v>97</v>
      </c>
      <c r="I521" s="200" t="s">
        <v>209</v>
      </c>
    </row>
    <row r="522" spans="1:9" ht="15" customHeight="1">
      <c r="A522" s="199">
        <v>45675</v>
      </c>
      <c r="B522" s="202" t="s">
        <v>750</v>
      </c>
      <c r="C522" s="200" t="s">
        <v>307</v>
      </c>
      <c r="D522" s="204">
        <v>-65000</v>
      </c>
      <c r="E522" s="201">
        <v>45658</v>
      </c>
      <c r="F522" s="200" t="s">
        <v>296</v>
      </c>
      <c r="G522" s="200" t="s">
        <v>453</v>
      </c>
      <c r="H522" s="200" t="s">
        <v>97</v>
      </c>
      <c r="I522" s="200" t="s">
        <v>209</v>
      </c>
    </row>
    <row r="523" spans="1:9" ht="15" customHeight="1">
      <c r="A523" s="199">
        <v>45675</v>
      </c>
      <c r="B523" s="202" t="s">
        <v>751</v>
      </c>
      <c r="C523" s="200" t="s">
        <v>307</v>
      </c>
      <c r="D523" s="204">
        <v>-30000</v>
      </c>
      <c r="E523" s="201">
        <v>45658</v>
      </c>
      <c r="F523" s="200" t="s">
        <v>296</v>
      </c>
      <c r="G523" s="200" t="s">
        <v>453</v>
      </c>
      <c r="H523" s="200" t="s">
        <v>97</v>
      </c>
      <c r="I523" s="200" t="s">
        <v>209</v>
      </c>
    </row>
    <row r="524" spans="1:9" ht="15" customHeight="1">
      <c r="A524" s="199">
        <v>45677</v>
      </c>
      <c r="B524" s="202" t="s">
        <v>752</v>
      </c>
      <c r="C524" s="200" t="s">
        <v>136</v>
      </c>
      <c r="D524" s="668">
        <v>-3910000</v>
      </c>
      <c r="E524" s="201">
        <v>45658</v>
      </c>
      <c r="F524" s="200" t="s">
        <v>296</v>
      </c>
      <c r="G524" s="200" t="s">
        <v>522</v>
      </c>
      <c r="H524" s="200" t="s">
        <v>442</v>
      </c>
    </row>
    <row r="525" spans="1:9" ht="15" customHeight="1">
      <c r="A525" s="199">
        <v>45677</v>
      </c>
      <c r="B525" s="202" t="s">
        <v>629</v>
      </c>
      <c r="C525" s="200" t="s">
        <v>136</v>
      </c>
      <c r="D525" s="668">
        <v>-352245.67</v>
      </c>
      <c r="E525" s="201">
        <v>45658</v>
      </c>
      <c r="F525" s="200" t="s">
        <v>296</v>
      </c>
      <c r="G525" s="200" t="s">
        <v>337</v>
      </c>
      <c r="H525" s="200" t="s">
        <v>429</v>
      </c>
    </row>
    <row r="526" spans="1:9" ht="15" customHeight="1">
      <c r="A526" s="199">
        <v>45677</v>
      </c>
      <c r="B526" s="202" t="s">
        <v>753</v>
      </c>
      <c r="C526" s="200" t="s">
        <v>136</v>
      </c>
      <c r="D526" s="668">
        <v>-249000</v>
      </c>
      <c r="E526" s="201">
        <v>45658</v>
      </c>
      <c r="F526" s="200" t="s">
        <v>256</v>
      </c>
      <c r="G526" s="200" t="s">
        <v>256</v>
      </c>
      <c r="H526" s="200" t="s">
        <v>9</v>
      </c>
    </row>
    <row r="527" spans="1:9" ht="15" customHeight="1">
      <c r="A527" s="199">
        <v>45677</v>
      </c>
      <c r="B527" s="202" t="s">
        <v>754</v>
      </c>
      <c r="C527" s="200" t="s">
        <v>136</v>
      </c>
      <c r="D527" s="668">
        <v>-249000</v>
      </c>
      <c r="E527" s="201">
        <v>45658</v>
      </c>
      <c r="F527" s="200" t="s">
        <v>256</v>
      </c>
      <c r="G527" s="200" t="s">
        <v>256</v>
      </c>
      <c r="H527" s="200" t="s">
        <v>9</v>
      </c>
    </row>
    <row r="528" spans="1:9" ht="15" customHeight="1">
      <c r="A528" s="199">
        <v>45677</v>
      </c>
      <c r="B528" s="202" t="s">
        <v>755</v>
      </c>
      <c r="C528" s="200" t="s">
        <v>136</v>
      </c>
      <c r="D528" s="668">
        <v>-213300</v>
      </c>
      <c r="E528" s="201">
        <v>45658</v>
      </c>
      <c r="F528" s="200" t="s">
        <v>296</v>
      </c>
      <c r="G528" s="200" t="s">
        <v>44</v>
      </c>
      <c r="H528" s="200" t="s">
        <v>429</v>
      </c>
    </row>
    <row r="529" spans="1:9" ht="15" customHeight="1">
      <c r="A529" s="199">
        <v>45677</v>
      </c>
      <c r="B529" s="202" t="s">
        <v>756</v>
      </c>
      <c r="C529" s="200" t="s">
        <v>136</v>
      </c>
      <c r="D529" s="668">
        <v>-180000</v>
      </c>
      <c r="E529" s="201">
        <v>45658</v>
      </c>
      <c r="F529" s="200" t="s">
        <v>256</v>
      </c>
      <c r="G529" s="200" t="s">
        <v>107</v>
      </c>
      <c r="H529" s="200" t="s">
        <v>277</v>
      </c>
    </row>
    <row r="530" spans="1:9" ht="15" customHeight="1">
      <c r="A530" s="199">
        <v>45677</v>
      </c>
      <c r="B530" s="202" t="s">
        <v>757</v>
      </c>
      <c r="C530" s="200" t="s">
        <v>136</v>
      </c>
      <c r="D530" s="668">
        <v>-60000</v>
      </c>
      <c r="E530" s="201">
        <v>45658</v>
      </c>
      <c r="F530" s="200" t="s">
        <v>256</v>
      </c>
      <c r="G530" s="200" t="s">
        <v>107</v>
      </c>
      <c r="H530" s="200" t="s">
        <v>275</v>
      </c>
    </row>
    <row r="531" spans="1:9" ht="15" customHeight="1">
      <c r="A531" s="199">
        <v>45678</v>
      </c>
      <c r="B531" s="202" t="s">
        <v>758</v>
      </c>
      <c r="C531" s="200" t="s">
        <v>136</v>
      </c>
      <c r="D531" s="668">
        <v>-33840</v>
      </c>
      <c r="E531" s="201">
        <v>45658</v>
      </c>
      <c r="F531" s="200" t="s">
        <v>256</v>
      </c>
      <c r="G531" s="200" t="s">
        <v>256</v>
      </c>
      <c r="H531" s="200" t="s">
        <v>115</v>
      </c>
    </row>
    <row r="532" spans="1:9" ht="15" customHeight="1">
      <c r="A532" s="199">
        <v>45650</v>
      </c>
      <c r="B532" s="202" t="s">
        <v>759</v>
      </c>
      <c r="C532" s="200" t="s">
        <v>136</v>
      </c>
      <c r="D532" s="668">
        <v>-32000</v>
      </c>
      <c r="E532" s="201">
        <v>45658</v>
      </c>
      <c r="F532" s="200" t="s">
        <v>296</v>
      </c>
      <c r="G532" s="200" t="s">
        <v>453</v>
      </c>
      <c r="H532" s="200" t="s">
        <v>97</v>
      </c>
    </row>
    <row r="533" spans="1:9" ht="15" customHeight="1">
      <c r="A533" s="199">
        <v>45653</v>
      </c>
      <c r="B533" s="202" t="s">
        <v>759</v>
      </c>
      <c r="C533" s="200" t="s">
        <v>136</v>
      </c>
      <c r="D533" s="668">
        <v>-30000</v>
      </c>
      <c r="E533" s="201">
        <v>45658</v>
      </c>
      <c r="F533" s="200" t="s">
        <v>296</v>
      </c>
      <c r="G533" s="200" t="s">
        <v>453</v>
      </c>
      <c r="H533" s="200" t="s">
        <v>97</v>
      </c>
    </row>
    <row r="534" spans="1:9" ht="15" customHeight="1">
      <c r="A534" s="199">
        <v>45653</v>
      </c>
      <c r="B534" s="202" t="s">
        <v>760</v>
      </c>
      <c r="C534" s="200" t="s">
        <v>136</v>
      </c>
      <c r="D534" s="668">
        <v>-64000</v>
      </c>
      <c r="E534" s="201">
        <v>45658</v>
      </c>
      <c r="F534" s="200" t="s">
        <v>296</v>
      </c>
      <c r="G534" s="200" t="s">
        <v>453</v>
      </c>
      <c r="H534" s="200" t="s">
        <v>97</v>
      </c>
    </row>
    <row r="535" spans="1:9" ht="15" customHeight="1">
      <c r="A535" s="199">
        <v>45678</v>
      </c>
      <c r="B535" s="202" t="s">
        <v>761</v>
      </c>
      <c r="C535" s="200" t="s">
        <v>136</v>
      </c>
      <c r="D535" s="668">
        <v>-1729832</v>
      </c>
      <c r="E535" s="201">
        <v>45658</v>
      </c>
      <c r="F535" s="200" t="s">
        <v>296</v>
      </c>
      <c r="G535" s="200" t="s">
        <v>44</v>
      </c>
      <c r="H535" s="200" t="s">
        <v>322</v>
      </c>
    </row>
    <row r="536" spans="1:9" ht="15" customHeight="1">
      <c r="A536" s="199">
        <v>45678</v>
      </c>
      <c r="B536" s="202" t="s">
        <v>762</v>
      </c>
      <c r="C536" s="200" t="s">
        <v>372</v>
      </c>
      <c r="D536" s="204">
        <v>-37313</v>
      </c>
      <c r="E536" s="201">
        <v>45658</v>
      </c>
      <c r="F536" s="200" t="s">
        <v>296</v>
      </c>
      <c r="G536" s="200" t="s">
        <v>44</v>
      </c>
      <c r="H536" s="200" t="s">
        <v>322</v>
      </c>
    </row>
    <row r="537" spans="1:9" ht="15" customHeight="1">
      <c r="A537" s="199">
        <v>45678</v>
      </c>
      <c r="B537" s="202" t="s">
        <v>763</v>
      </c>
      <c r="C537" s="200" t="s">
        <v>372</v>
      </c>
      <c r="D537" s="204">
        <v>-8955</v>
      </c>
      <c r="E537" s="201">
        <v>45658</v>
      </c>
      <c r="F537" s="200" t="s">
        <v>296</v>
      </c>
      <c r="G537" s="200" t="s">
        <v>44</v>
      </c>
      <c r="H537" s="200" t="s">
        <v>322</v>
      </c>
    </row>
    <row r="538" spans="1:9" ht="15" customHeight="1">
      <c r="A538" s="199">
        <v>45678</v>
      </c>
      <c r="B538" s="202" t="s">
        <v>761</v>
      </c>
      <c r="C538" s="200" t="s">
        <v>136</v>
      </c>
      <c r="D538" s="668">
        <v>-1729832</v>
      </c>
      <c r="E538" s="201">
        <v>45658</v>
      </c>
      <c r="F538" s="200" t="s">
        <v>296</v>
      </c>
      <c r="G538" s="200" t="s">
        <v>337</v>
      </c>
      <c r="H538" s="200" t="s">
        <v>322</v>
      </c>
    </row>
    <row r="539" spans="1:9" ht="15" customHeight="1">
      <c r="A539" s="199">
        <v>45678</v>
      </c>
      <c r="B539" s="202" t="s">
        <v>762</v>
      </c>
      <c r="C539" s="200" t="s">
        <v>372</v>
      </c>
      <c r="D539" s="204">
        <v>-37313</v>
      </c>
      <c r="E539" s="201">
        <v>45658</v>
      </c>
      <c r="F539" s="200" t="s">
        <v>296</v>
      </c>
      <c r="G539" s="200" t="s">
        <v>337</v>
      </c>
      <c r="H539" s="200" t="s">
        <v>322</v>
      </c>
    </row>
    <row r="540" spans="1:9" ht="15" customHeight="1">
      <c r="A540" s="199">
        <v>45678</v>
      </c>
      <c r="B540" s="202" t="s">
        <v>763</v>
      </c>
      <c r="C540" s="200" t="s">
        <v>372</v>
      </c>
      <c r="D540" s="204">
        <v>-8955</v>
      </c>
      <c r="E540" s="201">
        <v>45658</v>
      </c>
      <c r="F540" s="200" t="s">
        <v>296</v>
      </c>
      <c r="G540" s="200" t="s">
        <v>337</v>
      </c>
      <c r="H540" s="200" t="s">
        <v>322</v>
      </c>
    </row>
    <row r="541" spans="1:9" ht="15" customHeight="1">
      <c r="A541" s="199">
        <v>45667</v>
      </c>
      <c r="B541" s="202" t="s">
        <v>764</v>
      </c>
      <c r="C541" s="200" t="s">
        <v>136</v>
      </c>
      <c r="D541" s="668">
        <v>-112000</v>
      </c>
      <c r="E541" s="201">
        <v>45658</v>
      </c>
      <c r="F541" s="200" t="s">
        <v>297</v>
      </c>
      <c r="G541" s="200" t="s">
        <v>388</v>
      </c>
      <c r="H541" s="200" t="s">
        <v>379</v>
      </c>
      <c r="I541" s="200" t="s">
        <v>765</v>
      </c>
    </row>
    <row r="542" spans="1:9" ht="15" customHeight="1">
      <c r="A542" s="199">
        <v>45668</v>
      </c>
      <c r="B542" s="202" t="s">
        <v>766</v>
      </c>
      <c r="C542" s="200" t="s">
        <v>136</v>
      </c>
      <c r="D542" s="668">
        <v>-197600</v>
      </c>
      <c r="E542" s="201">
        <v>45658</v>
      </c>
      <c r="F542" s="200" t="s">
        <v>297</v>
      </c>
      <c r="G542" s="200" t="s">
        <v>388</v>
      </c>
      <c r="H542" s="200" t="s">
        <v>350</v>
      </c>
      <c r="I542" s="200" t="s">
        <v>765</v>
      </c>
    </row>
    <row r="543" spans="1:9" ht="15" customHeight="1">
      <c r="A543" s="199">
        <v>45668</v>
      </c>
      <c r="B543" s="202" t="s">
        <v>767</v>
      </c>
      <c r="C543" s="200" t="s">
        <v>136</v>
      </c>
      <c r="D543" s="668">
        <v>-35000</v>
      </c>
      <c r="E543" s="201">
        <v>45658</v>
      </c>
      <c r="F543" s="200" t="s">
        <v>297</v>
      </c>
      <c r="G543" s="200" t="s">
        <v>388</v>
      </c>
      <c r="H543" s="200" t="s">
        <v>342</v>
      </c>
      <c r="I543" s="200" t="s">
        <v>765</v>
      </c>
    </row>
    <row r="544" spans="1:9" ht="15" customHeight="1">
      <c r="A544" s="199">
        <v>45668</v>
      </c>
      <c r="B544" s="202" t="s">
        <v>768</v>
      </c>
      <c r="C544" s="200" t="s">
        <v>136</v>
      </c>
      <c r="D544" s="668">
        <v>-13650</v>
      </c>
      <c r="E544" s="201">
        <v>45658</v>
      </c>
      <c r="F544" s="200" t="s">
        <v>297</v>
      </c>
      <c r="G544" s="200" t="s">
        <v>388</v>
      </c>
      <c r="H544" s="200" t="s">
        <v>342</v>
      </c>
      <c r="I544" s="200" t="s">
        <v>765</v>
      </c>
    </row>
    <row r="545" spans="1:9" ht="15" customHeight="1">
      <c r="A545" s="199">
        <v>45668</v>
      </c>
      <c r="B545" s="202" t="s">
        <v>769</v>
      </c>
      <c r="C545" s="200" t="s">
        <v>136</v>
      </c>
      <c r="D545" s="668">
        <v>-11450</v>
      </c>
      <c r="E545" s="201">
        <v>45658</v>
      </c>
      <c r="F545" s="200" t="s">
        <v>297</v>
      </c>
      <c r="G545" s="200" t="s">
        <v>388</v>
      </c>
      <c r="H545" s="200" t="s">
        <v>268</v>
      </c>
      <c r="I545" s="200" t="s">
        <v>765</v>
      </c>
    </row>
    <row r="546" spans="1:9" ht="15" customHeight="1">
      <c r="A546" s="199">
        <v>45668</v>
      </c>
      <c r="B546" s="202" t="s">
        <v>770</v>
      </c>
      <c r="C546" s="200" t="s">
        <v>136</v>
      </c>
      <c r="D546" s="668">
        <v>-58000</v>
      </c>
      <c r="E546" s="201">
        <v>45658</v>
      </c>
      <c r="F546" s="200" t="s">
        <v>297</v>
      </c>
      <c r="G546" s="200" t="s">
        <v>388</v>
      </c>
      <c r="H546" s="200" t="s">
        <v>342</v>
      </c>
      <c r="I546" s="200" t="s">
        <v>765</v>
      </c>
    </row>
    <row r="547" spans="1:9" ht="15" customHeight="1">
      <c r="A547" s="199">
        <v>45668</v>
      </c>
      <c r="B547" s="202" t="s">
        <v>771</v>
      </c>
      <c r="C547" s="200" t="s">
        <v>136</v>
      </c>
      <c r="D547" s="668">
        <v>-13500</v>
      </c>
      <c r="E547" s="201">
        <v>45658</v>
      </c>
      <c r="F547" s="200" t="s">
        <v>297</v>
      </c>
      <c r="G547" s="200" t="s">
        <v>388</v>
      </c>
      <c r="H547" s="200" t="s">
        <v>268</v>
      </c>
      <c r="I547" s="200" t="s">
        <v>765</v>
      </c>
    </row>
    <row r="548" spans="1:9" ht="15" customHeight="1">
      <c r="A548" s="199">
        <v>45668</v>
      </c>
      <c r="B548" s="202" t="s">
        <v>772</v>
      </c>
      <c r="C548" s="200" t="s">
        <v>136</v>
      </c>
      <c r="D548" s="668">
        <v>-20000</v>
      </c>
      <c r="E548" s="201">
        <v>45658</v>
      </c>
      <c r="F548" s="200" t="s">
        <v>297</v>
      </c>
      <c r="G548" s="200" t="s">
        <v>388</v>
      </c>
      <c r="H548" s="200" t="s">
        <v>268</v>
      </c>
      <c r="I548" s="200" t="s">
        <v>765</v>
      </c>
    </row>
    <row r="549" spans="1:9" ht="15" customHeight="1">
      <c r="A549" s="199">
        <v>45668</v>
      </c>
      <c r="B549" s="202" t="s">
        <v>773</v>
      </c>
      <c r="C549" s="200" t="s">
        <v>136</v>
      </c>
      <c r="D549" s="668">
        <v>-10000</v>
      </c>
      <c r="E549" s="201">
        <v>45658</v>
      </c>
      <c r="F549" s="200" t="s">
        <v>297</v>
      </c>
      <c r="G549" s="200" t="s">
        <v>388</v>
      </c>
      <c r="H549" s="200" t="s">
        <v>268</v>
      </c>
      <c r="I549" s="200" t="s">
        <v>765</v>
      </c>
    </row>
    <row r="550" spans="1:9" ht="15" customHeight="1">
      <c r="A550" s="199">
        <v>45668</v>
      </c>
      <c r="B550" s="202" t="s">
        <v>774</v>
      </c>
      <c r="C550" s="200" t="s">
        <v>136</v>
      </c>
      <c r="D550" s="668">
        <v>-16500</v>
      </c>
      <c r="E550" s="201">
        <v>45658</v>
      </c>
      <c r="F550" s="200" t="s">
        <v>297</v>
      </c>
      <c r="G550" s="200" t="s">
        <v>388</v>
      </c>
      <c r="H550" s="200" t="s">
        <v>342</v>
      </c>
      <c r="I550" s="200" t="s">
        <v>765</v>
      </c>
    </row>
    <row r="551" spans="1:9" ht="15" customHeight="1">
      <c r="A551" s="199">
        <v>45678</v>
      </c>
      <c r="B551" s="202" t="s">
        <v>775</v>
      </c>
      <c r="C551" s="200" t="s">
        <v>136</v>
      </c>
      <c r="D551" s="668">
        <v>-274175</v>
      </c>
      <c r="E551" s="201">
        <v>45658</v>
      </c>
      <c r="F551" s="200" t="s">
        <v>296</v>
      </c>
      <c r="G551" s="531" t="s">
        <v>392</v>
      </c>
      <c r="H551" s="200" t="s">
        <v>350</v>
      </c>
    </row>
    <row r="552" spans="1:9" ht="15" customHeight="1">
      <c r="A552" s="199">
        <v>45678</v>
      </c>
      <c r="B552" s="202" t="s">
        <v>776</v>
      </c>
      <c r="C552" s="200" t="s">
        <v>136</v>
      </c>
      <c r="D552" s="668">
        <v>-750000</v>
      </c>
      <c r="E552" s="201">
        <v>45658</v>
      </c>
      <c r="F552" s="200" t="s">
        <v>296</v>
      </c>
      <c r="G552" s="531" t="s">
        <v>392</v>
      </c>
      <c r="H552" s="200" t="s">
        <v>777</v>
      </c>
    </row>
    <row r="553" spans="1:9" ht="15" customHeight="1">
      <c r="A553" s="199">
        <v>45678</v>
      </c>
      <c r="B553" s="202" t="s">
        <v>776</v>
      </c>
      <c r="C553" s="200" t="s">
        <v>136</v>
      </c>
      <c r="D553" s="668">
        <v>-300000</v>
      </c>
      <c r="E553" s="201">
        <v>45658</v>
      </c>
      <c r="F553" s="200" t="s">
        <v>296</v>
      </c>
      <c r="G553" s="200" t="s">
        <v>45</v>
      </c>
      <c r="H553" s="200" t="s">
        <v>777</v>
      </c>
      <c r="I553" s="648" t="s">
        <v>329</v>
      </c>
    </row>
    <row r="554" spans="1:9" ht="15" customHeight="1">
      <c r="A554" s="199">
        <v>45680</v>
      </c>
      <c r="B554" s="202" t="s">
        <v>778</v>
      </c>
      <c r="C554" s="200" t="s">
        <v>136</v>
      </c>
      <c r="D554" s="668">
        <v>-905000</v>
      </c>
      <c r="E554" s="201">
        <v>45658</v>
      </c>
      <c r="F554" s="200" t="s">
        <v>452</v>
      </c>
      <c r="G554" s="200" t="s">
        <v>321</v>
      </c>
      <c r="H554" s="200" t="s">
        <v>446</v>
      </c>
    </row>
    <row r="555" spans="1:9" ht="15" customHeight="1">
      <c r="A555" s="199">
        <v>45680</v>
      </c>
      <c r="B555" s="202" t="s">
        <v>778</v>
      </c>
      <c r="C555" s="200" t="s">
        <v>136</v>
      </c>
      <c r="D555" s="668">
        <v>-905000</v>
      </c>
      <c r="E555" s="201">
        <v>45658</v>
      </c>
      <c r="F555" s="200" t="s">
        <v>452</v>
      </c>
      <c r="G555" s="200" t="s">
        <v>337</v>
      </c>
      <c r="H555" s="200" t="s">
        <v>446</v>
      </c>
    </row>
    <row r="556" spans="1:9" ht="15" customHeight="1">
      <c r="A556" s="199">
        <v>45678</v>
      </c>
      <c r="B556" s="202" t="s">
        <v>779</v>
      </c>
      <c r="C556" s="200" t="s">
        <v>136</v>
      </c>
      <c r="D556" s="668">
        <v>-460320</v>
      </c>
      <c r="E556" s="201">
        <v>45658</v>
      </c>
      <c r="F556" s="200" t="s">
        <v>452</v>
      </c>
      <c r="G556" s="200" t="s">
        <v>453</v>
      </c>
      <c r="H556" s="200" t="s">
        <v>97</v>
      </c>
    </row>
    <row r="557" spans="1:9" ht="15" customHeight="1">
      <c r="A557" s="199">
        <v>45678</v>
      </c>
      <c r="B557" s="202" t="s">
        <v>780</v>
      </c>
      <c r="C557" s="200" t="s">
        <v>372</v>
      </c>
      <c r="D557" s="204">
        <v>-16800</v>
      </c>
      <c r="E557" s="201">
        <v>45658</v>
      </c>
      <c r="F557" s="200" t="s">
        <v>452</v>
      </c>
      <c r="G557" s="200" t="s">
        <v>453</v>
      </c>
      <c r="H557" s="200" t="s">
        <v>97</v>
      </c>
    </row>
    <row r="558" spans="1:9" ht="15" customHeight="1">
      <c r="A558" s="199">
        <v>45678</v>
      </c>
      <c r="B558" s="202" t="s">
        <v>781</v>
      </c>
      <c r="C558" s="200" t="s">
        <v>372</v>
      </c>
      <c r="D558" s="204">
        <v>2880</v>
      </c>
      <c r="E558" s="201">
        <v>45658</v>
      </c>
      <c r="F558" s="200" t="s">
        <v>452</v>
      </c>
      <c r="G558" s="200" t="s">
        <v>453</v>
      </c>
      <c r="H558" s="200" t="s">
        <v>97</v>
      </c>
    </row>
    <row r="559" spans="1:9" ht="15" customHeight="1">
      <c r="A559" s="199">
        <v>45678</v>
      </c>
      <c r="B559" s="202" t="s">
        <v>782</v>
      </c>
      <c r="C559" s="200" t="s">
        <v>136</v>
      </c>
      <c r="D559" s="668">
        <v>-306880</v>
      </c>
      <c r="E559" s="201">
        <v>45658</v>
      </c>
      <c r="F559" s="200" t="s">
        <v>256</v>
      </c>
      <c r="G559" s="200" t="s">
        <v>256</v>
      </c>
      <c r="H559" s="200" t="s">
        <v>269</v>
      </c>
    </row>
    <row r="560" spans="1:9" ht="15" customHeight="1">
      <c r="A560" s="199">
        <v>45678</v>
      </c>
      <c r="B560" s="202" t="s">
        <v>783</v>
      </c>
      <c r="C560" s="200" t="s">
        <v>372</v>
      </c>
      <c r="D560" s="204">
        <v>-11200</v>
      </c>
      <c r="E560" s="201">
        <v>45658</v>
      </c>
      <c r="F560" s="200" t="s">
        <v>256</v>
      </c>
      <c r="G560" s="200" t="s">
        <v>256</v>
      </c>
      <c r="H560" s="200" t="s">
        <v>269</v>
      </c>
    </row>
    <row r="561" spans="1:8" ht="15" customHeight="1">
      <c r="A561" s="199">
        <v>45678</v>
      </c>
      <c r="B561" s="202" t="s">
        <v>784</v>
      </c>
      <c r="C561" s="200" t="s">
        <v>372</v>
      </c>
      <c r="D561" s="204">
        <v>-1920</v>
      </c>
      <c r="E561" s="201">
        <v>45658</v>
      </c>
      <c r="F561" s="200" t="s">
        <v>256</v>
      </c>
      <c r="G561" s="200" t="s">
        <v>256</v>
      </c>
      <c r="H561" s="200" t="s">
        <v>269</v>
      </c>
    </row>
    <row r="562" spans="1:8" ht="15" customHeight="1">
      <c r="A562" s="199">
        <v>45678</v>
      </c>
      <c r="B562" s="202" t="s">
        <v>785</v>
      </c>
      <c r="C562" s="200" t="s">
        <v>136</v>
      </c>
      <c r="D562" s="668">
        <v>-843920</v>
      </c>
      <c r="E562" s="201">
        <v>45658</v>
      </c>
      <c r="F562" s="200" t="s">
        <v>256</v>
      </c>
      <c r="G562" s="200" t="s">
        <v>256</v>
      </c>
      <c r="H562" s="200" t="s">
        <v>269</v>
      </c>
    </row>
    <row r="563" spans="1:8" ht="15" customHeight="1">
      <c r="A563" s="199">
        <v>45678</v>
      </c>
      <c r="B563" s="202" t="s">
        <v>786</v>
      </c>
      <c r="C563" s="200" t="s">
        <v>372</v>
      </c>
      <c r="D563" s="204">
        <v>-30800</v>
      </c>
      <c r="E563" s="201">
        <v>45658</v>
      </c>
      <c r="F563" s="200" t="s">
        <v>256</v>
      </c>
      <c r="G563" s="200" t="s">
        <v>256</v>
      </c>
      <c r="H563" s="200" t="s">
        <v>269</v>
      </c>
    </row>
    <row r="564" spans="1:8" ht="15" customHeight="1">
      <c r="A564" s="199">
        <v>45678</v>
      </c>
      <c r="B564" s="202" t="s">
        <v>787</v>
      </c>
      <c r="C564" s="200" t="s">
        <v>372</v>
      </c>
      <c r="D564" s="204">
        <v>-5280</v>
      </c>
      <c r="E564" s="201">
        <v>45658</v>
      </c>
      <c r="F564" s="200" t="s">
        <v>256</v>
      </c>
      <c r="G564" s="200" t="s">
        <v>256</v>
      </c>
      <c r="H564" s="200" t="s">
        <v>269</v>
      </c>
    </row>
    <row r="565" spans="1:8" ht="15" customHeight="1">
      <c r="A565" s="199">
        <v>45678</v>
      </c>
      <c r="B565" s="202" t="s">
        <v>788</v>
      </c>
      <c r="C565" s="200" t="s">
        <v>136</v>
      </c>
      <c r="D565" s="668">
        <v>-1965031</v>
      </c>
      <c r="E565" s="201">
        <v>45658</v>
      </c>
      <c r="F565" s="200" t="s">
        <v>452</v>
      </c>
      <c r="G565" s="200" t="s">
        <v>453</v>
      </c>
      <c r="H565" s="200" t="s">
        <v>95</v>
      </c>
    </row>
    <row r="566" spans="1:8" ht="15" customHeight="1">
      <c r="A566" s="199">
        <v>45678</v>
      </c>
      <c r="B566" s="202" t="s">
        <v>789</v>
      </c>
      <c r="C566" s="200" t="s">
        <v>372</v>
      </c>
      <c r="D566" s="204">
        <v>-242869</v>
      </c>
      <c r="E566" s="201">
        <v>45658</v>
      </c>
      <c r="F566" s="200" t="s">
        <v>452</v>
      </c>
      <c r="G566" s="200" t="s">
        <v>453</v>
      </c>
      <c r="H566" s="200" t="s">
        <v>95</v>
      </c>
    </row>
    <row r="567" spans="1:8" ht="15" customHeight="1">
      <c r="A567" s="199">
        <v>45678</v>
      </c>
      <c r="B567" s="202" t="s">
        <v>790</v>
      </c>
      <c r="C567" s="200" t="s">
        <v>136</v>
      </c>
      <c r="D567" s="668">
        <v>-6297984</v>
      </c>
      <c r="E567" s="201">
        <v>45658</v>
      </c>
      <c r="F567" s="200" t="s">
        <v>256</v>
      </c>
      <c r="G567" s="200" t="s">
        <v>256</v>
      </c>
      <c r="H567" s="200" t="s">
        <v>259</v>
      </c>
    </row>
    <row r="568" spans="1:8" ht="15" customHeight="1">
      <c r="A568" s="199">
        <v>45678</v>
      </c>
      <c r="B568" s="202" t="s">
        <v>791</v>
      </c>
      <c r="C568" s="200" t="s">
        <v>372</v>
      </c>
      <c r="D568" s="204">
        <v>-219060</v>
      </c>
      <c r="E568" s="201">
        <v>45658</v>
      </c>
      <c r="F568" s="200" t="s">
        <v>256</v>
      </c>
      <c r="G568" s="200" t="s">
        <v>256</v>
      </c>
      <c r="H568" s="200" t="s">
        <v>259</v>
      </c>
    </row>
    <row r="569" spans="1:8" ht="15" customHeight="1">
      <c r="A569" s="199">
        <v>45678</v>
      </c>
      <c r="B569" s="202" t="s">
        <v>792</v>
      </c>
      <c r="C569" s="200" t="s">
        <v>136</v>
      </c>
      <c r="D569" s="668">
        <v>-6393036</v>
      </c>
      <c r="E569" s="201">
        <v>45658</v>
      </c>
      <c r="F569" s="200" t="s">
        <v>256</v>
      </c>
      <c r="G569" s="200" t="s">
        <v>256</v>
      </c>
      <c r="H569" s="200" t="s">
        <v>257</v>
      </c>
    </row>
    <row r="570" spans="1:8" ht="15" customHeight="1">
      <c r="A570" s="199">
        <v>45678</v>
      </c>
      <c r="B570" s="202" t="s">
        <v>793</v>
      </c>
      <c r="C570" s="200" t="s">
        <v>136</v>
      </c>
      <c r="D570" s="668">
        <v>-158778</v>
      </c>
      <c r="E570" s="201">
        <v>45658</v>
      </c>
      <c r="F570" s="200" t="s">
        <v>256</v>
      </c>
      <c r="G570" s="200" t="s">
        <v>256</v>
      </c>
      <c r="H570" s="200" t="s">
        <v>263</v>
      </c>
    </row>
    <row r="571" spans="1:8" ht="15" customHeight="1">
      <c r="A571" s="199">
        <v>45678</v>
      </c>
      <c r="B571" s="202" t="s">
        <v>794</v>
      </c>
      <c r="C571" s="200" t="s">
        <v>136</v>
      </c>
      <c r="D571" s="668">
        <v>-160000</v>
      </c>
      <c r="E571" s="201">
        <v>45658</v>
      </c>
      <c r="F571" s="200" t="s">
        <v>256</v>
      </c>
      <c r="G571" s="200" t="s">
        <v>256</v>
      </c>
      <c r="H571" s="200" t="s">
        <v>267</v>
      </c>
    </row>
    <row r="572" spans="1:8" ht="15" customHeight="1">
      <c r="A572" s="199">
        <v>45665</v>
      </c>
      <c r="B572" s="202" t="s">
        <v>501</v>
      </c>
      <c r="C572" s="200" t="s">
        <v>136</v>
      </c>
      <c r="D572" s="668">
        <v>-40000</v>
      </c>
      <c r="E572" s="201">
        <v>45658</v>
      </c>
      <c r="F572" s="200" t="s">
        <v>296</v>
      </c>
      <c r="G572" s="200" t="s">
        <v>341</v>
      </c>
      <c r="H572" s="200" t="s">
        <v>342</v>
      </c>
    </row>
    <row r="573" spans="1:8" ht="15" customHeight="1">
      <c r="A573" s="199">
        <v>45665</v>
      </c>
      <c r="B573" s="202" t="s">
        <v>499</v>
      </c>
      <c r="C573" s="200" t="s">
        <v>136</v>
      </c>
      <c r="D573" s="668">
        <v>-50000</v>
      </c>
      <c r="E573" s="201">
        <v>45658</v>
      </c>
      <c r="F573" s="200" t="s">
        <v>296</v>
      </c>
      <c r="G573" s="200" t="s">
        <v>341</v>
      </c>
      <c r="H573" s="200" t="s">
        <v>342</v>
      </c>
    </row>
    <row r="574" spans="1:8" ht="15" customHeight="1">
      <c r="A574" s="199">
        <v>45665</v>
      </c>
      <c r="B574" s="202" t="s">
        <v>795</v>
      </c>
      <c r="C574" s="200" t="s">
        <v>136</v>
      </c>
      <c r="D574" s="668">
        <v>-10000</v>
      </c>
      <c r="E574" s="201">
        <v>45658</v>
      </c>
      <c r="F574" s="200" t="s">
        <v>296</v>
      </c>
      <c r="G574" s="200" t="s">
        <v>341</v>
      </c>
      <c r="H574" s="200" t="s">
        <v>342</v>
      </c>
    </row>
    <row r="575" spans="1:8" ht="15" customHeight="1">
      <c r="A575" s="199">
        <v>45665</v>
      </c>
      <c r="B575" s="202" t="s">
        <v>796</v>
      </c>
      <c r="C575" s="200" t="s">
        <v>136</v>
      </c>
      <c r="D575" s="668">
        <v>-115000</v>
      </c>
      <c r="E575" s="201">
        <v>45658</v>
      </c>
      <c r="F575" s="200" t="s">
        <v>296</v>
      </c>
      <c r="G575" s="200" t="s">
        <v>341</v>
      </c>
      <c r="H575" s="200" t="s">
        <v>350</v>
      </c>
    </row>
    <row r="576" spans="1:8" ht="15" customHeight="1">
      <c r="A576" s="199">
        <v>45665</v>
      </c>
      <c r="B576" s="202" t="s">
        <v>356</v>
      </c>
      <c r="C576" s="200" t="s">
        <v>136</v>
      </c>
      <c r="D576" s="668">
        <v>-13015</v>
      </c>
      <c r="E576" s="201">
        <v>45658</v>
      </c>
      <c r="F576" s="200" t="s">
        <v>296</v>
      </c>
      <c r="G576" s="200" t="s">
        <v>341</v>
      </c>
      <c r="H576" s="200" t="s">
        <v>268</v>
      </c>
    </row>
    <row r="577" spans="1:8" ht="15" customHeight="1">
      <c r="A577" s="199">
        <v>45665</v>
      </c>
      <c r="B577" s="202" t="s">
        <v>503</v>
      </c>
      <c r="C577" s="200" t="s">
        <v>136</v>
      </c>
      <c r="D577" s="668">
        <v>-23047</v>
      </c>
      <c r="E577" s="201">
        <v>45658</v>
      </c>
      <c r="F577" s="200" t="s">
        <v>296</v>
      </c>
      <c r="G577" s="200" t="s">
        <v>341</v>
      </c>
      <c r="H577" s="200" t="s">
        <v>268</v>
      </c>
    </row>
    <row r="578" spans="1:8" ht="15" customHeight="1">
      <c r="A578" s="199">
        <v>45665</v>
      </c>
      <c r="B578" s="202" t="s">
        <v>358</v>
      </c>
      <c r="C578" s="200" t="s">
        <v>136</v>
      </c>
      <c r="D578" s="668">
        <v>-31900</v>
      </c>
      <c r="E578" s="201">
        <v>45658</v>
      </c>
      <c r="F578" s="200" t="s">
        <v>296</v>
      </c>
      <c r="G578" s="200" t="s">
        <v>341</v>
      </c>
      <c r="H578" s="200" t="s">
        <v>268</v>
      </c>
    </row>
    <row r="579" spans="1:8" ht="15" customHeight="1">
      <c r="A579" s="199">
        <v>45665</v>
      </c>
      <c r="B579" s="202" t="s">
        <v>797</v>
      </c>
      <c r="C579" s="200" t="s">
        <v>136</v>
      </c>
      <c r="D579" s="668">
        <v>-50826</v>
      </c>
      <c r="E579" s="201">
        <v>45658</v>
      </c>
      <c r="F579" s="200" t="s">
        <v>296</v>
      </c>
      <c r="G579" s="200" t="s">
        <v>341</v>
      </c>
      <c r="H579" s="200" t="s">
        <v>350</v>
      </c>
    </row>
    <row r="580" spans="1:8" ht="15" customHeight="1">
      <c r="A580" s="199">
        <v>45665</v>
      </c>
      <c r="B580" s="202" t="s">
        <v>500</v>
      </c>
      <c r="C580" s="200" t="s">
        <v>136</v>
      </c>
      <c r="D580" s="668">
        <v>-67000</v>
      </c>
      <c r="E580" s="201">
        <v>45658</v>
      </c>
      <c r="F580" s="200" t="s">
        <v>296</v>
      </c>
      <c r="G580" s="200" t="s">
        <v>341</v>
      </c>
      <c r="H580" s="200" t="s">
        <v>342</v>
      </c>
    </row>
    <row r="581" spans="1:8" ht="15" customHeight="1">
      <c r="A581" s="199">
        <v>45666</v>
      </c>
      <c r="B581" s="202" t="s">
        <v>501</v>
      </c>
      <c r="C581" s="200" t="s">
        <v>136</v>
      </c>
      <c r="D581" s="668">
        <v>-45000</v>
      </c>
      <c r="E581" s="201">
        <v>45658</v>
      </c>
      <c r="F581" s="200" t="s">
        <v>296</v>
      </c>
      <c r="G581" s="200" t="s">
        <v>341</v>
      </c>
      <c r="H581" s="200" t="s">
        <v>342</v>
      </c>
    </row>
    <row r="582" spans="1:8" ht="15" customHeight="1">
      <c r="A582" s="199">
        <v>45666</v>
      </c>
      <c r="B582" s="202" t="s">
        <v>499</v>
      </c>
      <c r="C582" s="200" t="s">
        <v>136</v>
      </c>
      <c r="D582" s="668">
        <v>-50000</v>
      </c>
      <c r="E582" s="201">
        <v>45658</v>
      </c>
      <c r="F582" s="200" t="s">
        <v>296</v>
      </c>
      <c r="G582" s="200" t="s">
        <v>341</v>
      </c>
      <c r="H582" s="200" t="s">
        <v>342</v>
      </c>
    </row>
    <row r="583" spans="1:8" ht="15" customHeight="1">
      <c r="A583" s="199">
        <v>45666</v>
      </c>
      <c r="B583" s="202" t="s">
        <v>500</v>
      </c>
      <c r="C583" s="200" t="s">
        <v>136</v>
      </c>
      <c r="D583" s="668">
        <v>-73000</v>
      </c>
      <c r="E583" s="201">
        <v>45658</v>
      </c>
      <c r="F583" s="200" t="s">
        <v>296</v>
      </c>
      <c r="G583" s="200" t="s">
        <v>341</v>
      </c>
      <c r="H583" s="200" t="s">
        <v>342</v>
      </c>
    </row>
    <row r="584" spans="1:8" ht="15" customHeight="1">
      <c r="A584" s="199">
        <v>45667</v>
      </c>
      <c r="B584" s="202" t="s">
        <v>501</v>
      </c>
      <c r="C584" s="200" t="s">
        <v>136</v>
      </c>
      <c r="D584" s="668">
        <v>-45000</v>
      </c>
      <c r="E584" s="201">
        <v>45658</v>
      </c>
      <c r="F584" s="200" t="s">
        <v>296</v>
      </c>
      <c r="G584" s="200" t="s">
        <v>341</v>
      </c>
      <c r="H584" s="200" t="s">
        <v>342</v>
      </c>
    </row>
    <row r="585" spans="1:8" ht="15" customHeight="1">
      <c r="A585" s="199">
        <v>45667</v>
      </c>
      <c r="B585" s="202" t="s">
        <v>499</v>
      </c>
      <c r="C585" s="200" t="s">
        <v>136</v>
      </c>
      <c r="D585" s="668">
        <v>-50000</v>
      </c>
      <c r="E585" s="201">
        <v>45658</v>
      </c>
      <c r="F585" s="200" t="s">
        <v>296</v>
      </c>
      <c r="G585" s="200" t="s">
        <v>341</v>
      </c>
      <c r="H585" s="200" t="s">
        <v>342</v>
      </c>
    </row>
    <row r="586" spans="1:8" ht="15" customHeight="1">
      <c r="A586" s="199">
        <v>45667</v>
      </c>
      <c r="B586" s="202" t="s">
        <v>798</v>
      </c>
      <c r="C586" s="200" t="s">
        <v>136</v>
      </c>
      <c r="D586" s="668">
        <v>-20000</v>
      </c>
      <c r="E586" s="201">
        <v>45658</v>
      </c>
      <c r="F586" s="200" t="s">
        <v>296</v>
      </c>
      <c r="G586" s="200" t="s">
        <v>341</v>
      </c>
      <c r="H586" s="200" t="s">
        <v>268</v>
      </c>
    </row>
    <row r="587" spans="1:8" ht="15" customHeight="1">
      <c r="A587" s="199">
        <v>45667</v>
      </c>
      <c r="B587" s="202" t="s">
        <v>799</v>
      </c>
      <c r="C587" s="200" t="s">
        <v>136</v>
      </c>
      <c r="D587" s="668">
        <v>-170000</v>
      </c>
      <c r="E587" s="201">
        <v>45658</v>
      </c>
      <c r="F587" s="200" t="s">
        <v>296</v>
      </c>
      <c r="G587" s="200" t="s">
        <v>341</v>
      </c>
      <c r="H587" s="200" t="s">
        <v>350</v>
      </c>
    </row>
    <row r="588" spans="1:8" ht="15" customHeight="1">
      <c r="A588" s="199">
        <v>45667</v>
      </c>
      <c r="B588" s="202" t="s">
        <v>800</v>
      </c>
      <c r="C588" s="200" t="s">
        <v>136</v>
      </c>
      <c r="D588" s="668">
        <v>-20000</v>
      </c>
      <c r="E588" s="201">
        <v>45658</v>
      </c>
      <c r="F588" s="200" t="s">
        <v>296</v>
      </c>
      <c r="G588" s="200" t="s">
        <v>341</v>
      </c>
      <c r="H588" s="200" t="s">
        <v>350</v>
      </c>
    </row>
    <row r="589" spans="1:8" ht="15" customHeight="1">
      <c r="A589" s="199">
        <v>45667</v>
      </c>
      <c r="B589" s="202" t="s">
        <v>355</v>
      </c>
      <c r="C589" s="200" t="s">
        <v>136</v>
      </c>
      <c r="D589" s="668">
        <v>-20000</v>
      </c>
      <c r="E589" s="201">
        <v>45658</v>
      </c>
      <c r="F589" s="200" t="s">
        <v>296</v>
      </c>
      <c r="G589" s="200" t="s">
        <v>341</v>
      </c>
      <c r="H589" s="200" t="s">
        <v>268</v>
      </c>
    </row>
    <row r="590" spans="1:8" ht="15" customHeight="1">
      <c r="A590" s="199">
        <v>45667</v>
      </c>
      <c r="B590" s="202" t="s">
        <v>504</v>
      </c>
      <c r="C590" s="200" t="s">
        <v>136</v>
      </c>
      <c r="D590" s="668">
        <v>-61999</v>
      </c>
      <c r="E590" s="201">
        <v>45658</v>
      </c>
      <c r="F590" s="200" t="s">
        <v>296</v>
      </c>
      <c r="G590" s="200" t="s">
        <v>341</v>
      </c>
      <c r="H590" s="200" t="s">
        <v>342</v>
      </c>
    </row>
    <row r="591" spans="1:8" ht="15" customHeight="1">
      <c r="A591" s="199">
        <v>45668</v>
      </c>
      <c r="B591" s="202" t="s">
        <v>356</v>
      </c>
      <c r="C591" s="200" t="s">
        <v>136</v>
      </c>
      <c r="D591" s="668">
        <v>-13000</v>
      </c>
      <c r="E591" s="201">
        <v>45658</v>
      </c>
      <c r="F591" s="200" t="s">
        <v>296</v>
      </c>
      <c r="G591" s="200" t="s">
        <v>341</v>
      </c>
      <c r="H591" s="200" t="s">
        <v>268</v>
      </c>
    </row>
    <row r="592" spans="1:8" ht="15" customHeight="1">
      <c r="A592" s="199">
        <v>45669</v>
      </c>
      <c r="B592" s="202" t="s">
        <v>801</v>
      </c>
      <c r="C592" s="200" t="s">
        <v>136</v>
      </c>
      <c r="D592" s="668">
        <v>-18000</v>
      </c>
      <c r="E592" s="201">
        <v>45658</v>
      </c>
      <c r="F592" s="200" t="s">
        <v>296</v>
      </c>
      <c r="G592" s="200" t="s">
        <v>341</v>
      </c>
      <c r="H592" s="200" t="s">
        <v>350</v>
      </c>
    </row>
    <row r="593" spans="1:8" ht="15" customHeight="1">
      <c r="A593" s="199">
        <v>45670</v>
      </c>
      <c r="B593" s="202" t="s">
        <v>493</v>
      </c>
      <c r="C593" s="200" t="s">
        <v>136</v>
      </c>
      <c r="D593" s="668">
        <v>-20000</v>
      </c>
      <c r="E593" s="201">
        <v>45658</v>
      </c>
      <c r="F593" s="200" t="s">
        <v>296</v>
      </c>
      <c r="G593" s="200" t="s">
        <v>341</v>
      </c>
      <c r="H593" s="200" t="s">
        <v>268</v>
      </c>
    </row>
    <row r="594" spans="1:8" ht="15" customHeight="1">
      <c r="A594" s="199">
        <v>45670</v>
      </c>
      <c r="B594" s="202" t="s">
        <v>802</v>
      </c>
      <c r="C594" s="200" t="s">
        <v>136</v>
      </c>
      <c r="D594" s="668">
        <v>-20000</v>
      </c>
      <c r="E594" s="201">
        <v>45658</v>
      </c>
      <c r="F594" s="200" t="s">
        <v>296</v>
      </c>
      <c r="G594" s="200" t="s">
        <v>341</v>
      </c>
      <c r="H594" s="200" t="s">
        <v>268</v>
      </c>
    </row>
    <row r="595" spans="1:8" ht="15" customHeight="1">
      <c r="A595" s="199">
        <v>45670</v>
      </c>
      <c r="B595" s="202" t="s">
        <v>496</v>
      </c>
      <c r="C595" s="200" t="s">
        <v>136</v>
      </c>
      <c r="D595" s="668">
        <v>-27000</v>
      </c>
      <c r="E595" s="201">
        <v>45658</v>
      </c>
      <c r="F595" s="200" t="s">
        <v>296</v>
      </c>
      <c r="G595" s="200" t="s">
        <v>341</v>
      </c>
      <c r="H595" s="200" t="s">
        <v>342</v>
      </c>
    </row>
    <row r="596" spans="1:8" ht="15" customHeight="1">
      <c r="A596" s="199">
        <v>45670</v>
      </c>
      <c r="B596" s="202" t="s">
        <v>803</v>
      </c>
      <c r="C596" s="200" t="s">
        <v>136</v>
      </c>
      <c r="D596" s="668">
        <v>-12000</v>
      </c>
      <c r="E596" s="201">
        <v>45658</v>
      </c>
      <c r="F596" s="200" t="s">
        <v>296</v>
      </c>
      <c r="G596" s="200" t="s">
        <v>341</v>
      </c>
      <c r="H596" s="200" t="s">
        <v>268</v>
      </c>
    </row>
    <row r="597" spans="1:8" ht="15" customHeight="1">
      <c r="A597" s="199">
        <v>45670</v>
      </c>
      <c r="B597" s="202" t="s">
        <v>499</v>
      </c>
      <c r="C597" s="200" t="s">
        <v>136</v>
      </c>
      <c r="D597" s="668">
        <v>-50000</v>
      </c>
      <c r="E597" s="201">
        <v>45658</v>
      </c>
      <c r="F597" s="200" t="s">
        <v>296</v>
      </c>
      <c r="G597" s="200" t="s">
        <v>341</v>
      </c>
      <c r="H597" s="200" t="s">
        <v>342</v>
      </c>
    </row>
    <row r="598" spans="1:8" ht="15" customHeight="1">
      <c r="A598" s="199">
        <v>45670</v>
      </c>
      <c r="B598" s="202" t="s">
        <v>503</v>
      </c>
      <c r="C598" s="200" t="s">
        <v>136</v>
      </c>
      <c r="D598" s="668">
        <v>-31900</v>
      </c>
      <c r="E598" s="201">
        <v>45658</v>
      </c>
      <c r="F598" s="200" t="s">
        <v>296</v>
      </c>
      <c r="G598" s="200" t="s">
        <v>341</v>
      </c>
      <c r="H598" s="200" t="s">
        <v>268</v>
      </c>
    </row>
    <row r="599" spans="1:8" ht="15" customHeight="1">
      <c r="A599" s="199">
        <v>45670</v>
      </c>
      <c r="B599" s="202" t="s">
        <v>358</v>
      </c>
      <c r="C599" s="200" t="s">
        <v>136</v>
      </c>
      <c r="D599" s="668">
        <v>-31900</v>
      </c>
      <c r="E599" s="201">
        <v>45658</v>
      </c>
      <c r="F599" s="200" t="s">
        <v>296</v>
      </c>
      <c r="G599" s="200" t="s">
        <v>341</v>
      </c>
      <c r="H599" s="200" t="s">
        <v>268</v>
      </c>
    </row>
    <row r="600" spans="1:8" ht="14.1">
      <c r="A600" s="199">
        <v>45670</v>
      </c>
      <c r="B600" s="202" t="s">
        <v>356</v>
      </c>
      <c r="C600" s="200" t="s">
        <v>136</v>
      </c>
      <c r="D600" s="668">
        <v>-30000</v>
      </c>
      <c r="E600" s="201">
        <v>45658</v>
      </c>
      <c r="F600" s="200" t="s">
        <v>296</v>
      </c>
      <c r="G600" s="200" t="s">
        <v>341</v>
      </c>
      <c r="H600" s="200" t="s">
        <v>268</v>
      </c>
    </row>
    <row r="601" spans="1:8" ht="15" customHeight="1">
      <c r="A601" s="199">
        <v>45670</v>
      </c>
      <c r="B601" s="202" t="s">
        <v>500</v>
      </c>
      <c r="C601" s="200" t="s">
        <v>136</v>
      </c>
      <c r="D601" s="668">
        <v>-81046</v>
      </c>
      <c r="E601" s="201">
        <v>45658</v>
      </c>
      <c r="F601" s="200" t="s">
        <v>296</v>
      </c>
      <c r="G601" s="200" t="s">
        <v>341</v>
      </c>
      <c r="H601" s="200" t="s">
        <v>342</v>
      </c>
    </row>
    <row r="602" spans="1:8" ht="15" customHeight="1">
      <c r="A602" s="199">
        <v>45680</v>
      </c>
      <c r="B602" s="202" t="s">
        <v>804</v>
      </c>
      <c r="C602" s="200" t="s">
        <v>136</v>
      </c>
      <c r="D602" s="668">
        <v>-529000</v>
      </c>
      <c r="E602" s="201">
        <v>45658</v>
      </c>
      <c r="F602" s="200" t="s">
        <v>296</v>
      </c>
      <c r="G602" s="200" t="s">
        <v>44</v>
      </c>
      <c r="H602" s="200" t="s">
        <v>488</v>
      </c>
    </row>
    <row r="603" spans="1:8" ht="15" customHeight="1">
      <c r="A603" s="199">
        <v>45680</v>
      </c>
      <c r="B603" s="202" t="s">
        <v>805</v>
      </c>
      <c r="C603" s="200" t="s">
        <v>136</v>
      </c>
      <c r="D603" s="668">
        <v>-940000</v>
      </c>
      <c r="E603" s="201">
        <v>45658</v>
      </c>
      <c r="F603" s="200" t="s">
        <v>296</v>
      </c>
      <c r="G603" s="200" t="s">
        <v>44</v>
      </c>
      <c r="H603" s="200" t="s">
        <v>488</v>
      </c>
    </row>
    <row r="604" spans="1:8" ht="15" customHeight="1">
      <c r="A604" s="199">
        <v>45680</v>
      </c>
      <c r="B604" s="202" t="s">
        <v>806</v>
      </c>
      <c r="C604" s="200" t="s">
        <v>136</v>
      </c>
      <c r="D604" s="668">
        <v>-11600</v>
      </c>
      <c r="E604" s="201">
        <v>45658</v>
      </c>
      <c r="F604" s="200" t="s">
        <v>296</v>
      </c>
      <c r="G604" s="200" t="s">
        <v>807</v>
      </c>
      <c r="H604" s="200" t="s">
        <v>322</v>
      </c>
    </row>
    <row r="605" spans="1:8" ht="15" customHeight="1">
      <c r="A605" s="199">
        <v>45680</v>
      </c>
      <c r="B605" s="202" t="s">
        <v>756</v>
      </c>
      <c r="C605" s="200" t="s">
        <v>136</v>
      </c>
      <c r="D605" s="668">
        <v>-167400</v>
      </c>
      <c r="E605" s="201">
        <v>45658</v>
      </c>
      <c r="F605" s="200" t="s">
        <v>256</v>
      </c>
      <c r="G605" s="200" t="s">
        <v>107</v>
      </c>
      <c r="H605" s="200" t="s">
        <v>277</v>
      </c>
    </row>
    <row r="606" spans="1:8" ht="15" customHeight="1">
      <c r="A606" s="199">
        <v>45680</v>
      </c>
      <c r="B606" s="202" t="s">
        <v>757</v>
      </c>
      <c r="C606" s="200" t="s">
        <v>136</v>
      </c>
      <c r="D606" s="668">
        <v>-60000</v>
      </c>
      <c r="E606" s="201">
        <v>45658</v>
      </c>
      <c r="F606" s="200" t="s">
        <v>256</v>
      </c>
      <c r="G606" s="200" t="s">
        <v>107</v>
      </c>
      <c r="H606" s="200" t="s">
        <v>275</v>
      </c>
    </row>
    <row r="607" spans="1:8" ht="15" customHeight="1">
      <c r="A607" s="199">
        <v>45680</v>
      </c>
      <c r="B607" s="202" t="s">
        <v>808</v>
      </c>
      <c r="C607" s="200" t="s">
        <v>372</v>
      </c>
      <c r="D607" s="204">
        <v>-12600</v>
      </c>
      <c r="E607" s="201">
        <v>45658</v>
      </c>
      <c r="F607" s="200" t="s">
        <v>256</v>
      </c>
      <c r="G607" s="200" t="s">
        <v>107</v>
      </c>
      <c r="H607" s="200" t="s">
        <v>275</v>
      </c>
    </row>
    <row r="608" spans="1:8" ht="15" customHeight="1">
      <c r="A608" s="199">
        <v>45680</v>
      </c>
      <c r="B608" s="202" t="s">
        <v>809</v>
      </c>
      <c r="C608" s="200" t="s">
        <v>136</v>
      </c>
      <c r="D608" s="668">
        <v>-267750</v>
      </c>
      <c r="E608" s="201">
        <v>45658</v>
      </c>
      <c r="F608" s="200" t="s">
        <v>296</v>
      </c>
      <c r="G608" s="200" t="s">
        <v>482</v>
      </c>
      <c r="H608" s="200" t="s">
        <v>377</v>
      </c>
    </row>
    <row r="609" spans="1:9" ht="15" customHeight="1">
      <c r="A609" s="199">
        <v>45680</v>
      </c>
      <c r="B609" s="202" t="s">
        <v>810</v>
      </c>
      <c r="C609" s="200" t="s">
        <v>136</v>
      </c>
      <c r="D609" s="668">
        <v>-1240000</v>
      </c>
      <c r="E609" s="201">
        <v>45658</v>
      </c>
      <c r="F609" s="200" t="s">
        <v>296</v>
      </c>
      <c r="G609" s="200" t="s">
        <v>44</v>
      </c>
      <c r="H609" s="200" t="s">
        <v>811</v>
      </c>
    </row>
    <row r="610" spans="1:9" ht="15" customHeight="1">
      <c r="A610" s="199">
        <v>45680</v>
      </c>
      <c r="B610" s="202" t="s">
        <v>812</v>
      </c>
      <c r="C610" s="200" t="s">
        <v>136</v>
      </c>
      <c r="D610" s="668">
        <v>-119000</v>
      </c>
      <c r="E610" s="201">
        <v>45658</v>
      </c>
      <c r="F610" s="200" t="s">
        <v>256</v>
      </c>
      <c r="G610" s="200" t="s">
        <v>256</v>
      </c>
      <c r="H610" s="200" t="s">
        <v>257</v>
      </c>
    </row>
    <row r="611" spans="1:9" ht="15" customHeight="1">
      <c r="A611" s="199">
        <v>45680</v>
      </c>
      <c r="B611" s="202" t="s">
        <v>813</v>
      </c>
      <c r="C611" s="200" t="s">
        <v>136</v>
      </c>
      <c r="D611" s="668">
        <v>-3000000</v>
      </c>
      <c r="E611" s="201">
        <v>45658</v>
      </c>
      <c r="F611" s="200" t="s">
        <v>296</v>
      </c>
      <c r="G611" s="200" t="s">
        <v>44</v>
      </c>
      <c r="H611" s="200" t="s">
        <v>488</v>
      </c>
    </row>
    <row r="612" spans="1:9" ht="15" customHeight="1">
      <c r="A612" s="199">
        <v>45674</v>
      </c>
      <c r="B612" s="202" t="s">
        <v>814</v>
      </c>
      <c r="C612" s="200" t="s">
        <v>136</v>
      </c>
      <c r="D612" s="668">
        <v>-11600</v>
      </c>
      <c r="E612" s="201">
        <v>45658</v>
      </c>
      <c r="F612" s="200" t="s">
        <v>256</v>
      </c>
      <c r="G612" s="200" t="s">
        <v>256</v>
      </c>
      <c r="H612" s="200" t="s">
        <v>9</v>
      </c>
    </row>
    <row r="613" spans="1:9" ht="15" customHeight="1">
      <c r="A613" s="199">
        <v>45674</v>
      </c>
      <c r="B613" s="202" t="s">
        <v>815</v>
      </c>
      <c r="C613" s="200" t="s">
        <v>136</v>
      </c>
      <c r="D613" s="668">
        <v>-180000</v>
      </c>
      <c r="E613" s="201">
        <v>45658</v>
      </c>
      <c r="F613" s="200" t="s">
        <v>296</v>
      </c>
      <c r="G613" s="200" t="s">
        <v>44</v>
      </c>
      <c r="H613" s="200" t="s">
        <v>429</v>
      </c>
    </row>
    <row r="614" spans="1:9" ht="15" customHeight="1">
      <c r="A614" s="199">
        <v>45679</v>
      </c>
      <c r="B614" s="202" t="s">
        <v>816</v>
      </c>
      <c r="C614" s="200" t="s">
        <v>204</v>
      </c>
      <c r="D614" s="649">
        <v>-1865325</v>
      </c>
      <c r="E614" s="201">
        <v>45658</v>
      </c>
      <c r="F614" s="200" t="s">
        <v>296</v>
      </c>
      <c r="G614" s="200" t="s">
        <v>44</v>
      </c>
      <c r="H614" s="200" t="s">
        <v>811</v>
      </c>
    </row>
    <row r="615" spans="1:9" ht="15" customHeight="1">
      <c r="A615" s="199">
        <v>45679</v>
      </c>
      <c r="B615" s="202" t="s">
        <v>817</v>
      </c>
      <c r="C615" s="200" t="s">
        <v>372</v>
      </c>
      <c r="D615" s="204">
        <v>-48125</v>
      </c>
      <c r="E615" s="201">
        <v>45658</v>
      </c>
      <c r="F615" s="200" t="s">
        <v>296</v>
      </c>
      <c r="G615" s="200" t="s">
        <v>44</v>
      </c>
      <c r="H615" s="200" t="s">
        <v>811</v>
      </c>
    </row>
    <row r="616" spans="1:9" s="203" customFormat="1" ht="15" customHeight="1">
      <c r="A616" s="661">
        <v>45679</v>
      </c>
      <c r="B616" s="202" t="s">
        <v>818</v>
      </c>
      <c r="C616" s="202" t="s">
        <v>372</v>
      </c>
      <c r="D616" s="204">
        <v>-11550</v>
      </c>
      <c r="E616" s="662">
        <v>45658</v>
      </c>
      <c r="F616" s="202" t="s">
        <v>296</v>
      </c>
      <c r="G616" s="202" t="s">
        <v>44</v>
      </c>
      <c r="H616" s="202" t="s">
        <v>811</v>
      </c>
      <c r="I616" s="202"/>
    </row>
    <row r="617" spans="1:9" ht="15" customHeight="1">
      <c r="A617" s="199">
        <v>45679</v>
      </c>
      <c r="B617" s="202" t="s">
        <v>819</v>
      </c>
      <c r="C617" s="200" t="s">
        <v>204</v>
      </c>
      <c r="D617" s="649">
        <v>-3798480</v>
      </c>
      <c r="E617" s="201">
        <v>45658</v>
      </c>
      <c r="F617" s="200" t="s">
        <v>296</v>
      </c>
      <c r="G617" s="200" t="s">
        <v>337</v>
      </c>
      <c r="H617" s="200" t="s">
        <v>811</v>
      </c>
    </row>
    <row r="618" spans="1:9" ht="15" customHeight="1">
      <c r="A618" s="199">
        <v>45679</v>
      </c>
      <c r="B618" s="202" t="s">
        <v>820</v>
      </c>
      <c r="C618" s="200" t="s">
        <v>372</v>
      </c>
      <c r="D618" s="204">
        <v>-98000</v>
      </c>
      <c r="E618" s="201">
        <v>45658</v>
      </c>
      <c r="F618" s="200" t="s">
        <v>296</v>
      </c>
      <c r="G618" s="200" t="s">
        <v>337</v>
      </c>
      <c r="H618" s="200" t="s">
        <v>811</v>
      </c>
    </row>
    <row r="619" spans="1:9" ht="15" customHeight="1">
      <c r="A619" s="199">
        <v>45679</v>
      </c>
      <c r="B619" s="202" t="s">
        <v>821</v>
      </c>
      <c r="C619" s="200" t="s">
        <v>372</v>
      </c>
      <c r="D619" s="204">
        <v>-23520</v>
      </c>
      <c r="E619" s="201">
        <v>45658</v>
      </c>
      <c r="F619" s="200" t="s">
        <v>296</v>
      </c>
      <c r="G619" s="200" t="s">
        <v>337</v>
      </c>
      <c r="H619" s="200" t="s">
        <v>811</v>
      </c>
    </row>
    <row r="620" spans="1:9" ht="15" customHeight="1">
      <c r="A620" s="199">
        <v>45679</v>
      </c>
      <c r="B620" s="202" t="s">
        <v>822</v>
      </c>
      <c r="C620" s="200" t="s">
        <v>204</v>
      </c>
      <c r="D620" s="649">
        <v>-4428000</v>
      </c>
      <c r="E620" s="201">
        <v>45658</v>
      </c>
      <c r="F620" s="200" t="s">
        <v>296</v>
      </c>
      <c r="G620" s="200" t="s">
        <v>337</v>
      </c>
      <c r="H620" s="200" t="s">
        <v>326</v>
      </c>
    </row>
    <row r="621" spans="1:9" ht="15" customHeight="1">
      <c r="A621" s="199">
        <v>45679</v>
      </c>
      <c r="B621" s="202" t="s">
        <v>823</v>
      </c>
      <c r="C621" s="200" t="s">
        <v>372</v>
      </c>
      <c r="D621" s="204">
        <v>-45000</v>
      </c>
      <c r="E621" s="201">
        <v>45658</v>
      </c>
      <c r="F621" s="200" t="s">
        <v>296</v>
      </c>
      <c r="G621" s="200" t="s">
        <v>337</v>
      </c>
      <c r="H621" s="200" t="s">
        <v>326</v>
      </c>
    </row>
    <row r="622" spans="1:9" ht="15" customHeight="1">
      <c r="A622" s="199">
        <v>45679</v>
      </c>
      <c r="B622" s="202" t="s">
        <v>824</v>
      </c>
      <c r="C622" s="200" t="s">
        <v>372</v>
      </c>
      <c r="D622" s="204">
        <v>-27000</v>
      </c>
      <c r="E622" s="201">
        <v>45658</v>
      </c>
      <c r="F622" s="200" t="s">
        <v>296</v>
      </c>
      <c r="G622" s="200" t="s">
        <v>337</v>
      </c>
      <c r="H622" s="200" t="s">
        <v>326</v>
      </c>
    </row>
    <row r="623" spans="1:9" ht="15" customHeight="1">
      <c r="A623" s="199">
        <v>45679</v>
      </c>
      <c r="B623" s="202" t="s">
        <v>822</v>
      </c>
      <c r="C623" s="200" t="s">
        <v>204</v>
      </c>
      <c r="D623" s="649">
        <v>-8856000</v>
      </c>
      <c r="E623" s="201">
        <v>45658</v>
      </c>
      <c r="F623" s="200" t="s">
        <v>296</v>
      </c>
      <c r="G623" s="200" t="s">
        <v>337</v>
      </c>
      <c r="H623" s="200" t="s">
        <v>326</v>
      </c>
    </row>
    <row r="624" spans="1:9" ht="15" customHeight="1">
      <c r="A624" s="199">
        <v>45679</v>
      </c>
      <c r="B624" s="202" t="s">
        <v>825</v>
      </c>
      <c r="C624" s="200" t="s">
        <v>372</v>
      </c>
      <c r="D624" s="204">
        <v>-90000</v>
      </c>
      <c r="E624" s="201">
        <v>45658</v>
      </c>
      <c r="F624" s="200" t="s">
        <v>296</v>
      </c>
      <c r="G624" s="200" t="s">
        <v>337</v>
      </c>
      <c r="H624" s="200" t="s">
        <v>326</v>
      </c>
    </row>
    <row r="625" spans="1:8" ht="15" customHeight="1">
      <c r="A625" s="199">
        <v>45679</v>
      </c>
      <c r="B625" s="202" t="s">
        <v>826</v>
      </c>
      <c r="C625" s="200" t="s">
        <v>372</v>
      </c>
      <c r="D625" s="204">
        <v>-54000</v>
      </c>
      <c r="E625" s="201">
        <v>45658</v>
      </c>
      <c r="F625" s="200" t="s">
        <v>296</v>
      </c>
      <c r="G625" s="200" t="s">
        <v>337</v>
      </c>
      <c r="H625" s="200" t="s">
        <v>326</v>
      </c>
    </row>
    <row r="626" spans="1:8" ht="15" customHeight="1">
      <c r="A626" s="199">
        <v>45679</v>
      </c>
      <c r="B626" s="202" t="s">
        <v>827</v>
      </c>
      <c r="C626" s="200" t="s">
        <v>204</v>
      </c>
      <c r="D626" s="649">
        <v>-98000</v>
      </c>
      <c r="E626" s="201">
        <v>45658</v>
      </c>
      <c r="F626" s="200" t="s">
        <v>256</v>
      </c>
      <c r="G626" s="200" t="s">
        <v>256</v>
      </c>
      <c r="H626" s="200" t="s">
        <v>267</v>
      </c>
    </row>
    <row r="627" spans="1:8" ht="15" customHeight="1">
      <c r="A627" s="199">
        <v>45679</v>
      </c>
      <c r="B627" s="202" t="s">
        <v>828</v>
      </c>
      <c r="C627" s="200" t="s">
        <v>204</v>
      </c>
      <c r="D627" s="649">
        <v>-1600000</v>
      </c>
      <c r="E627" s="201">
        <v>45658</v>
      </c>
      <c r="F627" s="200" t="s">
        <v>296</v>
      </c>
      <c r="G627" s="200" t="s">
        <v>453</v>
      </c>
      <c r="H627" s="200" t="s">
        <v>100</v>
      </c>
    </row>
    <row r="628" spans="1:8" ht="15" customHeight="1">
      <c r="A628" s="199">
        <v>45679</v>
      </c>
      <c r="B628" s="202" t="s">
        <v>829</v>
      </c>
      <c r="C628" s="200" t="s">
        <v>204</v>
      </c>
      <c r="D628" s="649">
        <v>-7647969</v>
      </c>
      <c r="E628" s="201">
        <v>45658</v>
      </c>
      <c r="F628" s="200" t="s">
        <v>296</v>
      </c>
      <c r="G628" s="200" t="s">
        <v>522</v>
      </c>
      <c r="H628" s="200" t="s">
        <v>322</v>
      </c>
    </row>
    <row r="629" spans="1:8" ht="15" customHeight="1">
      <c r="A629" s="199">
        <v>45679</v>
      </c>
      <c r="B629" s="202" t="s">
        <v>830</v>
      </c>
      <c r="C629" s="200" t="s">
        <v>372</v>
      </c>
      <c r="D629" s="204">
        <v>-167960</v>
      </c>
      <c r="E629" s="201">
        <v>45658</v>
      </c>
      <c r="F629" s="200" t="s">
        <v>296</v>
      </c>
      <c r="G629" s="200" t="s">
        <v>522</v>
      </c>
      <c r="H629" s="200" t="s">
        <v>322</v>
      </c>
    </row>
    <row r="630" spans="1:8" ht="15" customHeight="1">
      <c r="A630" s="199">
        <v>45679</v>
      </c>
      <c r="B630" s="202" t="s">
        <v>831</v>
      </c>
      <c r="C630" s="200" t="s">
        <v>372</v>
      </c>
      <c r="D630" s="204">
        <v>-40310</v>
      </c>
      <c r="E630" s="201">
        <v>45658</v>
      </c>
      <c r="F630" s="200" t="s">
        <v>296</v>
      </c>
      <c r="G630" s="200" t="s">
        <v>522</v>
      </c>
      <c r="H630" s="200" t="s">
        <v>322</v>
      </c>
    </row>
    <row r="631" spans="1:8" ht="15" customHeight="1">
      <c r="A631" s="199">
        <v>45679</v>
      </c>
      <c r="B631" s="202" t="s">
        <v>832</v>
      </c>
      <c r="C631" s="200" t="s">
        <v>204</v>
      </c>
      <c r="D631" s="649">
        <v>-418333.33299999998</v>
      </c>
      <c r="E631" s="201">
        <v>45658</v>
      </c>
      <c r="F631" s="200" t="s">
        <v>296</v>
      </c>
      <c r="G631" s="200" t="s">
        <v>522</v>
      </c>
      <c r="H631" s="200" t="s">
        <v>326</v>
      </c>
    </row>
    <row r="632" spans="1:8" ht="15" customHeight="1">
      <c r="A632" s="199">
        <v>45679</v>
      </c>
      <c r="B632" s="202" t="s">
        <v>832</v>
      </c>
      <c r="C632" s="200" t="s">
        <v>204</v>
      </c>
      <c r="D632" s="649">
        <v>-418333.33</v>
      </c>
      <c r="E632" s="201">
        <v>45658</v>
      </c>
      <c r="F632" s="200" t="s">
        <v>296</v>
      </c>
      <c r="G632" s="200" t="s">
        <v>337</v>
      </c>
      <c r="H632" s="200" t="s">
        <v>326</v>
      </c>
    </row>
    <row r="633" spans="1:8" ht="15" customHeight="1">
      <c r="A633" s="199">
        <v>45679</v>
      </c>
      <c r="B633" s="202" t="s">
        <v>832</v>
      </c>
      <c r="C633" s="200" t="s">
        <v>204</v>
      </c>
      <c r="D633" s="649">
        <v>-418333.33</v>
      </c>
      <c r="E633" s="201">
        <v>45658</v>
      </c>
      <c r="F633" s="200" t="s">
        <v>296</v>
      </c>
      <c r="G633" s="200" t="s">
        <v>44</v>
      </c>
      <c r="H633" s="200" t="s">
        <v>326</v>
      </c>
    </row>
    <row r="634" spans="1:8" ht="15" customHeight="1">
      <c r="A634" s="199">
        <v>45679</v>
      </c>
      <c r="B634" s="202" t="s">
        <v>833</v>
      </c>
      <c r="C634" s="200" t="s">
        <v>372</v>
      </c>
      <c r="D634" s="204">
        <v>-15173.666665999999</v>
      </c>
      <c r="E634" s="201">
        <v>45658</v>
      </c>
      <c r="F634" s="200" t="s">
        <v>296</v>
      </c>
      <c r="G634" s="200" t="s">
        <v>522</v>
      </c>
      <c r="H634" s="200" t="s">
        <v>326</v>
      </c>
    </row>
    <row r="635" spans="1:8" ht="15" customHeight="1">
      <c r="A635" s="199">
        <v>45679</v>
      </c>
      <c r="B635" s="202" t="s">
        <v>833</v>
      </c>
      <c r="C635" s="200" t="s">
        <v>372</v>
      </c>
      <c r="D635" s="204">
        <v>-15173.666665999999</v>
      </c>
      <c r="E635" s="201">
        <v>45658</v>
      </c>
      <c r="F635" s="200" t="s">
        <v>296</v>
      </c>
      <c r="G635" s="200" t="s">
        <v>337</v>
      </c>
      <c r="H635" s="200" t="s">
        <v>326</v>
      </c>
    </row>
    <row r="636" spans="1:8" ht="15" customHeight="1">
      <c r="A636" s="199">
        <v>45679</v>
      </c>
      <c r="B636" s="202" t="s">
        <v>833</v>
      </c>
      <c r="C636" s="200" t="s">
        <v>372</v>
      </c>
      <c r="D636" s="204">
        <v>-15173.666665999999</v>
      </c>
      <c r="E636" s="201">
        <v>45658</v>
      </c>
      <c r="F636" s="200" t="s">
        <v>296</v>
      </c>
      <c r="G636" s="200" t="s">
        <v>44</v>
      </c>
      <c r="H636" s="200" t="s">
        <v>326</v>
      </c>
    </row>
    <row r="637" spans="1:8" ht="15" customHeight="1">
      <c r="A637" s="199">
        <v>45679</v>
      </c>
      <c r="B637" s="202" t="s">
        <v>834</v>
      </c>
      <c r="C637" s="200" t="s">
        <v>204</v>
      </c>
      <c r="D637" s="649">
        <v>-346500</v>
      </c>
      <c r="E637" s="201">
        <v>45658</v>
      </c>
      <c r="F637" s="200" t="s">
        <v>296</v>
      </c>
      <c r="G637" s="200" t="s">
        <v>44</v>
      </c>
      <c r="H637" s="200" t="s">
        <v>326</v>
      </c>
    </row>
    <row r="638" spans="1:8" ht="15" customHeight="1">
      <c r="A638" s="199">
        <v>45679</v>
      </c>
      <c r="B638" s="202" t="s">
        <v>835</v>
      </c>
      <c r="C638" s="200" t="s">
        <v>372</v>
      </c>
      <c r="D638" s="204">
        <v>-3500</v>
      </c>
      <c r="E638" s="201">
        <v>45658</v>
      </c>
      <c r="F638" s="200" t="s">
        <v>296</v>
      </c>
      <c r="G638" s="200" t="s">
        <v>44</v>
      </c>
      <c r="H638" s="200" t="s">
        <v>326</v>
      </c>
    </row>
    <row r="639" spans="1:8" ht="15" customHeight="1">
      <c r="A639" s="199">
        <v>45679</v>
      </c>
      <c r="B639" s="202" t="s">
        <v>836</v>
      </c>
      <c r="C639" s="200" t="s">
        <v>204</v>
      </c>
      <c r="D639" s="649">
        <v>-761600</v>
      </c>
      <c r="E639" s="201">
        <v>45658</v>
      </c>
      <c r="F639" s="200" t="s">
        <v>297</v>
      </c>
      <c r="G639" s="200" t="s">
        <v>75</v>
      </c>
      <c r="H639" s="200" t="s">
        <v>837</v>
      </c>
    </row>
    <row r="640" spans="1:8" ht="15" customHeight="1">
      <c r="A640" s="199">
        <v>45679</v>
      </c>
      <c r="B640" s="202" t="s">
        <v>838</v>
      </c>
      <c r="C640" s="200" t="s">
        <v>204</v>
      </c>
      <c r="D640" s="649">
        <v>-3306900</v>
      </c>
      <c r="E640" s="201">
        <v>45658</v>
      </c>
      <c r="F640" s="200" t="s">
        <v>296</v>
      </c>
      <c r="G640" s="531" t="s">
        <v>392</v>
      </c>
      <c r="H640" s="200" t="s">
        <v>839</v>
      </c>
    </row>
    <row r="641" spans="1:9" ht="15" customHeight="1">
      <c r="A641" s="199">
        <v>45679</v>
      </c>
      <c r="B641" s="202" t="s">
        <v>840</v>
      </c>
      <c r="C641" s="200" t="s">
        <v>372</v>
      </c>
      <c r="D641" s="204">
        <v>-81500</v>
      </c>
      <c r="E641" s="201">
        <v>45658</v>
      </c>
      <c r="F641" s="200" t="s">
        <v>296</v>
      </c>
      <c r="G641" s="531" t="s">
        <v>392</v>
      </c>
      <c r="H641" s="200" t="s">
        <v>839</v>
      </c>
      <c r="I641" s="648" t="s">
        <v>329</v>
      </c>
    </row>
    <row r="642" spans="1:9" ht="15" customHeight="1">
      <c r="A642" s="199">
        <v>45679</v>
      </c>
      <c r="B642" s="202" t="s">
        <v>841</v>
      </c>
      <c r="C642" s="200" t="s">
        <v>204</v>
      </c>
      <c r="D642" s="649">
        <v>-2781900</v>
      </c>
      <c r="E642" s="201">
        <v>45658</v>
      </c>
      <c r="F642" s="200" t="s">
        <v>296</v>
      </c>
      <c r="G642" s="200" t="s">
        <v>390</v>
      </c>
      <c r="H642" s="200" t="s">
        <v>839</v>
      </c>
    </row>
    <row r="643" spans="1:9" ht="15" customHeight="1">
      <c r="A643" s="199">
        <v>45679</v>
      </c>
      <c r="B643" s="202" t="s">
        <v>842</v>
      </c>
      <c r="C643" s="200" t="s">
        <v>372</v>
      </c>
      <c r="D643" s="204">
        <v>-68500</v>
      </c>
      <c r="E643" s="201">
        <v>45658</v>
      </c>
      <c r="F643" s="200" t="s">
        <v>296</v>
      </c>
      <c r="G643" s="200" t="s">
        <v>390</v>
      </c>
      <c r="H643" s="200" t="s">
        <v>839</v>
      </c>
    </row>
    <row r="644" spans="1:9" ht="15" customHeight="1">
      <c r="A644" s="199">
        <v>45679</v>
      </c>
      <c r="B644" s="202" t="s">
        <v>843</v>
      </c>
      <c r="C644" s="200" t="s">
        <v>204</v>
      </c>
      <c r="D644" s="649">
        <v>-5100188</v>
      </c>
      <c r="E644" s="201">
        <v>45658</v>
      </c>
      <c r="F644" s="200" t="s">
        <v>296</v>
      </c>
      <c r="G644" s="200" t="s">
        <v>328</v>
      </c>
      <c r="H644" s="200" t="s">
        <v>364</v>
      </c>
    </row>
    <row r="645" spans="1:9" ht="15" customHeight="1">
      <c r="A645" s="199">
        <v>45679</v>
      </c>
      <c r="B645" s="202" t="s">
        <v>844</v>
      </c>
      <c r="C645" s="200" t="s">
        <v>204</v>
      </c>
      <c r="D645" s="649">
        <v>-2102706</v>
      </c>
      <c r="E645" s="201">
        <v>45658</v>
      </c>
      <c r="F645" s="200" t="s">
        <v>296</v>
      </c>
      <c r="G645" s="200" t="s">
        <v>328</v>
      </c>
      <c r="H645" s="200" t="s">
        <v>350</v>
      </c>
    </row>
    <row r="646" spans="1:9" ht="15" customHeight="1">
      <c r="A646" s="199">
        <v>45679</v>
      </c>
      <c r="B646" s="202" t="s">
        <v>845</v>
      </c>
      <c r="C646" s="200" t="s">
        <v>204</v>
      </c>
      <c r="D646" s="649">
        <v>-580000</v>
      </c>
      <c r="E646" s="201">
        <v>45658</v>
      </c>
      <c r="F646" s="200" t="s">
        <v>296</v>
      </c>
      <c r="G646" s="200" t="s">
        <v>341</v>
      </c>
      <c r="H646" s="200" t="s">
        <v>342</v>
      </c>
    </row>
    <row r="647" spans="1:9" ht="15" customHeight="1">
      <c r="A647" s="199">
        <v>45679</v>
      </c>
      <c r="B647" s="202" t="s">
        <v>846</v>
      </c>
      <c r="C647" s="200" t="s">
        <v>204</v>
      </c>
      <c r="D647" s="649">
        <v>-8085101</v>
      </c>
      <c r="E647" s="201">
        <v>45658</v>
      </c>
      <c r="F647" s="200" t="s">
        <v>296</v>
      </c>
      <c r="G647" s="200" t="s">
        <v>341</v>
      </c>
      <c r="H647" s="200" t="s">
        <v>377</v>
      </c>
    </row>
    <row r="648" spans="1:9" ht="15" customHeight="1">
      <c r="A648" s="199">
        <v>45679</v>
      </c>
      <c r="B648" s="202" t="s">
        <v>847</v>
      </c>
      <c r="C648" s="200" t="s">
        <v>372</v>
      </c>
      <c r="D648" s="204">
        <v>-246522</v>
      </c>
      <c r="E648" s="201">
        <v>45658</v>
      </c>
      <c r="F648" s="200" t="s">
        <v>296</v>
      </c>
      <c r="G648" s="200" t="s">
        <v>341</v>
      </c>
      <c r="H648" s="200" t="s">
        <v>377</v>
      </c>
    </row>
    <row r="649" spans="1:9" ht="15" customHeight="1">
      <c r="A649" s="199">
        <v>45679</v>
      </c>
      <c r="B649" s="202" t="s">
        <v>846</v>
      </c>
      <c r="C649" s="200" t="s">
        <v>204</v>
      </c>
      <c r="D649" s="649">
        <v>-4995192.6666599996</v>
      </c>
      <c r="E649" s="201">
        <v>45658</v>
      </c>
      <c r="F649" s="200" t="s">
        <v>296</v>
      </c>
      <c r="G649" s="200" t="s">
        <v>44</v>
      </c>
      <c r="H649" s="200" t="s">
        <v>848</v>
      </c>
    </row>
    <row r="650" spans="1:9" ht="15" customHeight="1">
      <c r="A650" s="199">
        <v>45679</v>
      </c>
      <c r="B650" s="202" t="s">
        <v>847</v>
      </c>
      <c r="C650" s="200" t="s">
        <v>372</v>
      </c>
      <c r="D650" s="204">
        <v>-231975</v>
      </c>
      <c r="E650" s="201">
        <v>45658</v>
      </c>
      <c r="F650" s="200" t="s">
        <v>296</v>
      </c>
      <c r="G650" s="200" t="s">
        <v>44</v>
      </c>
      <c r="H650" s="200" t="s">
        <v>848</v>
      </c>
    </row>
    <row r="651" spans="1:9" ht="15" customHeight="1">
      <c r="A651" s="199">
        <v>45679</v>
      </c>
      <c r="B651" s="202" t="s">
        <v>846</v>
      </c>
      <c r="C651" s="200" t="s">
        <v>204</v>
      </c>
      <c r="D651" s="649">
        <v>-4995192.6666599996</v>
      </c>
      <c r="E651" s="201">
        <v>45658</v>
      </c>
      <c r="F651" s="200" t="s">
        <v>296</v>
      </c>
      <c r="G651" s="200" t="s">
        <v>522</v>
      </c>
      <c r="H651" s="200" t="s">
        <v>848</v>
      </c>
    </row>
    <row r="652" spans="1:9" ht="15" customHeight="1">
      <c r="A652" s="199">
        <v>45679</v>
      </c>
      <c r="B652" s="202" t="s">
        <v>847</v>
      </c>
      <c r="C652" s="200" t="s">
        <v>372</v>
      </c>
      <c r="D652" s="204">
        <v>-231975</v>
      </c>
      <c r="E652" s="201">
        <v>45658</v>
      </c>
      <c r="F652" s="200" t="s">
        <v>296</v>
      </c>
      <c r="G652" s="200" t="s">
        <v>522</v>
      </c>
      <c r="H652" s="200" t="s">
        <v>848</v>
      </c>
    </row>
    <row r="653" spans="1:9" ht="15" customHeight="1">
      <c r="A653" s="199">
        <v>45679</v>
      </c>
      <c r="B653" s="202" t="s">
        <v>846</v>
      </c>
      <c r="C653" s="200" t="s">
        <v>204</v>
      </c>
      <c r="D653" s="649">
        <v>-4995192.6666599996</v>
      </c>
      <c r="E653" s="201">
        <v>45658</v>
      </c>
      <c r="F653" s="200" t="s">
        <v>296</v>
      </c>
      <c r="G653" s="200" t="s">
        <v>337</v>
      </c>
      <c r="H653" s="200" t="s">
        <v>848</v>
      </c>
    </row>
    <row r="654" spans="1:9" ht="15" customHeight="1">
      <c r="A654" s="199">
        <v>45679</v>
      </c>
      <c r="B654" s="202" t="s">
        <v>847</v>
      </c>
      <c r="C654" s="200" t="s">
        <v>372</v>
      </c>
      <c r="D654" s="204">
        <v>-231975</v>
      </c>
      <c r="E654" s="201">
        <v>45658</v>
      </c>
      <c r="F654" s="200" t="s">
        <v>296</v>
      </c>
      <c r="G654" s="200" t="s">
        <v>337</v>
      </c>
      <c r="H654" s="200" t="s">
        <v>848</v>
      </c>
    </row>
    <row r="655" spans="1:9" ht="15" customHeight="1">
      <c r="A655" s="199">
        <v>45679</v>
      </c>
      <c r="B655" s="202" t="s">
        <v>849</v>
      </c>
      <c r="C655" s="200" t="s">
        <v>204</v>
      </c>
      <c r="D655" s="649">
        <v>-1900000</v>
      </c>
      <c r="E655" s="201">
        <v>45658</v>
      </c>
      <c r="F655" s="200" t="s">
        <v>256</v>
      </c>
      <c r="G655" s="200" t="s">
        <v>107</v>
      </c>
      <c r="H655" s="200" t="s">
        <v>777</v>
      </c>
    </row>
    <row r="656" spans="1:9" ht="15" customHeight="1">
      <c r="A656" s="199">
        <v>45679</v>
      </c>
      <c r="B656" s="202" t="s">
        <v>850</v>
      </c>
      <c r="C656" s="200" t="s">
        <v>204</v>
      </c>
      <c r="D656" s="649">
        <v>-7815558</v>
      </c>
      <c r="E656" s="201">
        <v>45658</v>
      </c>
      <c r="F656" s="200" t="s">
        <v>452</v>
      </c>
      <c r="G656" s="200" t="s">
        <v>341</v>
      </c>
      <c r="H656" s="200" t="s">
        <v>364</v>
      </c>
    </row>
    <row r="657" spans="1:9" ht="15" customHeight="1">
      <c r="A657" s="199">
        <v>45679</v>
      </c>
      <c r="B657" s="202" t="s">
        <v>851</v>
      </c>
      <c r="C657" s="200" t="s">
        <v>372</v>
      </c>
      <c r="D657" s="204">
        <v>-675807</v>
      </c>
      <c r="E657" s="201">
        <v>45658</v>
      </c>
      <c r="F657" s="200" t="s">
        <v>452</v>
      </c>
      <c r="G657" s="200" t="s">
        <v>341</v>
      </c>
      <c r="H657" s="200" t="s">
        <v>364</v>
      </c>
    </row>
    <row r="658" spans="1:9" ht="15" customHeight="1">
      <c r="A658" s="199">
        <v>45679</v>
      </c>
      <c r="B658" s="202" t="s">
        <v>852</v>
      </c>
      <c r="C658" s="200" t="s">
        <v>204</v>
      </c>
      <c r="D658" s="649">
        <v>-11967892</v>
      </c>
      <c r="E658" s="201">
        <v>45658</v>
      </c>
      <c r="F658" s="200" t="s">
        <v>452</v>
      </c>
      <c r="G658" s="200" t="s">
        <v>522</v>
      </c>
      <c r="H658" s="200" t="s">
        <v>322</v>
      </c>
    </row>
    <row r="659" spans="1:9" ht="15" customHeight="1">
      <c r="A659" s="199">
        <v>45680</v>
      </c>
      <c r="B659" s="202" t="s">
        <v>853</v>
      </c>
      <c r="C659" s="200" t="s">
        <v>372</v>
      </c>
      <c r="D659" s="204">
        <v>-258151</v>
      </c>
      <c r="E659" s="201">
        <v>45658</v>
      </c>
      <c r="F659" s="200" t="s">
        <v>452</v>
      </c>
      <c r="G659" s="200" t="s">
        <v>522</v>
      </c>
      <c r="H659" s="200" t="s">
        <v>322</v>
      </c>
    </row>
    <row r="660" spans="1:9" ht="15" customHeight="1">
      <c r="A660" s="199">
        <v>45680</v>
      </c>
      <c r="B660" s="202" t="s">
        <v>854</v>
      </c>
      <c r="C660" s="200" t="s">
        <v>372</v>
      </c>
      <c r="D660" s="204">
        <v>-61956</v>
      </c>
      <c r="E660" s="201">
        <v>45658</v>
      </c>
      <c r="F660" s="200" t="s">
        <v>452</v>
      </c>
      <c r="G660" s="200" t="s">
        <v>522</v>
      </c>
      <c r="H660" s="200" t="s">
        <v>322</v>
      </c>
    </row>
    <row r="661" spans="1:9" ht="15" customHeight="1">
      <c r="A661" s="199">
        <v>45680</v>
      </c>
      <c r="B661" s="202" t="s">
        <v>855</v>
      </c>
      <c r="C661" s="200" t="s">
        <v>204</v>
      </c>
      <c r="D661" s="649">
        <v>-258230</v>
      </c>
      <c r="E661" s="201">
        <v>45658</v>
      </c>
      <c r="F661" s="200" t="s">
        <v>452</v>
      </c>
      <c r="G661" s="200" t="s">
        <v>522</v>
      </c>
      <c r="H661" s="200" t="s">
        <v>322</v>
      </c>
      <c r="I661" s="648" t="s">
        <v>329</v>
      </c>
    </row>
    <row r="662" spans="1:9" ht="15" customHeight="1">
      <c r="A662" s="199">
        <v>45680</v>
      </c>
      <c r="B662" s="202" t="s">
        <v>856</v>
      </c>
      <c r="C662" s="200" t="s">
        <v>204</v>
      </c>
      <c r="D662" s="649">
        <v>-37500000</v>
      </c>
      <c r="E662" s="201">
        <v>45658</v>
      </c>
      <c r="F662" s="200" t="s">
        <v>296</v>
      </c>
      <c r="G662" s="200" t="s">
        <v>415</v>
      </c>
      <c r="H662" s="200" t="s">
        <v>857</v>
      </c>
      <c r="I662" s="648" t="s">
        <v>329</v>
      </c>
    </row>
    <row r="663" spans="1:9" ht="15" customHeight="1">
      <c r="A663" s="199">
        <v>45680</v>
      </c>
      <c r="B663" s="202" t="s">
        <v>858</v>
      </c>
      <c r="C663" s="200" t="s">
        <v>204</v>
      </c>
      <c r="D663" s="649">
        <v>-3584336</v>
      </c>
      <c r="E663" s="201">
        <v>45658</v>
      </c>
      <c r="F663" s="200" t="s">
        <v>452</v>
      </c>
      <c r="G663" s="200" t="s">
        <v>44</v>
      </c>
      <c r="H663" s="200" t="s">
        <v>386</v>
      </c>
    </row>
    <row r="664" spans="1:9" ht="15" customHeight="1">
      <c r="A664" s="199">
        <v>45680</v>
      </c>
      <c r="B664" s="202" t="s">
        <v>859</v>
      </c>
      <c r="C664" s="200" t="s">
        <v>204</v>
      </c>
      <c r="D664" s="649">
        <v>-21900</v>
      </c>
      <c r="E664" s="201">
        <v>45658</v>
      </c>
      <c r="F664" s="200" t="s">
        <v>452</v>
      </c>
      <c r="G664" s="200" t="s">
        <v>453</v>
      </c>
      <c r="H664" s="200" t="s">
        <v>98</v>
      </c>
    </row>
    <row r="665" spans="1:9" ht="15" customHeight="1">
      <c r="A665" s="199">
        <v>45680</v>
      </c>
      <c r="B665" s="202" t="s">
        <v>860</v>
      </c>
      <c r="C665" s="200" t="s">
        <v>204</v>
      </c>
      <c r="D665" s="649">
        <v>-4402484.5</v>
      </c>
      <c r="E665" s="201">
        <v>45658</v>
      </c>
      <c r="F665" s="200" t="s">
        <v>452</v>
      </c>
      <c r="G665" s="200" t="s">
        <v>44</v>
      </c>
      <c r="H665" s="200" t="s">
        <v>326</v>
      </c>
    </row>
    <row r="666" spans="1:9" ht="15" customHeight="1">
      <c r="A666" s="199">
        <v>45680</v>
      </c>
      <c r="B666" s="202" t="s">
        <v>860</v>
      </c>
      <c r="C666" s="200" t="s">
        <v>204</v>
      </c>
      <c r="D666" s="649">
        <v>-4402484.5</v>
      </c>
      <c r="E666" s="201">
        <v>45658</v>
      </c>
      <c r="F666" s="200" t="s">
        <v>296</v>
      </c>
      <c r="G666" s="200" t="s">
        <v>337</v>
      </c>
      <c r="H666" s="200" t="s">
        <v>326</v>
      </c>
    </row>
    <row r="667" spans="1:9" ht="15" customHeight="1">
      <c r="A667" s="199">
        <v>45678</v>
      </c>
      <c r="B667" s="202" t="s">
        <v>861</v>
      </c>
      <c r="C667" s="200" t="s">
        <v>307</v>
      </c>
      <c r="D667" s="204">
        <v>-40000</v>
      </c>
      <c r="E667" s="201">
        <v>45658</v>
      </c>
      <c r="F667" s="200" t="s">
        <v>296</v>
      </c>
      <c r="G667" s="200" t="s">
        <v>321</v>
      </c>
      <c r="H667" s="200" t="s">
        <v>326</v>
      </c>
      <c r="I667" s="200" t="s">
        <v>862</v>
      </c>
    </row>
    <row r="668" spans="1:9" ht="15" customHeight="1">
      <c r="A668" s="199">
        <v>45674</v>
      </c>
      <c r="B668" s="202" t="s">
        <v>863</v>
      </c>
      <c r="C668" s="200" t="s">
        <v>307</v>
      </c>
      <c r="D668" s="204">
        <v>-8000</v>
      </c>
      <c r="E668" s="201">
        <v>45658</v>
      </c>
      <c r="F668" s="200" t="s">
        <v>296</v>
      </c>
      <c r="G668" s="200" t="s">
        <v>321</v>
      </c>
      <c r="H668" s="200" t="s">
        <v>366</v>
      </c>
      <c r="I668" s="200" t="s">
        <v>862</v>
      </c>
    </row>
    <row r="669" spans="1:9" ht="15" customHeight="1">
      <c r="A669" s="199">
        <v>45681</v>
      </c>
      <c r="B669" s="202" t="s">
        <v>864</v>
      </c>
      <c r="C669" s="200" t="s">
        <v>307</v>
      </c>
      <c r="D669" s="204">
        <v>-246000</v>
      </c>
      <c r="E669" s="201">
        <v>45658</v>
      </c>
      <c r="F669" s="200" t="s">
        <v>296</v>
      </c>
      <c r="G669" s="200" t="s">
        <v>482</v>
      </c>
      <c r="H669" s="200" t="s">
        <v>268</v>
      </c>
    </row>
    <row r="670" spans="1:9" ht="15" customHeight="1">
      <c r="A670" s="199">
        <v>45681</v>
      </c>
      <c r="B670" s="202" t="s">
        <v>865</v>
      </c>
      <c r="C670" s="200" t="s">
        <v>372</v>
      </c>
      <c r="D670" s="204">
        <v>-2500</v>
      </c>
      <c r="E670" s="201">
        <v>45658</v>
      </c>
      <c r="F670" s="200" t="s">
        <v>296</v>
      </c>
      <c r="G670" s="200" t="s">
        <v>482</v>
      </c>
      <c r="H670" s="200" t="s">
        <v>268</v>
      </c>
    </row>
    <row r="671" spans="1:9" ht="15" customHeight="1">
      <c r="A671" s="199">
        <v>45681</v>
      </c>
      <c r="B671" s="202" t="s">
        <v>866</v>
      </c>
      <c r="C671" s="200" t="s">
        <v>372</v>
      </c>
      <c r="D671" s="204">
        <v>-1500</v>
      </c>
      <c r="E671" s="201">
        <v>45658</v>
      </c>
      <c r="F671" s="200" t="s">
        <v>296</v>
      </c>
      <c r="G671" s="200" t="s">
        <v>482</v>
      </c>
      <c r="H671" s="200" t="s">
        <v>268</v>
      </c>
    </row>
    <row r="672" spans="1:9" ht="15" customHeight="1">
      <c r="A672" s="199">
        <v>45680</v>
      </c>
      <c r="B672" s="202" t="s">
        <v>867</v>
      </c>
      <c r="C672" s="200" t="s">
        <v>204</v>
      </c>
      <c r="D672" s="649">
        <v>-363600</v>
      </c>
      <c r="E672" s="201">
        <v>45658</v>
      </c>
      <c r="F672" s="655" t="s">
        <v>296</v>
      </c>
      <c r="G672" s="655" t="s">
        <v>328</v>
      </c>
      <c r="H672" s="655" t="s">
        <v>342</v>
      </c>
    </row>
    <row r="673" spans="1:8" ht="15" customHeight="1">
      <c r="A673" s="199">
        <v>45680</v>
      </c>
      <c r="B673" s="202" t="s">
        <v>868</v>
      </c>
      <c r="C673" s="200" t="s">
        <v>204</v>
      </c>
      <c r="D673" s="649">
        <v>-378700</v>
      </c>
      <c r="E673" s="201">
        <v>45658</v>
      </c>
      <c r="F673" s="200" t="s">
        <v>297</v>
      </c>
      <c r="G673" s="200" t="s">
        <v>75</v>
      </c>
      <c r="H673" s="200" t="s">
        <v>342</v>
      </c>
    </row>
    <row r="674" spans="1:8" ht="15" customHeight="1">
      <c r="A674" s="199">
        <v>45680</v>
      </c>
      <c r="B674" s="202" t="s">
        <v>869</v>
      </c>
      <c r="C674" s="200" t="s">
        <v>204</v>
      </c>
      <c r="D674" s="649">
        <v>-378700</v>
      </c>
      <c r="E674" s="201">
        <v>45658</v>
      </c>
      <c r="F674" s="200" t="s">
        <v>296</v>
      </c>
      <c r="G674" s="200" t="s">
        <v>328</v>
      </c>
      <c r="H674" s="200" t="s">
        <v>342</v>
      </c>
    </row>
    <row r="675" spans="1:8" ht="15" customHeight="1">
      <c r="A675" s="199">
        <v>45680</v>
      </c>
      <c r="B675" s="202" t="s">
        <v>870</v>
      </c>
      <c r="C675" s="200" t="s">
        <v>204</v>
      </c>
      <c r="D675" s="649">
        <v>-378700</v>
      </c>
      <c r="E675" s="201">
        <v>45658</v>
      </c>
      <c r="F675" s="200" t="s">
        <v>296</v>
      </c>
      <c r="G675" s="200" t="s">
        <v>328</v>
      </c>
      <c r="H675" s="200" t="s">
        <v>342</v>
      </c>
    </row>
    <row r="676" spans="1:8" ht="15" customHeight="1">
      <c r="A676" s="199">
        <v>45680</v>
      </c>
      <c r="B676" s="202" t="s">
        <v>871</v>
      </c>
      <c r="C676" s="200" t="s">
        <v>204</v>
      </c>
      <c r="D676" s="649">
        <v>-378700</v>
      </c>
      <c r="E676" s="201">
        <v>45658</v>
      </c>
      <c r="F676" s="200" t="s">
        <v>256</v>
      </c>
      <c r="G676" s="200" t="s">
        <v>256</v>
      </c>
      <c r="H676" s="200" t="s">
        <v>121</v>
      </c>
    </row>
    <row r="677" spans="1:8" ht="15" customHeight="1">
      <c r="A677" s="199">
        <v>45680</v>
      </c>
      <c r="B677" s="202" t="s">
        <v>872</v>
      </c>
      <c r="C677" s="200" t="s">
        <v>204</v>
      </c>
      <c r="D677" s="649">
        <v>-378700</v>
      </c>
      <c r="E677" s="201">
        <v>45658</v>
      </c>
      <c r="F677" s="200" t="s">
        <v>297</v>
      </c>
      <c r="G677" s="200" t="s">
        <v>75</v>
      </c>
      <c r="H677" s="200" t="s">
        <v>342</v>
      </c>
    </row>
    <row r="678" spans="1:8" ht="15" customHeight="1">
      <c r="A678" s="199">
        <v>45680</v>
      </c>
      <c r="B678" s="202" t="s">
        <v>873</v>
      </c>
      <c r="C678" s="200" t="s">
        <v>204</v>
      </c>
      <c r="D678" s="649">
        <v>-378700</v>
      </c>
      <c r="E678" s="201">
        <v>45658</v>
      </c>
      <c r="F678" s="200" t="s">
        <v>296</v>
      </c>
      <c r="G678" s="200" t="s">
        <v>328</v>
      </c>
      <c r="H678" s="200" t="s">
        <v>342</v>
      </c>
    </row>
    <row r="679" spans="1:8" ht="15" customHeight="1">
      <c r="A679" s="199">
        <v>45680</v>
      </c>
      <c r="B679" s="202" t="s">
        <v>874</v>
      </c>
      <c r="C679" s="200" t="s">
        <v>204</v>
      </c>
      <c r="D679" s="649">
        <v>-498500</v>
      </c>
      <c r="E679" s="201">
        <v>45658</v>
      </c>
      <c r="F679" s="200" t="s">
        <v>296</v>
      </c>
      <c r="G679" s="200" t="s">
        <v>875</v>
      </c>
      <c r="H679" s="200" t="s">
        <v>342</v>
      </c>
    </row>
    <row r="680" spans="1:8" ht="15" customHeight="1">
      <c r="A680" s="199">
        <v>45680</v>
      </c>
      <c r="B680" s="202" t="s">
        <v>876</v>
      </c>
      <c r="C680" s="200" t="s">
        <v>204</v>
      </c>
      <c r="D680" s="649">
        <v>-441500</v>
      </c>
      <c r="E680" s="201">
        <v>45658</v>
      </c>
      <c r="F680" s="200" t="s">
        <v>296</v>
      </c>
      <c r="G680" s="200" t="s">
        <v>328</v>
      </c>
      <c r="H680" s="200" t="s">
        <v>342</v>
      </c>
    </row>
    <row r="681" spans="1:8" ht="15" customHeight="1">
      <c r="A681" s="199">
        <v>45680</v>
      </c>
      <c r="B681" s="202" t="s">
        <v>877</v>
      </c>
      <c r="C681" s="200" t="s">
        <v>204</v>
      </c>
      <c r="D681" s="649">
        <v>-378700</v>
      </c>
      <c r="E681" s="201">
        <v>45658</v>
      </c>
      <c r="F681" s="200" t="s">
        <v>297</v>
      </c>
      <c r="G681" s="200" t="s">
        <v>75</v>
      </c>
      <c r="H681" s="200" t="s">
        <v>342</v>
      </c>
    </row>
    <row r="682" spans="1:8" ht="15" customHeight="1">
      <c r="A682" s="199">
        <v>45680</v>
      </c>
      <c r="B682" s="202" t="s">
        <v>878</v>
      </c>
      <c r="C682" s="200" t="s">
        <v>204</v>
      </c>
      <c r="D682" s="649">
        <v>-605900</v>
      </c>
      <c r="E682" s="201">
        <v>45658</v>
      </c>
      <c r="F682" s="200" t="s">
        <v>297</v>
      </c>
      <c r="G682" s="200" t="s">
        <v>75</v>
      </c>
      <c r="H682" s="200" t="s">
        <v>342</v>
      </c>
    </row>
    <row r="683" spans="1:8" ht="15" customHeight="1">
      <c r="A683" s="199">
        <v>45680</v>
      </c>
      <c r="B683" s="202" t="s">
        <v>879</v>
      </c>
      <c r="C683" s="200" t="s">
        <v>204</v>
      </c>
      <c r="D683" s="649">
        <v>-328000</v>
      </c>
      <c r="E683" s="201">
        <v>45658</v>
      </c>
      <c r="F683" s="200" t="s">
        <v>256</v>
      </c>
      <c r="G683" s="200" t="s">
        <v>256</v>
      </c>
      <c r="H683" s="200" t="s">
        <v>121</v>
      </c>
    </row>
    <row r="684" spans="1:8" ht="15" customHeight="1">
      <c r="A684" s="199">
        <v>45680</v>
      </c>
      <c r="B684" s="202" t="s">
        <v>880</v>
      </c>
      <c r="C684" s="200" t="s">
        <v>204</v>
      </c>
      <c r="D684" s="649">
        <v>-441500</v>
      </c>
      <c r="E684" s="201">
        <v>45658</v>
      </c>
      <c r="F684" s="200" t="s">
        <v>296</v>
      </c>
      <c r="G684" s="200" t="s">
        <v>328</v>
      </c>
      <c r="H684" s="200" t="s">
        <v>342</v>
      </c>
    </row>
    <row r="685" spans="1:8" ht="15" customHeight="1">
      <c r="A685" s="199">
        <v>45680</v>
      </c>
      <c r="B685" s="202" t="s">
        <v>881</v>
      </c>
      <c r="C685" s="200" t="s">
        <v>204</v>
      </c>
      <c r="D685" s="649">
        <v>-369200</v>
      </c>
      <c r="E685" s="201">
        <v>45658</v>
      </c>
      <c r="F685" s="200" t="s">
        <v>297</v>
      </c>
      <c r="G685" s="200" t="s">
        <v>75</v>
      </c>
      <c r="H685" s="200" t="s">
        <v>342</v>
      </c>
    </row>
    <row r="686" spans="1:8" ht="15" customHeight="1">
      <c r="A686" s="199">
        <v>45680</v>
      </c>
      <c r="B686" s="202" t="s">
        <v>882</v>
      </c>
      <c r="C686" s="200" t="s">
        <v>204</v>
      </c>
      <c r="D686" s="649">
        <v>-375700</v>
      </c>
      <c r="E686" s="201">
        <v>45658</v>
      </c>
      <c r="F686" s="200" t="s">
        <v>297</v>
      </c>
      <c r="G686" s="200" t="s">
        <v>75</v>
      </c>
      <c r="H686" s="200" t="s">
        <v>342</v>
      </c>
    </row>
    <row r="687" spans="1:8" ht="15" customHeight="1">
      <c r="A687" s="199">
        <v>45680</v>
      </c>
      <c r="B687" s="202" t="s">
        <v>883</v>
      </c>
      <c r="C687" s="200" t="s">
        <v>204</v>
      </c>
      <c r="D687" s="649">
        <v>-378700</v>
      </c>
      <c r="E687" s="201">
        <v>45658</v>
      </c>
      <c r="F687" s="200" t="s">
        <v>296</v>
      </c>
      <c r="G687" s="200" t="s">
        <v>875</v>
      </c>
      <c r="H687" s="200" t="s">
        <v>342</v>
      </c>
    </row>
    <row r="688" spans="1:8" ht="15" customHeight="1">
      <c r="A688" s="199">
        <v>45680</v>
      </c>
      <c r="B688" s="202" t="s">
        <v>884</v>
      </c>
      <c r="C688" s="200" t="s">
        <v>204</v>
      </c>
      <c r="D688" s="649">
        <v>-387800</v>
      </c>
      <c r="E688" s="201">
        <v>45658</v>
      </c>
      <c r="F688" s="200" t="s">
        <v>296</v>
      </c>
      <c r="G688" s="200" t="s">
        <v>875</v>
      </c>
      <c r="H688" s="200" t="s">
        <v>342</v>
      </c>
    </row>
    <row r="689" spans="1:8" ht="15" customHeight="1">
      <c r="A689" s="199">
        <v>45680</v>
      </c>
      <c r="B689" s="202" t="s">
        <v>885</v>
      </c>
      <c r="C689" s="200" t="s">
        <v>204</v>
      </c>
      <c r="D689" s="649">
        <v>-674300</v>
      </c>
      <c r="E689" s="201">
        <v>45658</v>
      </c>
      <c r="F689" s="200" t="s">
        <v>296</v>
      </c>
      <c r="G689" s="200" t="s">
        <v>328</v>
      </c>
      <c r="H689" s="200" t="s">
        <v>342</v>
      </c>
    </row>
    <row r="690" spans="1:8" ht="15" customHeight="1">
      <c r="A690" s="199">
        <v>45680</v>
      </c>
      <c r="B690" s="202" t="s">
        <v>886</v>
      </c>
      <c r="C690" s="200" t="s">
        <v>204</v>
      </c>
      <c r="D690" s="649">
        <v>-399500</v>
      </c>
      <c r="E690" s="201">
        <v>45658</v>
      </c>
      <c r="F690" s="200" t="s">
        <v>296</v>
      </c>
      <c r="G690" s="200" t="s">
        <v>875</v>
      </c>
      <c r="H690" s="200" t="s">
        <v>342</v>
      </c>
    </row>
    <row r="691" spans="1:8" ht="15" customHeight="1">
      <c r="A691" s="199">
        <v>45680</v>
      </c>
      <c r="B691" s="202" t="s">
        <v>887</v>
      </c>
      <c r="C691" s="200" t="s">
        <v>204</v>
      </c>
      <c r="D691" s="649">
        <v>-438700</v>
      </c>
      <c r="E691" s="201">
        <v>45658</v>
      </c>
      <c r="F691" s="200" t="s">
        <v>296</v>
      </c>
      <c r="G691" s="200" t="s">
        <v>328</v>
      </c>
      <c r="H691" s="200" t="s">
        <v>342</v>
      </c>
    </row>
    <row r="692" spans="1:8" ht="15" customHeight="1">
      <c r="A692" s="199">
        <v>45680</v>
      </c>
      <c r="B692" s="202" t="s">
        <v>888</v>
      </c>
      <c r="C692" s="200" t="s">
        <v>204</v>
      </c>
      <c r="D692" s="649">
        <v>-378700</v>
      </c>
      <c r="E692" s="201">
        <v>45658</v>
      </c>
      <c r="F692" s="200" t="s">
        <v>297</v>
      </c>
      <c r="G692" s="200" t="s">
        <v>75</v>
      </c>
      <c r="H692" s="200" t="s">
        <v>342</v>
      </c>
    </row>
    <row r="693" spans="1:8" ht="15" customHeight="1">
      <c r="A693" s="199">
        <v>45680</v>
      </c>
      <c r="B693" s="202" t="s">
        <v>889</v>
      </c>
      <c r="C693" s="200" t="s">
        <v>204</v>
      </c>
      <c r="D693" s="649">
        <v>-378700</v>
      </c>
      <c r="E693" s="201">
        <v>45658</v>
      </c>
      <c r="F693" s="200" t="s">
        <v>296</v>
      </c>
      <c r="G693" s="200" t="s">
        <v>321</v>
      </c>
      <c r="H693" s="200" t="s">
        <v>342</v>
      </c>
    </row>
    <row r="694" spans="1:8" ht="15" customHeight="1">
      <c r="A694" s="199">
        <v>45680</v>
      </c>
      <c r="B694" s="202" t="s">
        <v>890</v>
      </c>
      <c r="C694" s="200" t="s">
        <v>204</v>
      </c>
      <c r="D694" s="649">
        <v>-378700</v>
      </c>
      <c r="E694" s="201">
        <v>45658</v>
      </c>
      <c r="F694" s="200" t="s">
        <v>296</v>
      </c>
      <c r="G694" s="200" t="s">
        <v>321</v>
      </c>
      <c r="H694" s="200" t="s">
        <v>342</v>
      </c>
    </row>
    <row r="695" spans="1:8" ht="15" customHeight="1">
      <c r="A695" s="199">
        <v>45680</v>
      </c>
      <c r="B695" s="202" t="s">
        <v>891</v>
      </c>
      <c r="C695" s="200" t="s">
        <v>204</v>
      </c>
      <c r="D695" s="649">
        <v>-378700</v>
      </c>
      <c r="E695" s="201">
        <v>45658</v>
      </c>
      <c r="F695" s="200" t="s">
        <v>296</v>
      </c>
      <c r="G695" s="200" t="s">
        <v>44</v>
      </c>
      <c r="H695" s="200" t="s">
        <v>429</v>
      </c>
    </row>
    <row r="696" spans="1:8" ht="15" customHeight="1">
      <c r="A696" s="199">
        <v>45680</v>
      </c>
      <c r="B696" s="202" t="s">
        <v>892</v>
      </c>
      <c r="C696" s="200" t="s">
        <v>204</v>
      </c>
      <c r="D696" s="649">
        <v>-369200</v>
      </c>
      <c r="E696" s="201">
        <v>45658</v>
      </c>
      <c r="F696" s="200" t="s">
        <v>296</v>
      </c>
      <c r="G696" s="200" t="s">
        <v>44</v>
      </c>
      <c r="H696" s="200" t="s">
        <v>429</v>
      </c>
    </row>
    <row r="697" spans="1:8" ht="15" customHeight="1">
      <c r="A697" s="199">
        <v>45680</v>
      </c>
      <c r="B697" s="202" t="s">
        <v>893</v>
      </c>
      <c r="C697" s="200" t="s">
        <v>204</v>
      </c>
      <c r="D697" s="649">
        <v>-378700</v>
      </c>
      <c r="E697" s="201">
        <v>45658</v>
      </c>
      <c r="F697" s="200" t="s">
        <v>296</v>
      </c>
      <c r="G697" s="200" t="s">
        <v>321</v>
      </c>
      <c r="H697" s="200" t="s">
        <v>342</v>
      </c>
    </row>
    <row r="698" spans="1:8" ht="15" customHeight="1">
      <c r="A698" s="199">
        <v>45680</v>
      </c>
      <c r="B698" s="202" t="s">
        <v>894</v>
      </c>
      <c r="C698" s="200" t="s">
        <v>204</v>
      </c>
      <c r="D698" s="649">
        <v>-359300</v>
      </c>
      <c r="E698" s="201">
        <v>45658</v>
      </c>
      <c r="F698" s="200" t="s">
        <v>296</v>
      </c>
      <c r="G698" s="200" t="s">
        <v>321</v>
      </c>
      <c r="H698" s="200" t="s">
        <v>342</v>
      </c>
    </row>
    <row r="699" spans="1:8" ht="15" customHeight="1">
      <c r="A699" s="199">
        <v>45680</v>
      </c>
      <c r="B699" s="202" t="s">
        <v>895</v>
      </c>
      <c r="C699" s="200" t="s">
        <v>204</v>
      </c>
      <c r="D699" s="649">
        <v>-378700</v>
      </c>
      <c r="E699" s="201">
        <v>45658</v>
      </c>
      <c r="F699" s="200" t="s">
        <v>296</v>
      </c>
      <c r="G699" s="200" t="s">
        <v>321</v>
      </c>
      <c r="H699" s="200" t="s">
        <v>342</v>
      </c>
    </row>
    <row r="700" spans="1:8" ht="15" customHeight="1">
      <c r="A700" s="199">
        <v>45680</v>
      </c>
      <c r="B700" s="202" t="s">
        <v>896</v>
      </c>
      <c r="C700" s="200" t="s">
        <v>204</v>
      </c>
      <c r="D700" s="649">
        <v>-378700</v>
      </c>
      <c r="E700" s="201">
        <v>45658</v>
      </c>
      <c r="F700" s="200" t="s">
        <v>296</v>
      </c>
      <c r="G700" s="200" t="s">
        <v>321</v>
      </c>
      <c r="H700" s="200" t="s">
        <v>342</v>
      </c>
    </row>
    <row r="701" spans="1:8" ht="15" customHeight="1">
      <c r="A701" s="199">
        <v>45680</v>
      </c>
      <c r="B701" s="202" t="s">
        <v>897</v>
      </c>
      <c r="C701" s="200" t="s">
        <v>204</v>
      </c>
      <c r="D701" s="649">
        <v>-378700</v>
      </c>
      <c r="E701" s="201">
        <v>45658</v>
      </c>
      <c r="F701" s="200" t="s">
        <v>296</v>
      </c>
      <c r="G701" s="200" t="s">
        <v>321</v>
      </c>
      <c r="H701" s="200" t="s">
        <v>342</v>
      </c>
    </row>
    <row r="702" spans="1:8" ht="15" customHeight="1">
      <c r="A702" s="199">
        <v>45680</v>
      </c>
      <c r="B702" s="202" t="s">
        <v>898</v>
      </c>
      <c r="C702" s="200" t="s">
        <v>204</v>
      </c>
      <c r="D702" s="649">
        <v>-378700</v>
      </c>
      <c r="E702" s="201">
        <v>45658</v>
      </c>
      <c r="F702" s="200" t="s">
        <v>296</v>
      </c>
      <c r="G702" s="200" t="s">
        <v>321</v>
      </c>
      <c r="H702" s="200" t="s">
        <v>342</v>
      </c>
    </row>
    <row r="703" spans="1:8" ht="15" customHeight="1">
      <c r="A703" s="199">
        <v>45680</v>
      </c>
      <c r="B703" s="202" t="s">
        <v>899</v>
      </c>
      <c r="C703" s="200" t="s">
        <v>204</v>
      </c>
      <c r="D703" s="649">
        <v>-378700</v>
      </c>
      <c r="E703" s="201">
        <v>45658</v>
      </c>
      <c r="F703" s="200" t="s">
        <v>296</v>
      </c>
      <c r="G703" s="200" t="s">
        <v>321</v>
      </c>
      <c r="H703" s="200" t="s">
        <v>342</v>
      </c>
    </row>
    <row r="704" spans="1:8" ht="15" customHeight="1">
      <c r="A704" s="199">
        <v>45680</v>
      </c>
      <c r="B704" s="202" t="s">
        <v>900</v>
      </c>
      <c r="C704" s="200" t="s">
        <v>204</v>
      </c>
      <c r="D704" s="649">
        <v>-378700</v>
      </c>
      <c r="E704" s="201">
        <v>45658</v>
      </c>
      <c r="F704" s="200" t="s">
        <v>296</v>
      </c>
      <c r="G704" s="200" t="s">
        <v>321</v>
      </c>
      <c r="H704" s="200" t="s">
        <v>342</v>
      </c>
    </row>
    <row r="705" spans="1:8" ht="15" customHeight="1">
      <c r="A705" s="199">
        <v>45680</v>
      </c>
      <c r="B705" s="202" t="s">
        <v>901</v>
      </c>
      <c r="C705" s="200" t="s">
        <v>204</v>
      </c>
      <c r="D705" s="649">
        <v>-378700</v>
      </c>
      <c r="E705" s="201">
        <v>45658</v>
      </c>
      <c r="F705" s="200" t="s">
        <v>296</v>
      </c>
      <c r="G705" s="200" t="s">
        <v>321</v>
      </c>
      <c r="H705" s="200" t="s">
        <v>342</v>
      </c>
    </row>
    <row r="706" spans="1:8" ht="15" customHeight="1">
      <c r="A706" s="199">
        <v>45680</v>
      </c>
      <c r="B706" s="202" t="s">
        <v>902</v>
      </c>
      <c r="C706" s="200" t="s">
        <v>204</v>
      </c>
      <c r="D706" s="649">
        <v>-1226400</v>
      </c>
      <c r="E706" s="201">
        <v>45658</v>
      </c>
      <c r="F706" s="200" t="s">
        <v>296</v>
      </c>
      <c r="G706" s="200" t="s">
        <v>321</v>
      </c>
      <c r="H706" s="200" t="s">
        <v>342</v>
      </c>
    </row>
    <row r="707" spans="1:8" ht="15" customHeight="1">
      <c r="A707" s="199">
        <v>45680</v>
      </c>
      <c r="B707" s="202" t="s">
        <v>903</v>
      </c>
      <c r="C707" s="200" t="s">
        <v>204</v>
      </c>
      <c r="D707" s="649">
        <v>-378700</v>
      </c>
      <c r="E707" s="201">
        <v>45658</v>
      </c>
      <c r="F707" s="200" t="s">
        <v>296</v>
      </c>
      <c r="G707" s="200" t="s">
        <v>321</v>
      </c>
      <c r="H707" s="200" t="s">
        <v>342</v>
      </c>
    </row>
    <row r="708" spans="1:8" ht="15" customHeight="1">
      <c r="A708" s="199">
        <v>45680</v>
      </c>
      <c r="B708" s="202" t="s">
        <v>904</v>
      </c>
      <c r="C708" s="200" t="s">
        <v>204</v>
      </c>
      <c r="D708" s="649">
        <v>-378700</v>
      </c>
      <c r="E708" s="201">
        <v>45658</v>
      </c>
      <c r="F708" s="200" t="s">
        <v>296</v>
      </c>
      <c r="G708" s="200" t="s">
        <v>321</v>
      </c>
      <c r="H708" s="200" t="s">
        <v>342</v>
      </c>
    </row>
    <row r="709" spans="1:8" ht="15" customHeight="1">
      <c r="A709" s="199">
        <v>45680</v>
      </c>
      <c r="B709" s="202" t="s">
        <v>905</v>
      </c>
      <c r="C709" s="200" t="s">
        <v>204</v>
      </c>
      <c r="D709" s="649">
        <v>-378700</v>
      </c>
      <c r="E709" s="201">
        <v>45658</v>
      </c>
      <c r="F709" s="200" t="s">
        <v>256</v>
      </c>
      <c r="G709" s="200" t="s">
        <v>256</v>
      </c>
      <c r="H709" s="200" t="s">
        <v>121</v>
      </c>
    </row>
    <row r="710" spans="1:8" ht="15" customHeight="1">
      <c r="A710" s="199">
        <v>45680</v>
      </c>
      <c r="B710" s="202" t="s">
        <v>906</v>
      </c>
      <c r="C710" s="200" t="s">
        <v>204</v>
      </c>
      <c r="D710" s="649">
        <v>-372100</v>
      </c>
      <c r="E710" s="201">
        <v>45658</v>
      </c>
      <c r="F710" s="200" t="s">
        <v>296</v>
      </c>
      <c r="G710" s="200" t="s">
        <v>321</v>
      </c>
      <c r="H710" s="200" t="s">
        <v>342</v>
      </c>
    </row>
    <row r="711" spans="1:8" ht="15" customHeight="1">
      <c r="A711" s="199">
        <v>45680</v>
      </c>
      <c r="B711" s="202" t="s">
        <v>907</v>
      </c>
      <c r="C711" s="200" t="s">
        <v>204</v>
      </c>
      <c r="D711" s="649">
        <v>-378700</v>
      </c>
      <c r="E711" s="201">
        <v>45658</v>
      </c>
      <c r="F711" s="200" t="s">
        <v>296</v>
      </c>
      <c r="G711" s="200" t="s">
        <v>321</v>
      </c>
      <c r="H711" s="200" t="s">
        <v>342</v>
      </c>
    </row>
    <row r="712" spans="1:8" ht="15" customHeight="1">
      <c r="A712" s="199">
        <v>45680</v>
      </c>
      <c r="B712" s="202" t="s">
        <v>908</v>
      </c>
      <c r="C712" s="200" t="s">
        <v>204</v>
      </c>
      <c r="D712" s="649">
        <v>-378700</v>
      </c>
      <c r="E712" s="201">
        <v>45658</v>
      </c>
      <c r="F712" s="200" t="s">
        <v>296</v>
      </c>
      <c r="G712" s="200" t="s">
        <v>321</v>
      </c>
      <c r="H712" s="200" t="s">
        <v>342</v>
      </c>
    </row>
    <row r="713" spans="1:8" ht="15" customHeight="1">
      <c r="A713" s="199">
        <v>45680</v>
      </c>
      <c r="B713" s="202" t="s">
        <v>909</v>
      </c>
      <c r="C713" s="200" t="s">
        <v>204</v>
      </c>
      <c r="D713" s="649">
        <v>-728000</v>
      </c>
      <c r="E713" s="201">
        <v>45658</v>
      </c>
      <c r="F713" s="200" t="s">
        <v>296</v>
      </c>
      <c r="G713" s="200" t="s">
        <v>44</v>
      </c>
      <c r="H713" s="200" t="s">
        <v>338</v>
      </c>
    </row>
    <row r="714" spans="1:8" ht="15" customHeight="1">
      <c r="A714" s="199">
        <v>45680</v>
      </c>
      <c r="B714" s="202" t="s">
        <v>910</v>
      </c>
      <c r="C714" s="200" t="s">
        <v>204</v>
      </c>
      <c r="D714" s="649">
        <v>-378700</v>
      </c>
      <c r="E714" s="201">
        <v>45658</v>
      </c>
      <c r="F714" s="200" t="s">
        <v>296</v>
      </c>
      <c r="G714" s="200" t="s">
        <v>44</v>
      </c>
      <c r="H714" s="200" t="s">
        <v>429</v>
      </c>
    </row>
    <row r="715" spans="1:8" ht="15" customHeight="1">
      <c r="A715" s="199">
        <v>45680</v>
      </c>
      <c r="B715" s="202" t="s">
        <v>911</v>
      </c>
      <c r="C715" s="200" t="s">
        <v>204</v>
      </c>
      <c r="D715" s="649">
        <v>-378700</v>
      </c>
      <c r="E715" s="201">
        <v>45658</v>
      </c>
      <c r="F715" s="200" t="s">
        <v>296</v>
      </c>
      <c r="G715" s="200" t="s">
        <v>321</v>
      </c>
      <c r="H715" s="200" t="s">
        <v>342</v>
      </c>
    </row>
    <row r="716" spans="1:8" ht="15" customHeight="1">
      <c r="A716" s="199">
        <v>45680</v>
      </c>
      <c r="B716" s="202" t="s">
        <v>912</v>
      </c>
      <c r="C716" s="200" t="s">
        <v>204</v>
      </c>
      <c r="D716" s="649">
        <v>-378700</v>
      </c>
      <c r="E716" s="201">
        <v>45658</v>
      </c>
      <c r="F716" s="200" t="s">
        <v>296</v>
      </c>
      <c r="G716" s="200" t="s">
        <v>321</v>
      </c>
      <c r="H716" s="200" t="s">
        <v>342</v>
      </c>
    </row>
    <row r="717" spans="1:8" ht="15" customHeight="1">
      <c r="A717" s="199">
        <v>45680</v>
      </c>
      <c r="B717" s="202" t="s">
        <v>913</v>
      </c>
      <c r="C717" s="200" t="s">
        <v>204</v>
      </c>
      <c r="D717" s="649">
        <v>-378700</v>
      </c>
      <c r="E717" s="201">
        <v>45658</v>
      </c>
      <c r="F717" s="200" t="s">
        <v>296</v>
      </c>
      <c r="G717" s="200" t="s">
        <v>44</v>
      </c>
      <c r="H717" s="200" t="s">
        <v>429</v>
      </c>
    </row>
    <row r="718" spans="1:8" ht="15" customHeight="1">
      <c r="A718" s="199">
        <v>45680</v>
      </c>
      <c r="B718" s="202" t="s">
        <v>914</v>
      </c>
      <c r="C718" s="200" t="s">
        <v>204</v>
      </c>
      <c r="D718" s="649">
        <v>-378700</v>
      </c>
      <c r="E718" s="201">
        <v>45658</v>
      </c>
      <c r="F718" s="200" t="s">
        <v>296</v>
      </c>
      <c r="G718" s="200" t="s">
        <v>321</v>
      </c>
      <c r="H718" s="200" t="s">
        <v>342</v>
      </c>
    </row>
    <row r="719" spans="1:8" ht="15" customHeight="1">
      <c r="A719" s="199">
        <v>45680</v>
      </c>
      <c r="B719" s="202" t="s">
        <v>915</v>
      </c>
      <c r="C719" s="200" t="s">
        <v>204</v>
      </c>
      <c r="D719" s="649">
        <v>-726500</v>
      </c>
      <c r="E719" s="201">
        <v>45658</v>
      </c>
      <c r="F719" s="200" t="s">
        <v>296</v>
      </c>
      <c r="G719" s="200" t="s">
        <v>321</v>
      </c>
      <c r="H719" s="200" t="s">
        <v>342</v>
      </c>
    </row>
    <row r="720" spans="1:8" ht="15" customHeight="1">
      <c r="A720" s="199">
        <v>45680</v>
      </c>
      <c r="B720" s="202" t="s">
        <v>916</v>
      </c>
      <c r="C720" s="200" t="s">
        <v>204</v>
      </c>
      <c r="D720" s="649">
        <v>-605900</v>
      </c>
      <c r="E720" s="201">
        <v>45658</v>
      </c>
      <c r="F720" s="200" t="s">
        <v>296</v>
      </c>
      <c r="G720" s="200" t="s">
        <v>321</v>
      </c>
      <c r="H720" s="200" t="s">
        <v>342</v>
      </c>
    </row>
    <row r="721" spans="1:8" ht="15" customHeight="1">
      <c r="A721" s="199">
        <v>45680</v>
      </c>
      <c r="B721" s="202" t="s">
        <v>917</v>
      </c>
      <c r="C721" s="200" t="s">
        <v>204</v>
      </c>
      <c r="D721" s="649">
        <v>-378700</v>
      </c>
      <c r="E721" s="201">
        <v>45658</v>
      </c>
      <c r="F721" s="200" t="s">
        <v>296</v>
      </c>
      <c r="G721" s="200" t="s">
        <v>321</v>
      </c>
      <c r="H721" s="200" t="s">
        <v>342</v>
      </c>
    </row>
    <row r="722" spans="1:8" ht="15" customHeight="1">
      <c r="A722" s="199">
        <v>45680</v>
      </c>
      <c r="B722" s="202" t="s">
        <v>918</v>
      </c>
      <c r="C722" s="200" t="s">
        <v>204</v>
      </c>
      <c r="D722" s="649">
        <v>-378700</v>
      </c>
      <c r="E722" s="201">
        <v>45658</v>
      </c>
      <c r="F722" s="200" t="s">
        <v>296</v>
      </c>
      <c r="G722" s="200" t="s">
        <v>321</v>
      </c>
      <c r="H722" s="200" t="s">
        <v>342</v>
      </c>
    </row>
    <row r="723" spans="1:8" ht="15" customHeight="1">
      <c r="A723" s="199">
        <v>45680</v>
      </c>
      <c r="B723" s="202" t="s">
        <v>919</v>
      </c>
      <c r="C723" s="200" t="s">
        <v>204</v>
      </c>
      <c r="D723" s="649">
        <v>-378700</v>
      </c>
      <c r="E723" s="201">
        <v>45658</v>
      </c>
      <c r="F723" s="200" t="s">
        <v>296</v>
      </c>
      <c r="G723" s="200" t="s">
        <v>44</v>
      </c>
      <c r="H723" s="200" t="s">
        <v>429</v>
      </c>
    </row>
    <row r="724" spans="1:8" ht="15" customHeight="1">
      <c r="A724" s="199">
        <v>45680</v>
      </c>
      <c r="B724" s="202" t="s">
        <v>920</v>
      </c>
      <c r="C724" s="200" t="s">
        <v>204</v>
      </c>
      <c r="D724" s="649">
        <v>-409700</v>
      </c>
      <c r="E724" s="201">
        <v>45658</v>
      </c>
      <c r="F724" s="200" t="s">
        <v>296</v>
      </c>
      <c r="G724" s="200" t="s">
        <v>321</v>
      </c>
      <c r="H724" s="200" t="s">
        <v>342</v>
      </c>
    </row>
    <row r="725" spans="1:8" ht="15" customHeight="1">
      <c r="A725" s="199">
        <v>45680</v>
      </c>
      <c r="B725" s="202" t="s">
        <v>921</v>
      </c>
      <c r="C725" s="200" t="s">
        <v>204</v>
      </c>
      <c r="D725" s="649">
        <v>-1051200</v>
      </c>
      <c r="E725" s="201">
        <v>45658</v>
      </c>
      <c r="F725" s="200" t="s">
        <v>296</v>
      </c>
      <c r="G725" s="200" t="s">
        <v>453</v>
      </c>
      <c r="H725" s="200" t="s">
        <v>121</v>
      </c>
    </row>
    <row r="726" spans="1:8" ht="15" customHeight="1">
      <c r="A726" s="199">
        <v>45680</v>
      </c>
      <c r="B726" s="202" t="s">
        <v>922</v>
      </c>
      <c r="C726" s="200" t="s">
        <v>204</v>
      </c>
      <c r="D726" s="649">
        <v>-809300</v>
      </c>
      <c r="E726" s="201">
        <v>45658</v>
      </c>
      <c r="F726" s="200" t="s">
        <v>296</v>
      </c>
      <c r="G726" s="200" t="s">
        <v>453</v>
      </c>
      <c r="H726" s="200" t="s">
        <v>923</v>
      </c>
    </row>
    <row r="727" spans="1:8" ht="15" customHeight="1">
      <c r="A727" s="199">
        <v>45680</v>
      </c>
      <c r="B727" s="202" t="s">
        <v>924</v>
      </c>
      <c r="C727" s="200" t="s">
        <v>204</v>
      </c>
      <c r="D727" s="649">
        <v>-612800</v>
      </c>
      <c r="E727" s="201">
        <v>45658</v>
      </c>
      <c r="F727" s="200" t="s">
        <v>296</v>
      </c>
      <c r="G727" s="200" t="s">
        <v>453</v>
      </c>
      <c r="H727" s="200" t="s">
        <v>923</v>
      </c>
    </row>
    <row r="728" spans="1:8" ht="15" customHeight="1">
      <c r="A728" s="199">
        <v>45680</v>
      </c>
      <c r="B728" s="202" t="s">
        <v>925</v>
      </c>
      <c r="C728" s="200" t="s">
        <v>204</v>
      </c>
      <c r="D728" s="649">
        <v>-343400</v>
      </c>
      <c r="E728" s="201">
        <v>45658</v>
      </c>
      <c r="F728" s="200" t="s">
        <v>256</v>
      </c>
      <c r="G728" s="200" t="s">
        <v>256</v>
      </c>
      <c r="H728" s="200" t="s">
        <v>121</v>
      </c>
    </row>
    <row r="729" spans="1:8" ht="15" customHeight="1">
      <c r="A729" s="199">
        <v>45680</v>
      </c>
      <c r="B729" s="202" t="s">
        <v>926</v>
      </c>
      <c r="C729" s="200" t="s">
        <v>204</v>
      </c>
      <c r="D729" s="649">
        <v>-2665200</v>
      </c>
      <c r="E729" s="201">
        <v>45658</v>
      </c>
      <c r="F729" s="200" t="s">
        <v>256</v>
      </c>
      <c r="G729" s="200" t="s">
        <v>256</v>
      </c>
      <c r="H729" s="200" t="s">
        <v>121</v>
      </c>
    </row>
    <row r="730" spans="1:8" ht="15" customHeight="1">
      <c r="A730" s="199">
        <v>45680</v>
      </c>
      <c r="B730" s="202" t="s">
        <v>927</v>
      </c>
      <c r="C730" s="200" t="s">
        <v>204</v>
      </c>
      <c r="D730" s="649">
        <v>-2665200</v>
      </c>
      <c r="E730" s="201">
        <v>45658</v>
      </c>
      <c r="F730" s="200" t="s">
        <v>256</v>
      </c>
      <c r="G730" s="200" t="s">
        <v>256</v>
      </c>
      <c r="H730" s="200" t="s">
        <v>121</v>
      </c>
    </row>
    <row r="731" spans="1:8" ht="15" customHeight="1">
      <c r="A731" s="199">
        <v>45680</v>
      </c>
      <c r="B731" s="202" t="s">
        <v>928</v>
      </c>
      <c r="C731" s="200" t="s">
        <v>204</v>
      </c>
      <c r="D731" s="649">
        <v>-1078600</v>
      </c>
      <c r="E731" s="201">
        <v>45658</v>
      </c>
      <c r="F731" s="200" t="s">
        <v>256</v>
      </c>
      <c r="G731" s="200" t="s">
        <v>256</v>
      </c>
      <c r="H731" s="200" t="s">
        <v>121</v>
      </c>
    </row>
    <row r="732" spans="1:8" ht="15" customHeight="1">
      <c r="A732" s="199">
        <v>45680</v>
      </c>
      <c r="B732" s="202" t="s">
        <v>929</v>
      </c>
      <c r="C732" s="200" t="s">
        <v>204</v>
      </c>
      <c r="D732" s="649">
        <v>-568800</v>
      </c>
      <c r="E732" s="201">
        <v>45658</v>
      </c>
      <c r="F732" s="200" t="s">
        <v>256</v>
      </c>
      <c r="G732" s="200" t="s">
        <v>256</v>
      </c>
      <c r="H732" s="200" t="s">
        <v>121</v>
      </c>
    </row>
    <row r="733" spans="1:8" ht="15" customHeight="1">
      <c r="A733" s="199">
        <v>45680</v>
      </c>
      <c r="B733" s="202" t="s">
        <v>930</v>
      </c>
      <c r="C733" s="200" t="s">
        <v>204</v>
      </c>
      <c r="D733" s="649">
        <v>-1226100</v>
      </c>
      <c r="E733" s="201">
        <v>45658</v>
      </c>
      <c r="F733" s="200" t="s">
        <v>256</v>
      </c>
      <c r="G733" s="200" t="s">
        <v>256</v>
      </c>
      <c r="H733" s="200" t="s">
        <v>121</v>
      </c>
    </row>
    <row r="734" spans="1:8" ht="15" customHeight="1">
      <c r="A734" s="199">
        <v>45680</v>
      </c>
      <c r="B734" s="202" t="s">
        <v>931</v>
      </c>
      <c r="C734" s="200" t="s">
        <v>204</v>
      </c>
      <c r="D734" s="649">
        <v>-318800</v>
      </c>
      <c r="E734" s="201">
        <v>45658</v>
      </c>
      <c r="F734" s="200" t="s">
        <v>256</v>
      </c>
      <c r="G734" s="200" t="s">
        <v>256</v>
      </c>
      <c r="H734" s="200" t="s">
        <v>121</v>
      </c>
    </row>
    <row r="735" spans="1:8" ht="15" customHeight="1">
      <c r="A735" s="199">
        <v>45680</v>
      </c>
      <c r="B735" s="202" t="s">
        <v>932</v>
      </c>
      <c r="C735" s="200" t="s">
        <v>204</v>
      </c>
      <c r="D735" s="649">
        <v>-392400</v>
      </c>
      <c r="E735" s="201">
        <v>45658</v>
      </c>
      <c r="F735" s="200" t="s">
        <v>256</v>
      </c>
      <c r="G735" s="200" t="s">
        <v>256</v>
      </c>
      <c r="H735" s="200" t="s">
        <v>121</v>
      </c>
    </row>
    <row r="736" spans="1:8" ht="15" customHeight="1">
      <c r="A736" s="199">
        <v>45680</v>
      </c>
      <c r="B736" s="202" t="s">
        <v>933</v>
      </c>
      <c r="C736" s="200" t="s">
        <v>204</v>
      </c>
      <c r="D736" s="649">
        <v>-318800</v>
      </c>
      <c r="E736" s="201">
        <v>45658</v>
      </c>
      <c r="F736" s="200" t="s">
        <v>256</v>
      </c>
      <c r="G736" s="200" t="s">
        <v>256</v>
      </c>
      <c r="H736" s="200" t="s">
        <v>121</v>
      </c>
    </row>
    <row r="737" spans="1:8" ht="15" customHeight="1">
      <c r="A737" s="199">
        <v>45680</v>
      </c>
      <c r="B737" s="202" t="s">
        <v>934</v>
      </c>
      <c r="C737" s="200" t="s">
        <v>204</v>
      </c>
      <c r="D737" s="649">
        <v>-317300</v>
      </c>
      <c r="E737" s="201">
        <v>45658</v>
      </c>
      <c r="F737" s="200" t="s">
        <v>256</v>
      </c>
      <c r="G737" s="200" t="s">
        <v>256</v>
      </c>
      <c r="H737" s="200" t="s">
        <v>121</v>
      </c>
    </row>
    <row r="738" spans="1:8" ht="15" customHeight="1">
      <c r="A738" s="199">
        <v>45680</v>
      </c>
      <c r="B738" s="202" t="s">
        <v>935</v>
      </c>
      <c r="C738" s="200" t="s">
        <v>204</v>
      </c>
      <c r="D738" s="649">
        <v>-557300</v>
      </c>
      <c r="E738" s="201">
        <v>45658</v>
      </c>
      <c r="F738" s="200" t="s">
        <v>256</v>
      </c>
      <c r="G738" s="200" t="s">
        <v>256</v>
      </c>
      <c r="H738" s="200" t="s">
        <v>121</v>
      </c>
    </row>
    <row r="739" spans="1:8" ht="15" customHeight="1">
      <c r="A739" s="199">
        <v>45680</v>
      </c>
      <c r="B739" s="202" t="s">
        <v>936</v>
      </c>
      <c r="C739" s="200" t="s">
        <v>204</v>
      </c>
      <c r="D739" s="649">
        <v>-661700</v>
      </c>
      <c r="E739" s="201">
        <v>45658</v>
      </c>
      <c r="F739" s="200" t="s">
        <v>256</v>
      </c>
      <c r="G739" s="200" t="s">
        <v>256</v>
      </c>
      <c r="H739" s="200" t="s">
        <v>121</v>
      </c>
    </row>
    <row r="740" spans="1:8" ht="15" customHeight="1">
      <c r="A740" s="199">
        <v>45680</v>
      </c>
      <c r="B740" s="202" t="s">
        <v>937</v>
      </c>
      <c r="C740" s="200" t="s">
        <v>204</v>
      </c>
      <c r="D740" s="649">
        <v>-162500</v>
      </c>
      <c r="E740" s="201">
        <v>45658</v>
      </c>
      <c r="F740" s="200" t="s">
        <v>256</v>
      </c>
      <c r="G740" s="200" t="s">
        <v>256</v>
      </c>
      <c r="H740" s="200" t="s">
        <v>121</v>
      </c>
    </row>
    <row r="741" spans="1:8" ht="15" customHeight="1">
      <c r="A741" s="199">
        <v>45680</v>
      </c>
      <c r="B741" s="202" t="s">
        <v>938</v>
      </c>
      <c r="C741" s="200" t="s">
        <v>204</v>
      </c>
      <c r="D741" s="649">
        <v>-2078200</v>
      </c>
      <c r="E741" s="201">
        <v>45658</v>
      </c>
      <c r="F741" s="200" t="s">
        <v>256</v>
      </c>
      <c r="G741" s="200" t="s">
        <v>256</v>
      </c>
      <c r="H741" s="200" t="s">
        <v>121</v>
      </c>
    </row>
    <row r="742" spans="1:8" ht="15" customHeight="1">
      <c r="A742" s="199">
        <v>45680</v>
      </c>
      <c r="B742" s="202" t="s">
        <v>939</v>
      </c>
      <c r="C742" s="200" t="s">
        <v>204</v>
      </c>
      <c r="D742" s="649">
        <v>-803700</v>
      </c>
      <c r="E742" s="201">
        <v>45658</v>
      </c>
      <c r="F742" s="200" t="s">
        <v>256</v>
      </c>
      <c r="G742" s="200" t="s">
        <v>256</v>
      </c>
      <c r="H742" s="200" t="s">
        <v>121</v>
      </c>
    </row>
    <row r="743" spans="1:8" ht="15" customHeight="1">
      <c r="A743" s="199">
        <v>45680</v>
      </c>
      <c r="B743" s="202" t="s">
        <v>940</v>
      </c>
      <c r="C743" s="200" t="s">
        <v>204</v>
      </c>
      <c r="D743" s="649">
        <v>-1104200</v>
      </c>
      <c r="E743" s="201">
        <v>45658</v>
      </c>
      <c r="F743" s="200" t="s">
        <v>256</v>
      </c>
      <c r="G743" s="200" t="s">
        <v>256</v>
      </c>
      <c r="H743" s="200" t="s">
        <v>121</v>
      </c>
    </row>
    <row r="744" spans="1:8" ht="15" customHeight="1">
      <c r="A744" s="199">
        <v>45680</v>
      </c>
      <c r="B744" s="202" t="s">
        <v>941</v>
      </c>
      <c r="C744" s="200" t="s">
        <v>204</v>
      </c>
      <c r="D744" s="649">
        <v>-987700</v>
      </c>
      <c r="E744" s="201">
        <v>45658</v>
      </c>
      <c r="F744" s="200" t="s">
        <v>296</v>
      </c>
      <c r="G744" s="200" t="s">
        <v>341</v>
      </c>
      <c r="H744" s="200" t="s">
        <v>567</v>
      </c>
    </row>
    <row r="745" spans="1:8" ht="15" customHeight="1">
      <c r="A745" s="199">
        <v>45680</v>
      </c>
      <c r="B745" s="202" t="s">
        <v>942</v>
      </c>
      <c r="C745" s="200" t="s">
        <v>204</v>
      </c>
      <c r="D745" s="649">
        <v>-258000</v>
      </c>
      <c r="E745" s="201">
        <v>45658</v>
      </c>
      <c r="F745" s="200" t="s">
        <v>296</v>
      </c>
      <c r="G745" s="200" t="s">
        <v>875</v>
      </c>
      <c r="H745" s="200" t="s">
        <v>567</v>
      </c>
    </row>
    <row r="746" spans="1:8" ht="15" customHeight="1">
      <c r="A746" s="199">
        <v>45680</v>
      </c>
      <c r="B746" s="202" t="s">
        <v>942</v>
      </c>
      <c r="C746" s="200" t="s">
        <v>204</v>
      </c>
      <c r="D746" s="649">
        <v>-258000</v>
      </c>
      <c r="E746" s="201">
        <v>45658</v>
      </c>
      <c r="F746" s="200" t="s">
        <v>296</v>
      </c>
      <c r="G746" s="200" t="s">
        <v>328</v>
      </c>
      <c r="H746" s="200" t="s">
        <v>567</v>
      </c>
    </row>
    <row r="747" spans="1:8" ht="15" customHeight="1">
      <c r="A747" s="199">
        <v>45680</v>
      </c>
      <c r="B747" s="202" t="s">
        <v>942</v>
      </c>
      <c r="C747" s="200" t="s">
        <v>204</v>
      </c>
      <c r="D747" s="649">
        <v>-258000</v>
      </c>
      <c r="E747" s="201">
        <v>45658</v>
      </c>
      <c r="F747" s="200" t="s">
        <v>297</v>
      </c>
      <c r="G747" s="200" t="s">
        <v>75</v>
      </c>
      <c r="H747" s="200" t="s">
        <v>567</v>
      </c>
    </row>
    <row r="748" spans="1:8" ht="15" customHeight="1">
      <c r="A748" s="199">
        <v>45680</v>
      </c>
      <c r="B748" s="202" t="s">
        <v>943</v>
      </c>
      <c r="C748" s="200" t="s">
        <v>204</v>
      </c>
      <c r="D748" s="649">
        <v>-296966.66666666669</v>
      </c>
      <c r="E748" s="201">
        <v>45658</v>
      </c>
      <c r="F748" s="200" t="s">
        <v>296</v>
      </c>
      <c r="G748" s="200" t="s">
        <v>875</v>
      </c>
      <c r="H748" s="200" t="s">
        <v>567</v>
      </c>
    </row>
    <row r="749" spans="1:8" ht="15" customHeight="1">
      <c r="A749" s="199">
        <v>45680</v>
      </c>
      <c r="B749" s="202" t="s">
        <v>943</v>
      </c>
      <c r="C749" s="200" t="s">
        <v>204</v>
      </c>
      <c r="D749" s="649">
        <v>-296966.66666666669</v>
      </c>
      <c r="E749" s="201">
        <v>45658</v>
      </c>
      <c r="F749" s="200" t="s">
        <v>296</v>
      </c>
      <c r="G749" s="200" t="s">
        <v>328</v>
      </c>
      <c r="H749" s="200" t="s">
        <v>567</v>
      </c>
    </row>
    <row r="750" spans="1:8" ht="15" customHeight="1">
      <c r="A750" s="199">
        <v>45680</v>
      </c>
      <c r="B750" s="202" t="s">
        <v>943</v>
      </c>
      <c r="C750" s="200" t="s">
        <v>204</v>
      </c>
      <c r="D750" s="649">
        <v>-296966.66666666669</v>
      </c>
      <c r="E750" s="201">
        <v>45658</v>
      </c>
      <c r="F750" s="200" t="s">
        <v>297</v>
      </c>
      <c r="G750" s="200" t="s">
        <v>75</v>
      </c>
      <c r="H750" s="200" t="s">
        <v>567</v>
      </c>
    </row>
    <row r="751" spans="1:8" ht="15" customHeight="1">
      <c r="A751" s="199">
        <v>45680</v>
      </c>
      <c r="B751" s="202" t="s">
        <v>944</v>
      </c>
      <c r="C751" s="200" t="s">
        <v>204</v>
      </c>
      <c r="D751" s="649">
        <v>-644400</v>
      </c>
      <c r="E751" s="201">
        <v>45658</v>
      </c>
      <c r="F751" s="200" t="s">
        <v>296</v>
      </c>
      <c r="G751" s="200" t="s">
        <v>875</v>
      </c>
      <c r="H751" s="200" t="s">
        <v>567</v>
      </c>
    </row>
    <row r="752" spans="1:8" ht="15" customHeight="1">
      <c r="A752" s="199">
        <v>45680</v>
      </c>
      <c r="B752" s="202" t="s">
        <v>944</v>
      </c>
      <c r="C752" s="200" t="s">
        <v>204</v>
      </c>
      <c r="D752" s="649">
        <v>-644400</v>
      </c>
      <c r="E752" s="201">
        <v>45658</v>
      </c>
      <c r="F752" s="200" t="s">
        <v>296</v>
      </c>
      <c r="G752" s="200" t="s">
        <v>328</v>
      </c>
      <c r="H752" s="200" t="s">
        <v>567</v>
      </c>
    </row>
    <row r="753" spans="1:9" ht="15" customHeight="1">
      <c r="A753" s="199">
        <v>45680</v>
      </c>
      <c r="B753" s="202" t="s">
        <v>944</v>
      </c>
      <c r="C753" s="200" t="s">
        <v>204</v>
      </c>
      <c r="D753" s="649">
        <v>-644400</v>
      </c>
      <c r="E753" s="201">
        <v>45658</v>
      </c>
      <c r="F753" s="200" t="s">
        <v>297</v>
      </c>
      <c r="G753" s="200" t="s">
        <v>75</v>
      </c>
      <c r="H753" s="200" t="s">
        <v>567</v>
      </c>
    </row>
    <row r="754" spans="1:9" ht="15" customHeight="1">
      <c r="A754" s="199">
        <v>45680</v>
      </c>
      <c r="B754" s="202" t="s">
        <v>945</v>
      </c>
      <c r="C754" s="200" t="s">
        <v>204</v>
      </c>
      <c r="D754" s="649">
        <v>-242666.66666666666</v>
      </c>
      <c r="E754" s="201">
        <v>45658</v>
      </c>
      <c r="F754" s="200" t="s">
        <v>296</v>
      </c>
      <c r="G754" s="200" t="s">
        <v>875</v>
      </c>
      <c r="H754" s="200" t="s">
        <v>567</v>
      </c>
    </row>
    <row r="755" spans="1:9" ht="15" customHeight="1">
      <c r="A755" s="199">
        <v>45680</v>
      </c>
      <c r="B755" s="202" t="s">
        <v>945</v>
      </c>
      <c r="C755" s="200" t="s">
        <v>204</v>
      </c>
      <c r="D755" s="649">
        <v>-242666.66666666666</v>
      </c>
      <c r="E755" s="201">
        <v>45658</v>
      </c>
      <c r="F755" s="200" t="s">
        <v>296</v>
      </c>
      <c r="G755" s="200" t="s">
        <v>328</v>
      </c>
      <c r="H755" s="200" t="s">
        <v>567</v>
      </c>
    </row>
    <row r="756" spans="1:9" ht="15" customHeight="1">
      <c r="A756" s="199">
        <v>45680</v>
      </c>
      <c r="B756" s="202" t="s">
        <v>945</v>
      </c>
      <c r="C756" s="200" t="s">
        <v>204</v>
      </c>
      <c r="D756" s="649">
        <v>-242666.66666666666</v>
      </c>
      <c r="E756" s="201">
        <v>45658</v>
      </c>
      <c r="F756" s="200" t="s">
        <v>297</v>
      </c>
      <c r="G756" s="200" t="s">
        <v>75</v>
      </c>
      <c r="H756" s="200" t="s">
        <v>567</v>
      </c>
    </row>
    <row r="757" spans="1:9" ht="15" customHeight="1">
      <c r="A757" s="199">
        <v>45680</v>
      </c>
      <c r="B757" s="202" t="s">
        <v>946</v>
      </c>
      <c r="C757" s="200" t="s">
        <v>204</v>
      </c>
      <c r="D757" s="649">
        <v>-728000</v>
      </c>
      <c r="E757" s="201">
        <v>45658</v>
      </c>
      <c r="F757" s="200" t="s">
        <v>296</v>
      </c>
      <c r="G757" s="200" t="s">
        <v>321</v>
      </c>
      <c r="H757" s="200" t="s">
        <v>338</v>
      </c>
    </row>
    <row r="758" spans="1:9" ht="15" customHeight="1">
      <c r="A758" s="199">
        <v>45680</v>
      </c>
      <c r="B758" s="202" t="s">
        <v>947</v>
      </c>
      <c r="C758" s="200" t="s">
        <v>204</v>
      </c>
      <c r="D758" s="649">
        <v>-134166.66666666666</v>
      </c>
      <c r="E758" s="201">
        <v>45658</v>
      </c>
      <c r="F758" s="200" t="s">
        <v>296</v>
      </c>
      <c r="G758" s="200" t="s">
        <v>875</v>
      </c>
      <c r="H758" s="200" t="s">
        <v>567</v>
      </c>
    </row>
    <row r="759" spans="1:9" ht="15" customHeight="1">
      <c r="A759" s="199">
        <v>45680</v>
      </c>
      <c r="B759" s="202" t="s">
        <v>947</v>
      </c>
      <c r="C759" s="200" t="s">
        <v>204</v>
      </c>
      <c r="D759" s="649">
        <v>-134166.66666666666</v>
      </c>
      <c r="E759" s="201">
        <v>45658</v>
      </c>
      <c r="F759" s="200" t="s">
        <v>296</v>
      </c>
      <c r="G759" s="200" t="s">
        <v>328</v>
      </c>
      <c r="H759" s="200" t="s">
        <v>567</v>
      </c>
    </row>
    <row r="760" spans="1:9" ht="15" customHeight="1">
      <c r="A760" s="199">
        <v>45680</v>
      </c>
      <c r="B760" s="202" t="s">
        <v>947</v>
      </c>
      <c r="C760" s="200" t="s">
        <v>204</v>
      </c>
      <c r="D760" s="649">
        <v>-134166.66666666666</v>
      </c>
      <c r="E760" s="201">
        <v>45658</v>
      </c>
      <c r="F760" s="200" t="s">
        <v>297</v>
      </c>
      <c r="G760" s="200" t="s">
        <v>75</v>
      </c>
      <c r="H760" s="200" t="s">
        <v>567</v>
      </c>
    </row>
    <row r="761" spans="1:9" ht="15" customHeight="1">
      <c r="A761" s="199">
        <v>45680</v>
      </c>
      <c r="B761" s="202" t="s">
        <v>948</v>
      </c>
      <c r="C761" s="200" t="s">
        <v>204</v>
      </c>
      <c r="D761" s="649">
        <v>-897900</v>
      </c>
      <c r="E761" s="201">
        <v>45658</v>
      </c>
      <c r="F761" s="200" t="s">
        <v>256</v>
      </c>
      <c r="G761" s="200" t="s">
        <v>107</v>
      </c>
      <c r="H761" s="200" t="s">
        <v>121</v>
      </c>
    </row>
    <row r="762" spans="1:9" ht="15" customHeight="1">
      <c r="A762" s="199">
        <v>45680</v>
      </c>
      <c r="B762" s="202" t="s">
        <v>949</v>
      </c>
      <c r="C762" s="200" t="s">
        <v>204</v>
      </c>
      <c r="D762" s="649">
        <v>-194133.33333333334</v>
      </c>
      <c r="E762" s="201">
        <v>45658</v>
      </c>
      <c r="F762" s="200" t="s">
        <v>296</v>
      </c>
      <c r="G762" s="200" t="s">
        <v>875</v>
      </c>
      <c r="H762" s="200" t="s">
        <v>567</v>
      </c>
    </row>
    <row r="763" spans="1:9" ht="15" customHeight="1">
      <c r="A763" s="199">
        <v>45680</v>
      </c>
      <c r="B763" s="202" t="s">
        <v>949</v>
      </c>
      <c r="C763" s="200" t="s">
        <v>204</v>
      </c>
      <c r="D763" s="649">
        <v>-194133.33333333334</v>
      </c>
      <c r="E763" s="201">
        <v>45658</v>
      </c>
      <c r="F763" s="200" t="s">
        <v>296</v>
      </c>
      <c r="G763" s="200" t="s">
        <v>328</v>
      </c>
      <c r="H763" s="200" t="s">
        <v>567</v>
      </c>
    </row>
    <row r="764" spans="1:9" ht="15" customHeight="1">
      <c r="A764" s="199">
        <v>45680</v>
      </c>
      <c r="B764" s="202" t="s">
        <v>949</v>
      </c>
      <c r="C764" s="200" t="s">
        <v>204</v>
      </c>
      <c r="D764" s="649">
        <v>-194133.33333333334</v>
      </c>
      <c r="E764" s="201">
        <v>45658</v>
      </c>
      <c r="F764" s="200" t="s">
        <v>297</v>
      </c>
      <c r="G764" s="200" t="s">
        <v>75</v>
      </c>
      <c r="H764" s="200" t="s">
        <v>567</v>
      </c>
    </row>
    <row r="765" spans="1:9" ht="15" customHeight="1">
      <c r="A765" s="199">
        <v>45680</v>
      </c>
      <c r="B765" s="745" t="s">
        <v>950</v>
      </c>
      <c r="C765" s="200" t="s">
        <v>204</v>
      </c>
      <c r="D765" s="649">
        <v>-232833.33333333334</v>
      </c>
      <c r="E765" s="201">
        <v>45658</v>
      </c>
      <c r="F765" s="200" t="s">
        <v>296</v>
      </c>
      <c r="G765" s="200" t="s">
        <v>337</v>
      </c>
      <c r="H765" s="200" t="s">
        <v>338</v>
      </c>
    </row>
    <row r="766" spans="1:9" ht="15" customHeight="1">
      <c r="A766" s="199">
        <v>45680</v>
      </c>
      <c r="B766" s="202" t="s">
        <v>950</v>
      </c>
      <c r="C766" s="200" t="s">
        <v>204</v>
      </c>
      <c r="D766" s="649">
        <v>-232833.33333333334</v>
      </c>
      <c r="E766" s="201">
        <v>45658</v>
      </c>
      <c r="F766" s="200" t="s">
        <v>296</v>
      </c>
      <c r="G766" s="200" t="s">
        <v>44</v>
      </c>
      <c r="H766" s="200" t="s">
        <v>338</v>
      </c>
    </row>
    <row r="767" spans="1:9" ht="15" customHeight="1">
      <c r="A767" s="199">
        <v>45680</v>
      </c>
      <c r="B767" s="745" t="s">
        <v>950</v>
      </c>
      <c r="C767" s="200" t="s">
        <v>204</v>
      </c>
      <c r="D767" s="649">
        <v>-232833.33333333334</v>
      </c>
      <c r="E767" s="201">
        <v>45658</v>
      </c>
      <c r="F767" s="200" t="s">
        <v>296</v>
      </c>
      <c r="G767" s="200" t="s">
        <v>522</v>
      </c>
      <c r="H767" s="200" t="s">
        <v>338</v>
      </c>
    </row>
    <row r="768" spans="1:9" ht="15" customHeight="1">
      <c r="A768" s="199">
        <v>45680</v>
      </c>
      <c r="B768" s="202" t="s">
        <v>951</v>
      </c>
      <c r="C768" s="200" t="s">
        <v>204</v>
      </c>
      <c r="D768" s="649">
        <v>-168933.33333333334</v>
      </c>
      <c r="E768" s="201">
        <v>45658</v>
      </c>
      <c r="F768" s="200" t="s">
        <v>296</v>
      </c>
      <c r="G768" s="200" t="s">
        <v>875</v>
      </c>
      <c r="H768" s="200" t="s">
        <v>567</v>
      </c>
      <c r="I768" s="648" t="s">
        <v>329</v>
      </c>
    </row>
    <row r="769" spans="1:9" ht="15" customHeight="1">
      <c r="A769" s="199">
        <v>45680</v>
      </c>
      <c r="B769" s="202" t="s">
        <v>951</v>
      </c>
      <c r="C769" s="200" t="s">
        <v>204</v>
      </c>
      <c r="D769" s="649">
        <v>-168933.33333333334</v>
      </c>
      <c r="E769" s="201">
        <v>45658</v>
      </c>
      <c r="F769" s="200" t="s">
        <v>296</v>
      </c>
      <c r="G769" s="200" t="s">
        <v>328</v>
      </c>
      <c r="H769" s="200" t="s">
        <v>567</v>
      </c>
      <c r="I769" s="648" t="s">
        <v>329</v>
      </c>
    </row>
    <row r="770" spans="1:9" ht="15" customHeight="1">
      <c r="A770" s="199">
        <v>45680</v>
      </c>
      <c r="B770" s="202" t="s">
        <v>951</v>
      </c>
      <c r="C770" s="200" t="s">
        <v>204</v>
      </c>
      <c r="D770" s="649">
        <v>-168933.33333333334</v>
      </c>
      <c r="E770" s="201">
        <v>45658</v>
      </c>
      <c r="F770" s="200" t="s">
        <v>297</v>
      </c>
      <c r="G770" s="200" t="s">
        <v>75</v>
      </c>
      <c r="H770" s="200" t="s">
        <v>567</v>
      </c>
      <c r="I770" s="648" t="s">
        <v>329</v>
      </c>
    </row>
    <row r="771" spans="1:9" ht="15" customHeight="1">
      <c r="A771" s="199">
        <v>45680</v>
      </c>
      <c r="B771" s="202" t="s">
        <v>952</v>
      </c>
      <c r="C771" s="200" t="s">
        <v>204</v>
      </c>
      <c r="D771" s="649">
        <v>-1021700</v>
      </c>
      <c r="E771" s="201">
        <v>45658</v>
      </c>
      <c r="F771" s="200" t="s">
        <v>256</v>
      </c>
      <c r="G771" s="200" t="s">
        <v>107</v>
      </c>
      <c r="H771" s="200" t="s">
        <v>121</v>
      </c>
    </row>
    <row r="772" spans="1:9" ht="15" customHeight="1">
      <c r="A772" s="199">
        <v>45680</v>
      </c>
      <c r="B772" s="202" t="s">
        <v>953</v>
      </c>
      <c r="C772" s="200" t="s">
        <v>204</v>
      </c>
      <c r="D772" s="649">
        <v>-990800</v>
      </c>
      <c r="E772" s="201">
        <v>45658</v>
      </c>
      <c r="F772" s="200" t="s">
        <v>296</v>
      </c>
      <c r="G772" s="200" t="s">
        <v>453</v>
      </c>
      <c r="H772" s="200" t="s">
        <v>923</v>
      </c>
    </row>
    <row r="773" spans="1:9" ht="15" customHeight="1">
      <c r="A773" s="199">
        <v>45680</v>
      </c>
      <c r="B773" s="202" t="s">
        <v>954</v>
      </c>
      <c r="C773" s="200" t="s">
        <v>204</v>
      </c>
      <c r="D773" s="649">
        <v>-532400</v>
      </c>
      <c r="E773" s="201">
        <v>45658</v>
      </c>
      <c r="F773" s="200" t="s">
        <v>297</v>
      </c>
      <c r="G773" s="200" t="s">
        <v>388</v>
      </c>
      <c r="H773" s="200" t="s">
        <v>342</v>
      </c>
    </row>
    <row r="774" spans="1:9" ht="15" customHeight="1">
      <c r="A774" s="199">
        <v>45680</v>
      </c>
      <c r="B774" s="202" t="s">
        <v>955</v>
      </c>
      <c r="C774" s="200" t="s">
        <v>204</v>
      </c>
      <c r="D774" s="649">
        <v>-532400</v>
      </c>
      <c r="E774" s="201">
        <v>45658</v>
      </c>
      <c r="F774" s="200" t="s">
        <v>297</v>
      </c>
      <c r="G774" s="200" t="s">
        <v>388</v>
      </c>
      <c r="H774" s="200" t="s">
        <v>342</v>
      </c>
    </row>
    <row r="775" spans="1:9" ht="15" customHeight="1">
      <c r="A775" s="199">
        <v>45680</v>
      </c>
      <c r="B775" s="202" t="s">
        <v>956</v>
      </c>
      <c r="C775" s="200" t="s">
        <v>204</v>
      </c>
      <c r="D775" s="649">
        <v>-232200</v>
      </c>
      <c r="E775" s="201">
        <v>45658</v>
      </c>
      <c r="F775" s="200" t="s">
        <v>297</v>
      </c>
      <c r="G775" s="200" t="s">
        <v>388</v>
      </c>
      <c r="H775" s="200" t="s">
        <v>342</v>
      </c>
    </row>
    <row r="776" spans="1:9" ht="15" customHeight="1">
      <c r="A776" s="199">
        <v>45680</v>
      </c>
      <c r="B776" s="202" t="s">
        <v>957</v>
      </c>
      <c r="C776" s="200" t="s">
        <v>204</v>
      </c>
      <c r="D776" s="649">
        <v>-873500</v>
      </c>
      <c r="E776" s="201">
        <v>45658</v>
      </c>
      <c r="F776" s="200" t="s">
        <v>297</v>
      </c>
      <c r="G776" s="200" t="s">
        <v>388</v>
      </c>
      <c r="H776" s="200" t="s">
        <v>342</v>
      </c>
      <c r="I776" s="648" t="s">
        <v>329</v>
      </c>
    </row>
    <row r="777" spans="1:9" ht="15" customHeight="1">
      <c r="A777" s="199">
        <v>45674</v>
      </c>
      <c r="B777" s="202" t="s">
        <v>958</v>
      </c>
      <c r="C777" s="531" t="s">
        <v>398</v>
      </c>
      <c r="D777" s="658">
        <v>-135437.04</v>
      </c>
      <c r="E777" s="532">
        <v>45658</v>
      </c>
      <c r="F777" s="200" t="s">
        <v>256</v>
      </c>
      <c r="G777" s="200" t="s">
        <v>256</v>
      </c>
      <c r="H777" s="541" t="s">
        <v>266</v>
      </c>
    </row>
    <row r="778" spans="1:9" ht="15" customHeight="1">
      <c r="A778" s="199">
        <v>45676</v>
      </c>
      <c r="B778" s="202" t="s">
        <v>959</v>
      </c>
      <c r="C778" s="531" t="s">
        <v>398</v>
      </c>
      <c r="D778" s="658">
        <v>-191746.23</v>
      </c>
      <c r="E778" s="532">
        <v>45658</v>
      </c>
      <c r="F778" s="200" t="s">
        <v>256</v>
      </c>
      <c r="G778" s="200" t="s">
        <v>256</v>
      </c>
      <c r="H778" s="541" t="s">
        <v>266</v>
      </c>
    </row>
    <row r="779" spans="1:9" ht="15" customHeight="1">
      <c r="A779" s="199">
        <v>45677</v>
      </c>
      <c r="B779" s="202" t="s">
        <v>960</v>
      </c>
      <c r="C779" s="531" t="s">
        <v>398</v>
      </c>
      <c r="D779" s="658">
        <v>-22372</v>
      </c>
      <c r="E779" s="532">
        <v>45658</v>
      </c>
      <c r="F779" s="200" t="s">
        <v>256</v>
      </c>
      <c r="G779" s="200" t="s">
        <v>107</v>
      </c>
      <c r="H779" s="200" t="s">
        <v>9</v>
      </c>
    </row>
    <row r="780" spans="1:9" ht="15" customHeight="1">
      <c r="A780" s="199">
        <v>45677</v>
      </c>
      <c r="B780" s="202" t="s">
        <v>960</v>
      </c>
      <c r="C780" s="531" t="s">
        <v>398</v>
      </c>
      <c r="D780" s="658">
        <v>-17400</v>
      </c>
      <c r="E780" s="532">
        <v>45658</v>
      </c>
      <c r="F780" s="200" t="s">
        <v>256</v>
      </c>
      <c r="G780" s="200" t="s">
        <v>107</v>
      </c>
      <c r="H780" s="200" t="s">
        <v>9</v>
      </c>
    </row>
    <row r="781" spans="1:9" ht="15" customHeight="1">
      <c r="A781" s="199">
        <v>45677</v>
      </c>
      <c r="B781" s="202" t="s">
        <v>961</v>
      </c>
      <c r="C781" s="531" t="s">
        <v>398</v>
      </c>
      <c r="D781" s="658">
        <v>-376070</v>
      </c>
      <c r="E781" s="532">
        <v>45658</v>
      </c>
      <c r="F781" s="200" t="s">
        <v>256</v>
      </c>
      <c r="G781" s="200" t="s">
        <v>107</v>
      </c>
      <c r="H781" s="200" t="s">
        <v>277</v>
      </c>
    </row>
    <row r="782" spans="1:9" ht="15" customHeight="1">
      <c r="A782" s="199">
        <v>45677</v>
      </c>
      <c r="B782" s="202" t="s">
        <v>962</v>
      </c>
      <c r="C782" s="531" t="s">
        <v>398</v>
      </c>
      <c r="D782" s="658">
        <v>-2637623.5299999998</v>
      </c>
      <c r="E782" s="532">
        <v>45658</v>
      </c>
      <c r="F782" s="200" t="s">
        <v>256</v>
      </c>
      <c r="G782" s="200" t="s">
        <v>256</v>
      </c>
      <c r="H782" s="541" t="s">
        <v>266</v>
      </c>
    </row>
    <row r="783" spans="1:9" ht="15" customHeight="1">
      <c r="A783" s="199">
        <v>45677</v>
      </c>
      <c r="B783" s="202" t="s">
        <v>963</v>
      </c>
      <c r="C783" s="531" t="s">
        <v>398</v>
      </c>
      <c r="D783" s="658">
        <v>-43659.91</v>
      </c>
      <c r="E783" s="532">
        <v>45658</v>
      </c>
      <c r="F783" s="200" t="s">
        <v>256</v>
      </c>
      <c r="G783" s="200" t="s">
        <v>256</v>
      </c>
      <c r="H783" s="541" t="s">
        <v>266</v>
      </c>
    </row>
    <row r="784" spans="1:9" ht="15" customHeight="1">
      <c r="A784" s="199">
        <v>45678</v>
      </c>
      <c r="B784" s="202" t="s">
        <v>964</v>
      </c>
      <c r="C784" s="531" t="s">
        <v>398</v>
      </c>
      <c r="D784" s="658">
        <v>-7000</v>
      </c>
      <c r="E784" s="532">
        <v>45658</v>
      </c>
      <c r="F784" s="200" t="s">
        <v>256</v>
      </c>
      <c r="G784" s="200" t="s">
        <v>107</v>
      </c>
      <c r="H784" s="200" t="s">
        <v>277</v>
      </c>
    </row>
    <row r="785" spans="1:9" ht="15" customHeight="1">
      <c r="A785" s="199">
        <v>45678</v>
      </c>
      <c r="B785" s="202" t="s">
        <v>965</v>
      </c>
      <c r="C785" s="531" t="s">
        <v>398</v>
      </c>
      <c r="D785" s="658">
        <v>-36500</v>
      </c>
      <c r="E785" s="532">
        <v>45658</v>
      </c>
      <c r="F785" s="200" t="s">
        <v>256</v>
      </c>
      <c r="G785" s="200" t="s">
        <v>107</v>
      </c>
      <c r="H785" s="200" t="s">
        <v>277</v>
      </c>
    </row>
    <row r="786" spans="1:9" ht="15" customHeight="1">
      <c r="A786" s="199">
        <v>45678</v>
      </c>
      <c r="B786" s="202" t="s">
        <v>964</v>
      </c>
      <c r="C786" s="531" t="s">
        <v>398</v>
      </c>
      <c r="D786" s="658">
        <v>-31800</v>
      </c>
      <c r="E786" s="532">
        <v>45658</v>
      </c>
      <c r="F786" s="200" t="s">
        <v>256</v>
      </c>
      <c r="G786" s="200" t="s">
        <v>107</v>
      </c>
      <c r="H786" s="200" t="s">
        <v>277</v>
      </c>
    </row>
    <row r="787" spans="1:9" ht="15" customHeight="1">
      <c r="A787" s="199">
        <v>45679</v>
      </c>
      <c r="B787" s="202" t="s">
        <v>966</v>
      </c>
      <c r="C787" s="531" t="s">
        <v>398</v>
      </c>
      <c r="D787" s="658">
        <v>-85113</v>
      </c>
      <c r="E787" s="532">
        <v>45658</v>
      </c>
      <c r="F787" s="200" t="s">
        <v>256</v>
      </c>
      <c r="G787" s="200" t="s">
        <v>107</v>
      </c>
      <c r="H787" s="200" t="s">
        <v>277</v>
      </c>
    </row>
    <row r="788" spans="1:9" ht="15" customHeight="1">
      <c r="A788" s="199">
        <v>45679</v>
      </c>
      <c r="B788" s="202" t="s">
        <v>964</v>
      </c>
      <c r="C788" s="531" t="s">
        <v>398</v>
      </c>
      <c r="D788" s="658">
        <v>-21000</v>
      </c>
      <c r="E788" s="532">
        <v>45658</v>
      </c>
      <c r="F788" s="200" t="s">
        <v>256</v>
      </c>
      <c r="G788" s="200" t="s">
        <v>107</v>
      </c>
      <c r="H788" s="200" t="s">
        <v>277</v>
      </c>
    </row>
    <row r="789" spans="1:9" ht="15" customHeight="1">
      <c r="A789" s="199">
        <v>45679</v>
      </c>
      <c r="B789" s="202" t="s">
        <v>964</v>
      </c>
      <c r="C789" s="531" t="s">
        <v>398</v>
      </c>
      <c r="D789" s="658">
        <v>-38900</v>
      </c>
      <c r="E789" s="532">
        <v>45658</v>
      </c>
      <c r="F789" s="200" t="s">
        <v>256</v>
      </c>
      <c r="G789" s="200" t="s">
        <v>107</v>
      </c>
      <c r="H789" s="200" t="s">
        <v>277</v>
      </c>
    </row>
    <row r="790" spans="1:9" ht="15" customHeight="1">
      <c r="A790" s="199">
        <v>45681</v>
      </c>
      <c r="B790" s="202" t="s">
        <v>967</v>
      </c>
      <c r="C790" s="531" t="s">
        <v>398</v>
      </c>
      <c r="D790" s="658">
        <v>-49500</v>
      </c>
      <c r="E790" s="532">
        <v>45658</v>
      </c>
      <c r="F790" s="200" t="s">
        <v>256</v>
      </c>
      <c r="G790" s="200" t="s">
        <v>107</v>
      </c>
      <c r="H790" s="200" t="s">
        <v>277</v>
      </c>
    </row>
    <row r="791" spans="1:9" ht="15" customHeight="1">
      <c r="A791" s="199">
        <v>45680</v>
      </c>
      <c r="B791" s="202" t="s">
        <v>968</v>
      </c>
      <c r="C791" s="531" t="s">
        <v>398</v>
      </c>
      <c r="D791" s="658">
        <v>-128700</v>
      </c>
      <c r="E791" s="532">
        <v>45658</v>
      </c>
      <c r="F791" s="200" t="s">
        <v>256</v>
      </c>
      <c r="G791" s="200" t="s">
        <v>107</v>
      </c>
      <c r="H791" s="200" t="s">
        <v>277</v>
      </c>
    </row>
    <row r="792" spans="1:9" ht="15" customHeight="1">
      <c r="A792" s="199">
        <v>45680</v>
      </c>
      <c r="B792" s="202" t="s">
        <v>969</v>
      </c>
      <c r="C792" s="531" t="s">
        <v>398</v>
      </c>
      <c r="D792" s="658">
        <v>-218500</v>
      </c>
      <c r="E792" s="532">
        <v>45658</v>
      </c>
      <c r="F792" s="200" t="s">
        <v>256</v>
      </c>
      <c r="G792" s="200" t="s">
        <v>107</v>
      </c>
      <c r="H792" s="200" t="s">
        <v>277</v>
      </c>
    </row>
    <row r="793" spans="1:9" ht="15" customHeight="1">
      <c r="A793" s="199">
        <v>45678</v>
      </c>
      <c r="B793" s="202" t="s">
        <v>970</v>
      </c>
      <c r="C793" s="200" t="s">
        <v>136</v>
      </c>
      <c r="D793" s="668">
        <v>1670461</v>
      </c>
      <c r="E793" s="201">
        <v>45658</v>
      </c>
      <c r="F793" s="200" t="s">
        <v>295</v>
      </c>
    </row>
    <row r="794" spans="1:9" ht="15" customHeight="1">
      <c r="A794" s="199">
        <v>45678</v>
      </c>
      <c r="B794" s="202" t="s">
        <v>970</v>
      </c>
      <c r="C794" s="200" t="s">
        <v>136</v>
      </c>
      <c r="D794" s="668">
        <v>1329820</v>
      </c>
      <c r="E794" s="201">
        <v>45658</v>
      </c>
      <c r="F794" s="200" t="s">
        <v>295</v>
      </c>
    </row>
    <row r="795" spans="1:9" ht="15" customHeight="1">
      <c r="A795" s="199">
        <v>45680</v>
      </c>
      <c r="B795" s="202" t="s">
        <v>971</v>
      </c>
      <c r="C795" s="200" t="s">
        <v>136</v>
      </c>
      <c r="D795" s="668">
        <v>3758288</v>
      </c>
      <c r="E795" s="201">
        <v>45658</v>
      </c>
      <c r="F795" s="200" t="s">
        <v>295</v>
      </c>
    </row>
    <row r="796" spans="1:9" ht="15" customHeight="1">
      <c r="A796" s="199">
        <v>45680</v>
      </c>
      <c r="B796" s="202" t="s">
        <v>972</v>
      </c>
      <c r="C796" s="200" t="s">
        <v>136</v>
      </c>
      <c r="D796" s="668">
        <v>-11600</v>
      </c>
      <c r="E796" s="201">
        <v>45658</v>
      </c>
      <c r="F796" s="200" t="s">
        <v>296</v>
      </c>
      <c r="G796" s="200" t="s">
        <v>453</v>
      </c>
      <c r="H796" s="200" t="s">
        <v>98</v>
      </c>
    </row>
    <row r="797" spans="1:9" ht="15" customHeight="1">
      <c r="A797" s="199">
        <v>45674</v>
      </c>
      <c r="B797" s="202" t="s">
        <v>970</v>
      </c>
      <c r="C797" s="200" t="s">
        <v>136</v>
      </c>
      <c r="D797" s="668">
        <v>485775</v>
      </c>
      <c r="E797" s="201">
        <v>45658</v>
      </c>
      <c r="F797" s="200" t="s">
        <v>295</v>
      </c>
    </row>
    <row r="798" spans="1:9" ht="15" customHeight="1">
      <c r="A798" s="199">
        <v>45674</v>
      </c>
      <c r="B798" s="202" t="s">
        <v>625</v>
      </c>
      <c r="C798" s="200" t="s">
        <v>136</v>
      </c>
      <c r="D798" s="668">
        <v>-402565</v>
      </c>
      <c r="E798" s="201">
        <v>45658</v>
      </c>
      <c r="F798" s="200" t="s">
        <v>296</v>
      </c>
      <c r="G798" s="200" t="s">
        <v>337</v>
      </c>
      <c r="H798" s="200" t="s">
        <v>429</v>
      </c>
    </row>
    <row r="799" spans="1:9" s="679" customFormat="1" ht="15" customHeight="1" thickBot="1">
      <c r="A799" s="675">
        <v>45674</v>
      </c>
      <c r="B799" s="676" t="s">
        <v>629</v>
      </c>
      <c r="C799" s="677" t="s">
        <v>136</v>
      </c>
      <c r="D799" s="681">
        <v>-352245.67</v>
      </c>
      <c r="E799" s="678">
        <v>45658</v>
      </c>
      <c r="F799" s="677" t="s">
        <v>296</v>
      </c>
      <c r="G799" s="677" t="s">
        <v>337</v>
      </c>
      <c r="H799" s="677" t="s">
        <v>429</v>
      </c>
      <c r="I799" s="677"/>
    </row>
    <row r="800" spans="1:9" ht="15" customHeight="1">
      <c r="A800" s="671">
        <v>45680</v>
      </c>
      <c r="B800" s="672" t="s">
        <v>973</v>
      </c>
      <c r="C800" s="673" t="s">
        <v>204</v>
      </c>
      <c r="D800" s="680">
        <v>100000000</v>
      </c>
      <c r="E800" s="674">
        <v>45658</v>
      </c>
      <c r="F800" s="673" t="s">
        <v>652</v>
      </c>
      <c r="G800" s="673" t="s">
        <v>522</v>
      </c>
      <c r="H800" s="673"/>
      <c r="I800" s="673"/>
    </row>
    <row r="801" spans="1:9" ht="15" customHeight="1">
      <c r="A801" s="199">
        <v>45678</v>
      </c>
      <c r="B801" s="202" t="s">
        <v>974</v>
      </c>
      <c r="C801" s="200" t="s">
        <v>204</v>
      </c>
      <c r="D801" s="649">
        <v>200000000</v>
      </c>
      <c r="E801" s="201">
        <v>45658</v>
      </c>
      <c r="F801" s="200" t="s">
        <v>652</v>
      </c>
      <c r="G801" s="200" t="s">
        <v>44</v>
      </c>
    </row>
    <row r="802" spans="1:9" ht="15" customHeight="1">
      <c r="A802" s="199">
        <v>45667</v>
      </c>
      <c r="B802" s="202" t="s">
        <v>975</v>
      </c>
      <c r="C802" s="200" t="s">
        <v>307</v>
      </c>
      <c r="D802" s="204">
        <v>-889500</v>
      </c>
      <c r="E802" s="201">
        <v>45658</v>
      </c>
      <c r="F802" s="200" t="s">
        <v>296</v>
      </c>
      <c r="G802" s="200" t="s">
        <v>44</v>
      </c>
      <c r="H802" s="200" t="s">
        <v>429</v>
      </c>
      <c r="I802" s="200" t="s">
        <v>976</v>
      </c>
    </row>
    <row r="803" spans="1:9" ht="15" customHeight="1">
      <c r="A803" s="199">
        <v>45670</v>
      </c>
      <c r="B803" s="202" t="s">
        <v>977</v>
      </c>
      <c r="C803" s="200" t="s">
        <v>307</v>
      </c>
      <c r="D803" s="204">
        <v>-40000</v>
      </c>
      <c r="E803" s="201">
        <v>45658</v>
      </c>
      <c r="F803" s="200" t="s">
        <v>296</v>
      </c>
      <c r="G803" s="200" t="s">
        <v>44</v>
      </c>
      <c r="H803" s="200" t="s">
        <v>326</v>
      </c>
      <c r="I803" s="200" t="s">
        <v>976</v>
      </c>
    </row>
    <row r="804" spans="1:9" ht="15" customHeight="1">
      <c r="A804" s="199">
        <v>45670</v>
      </c>
      <c r="B804" s="202" t="s">
        <v>978</v>
      </c>
      <c r="C804" s="200" t="s">
        <v>307</v>
      </c>
      <c r="D804" s="204">
        <v>-9000</v>
      </c>
      <c r="E804" s="201">
        <v>45658</v>
      </c>
      <c r="F804" s="200" t="s">
        <v>296</v>
      </c>
      <c r="G804" s="200" t="s">
        <v>44</v>
      </c>
      <c r="H804" s="200" t="s">
        <v>429</v>
      </c>
      <c r="I804" s="200" t="s">
        <v>976</v>
      </c>
    </row>
    <row r="805" spans="1:9" ht="15" customHeight="1">
      <c r="A805" s="199">
        <v>45670</v>
      </c>
      <c r="B805" s="202" t="s">
        <v>979</v>
      </c>
      <c r="C805" s="200" t="s">
        <v>307</v>
      </c>
      <c r="D805" s="204">
        <v>-522000</v>
      </c>
      <c r="E805" s="201">
        <v>45658</v>
      </c>
      <c r="F805" s="200" t="s">
        <v>296</v>
      </c>
      <c r="G805" s="200" t="s">
        <v>44</v>
      </c>
      <c r="H805" s="200" t="s">
        <v>429</v>
      </c>
      <c r="I805" s="200" t="s">
        <v>976</v>
      </c>
    </row>
    <row r="806" spans="1:9" ht="15" customHeight="1">
      <c r="A806" s="199">
        <v>45671</v>
      </c>
      <c r="B806" s="202" t="s">
        <v>980</v>
      </c>
      <c r="C806" s="200" t="s">
        <v>307</v>
      </c>
      <c r="D806" s="204">
        <v>-145000</v>
      </c>
      <c r="E806" s="201">
        <v>45658</v>
      </c>
      <c r="F806" s="200" t="s">
        <v>296</v>
      </c>
      <c r="G806" s="200" t="s">
        <v>44</v>
      </c>
      <c r="H806" s="200" t="s">
        <v>326</v>
      </c>
      <c r="I806" s="200" t="s">
        <v>976</v>
      </c>
    </row>
    <row r="807" spans="1:9" ht="15" customHeight="1">
      <c r="A807" s="199">
        <v>45671</v>
      </c>
      <c r="B807" s="202" t="s">
        <v>981</v>
      </c>
      <c r="C807" s="200" t="s">
        <v>307</v>
      </c>
      <c r="D807" s="204">
        <v>-241000</v>
      </c>
      <c r="E807" s="201">
        <v>45658</v>
      </c>
      <c r="F807" s="200" t="s">
        <v>296</v>
      </c>
      <c r="G807" s="200" t="s">
        <v>44</v>
      </c>
      <c r="H807" s="200" t="s">
        <v>488</v>
      </c>
      <c r="I807" s="648" t="s">
        <v>329</v>
      </c>
    </row>
    <row r="808" spans="1:9" ht="15" customHeight="1">
      <c r="A808" s="199">
        <v>45679</v>
      </c>
      <c r="B808" s="202" t="s">
        <v>982</v>
      </c>
      <c r="C808" s="200" t="s">
        <v>136</v>
      </c>
      <c r="D808" s="204">
        <v>18789961</v>
      </c>
      <c r="E808" s="201">
        <v>45658</v>
      </c>
      <c r="F808" s="200" t="s">
        <v>983</v>
      </c>
      <c r="G808" s="200" t="s">
        <v>984</v>
      </c>
    </row>
    <row r="809" spans="1:9" ht="15" customHeight="1">
      <c r="A809" s="199">
        <v>45679</v>
      </c>
      <c r="B809" s="202" t="s">
        <v>985</v>
      </c>
      <c r="C809" s="200" t="s">
        <v>204</v>
      </c>
      <c r="D809" s="649">
        <v>-2645000</v>
      </c>
      <c r="E809" s="201">
        <v>45658</v>
      </c>
      <c r="F809" s="200" t="s">
        <v>296</v>
      </c>
      <c r="G809" s="200" t="s">
        <v>337</v>
      </c>
      <c r="H809" s="200" t="s">
        <v>421</v>
      </c>
    </row>
    <row r="810" spans="1:9" ht="15" customHeight="1">
      <c r="A810" s="199">
        <v>45680</v>
      </c>
      <c r="B810" s="202" t="s">
        <v>986</v>
      </c>
      <c r="C810" s="200" t="s">
        <v>204</v>
      </c>
      <c r="D810" s="649">
        <v>-63284</v>
      </c>
      <c r="E810" s="201">
        <v>45658</v>
      </c>
      <c r="F810" s="200" t="s">
        <v>256</v>
      </c>
      <c r="G810" s="200" t="s">
        <v>256</v>
      </c>
      <c r="H810" s="531" t="s">
        <v>386</v>
      </c>
    </row>
    <row r="811" spans="1:9" ht="15" customHeight="1">
      <c r="A811" s="199">
        <v>45680</v>
      </c>
      <c r="B811" s="202" t="s">
        <v>987</v>
      </c>
      <c r="C811" s="200" t="s">
        <v>204</v>
      </c>
      <c r="D811" s="649">
        <v>-41650</v>
      </c>
      <c r="E811" s="201">
        <v>45658</v>
      </c>
      <c r="F811" s="200" t="s">
        <v>256</v>
      </c>
      <c r="G811" s="200" t="s">
        <v>256</v>
      </c>
      <c r="H811" s="531" t="s">
        <v>386</v>
      </c>
    </row>
    <row r="812" spans="1:9" ht="15" customHeight="1">
      <c r="A812" s="199">
        <v>45674</v>
      </c>
      <c r="B812" s="202" t="s">
        <v>672</v>
      </c>
      <c r="C812" s="200" t="s">
        <v>136</v>
      </c>
      <c r="D812" s="668">
        <v>352244.67</v>
      </c>
      <c r="E812" s="201">
        <v>45658</v>
      </c>
      <c r="F812" s="200" t="s">
        <v>296</v>
      </c>
      <c r="G812" s="200" t="s">
        <v>337</v>
      </c>
      <c r="H812" s="200" t="s">
        <v>429</v>
      </c>
    </row>
    <row r="813" spans="1:9" ht="15" customHeight="1">
      <c r="A813" s="199">
        <v>45681</v>
      </c>
      <c r="B813" s="202" t="s">
        <v>988</v>
      </c>
      <c r="C813" s="200" t="s">
        <v>204</v>
      </c>
      <c r="D813" s="649">
        <v>-179264</v>
      </c>
      <c r="E813" s="201">
        <v>45658</v>
      </c>
      <c r="F813" s="200" t="s">
        <v>296</v>
      </c>
      <c r="G813" s="200" t="s">
        <v>321</v>
      </c>
      <c r="H813" s="200" t="s">
        <v>366</v>
      </c>
    </row>
    <row r="814" spans="1:9" ht="15" customHeight="1">
      <c r="A814" s="199">
        <v>45681</v>
      </c>
      <c r="B814" s="202" t="s">
        <v>988</v>
      </c>
      <c r="C814" s="200" t="s">
        <v>204</v>
      </c>
      <c r="D814" s="649">
        <v>-41546</v>
      </c>
      <c r="E814" s="201">
        <v>45658</v>
      </c>
      <c r="F814" s="200" t="s">
        <v>296</v>
      </c>
      <c r="G814" s="200" t="s">
        <v>341</v>
      </c>
      <c r="H814" s="200" t="s">
        <v>364</v>
      </c>
    </row>
    <row r="815" spans="1:9" ht="15" customHeight="1">
      <c r="A815" s="199">
        <v>45681</v>
      </c>
      <c r="B815" s="202" t="s">
        <v>988</v>
      </c>
      <c r="C815" s="200" t="s">
        <v>204</v>
      </c>
      <c r="D815" s="649">
        <v>-12494</v>
      </c>
      <c r="E815" s="201">
        <v>45658</v>
      </c>
      <c r="F815" s="200" t="s">
        <v>296</v>
      </c>
      <c r="G815" s="200" t="s">
        <v>390</v>
      </c>
      <c r="H815" s="200" t="s">
        <v>364</v>
      </c>
      <c r="I815" s="648" t="s">
        <v>329</v>
      </c>
    </row>
    <row r="816" spans="1:9" ht="15" customHeight="1">
      <c r="A816" s="199">
        <v>45681</v>
      </c>
      <c r="B816" s="202" t="s">
        <v>988</v>
      </c>
      <c r="C816" s="200" t="s">
        <v>204</v>
      </c>
      <c r="D816" s="649">
        <v>-5521206</v>
      </c>
      <c r="E816" s="201">
        <v>45658</v>
      </c>
      <c r="F816" s="200" t="s">
        <v>296</v>
      </c>
      <c r="G816" s="200" t="s">
        <v>341</v>
      </c>
      <c r="H816" s="200" t="s">
        <v>364</v>
      </c>
      <c r="I816" s="648" t="s">
        <v>329</v>
      </c>
    </row>
    <row r="817" spans="1:9" ht="15" customHeight="1">
      <c r="A817" s="199">
        <v>45681</v>
      </c>
      <c r="B817" s="202" t="s">
        <v>988</v>
      </c>
      <c r="C817" s="200" t="s">
        <v>204</v>
      </c>
      <c r="D817" s="649">
        <v>-1098810</v>
      </c>
      <c r="E817" s="201">
        <v>45658</v>
      </c>
      <c r="F817" s="200" t="s">
        <v>296</v>
      </c>
      <c r="G817" s="200" t="s">
        <v>321</v>
      </c>
      <c r="H817" s="200" t="s">
        <v>366</v>
      </c>
    </row>
    <row r="818" spans="1:9" ht="15" customHeight="1">
      <c r="A818" s="199">
        <v>45681</v>
      </c>
      <c r="B818" s="202" t="s">
        <v>988</v>
      </c>
      <c r="C818" s="200" t="s">
        <v>204</v>
      </c>
      <c r="D818" s="649">
        <v>-273366</v>
      </c>
      <c r="E818" s="201">
        <v>45658</v>
      </c>
      <c r="F818" s="200" t="s">
        <v>296</v>
      </c>
      <c r="G818" s="200" t="s">
        <v>482</v>
      </c>
      <c r="H818" s="200" t="s">
        <v>364</v>
      </c>
      <c r="I818" s="648" t="s">
        <v>329</v>
      </c>
    </row>
    <row r="819" spans="1:9" ht="15" customHeight="1">
      <c r="A819" s="199">
        <v>45681</v>
      </c>
      <c r="B819" s="202" t="s">
        <v>988</v>
      </c>
      <c r="C819" s="200" t="s">
        <v>204</v>
      </c>
      <c r="D819" s="649">
        <v>-29859650</v>
      </c>
      <c r="E819" s="201">
        <v>45658</v>
      </c>
      <c r="F819" s="200" t="s">
        <v>296</v>
      </c>
      <c r="G819" s="200" t="s">
        <v>321</v>
      </c>
      <c r="H819" s="200" t="s">
        <v>366</v>
      </c>
      <c r="I819" s="648" t="s">
        <v>329</v>
      </c>
    </row>
    <row r="820" spans="1:9" ht="15" customHeight="1">
      <c r="A820" s="199">
        <v>45681</v>
      </c>
      <c r="B820" s="202" t="s">
        <v>988</v>
      </c>
      <c r="C820" s="200" t="s">
        <v>204</v>
      </c>
      <c r="D820" s="649">
        <v>-181900</v>
      </c>
      <c r="E820" s="201">
        <v>45658</v>
      </c>
      <c r="F820" s="200" t="s">
        <v>297</v>
      </c>
      <c r="G820" s="200" t="s">
        <v>69</v>
      </c>
      <c r="H820" s="200" t="s">
        <v>364</v>
      </c>
      <c r="I820" s="648" t="s">
        <v>329</v>
      </c>
    </row>
    <row r="821" spans="1:9" s="664" customFormat="1" ht="15" customHeight="1">
      <c r="A821" s="663">
        <v>45686</v>
      </c>
      <c r="B821" s="648" t="s">
        <v>989</v>
      </c>
      <c r="C821" s="648" t="s">
        <v>307</v>
      </c>
      <c r="D821" s="649">
        <v>-29000</v>
      </c>
      <c r="E821" s="665">
        <v>45658</v>
      </c>
      <c r="F821" s="648" t="s">
        <v>296</v>
      </c>
      <c r="G821" s="648" t="s">
        <v>513</v>
      </c>
      <c r="H821" s="648" t="s">
        <v>364</v>
      </c>
      <c r="I821" s="648"/>
    </row>
    <row r="822" spans="1:9" ht="15" customHeight="1">
      <c r="A822" s="199">
        <v>45686</v>
      </c>
      <c r="B822" s="202" t="s">
        <v>990</v>
      </c>
      <c r="C822" s="200" t="s">
        <v>307</v>
      </c>
      <c r="D822" s="204">
        <v>-37400</v>
      </c>
      <c r="E822" s="201">
        <v>45658</v>
      </c>
      <c r="F822" s="200" t="s">
        <v>296</v>
      </c>
      <c r="G822" s="200" t="s">
        <v>44</v>
      </c>
      <c r="H822" s="200" t="s">
        <v>442</v>
      </c>
      <c r="I822" s="200" t="s">
        <v>685</v>
      </c>
    </row>
    <row r="823" spans="1:9" ht="15" customHeight="1">
      <c r="A823" s="199">
        <v>45684</v>
      </c>
      <c r="B823" s="202" t="s">
        <v>991</v>
      </c>
      <c r="C823" s="200" t="s">
        <v>307</v>
      </c>
      <c r="D823" s="204">
        <v>-114560</v>
      </c>
      <c r="E823" s="201">
        <v>45658</v>
      </c>
      <c r="F823" s="200" t="s">
        <v>296</v>
      </c>
      <c r="G823" s="200" t="s">
        <v>337</v>
      </c>
      <c r="H823" s="200" t="s">
        <v>366</v>
      </c>
      <c r="I823" s="200" t="s">
        <v>685</v>
      </c>
    </row>
    <row r="824" spans="1:9" ht="15" customHeight="1">
      <c r="A824" s="199">
        <v>45684</v>
      </c>
      <c r="B824" s="202" t="s">
        <v>992</v>
      </c>
      <c r="C824" s="200" t="s">
        <v>307</v>
      </c>
      <c r="D824" s="204">
        <v>-90100</v>
      </c>
      <c r="E824" s="201">
        <v>45658</v>
      </c>
      <c r="F824" s="200" t="s">
        <v>296</v>
      </c>
      <c r="G824" s="200" t="s">
        <v>337</v>
      </c>
      <c r="H824" s="200" t="s">
        <v>366</v>
      </c>
      <c r="I824" s="200" t="s">
        <v>685</v>
      </c>
    </row>
    <row r="825" spans="1:9" ht="15" customHeight="1">
      <c r="A825" s="199">
        <v>45684</v>
      </c>
      <c r="B825" s="202" t="s">
        <v>993</v>
      </c>
      <c r="C825" s="200" t="s">
        <v>307</v>
      </c>
      <c r="D825" s="204">
        <v>-191000</v>
      </c>
      <c r="E825" s="201">
        <v>45658</v>
      </c>
      <c r="F825" s="200" t="s">
        <v>296</v>
      </c>
      <c r="G825" s="200" t="s">
        <v>337</v>
      </c>
      <c r="H825" s="200" t="s">
        <v>366</v>
      </c>
      <c r="I825" s="200" t="s">
        <v>685</v>
      </c>
    </row>
    <row r="826" spans="1:9" ht="15" customHeight="1">
      <c r="A826" s="199">
        <v>45684</v>
      </c>
      <c r="B826" s="202" t="s">
        <v>994</v>
      </c>
      <c r="C826" s="200" t="s">
        <v>307</v>
      </c>
      <c r="D826" s="204">
        <v>-185800</v>
      </c>
      <c r="E826" s="201">
        <v>45658</v>
      </c>
      <c r="F826" s="200" t="s">
        <v>296</v>
      </c>
      <c r="G826" s="200" t="s">
        <v>337</v>
      </c>
      <c r="H826" s="200" t="s">
        <v>366</v>
      </c>
      <c r="I826" s="200" t="s">
        <v>685</v>
      </c>
    </row>
    <row r="827" spans="1:9" ht="15" customHeight="1">
      <c r="A827" s="199">
        <v>45684</v>
      </c>
      <c r="B827" s="202" t="s">
        <v>995</v>
      </c>
      <c r="C827" s="200" t="s">
        <v>307</v>
      </c>
      <c r="D827" s="204">
        <v>-7000</v>
      </c>
      <c r="E827" s="201">
        <v>45658</v>
      </c>
      <c r="F827" s="200" t="s">
        <v>296</v>
      </c>
      <c r="G827" s="200" t="s">
        <v>337</v>
      </c>
      <c r="H827" s="200" t="s">
        <v>326</v>
      </c>
      <c r="I827" s="200" t="s">
        <v>685</v>
      </c>
    </row>
    <row r="828" spans="1:9" ht="15" customHeight="1">
      <c r="A828" s="199">
        <v>45685</v>
      </c>
      <c r="B828" s="202" t="s">
        <v>996</v>
      </c>
      <c r="C828" s="200" t="s">
        <v>307</v>
      </c>
      <c r="D828" s="204">
        <v>-41300</v>
      </c>
      <c r="E828" s="201">
        <v>45658</v>
      </c>
      <c r="F828" s="200" t="s">
        <v>296</v>
      </c>
      <c r="G828" s="200" t="s">
        <v>337</v>
      </c>
      <c r="H828" s="200" t="s">
        <v>366</v>
      </c>
      <c r="I828" s="200" t="s">
        <v>685</v>
      </c>
    </row>
    <row r="829" spans="1:9" ht="15" customHeight="1">
      <c r="A829" s="199">
        <v>45685</v>
      </c>
      <c r="B829" s="202" t="s">
        <v>997</v>
      </c>
      <c r="C829" s="200" t="s">
        <v>307</v>
      </c>
      <c r="D829" s="204">
        <v>-16600</v>
      </c>
      <c r="E829" s="201">
        <v>45658</v>
      </c>
      <c r="F829" s="200" t="s">
        <v>296</v>
      </c>
      <c r="G829" s="200" t="s">
        <v>337</v>
      </c>
      <c r="H829" s="200" t="s">
        <v>366</v>
      </c>
      <c r="I829" s="200" t="s">
        <v>685</v>
      </c>
    </row>
    <row r="830" spans="1:9" ht="15" customHeight="1">
      <c r="A830" s="199">
        <v>45685</v>
      </c>
      <c r="B830" s="202" t="s">
        <v>998</v>
      </c>
      <c r="C830" s="200" t="s">
        <v>307</v>
      </c>
      <c r="D830" s="204">
        <v>-193200</v>
      </c>
      <c r="E830" s="201">
        <v>45658</v>
      </c>
      <c r="F830" s="200" t="s">
        <v>296</v>
      </c>
      <c r="G830" s="200" t="s">
        <v>337</v>
      </c>
      <c r="H830" s="200" t="s">
        <v>366</v>
      </c>
      <c r="I830" s="200" t="s">
        <v>685</v>
      </c>
    </row>
    <row r="831" spans="1:9" ht="15" customHeight="1">
      <c r="A831" s="199">
        <v>45685</v>
      </c>
      <c r="B831" s="202" t="s">
        <v>999</v>
      </c>
      <c r="C831" s="200" t="s">
        <v>307</v>
      </c>
      <c r="D831" s="204">
        <v>-2000</v>
      </c>
      <c r="E831" s="201">
        <v>45658</v>
      </c>
      <c r="F831" s="200" t="s">
        <v>296</v>
      </c>
      <c r="G831" s="200" t="s">
        <v>513</v>
      </c>
      <c r="H831" s="200" t="s">
        <v>322</v>
      </c>
      <c r="I831" s="200" t="s">
        <v>1000</v>
      </c>
    </row>
    <row r="832" spans="1:9" ht="15" customHeight="1">
      <c r="A832" s="199">
        <v>45685</v>
      </c>
      <c r="B832" s="202" t="s">
        <v>1001</v>
      </c>
      <c r="C832" s="200" t="s">
        <v>307</v>
      </c>
      <c r="D832" s="204">
        <v>-2000</v>
      </c>
      <c r="E832" s="201">
        <v>45658</v>
      </c>
      <c r="F832" s="200" t="s">
        <v>296</v>
      </c>
      <c r="G832" s="200" t="s">
        <v>321</v>
      </c>
      <c r="H832" s="200" t="s">
        <v>322</v>
      </c>
      <c r="I832" s="200" t="s">
        <v>1000</v>
      </c>
    </row>
    <row r="833" spans="1:9" ht="15" customHeight="1">
      <c r="A833" s="199">
        <v>45685</v>
      </c>
      <c r="B833" s="202" t="s">
        <v>1002</v>
      </c>
      <c r="C833" s="200" t="s">
        <v>307</v>
      </c>
      <c r="D833" s="204">
        <v>-31500</v>
      </c>
      <c r="E833" s="201">
        <v>45658</v>
      </c>
      <c r="F833" s="200" t="s">
        <v>296</v>
      </c>
      <c r="G833" s="200" t="s">
        <v>337</v>
      </c>
      <c r="H833" s="200" t="s">
        <v>322</v>
      </c>
      <c r="I833" s="200" t="s">
        <v>1000</v>
      </c>
    </row>
    <row r="834" spans="1:9" ht="15" customHeight="1">
      <c r="A834" s="199">
        <v>45684</v>
      </c>
      <c r="B834" s="202" t="s">
        <v>1003</v>
      </c>
      <c r="C834" s="200" t="s">
        <v>307</v>
      </c>
      <c r="D834" s="204">
        <v>-6614</v>
      </c>
      <c r="E834" s="201">
        <v>45658</v>
      </c>
      <c r="F834" s="200" t="s">
        <v>296</v>
      </c>
      <c r="G834" s="200" t="s">
        <v>482</v>
      </c>
      <c r="H834" s="200" t="s">
        <v>377</v>
      </c>
      <c r="I834" s="200" t="s">
        <v>685</v>
      </c>
    </row>
    <row r="835" spans="1:9" ht="15" customHeight="1">
      <c r="A835" s="199">
        <v>45684</v>
      </c>
      <c r="B835" s="202" t="s">
        <v>1004</v>
      </c>
      <c r="C835" s="200" t="s">
        <v>307</v>
      </c>
      <c r="D835" s="204">
        <v>-50000</v>
      </c>
      <c r="E835" s="201">
        <v>45658</v>
      </c>
      <c r="F835" s="200" t="s">
        <v>296</v>
      </c>
      <c r="G835" s="200" t="s">
        <v>482</v>
      </c>
      <c r="H835" s="200" t="s">
        <v>377</v>
      </c>
      <c r="I835" s="200" t="s">
        <v>685</v>
      </c>
    </row>
    <row r="836" spans="1:9" ht="15" customHeight="1">
      <c r="A836" s="199">
        <v>45685</v>
      </c>
      <c r="B836" s="202" t="s">
        <v>1005</v>
      </c>
      <c r="C836" s="200" t="s">
        <v>307</v>
      </c>
      <c r="D836" s="204">
        <v>-13499.54</v>
      </c>
      <c r="E836" s="201">
        <v>45658</v>
      </c>
      <c r="F836" s="200" t="s">
        <v>297</v>
      </c>
      <c r="G836" s="200" t="s">
        <v>311</v>
      </c>
      <c r="H836" s="200" t="s">
        <v>350</v>
      </c>
      <c r="I836" s="200" t="s">
        <v>685</v>
      </c>
    </row>
    <row r="837" spans="1:9" ht="15" customHeight="1">
      <c r="A837" s="199">
        <v>45685</v>
      </c>
      <c r="B837" s="202" t="s">
        <v>1006</v>
      </c>
      <c r="C837" s="200" t="s">
        <v>307</v>
      </c>
      <c r="D837" s="204">
        <v>-3039.93</v>
      </c>
      <c r="E837" s="201">
        <v>45658</v>
      </c>
      <c r="F837" s="200" t="s">
        <v>297</v>
      </c>
      <c r="G837" s="200" t="s">
        <v>311</v>
      </c>
      <c r="H837" s="200" t="s">
        <v>350</v>
      </c>
      <c r="I837" s="200" t="s">
        <v>685</v>
      </c>
    </row>
    <row r="838" spans="1:9" ht="15" customHeight="1">
      <c r="A838" s="199">
        <v>45685</v>
      </c>
      <c r="B838" s="202" t="s">
        <v>1007</v>
      </c>
      <c r="C838" s="200" t="s">
        <v>307</v>
      </c>
      <c r="D838" s="204">
        <v>-92034</v>
      </c>
      <c r="E838" s="201">
        <v>45658</v>
      </c>
      <c r="F838" s="200" t="s">
        <v>296</v>
      </c>
      <c r="G838" s="200" t="s">
        <v>328</v>
      </c>
      <c r="H838" s="200" t="s">
        <v>377</v>
      </c>
      <c r="I838" s="200" t="s">
        <v>685</v>
      </c>
    </row>
    <row r="839" spans="1:9" ht="15" customHeight="1">
      <c r="A839" s="199">
        <v>45685</v>
      </c>
      <c r="B839" s="202" t="s">
        <v>1008</v>
      </c>
      <c r="C839" s="200" t="s">
        <v>307</v>
      </c>
      <c r="D839" s="204">
        <v>-184620</v>
      </c>
      <c r="E839" s="201">
        <v>45658</v>
      </c>
      <c r="F839" s="200" t="s">
        <v>296</v>
      </c>
      <c r="G839" s="531" t="s">
        <v>392</v>
      </c>
      <c r="H839" s="200" t="s">
        <v>350</v>
      </c>
      <c r="I839" s="200" t="s">
        <v>685</v>
      </c>
    </row>
    <row r="840" spans="1:9" ht="15" customHeight="1">
      <c r="A840" s="199">
        <v>45685</v>
      </c>
      <c r="B840" s="202" t="s">
        <v>1009</v>
      </c>
      <c r="C840" s="200" t="s">
        <v>307</v>
      </c>
      <c r="D840" s="204">
        <v>-33900</v>
      </c>
      <c r="E840" s="201">
        <v>45658</v>
      </c>
      <c r="F840" s="200" t="s">
        <v>296</v>
      </c>
      <c r="G840" s="200" t="s">
        <v>482</v>
      </c>
      <c r="H840" s="200" t="s">
        <v>350</v>
      </c>
      <c r="I840" s="200" t="s">
        <v>685</v>
      </c>
    </row>
    <row r="841" spans="1:9" ht="15" customHeight="1">
      <c r="A841" s="199">
        <v>45685</v>
      </c>
      <c r="B841" s="202" t="s">
        <v>1010</v>
      </c>
      <c r="C841" s="200" t="s">
        <v>307</v>
      </c>
      <c r="D841" s="204">
        <v>-114399.46</v>
      </c>
      <c r="E841" s="201">
        <v>45658</v>
      </c>
      <c r="F841" s="200" t="s">
        <v>296</v>
      </c>
      <c r="G841" s="200" t="s">
        <v>328</v>
      </c>
      <c r="H841" s="200" t="s">
        <v>350</v>
      </c>
      <c r="I841" s="200" t="s">
        <v>685</v>
      </c>
    </row>
    <row r="842" spans="1:9" ht="15" customHeight="1">
      <c r="A842" s="199">
        <v>45685</v>
      </c>
      <c r="B842" s="202" t="s">
        <v>1011</v>
      </c>
      <c r="C842" s="200" t="s">
        <v>307</v>
      </c>
      <c r="D842" s="204">
        <v>-130000</v>
      </c>
      <c r="E842" s="201">
        <v>45658</v>
      </c>
      <c r="F842" s="200" t="s">
        <v>297</v>
      </c>
      <c r="G842" s="200" t="s">
        <v>311</v>
      </c>
      <c r="H842" s="200" t="s">
        <v>350</v>
      </c>
      <c r="I842" s="200" t="s">
        <v>685</v>
      </c>
    </row>
    <row r="843" spans="1:9" ht="15" customHeight="1">
      <c r="A843" s="199">
        <v>45685</v>
      </c>
      <c r="B843" s="202" t="s">
        <v>1012</v>
      </c>
      <c r="C843" s="200" t="s">
        <v>307</v>
      </c>
      <c r="D843" s="204">
        <v>-21750</v>
      </c>
      <c r="E843" s="201">
        <v>45658</v>
      </c>
      <c r="F843" s="200" t="s">
        <v>296</v>
      </c>
      <c r="G843" s="200" t="s">
        <v>482</v>
      </c>
      <c r="H843" s="200" t="s">
        <v>350</v>
      </c>
      <c r="I843" s="200" t="s">
        <v>685</v>
      </c>
    </row>
    <row r="844" spans="1:9" ht="15" customHeight="1">
      <c r="A844" s="199">
        <v>45685</v>
      </c>
      <c r="B844" s="202" t="s">
        <v>1013</v>
      </c>
      <c r="C844" s="200" t="s">
        <v>307</v>
      </c>
      <c r="D844" s="204">
        <v>-17400</v>
      </c>
      <c r="E844" s="201">
        <v>45658</v>
      </c>
      <c r="F844" s="200" t="s">
        <v>296</v>
      </c>
      <c r="G844" s="200" t="s">
        <v>328</v>
      </c>
      <c r="H844" s="200" t="s">
        <v>350</v>
      </c>
      <c r="I844" s="200" t="s">
        <v>685</v>
      </c>
    </row>
    <row r="845" spans="1:9" ht="15" customHeight="1">
      <c r="A845" s="199">
        <v>45681</v>
      </c>
      <c r="B845" s="202" t="s">
        <v>1014</v>
      </c>
      <c r="C845" s="200" t="s">
        <v>307</v>
      </c>
      <c r="D845" s="204">
        <v>-3500</v>
      </c>
      <c r="E845" s="201">
        <v>45658</v>
      </c>
      <c r="F845" s="200" t="s">
        <v>296</v>
      </c>
      <c r="G845" s="200" t="s">
        <v>321</v>
      </c>
      <c r="H845" s="200" t="s">
        <v>326</v>
      </c>
      <c r="I845" s="200" t="s">
        <v>727</v>
      </c>
    </row>
    <row r="846" spans="1:9" ht="15" customHeight="1">
      <c r="A846" s="199">
        <v>45681</v>
      </c>
      <c r="B846" s="202" t="s">
        <v>1014</v>
      </c>
      <c r="C846" s="200" t="s">
        <v>307</v>
      </c>
      <c r="D846" s="204">
        <v>-3500</v>
      </c>
      <c r="E846" s="201">
        <v>45658</v>
      </c>
      <c r="F846" s="200" t="s">
        <v>296</v>
      </c>
      <c r="G846" s="200" t="s">
        <v>44</v>
      </c>
      <c r="H846" s="200" t="s">
        <v>326</v>
      </c>
      <c r="I846" s="200" t="s">
        <v>727</v>
      </c>
    </row>
    <row r="847" spans="1:9" ht="15" customHeight="1">
      <c r="A847" s="199">
        <v>45681</v>
      </c>
      <c r="B847" s="202" t="s">
        <v>1015</v>
      </c>
      <c r="C847" s="200" t="s">
        <v>307</v>
      </c>
      <c r="D847" s="204">
        <v>-10000</v>
      </c>
      <c r="E847" s="201">
        <v>45658</v>
      </c>
      <c r="F847" s="200" t="s">
        <v>296</v>
      </c>
      <c r="G847" s="200" t="s">
        <v>321</v>
      </c>
      <c r="H847" s="200" t="s">
        <v>326</v>
      </c>
      <c r="I847" s="200" t="s">
        <v>727</v>
      </c>
    </row>
    <row r="848" spans="1:9" ht="15" customHeight="1">
      <c r="A848" s="199">
        <v>45681</v>
      </c>
      <c r="B848" s="202" t="s">
        <v>1015</v>
      </c>
      <c r="C848" s="200" t="s">
        <v>307</v>
      </c>
      <c r="D848" s="204">
        <v>-10000</v>
      </c>
      <c r="E848" s="201">
        <v>45658</v>
      </c>
      <c r="F848" s="200" t="s">
        <v>296</v>
      </c>
      <c r="G848" s="200" t="s">
        <v>44</v>
      </c>
      <c r="H848" s="200" t="s">
        <v>326</v>
      </c>
      <c r="I848" s="200" t="s">
        <v>727</v>
      </c>
    </row>
    <row r="849" spans="1:9" ht="15" customHeight="1">
      <c r="A849" s="199">
        <v>45681</v>
      </c>
      <c r="B849" s="202" t="s">
        <v>1016</v>
      </c>
      <c r="C849" s="200" t="s">
        <v>307</v>
      </c>
      <c r="D849" s="204">
        <v>-32940</v>
      </c>
      <c r="E849" s="201">
        <v>45658</v>
      </c>
      <c r="F849" s="200" t="s">
        <v>296</v>
      </c>
      <c r="G849" s="200" t="s">
        <v>321</v>
      </c>
      <c r="H849" s="200" t="s">
        <v>1017</v>
      </c>
      <c r="I849" s="200" t="s">
        <v>727</v>
      </c>
    </row>
    <row r="850" spans="1:9" ht="15" customHeight="1">
      <c r="A850" s="199">
        <v>45681</v>
      </c>
      <c r="B850" s="202" t="s">
        <v>1016</v>
      </c>
      <c r="C850" s="200" t="s">
        <v>307</v>
      </c>
      <c r="D850" s="204">
        <v>-32940</v>
      </c>
      <c r="E850" s="201">
        <v>45658</v>
      </c>
      <c r="F850" s="200" t="s">
        <v>296</v>
      </c>
      <c r="G850" s="200" t="s">
        <v>44</v>
      </c>
      <c r="H850" s="200" t="s">
        <v>1017</v>
      </c>
      <c r="I850" s="200" t="s">
        <v>727</v>
      </c>
    </row>
    <row r="851" spans="1:9" ht="15" customHeight="1">
      <c r="A851" s="199">
        <v>45681</v>
      </c>
      <c r="B851" s="202" t="s">
        <v>1018</v>
      </c>
      <c r="C851" s="200" t="s">
        <v>307</v>
      </c>
      <c r="D851" s="204">
        <v>-5000</v>
      </c>
      <c r="E851" s="201">
        <v>45658</v>
      </c>
      <c r="F851" s="200" t="s">
        <v>296</v>
      </c>
      <c r="G851" s="200" t="s">
        <v>321</v>
      </c>
      <c r="H851" s="200" t="s">
        <v>326</v>
      </c>
      <c r="I851" s="200" t="s">
        <v>727</v>
      </c>
    </row>
    <row r="852" spans="1:9" ht="15" customHeight="1">
      <c r="A852" s="199">
        <v>45681</v>
      </c>
      <c r="B852" s="202" t="s">
        <v>1018</v>
      </c>
      <c r="C852" s="200" t="s">
        <v>307</v>
      </c>
      <c r="D852" s="204">
        <v>-5000</v>
      </c>
      <c r="E852" s="201">
        <v>45658</v>
      </c>
      <c r="F852" s="200" t="s">
        <v>296</v>
      </c>
      <c r="G852" s="200" t="s">
        <v>44</v>
      </c>
      <c r="H852" s="200" t="s">
        <v>326</v>
      </c>
      <c r="I852" s="200" t="s">
        <v>727</v>
      </c>
    </row>
    <row r="853" spans="1:9" ht="15" customHeight="1">
      <c r="A853" s="199">
        <v>45681</v>
      </c>
      <c r="B853" s="202" t="s">
        <v>1019</v>
      </c>
      <c r="C853" s="200" t="s">
        <v>307</v>
      </c>
      <c r="D853" s="204">
        <v>-9000</v>
      </c>
      <c r="E853" s="201">
        <v>45658</v>
      </c>
      <c r="F853" s="200" t="s">
        <v>296</v>
      </c>
      <c r="G853" s="200" t="s">
        <v>321</v>
      </c>
      <c r="H853" s="200" t="s">
        <v>326</v>
      </c>
      <c r="I853" s="200" t="s">
        <v>727</v>
      </c>
    </row>
    <row r="854" spans="1:9" ht="15" customHeight="1">
      <c r="A854" s="199">
        <v>45681</v>
      </c>
      <c r="B854" s="202" t="s">
        <v>1019</v>
      </c>
      <c r="C854" s="200" t="s">
        <v>307</v>
      </c>
      <c r="D854" s="204">
        <v>-9000</v>
      </c>
      <c r="E854" s="201">
        <v>45658</v>
      </c>
      <c r="F854" s="200" t="s">
        <v>296</v>
      </c>
      <c r="G854" s="200" t="s">
        <v>44</v>
      </c>
      <c r="H854" s="200" t="s">
        <v>326</v>
      </c>
      <c r="I854" s="200" t="s">
        <v>727</v>
      </c>
    </row>
    <row r="855" spans="1:9" ht="15" customHeight="1">
      <c r="A855" s="199">
        <v>45681</v>
      </c>
      <c r="B855" s="202" t="s">
        <v>1020</v>
      </c>
      <c r="C855" s="200" t="s">
        <v>307</v>
      </c>
      <c r="D855" s="204">
        <v>-10000</v>
      </c>
      <c r="E855" s="201">
        <v>45658</v>
      </c>
      <c r="F855" s="200" t="s">
        <v>296</v>
      </c>
      <c r="G855" s="200" t="s">
        <v>321</v>
      </c>
      <c r="H855" s="200" t="s">
        <v>326</v>
      </c>
      <c r="I855" s="200" t="s">
        <v>727</v>
      </c>
    </row>
    <row r="856" spans="1:9" ht="15" customHeight="1">
      <c r="A856" s="199">
        <v>45681</v>
      </c>
      <c r="B856" s="202" t="s">
        <v>1020</v>
      </c>
      <c r="C856" s="200" t="s">
        <v>307</v>
      </c>
      <c r="D856" s="204">
        <v>-10000</v>
      </c>
      <c r="E856" s="201">
        <v>45658</v>
      </c>
      <c r="F856" s="200" t="s">
        <v>296</v>
      </c>
      <c r="G856" s="200" t="s">
        <v>44</v>
      </c>
      <c r="H856" s="200" t="s">
        <v>326</v>
      </c>
      <c r="I856" s="200" t="s">
        <v>727</v>
      </c>
    </row>
    <row r="857" spans="1:9" ht="15" customHeight="1">
      <c r="A857" s="199">
        <v>45678</v>
      </c>
      <c r="B857" s="202" t="s">
        <v>696</v>
      </c>
      <c r="C857" s="200" t="s">
        <v>307</v>
      </c>
      <c r="D857" s="204">
        <v>-20000</v>
      </c>
      <c r="E857" s="201">
        <v>45658</v>
      </c>
      <c r="F857" s="200" t="s">
        <v>256</v>
      </c>
      <c r="G857" s="200" t="s">
        <v>256</v>
      </c>
      <c r="H857" s="200" t="s">
        <v>267</v>
      </c>
      <c r="I857" s="200" t="s">
        <v>685</v>
      </c>
    </row>
    <row r="858" spans="1:9" ht="15" customHeight="1">
      <c r="A858" s="199">
        <v>45679</v>
      </c>
      <c r="B858" s="202" t="s">
        <v>1021</v>
      </c>
      <c r="C858" s="200" t="s">
        <v>307</v>
      </c>
      <c r="D858" s="204">
        <v>-30000</v>
      </c>
      <c r="E858" s="201">
        <v>45658</v>
      </c>
      <c r="F858" s="200" t="s">
        <v>296</v>
      </c>
      <c r="G858" s="200" t="s">
        <v>337</v>
      </c>
      <c r="H858" s="200" t="s">
        <v>326</v>
      </c>
      <c r="I858" s="200" t="s">
        <v>685</v>
      </c>
    </row>
    <row r="859" spans="1:9" ht="15" customHeight="1">
      <c r="A859" s="199">
        <v>45680</v>
      </c>
      <c r="B859" s="202" t="s">
        <v>1022</v>
      </c>
      <c r="C859" s="200" t="s">
        <v>307</v>
      </c>
      <c r="D859" s="204">
        <v>-10000</v>
      </c>
      <c r="E859" s="201">
        <v>45658</v>
      </c>
      <c r="F859" s="200" t="s">
        <v>296</v>
      </c>
      <c r="G859" s="200" t="s">
        <v>44</v>
      </c>
      <c r="H859" s="200" t="s">
        <v>442</v>
      </c>
      <c r="I859" s="200" t="s">
        <v>685</v>
      </c>
    </row>
    <row r="860" spans="1:9" ht="15" customHeight="1">
      <c r="A860" s="199">
        <v>45680</v>
      </c>
      <c r="B860" s="202" t="s">
        <v>1023</v>
      </c>
      <c r="C860" s="200" t="s">
        <v>307</v>
      </c>
      <c r="D860" s="204">
        <v>-5000</v>
      </c>
      <c r="E860" s="201">
        <v>45658</v>
      </c>
      <c r="F860" s="200" t="s">
        <v>296</v>
      </c>
      <c r="G860" s="200" t="s">
        <v>337</v>
      </c>
      <c r="H860" s="200" t="s">
        <v>326</v>
      </c>
      <c r="I860" s="200" t="s">
        <v>685</v>
      </c>
    </row>
    <row r="861" spans="1:9" ht="15" customHeight="1">
      <c r="A861" s="199">
        <v>45681</v>
      </c>
      <c r="B861" s="202" t="s">
        <v>1024</v>
      </c>
      <c r="C861" s="200" t="s">
        <v>307</v>
      </c>
      <c r="D861" s="204">
        <v>-5000</v>
      </c>
      <c r="E861" s="201">
        <v>45658</v>
      </c>
      <c r="F861" s="200" t="s">
        <v>296</v>
      </c>
      <c r="G861" s="200" t="s">
        <v>337</v>
      </c>
      <c r="H861" s="200" t="s">
        <v>326</v>
      </c>
      <c r="I861" s="200" t="s">
        <v>685</v>
      </c>
    </row>
    <row r="862" spans="1:9" ht="15" customHeight="1">
      <c r="A862" s="199">
        <v>45681</v>
      </c>
      <c r="B862" s="202" t="s">
        <v>1025</v>
      </c>
      <c r="C862" s="200" t="s">
        <v>307</v>
      </c>
      <c r="D862" s="204">
        <v>-27500</v>
      </c>
      <c r="E862" s="201">
        <v>45658</v>
      </c>
      <c r="F862" s="200" t="s">
        <v>296</v>
      </c>
      <c r="G862" s="200" t="s">
        <v>337</v>
      </c>
      <c r="H862" s="200" t="s">
        <v>326</v>
      </c>
      <c r="I862" s="200" t="s">
        <v>685</v>
      </c>
    </row>
    <row r="863" spans="1:9" ht="15" customHeight="1">
      <c r="A863" s="199">
        <v>45681</v>
      </c>
      <c r="B863" s="202" t="s">
        <v>1026</v>
      </c>
      <c r="C863" s="200" t="s">
        <v>307</v>
      </c>
      <c r="D863" s="204">
        <v>-172200</v>
      </c>
      <c r="E863" s="201">
        <v>45658</v>
      </c>
      <c r="F863" s="200" t="s">
        <v>296</v>
      </c>
      <c r="G863" s="200" t="s">
        <v>522</v>
      </c>
      <c r="H863" s="200" t="s">
        <v>322</v>
      </c>
      <c r="I863" s="200" t="s">
        <v>685</v>
      </c>
    </row>
    <row r="864" spans="1:9" ht="15" customHeight="1">
      <c r="A864" s="199">
        <v>45681</v>
      </c>
      <c r="B864" s="202" t="s">
        <v>1026</v>
      </c>
      <c r="C864" s="200" t="s">
        <v>307</v>
      </c>
      <c r="D864" s="204">
        <v>-172200</v>
      </c>
      <c r="E864" s="201">
        <v>45658</v>
      </c>
      <c r="F864" s="200" t="s">
        <v>296</v>
      </c>
      <c r="G864" s="200" t="s">
        <v>522</v>
      </c>
      <c r="H864" s="200" t="s">
        <v>322</v>
      </c>
      <c r="I864" s="200" t="s">
        <v>685</v>
      </c>
    </row>
    <row r="865" spans="1:9" ht="15" customHeight="1">
      <c r="A865" s="199">
        <v>45685</v>
      </c>
      <c r="B865" s="202" t="s">
        <v>1027</v>
      </c>
      <c r="C865" s="200" t="s">
        <v>307</v>
      </c>
      <c r="D865" s="204">
        <v>-72000</v>
      </c>
      <c r="E865" s="201">
        <v>45658</v>
      </c>
      <c r="F865" s="200" t="s">
        <v>452</v>
      </c>
      <c r="G865" s="531" t="s">
        <v>392</v>
      </c>
      <c r="H865" s="200" t="s">
        <v>268</v>
      </c>
    </row>
    <row r="866" spans="1:9" ht="15" customHeight="1">
      <c r="A866" s="199">
        <v>45685</v>
      </c>
      <c r="B866" s="202" t="s">
        <v>1027</v>
      </c>
      <c r="C866" s="200" t="s">
        <v>307</v>
      </c>
      <c r="D866" s="204">
        <v>-153000</v>
      </c>
      <c r="E866" s="201">
        <v>45658</v>
      </c>
      <c r="F866" s="200" t="s">
        <v>452</v>
      </c>
      <c r="G866" s="200" t="s">
        <v>482</v>
      </c>
      <c r="H866" s="200" t="s">
        <v>268</v>
      </c>
    </row>
    <row r="867" spans="1:9" ht="15" customHeight="1">
      <c r="A867" s="199">
        <v>45685</v>
      </c>
      <c r="B867" s="202" t="s">
        <v>1027</v>
      </c>
      <c r="C867" s="200" t="s">
        <v>307</v>
      </c>
      <c r="D867" s="204">
        <v>-366064</v>
      </c>
      <c r="E867" s="201">
        <v>45658</v>
      </c>
      <c r="F867" s="200" t="s">
        <v>452</v>
      </c>
      <c r="G867" s="200" t="s">
        <v>522</v>
      </c>
      <c r="H867" s="200" t="s">
        <v>442</v>
      </c>
    </row>
    <row r="868" spans="1:9" ht="15" customHeight="1">
      <c r="A868" s="199">
        <v>45685</v>
      </c>
      <c r="B868" s="202" t="s">
        <v>1027</v>
      </c>
      <c r="C868" s="200" t="s">
        <v>307</v>
      </c>
      <c r="D868" s="204">
        <v>-79000</v>
      </c>
      <c r="E868" s="201">
        <v>45658</v>
      </c>
      <c r="F868" s="200" t="s">
        <v>452</v>
      </c>
      <c r="G868" s="200" t="s">
        <v>337</v>
      </c>
      <c r="H868" s="200" t="s">
        <v>326</v>
      </c>
    </row>
    <row r="869" spans="1:9" ht="15" customHeight="1">
      <c r="A869" s="199">
        <v>45685</v>
      </c>
      <c r="B869" s="202" t="s">
        <v>1027</v>
      </c>
      <c r="C869" s="200" t="s">
        <v>307</v>
      </c>
      <c r="D869" s="204">
        <v>-57000</v>
      </c>
      <c r="E869" s="201">
        <v>45658</v>
      </c>
      <c r="F869" s="200" t="s">
        <v>452</v>
      </c>
      <c r="G869" s="200" t="s">
        <v>328</v>
      </c>
      <c r="H869" s="200" t="s">
        <v>268</v>
      </c>
    </row>
    <row r="870" spans="1:9" ht="15" customHeight="1">
      <c r="A870" s="199">
        <v>45685</v>
      </c>
      <c r="B870" s="202" t="s">
        <v>1027</v>
      </c>
      <c r="C870" s="200" t="s">
        <v>307</v>
      </c>
      <c r="D870" s="204">
        <v>-7000</v>
      </c>
      <c r="E870" s="201">
        <v>45658</v>
      </c>
      <c r="F870" s="200" t="s">
        <v>256</v>
      </c>
      <c r="G870" s="200" t="s">
        <v>256</v>
      </c>
      <c r="H870" s="200" t="s">
        <v>268</v>
      </c>
    </row>
    <row r="871" spans="1:9" ht="15" customHeight="1">
      <c r="A871" s="199">
        <v>45685</v>
      </c>
      <c r="B871" s="202" t="s">
        <v>1028</v>
      </c>
      <c r="C871" s="200" t="s">
        <v>372</v>
      </c>
      <c r="D871" s="204">
        <v>-7460</v>
      </c>
      <c r="E871" s="201">
        <v>45658</v>
      </c>
      <c r="F871" s="200" t="s">
        <v>452</v>
      </c>
      <c r="G871" s="200" t="s">
        <v>522</v>
      </c>
      <c r="H871" s="200" t="s">
        <v>442</v>
      </c>
    </row>
    <row r="872" spans="1:9" ht="15" customHeight="1">
      <c r="A872" s="199">
        <v>45685</v>
      </c>
      <c r="B872" s="202" t="s">
        <v>1029</v>
      </c>
      <c r="C872" s="200" t="s">
        <v>372</v>
      </c>
      <c r="D872" s="204">
        <v>-4476</v>
      </c>
      <c r="E872" s="201">
        <v>45658</v>
      </c>
      <c r="F872" s="200" t="s">
        <v>452</v>
      </c>
      <c r="G872" s="200" t="s">
        <v>522</v>
      </c>
      <c r="H872" s="200" t="s">
        <v>442</v>
      </c>
    </row>
    <row r="873" spans="1:9" ht="15" customHeight="1">
      <c r="A873" s="199">
        <v>45667</v>
      </c>
      <c r="B873" s="202" t="s">
        <v>1030</v>
      </c>
      <c r="C873" s="200" t="s">
        <v>307</v>
      </c>
      <c r="D873" s="204">
        <v>-210000</v>
      </c>
      <c r="E873" s="201">
        <v>45658</v>
      </c>
      <c r="F873" s="200" t="s">
        <v>296</v>
      </c>
      <c r="G873" s="200" t="s">
        <v>453</v>
      </c>
      <c r="H873" s="200" t="s">
        <v>97</v>
      </c>
      <c r="I873" s="200" t="s">
        <v>1031</v>
      </c>
    </row>
    <row r="874" spans="1:9" ht="15" customHeight="1">
      <c r="A874" s="199">
        <v>45667</v>
      </c>
      <c r="B874" s="202" t="s">
        <v>1032</v>
      </c>
      <c r="C874" s="200" t="s">
        <v>307</v>
      </c>
      <c r="D874" s="204">
        <v>-51000</v>
      </c>
      <c r="E874" s="201">
        <v>45658</v>
      </c>
      <c r="F874" s="200" t="s">
        <v>296</v>
      </c>
      <c r="G874" s="200" t="s">
        <v>453</v>
      </c>
      <c r="H874" s="200" t="s">
        <v>97</v>
      </c>
      <c r="I874" s="200" t="s">
        <v>1031</v>
      </c>
    </row>
    <row r="875" spans="1:9" ht="15" customHeight="1">
      <c r="A875" s="199">
        <v>45667</v>
      </c>
      <c r="B875" s="202" t="s">
        <v>1033</v>
      </c>
      <c r="C875" s="200" t="s">
        <v>307</v>
      </c>
      <c r="D875" s="204">
        <v>-107500</v>
      </c>
      <c r="E875" s="201">
        <v>45658</v>
      </c>
      <c r="F875" s="200" t="s">
        <v>296</v>
      </c>
      <c r="G875" s="200" t="s">
        <v>453</v>
      </c>
      <c r="H875" s="200" t="s">
        <v>97</v>
      </c>
      <c r="I875" s="200" t="s">
        <v>1031</v>
      </c>
    </row>
    <row r="876" spans="1:9" ht="15" customHeight="1">
      <c r="A876" s="199">
        <v>45667</v>
      </c>
      <c r="B876" s="202" t="s">
        <v>1034</v>
      </c>
      <c r="C876" s="200" t="s">
        <v>307</v>
      </c>
      <c r="D876" s="204">
        <v>-70400</v>
      </c>
      <c r="E876" s="201">
        <v>45658</v>
      </c>
      <c r="F876" s="200" t="s">
        <v>296</v>
      </c>
      <c r="G876" s="200" t="s">
        <v>453</v>
      </c>
      <c r="H876" s="200" t="s">
        <v>97</v>
      </c>
      <c r="I876" s="200" t="s">
        <v>1031</v>
      </c>
    </row>
    <row r="877" spans="1:9" ht="15" customHeight="1">
      <c r="A877" s="199">
        <v>45668</v>
      </c>
      <c r="B877" s="202" t="s">
        <v>1035</v>
      </c>
      <c r="C877" s="200" t="s">
        <v>307</v>
      </c>
      <c r="D877" s="204">
        <v>-105100</v>
      </c>
      <c r="E877" s="201">
        <v>45658</v>
      </c>
      <c r="F877" s="200" t="s">
        <v>296</v>
      </c>
      <c r="G877" s="200" t="s">
        <v>453</v>
      </c>
      <c r="H877" s="200" t="s">
        <v>97</v>
      </c>
      <c r="I877" s="200" t="s">
        <v>1031</v>
      </c>
    </row>
    <row r="878" spans="1:9" ht="15" customHeight="1">
      <c r="A878" s="199">
        <v>45668</v>
      </c>
      <c r="B878" s="202" t="s">
        <v>1036</v>
      </c>
      <c r="C878" s="200" t="s">
        <v>307</v>
      </c>
      <c r="D878" s="204">
        <v>-24000</v>
      </c>
      <c r="E878" s="201">
        <v>45658</v>
      </c>
      <c r="F878" s="200" t="s">
        <v>296</v>
      </c>
      <c r="G878" s="200" t="s">
        <v>453</v>
      </c>
      <c r="H878" s="200" t="s">
        <v>97</v>
      </c>
      <c r="I878" s="200" t="s">
        <v>1031</v>
      </c>
    </row>
    <row r="879" spans="1:9" ht="15" customHeight="1">
      <c r="A879" s="199">
        <v>45677</v>
      </c>
      <c r="B879" s="202" t="s">
        <v>1037</v>
      </c>
      <c r="C879" s="200" t="s">
        <v>307</v>
      </c>
      <c r="D879" s="204">
        <v>-38000</v>
      </c>
      <c r="E879" s="201">
        <v>45658</v>
      </c>
      <c r="F879" s="200" t="s">
        <v>297</v>
      </c>
      <c r="G879" s="200" t="s">
        <v>75</v>
      </c>
      <c r="H879" s="200" t="s">
        <v>377</v>
      </c>
      <c r="I879" s="200" t="s">
        <v>685</v>
      </c>
    </row>
    <row r="880" spans="1:9" ht="15" customHeight="1">
      <c r="A880" s="199">
        <v>45679</v>
      </c>
      <c r="B880" s="202" t="s">
        <v>431</v>
      </c>
      <c r="C880" s="200" t="s">
        <v>307</v>
      </c>
      <c r="D880" s="204">
        <v>-15200</v>
      </c>
      <c r="E880" s="201">
        <v>45658</v>
      </c>
      <c r="F880" s="200" t="s">
        <v>256</v>
      </c>
      <c r="G880" s="200" t="s">
        <v>256</v>
      </c>
      <c r="H880" s="200" t="s">
        <v>263</v>
      </c>
      <c r="I880" s="200" t="s">
        <v>685</v>
      </c>
    </row>
    <row r="881" spans="1:9" ht="15" customHeight="1">
      <c r="A881" s="199">
        <v>45679</v>
      </c>
      <c r="B881" s="202" t="s">
        <v>1038</v>
      </c>
      <c r="C881" s="200" t="s">
        <v>307</v>
      </c>
      <c r="D881" s="204">
        <v>-90200</v>
      </c>
      <c r="E881" s="201">
        <v>45658</v>
      </c>
      <c r="F881" s="200" t="s">
        <v>296</v>
      </c>
      <c r="G881" s="200" t="s">
        <v>328</v>
      </c>
      <c r="H881" s="200" t="s">
        <v>350</v>
      </c>
      <c r="I881" s="200" t="s">
        <v>685</v>
      </c>
    </row>
    <row r="882" spans="1:9" ht="15" customHeight="1">
      <c r="A882" s="199">
        <v>45679</v>
      </c>
      <c r="B882" s="202" t="s">
        <v>1039</v>
      </c>
      <c r="C882" s="200" t="s">
        <v>307</v>
      </c>
      <c r="D882" s="204">
        <v>-112550</v>
      </c>
      <c r="E882" s="201">
        <v>45658</v>
      </c>
      <c r="F882" s="200" t="s">
        <v>296</v>
      </c>
      <c r="G882" s="200" t="s">
        <v>482</v>
      </c>
      <c r="H882" s="200" t="s">
        <v>350</v>
      </c>
      <c r="I882" s="200" t="s">
        <v>685</v>
      </c>
    </row>
    <row r="883" spans="1:9" ht="15" customHeight="1">
      <c r="A883" s="199">
        <v>45680</v>
      </c>
      <c r="B883" s="202" t="s">
        <v>1040</v>
      </c>
      <c r="C883" s="200" t="s">
        <v>307</v>
      </c>
      <c r="D883" s="204">
        <v>-17499.879999999997</v>
      </c>
      <c r="E883" s="201">
        <v>45658</v>
      </c>
      <c r="F883" s="200" t="s">
        <v>296</v>
      </c>
      <c r="G883" s="200" t="s">
        <v>328</v>
      </c>
      <c r="H883" s="200" t="s">
        <v>350</v>
      </c>
      <c r="I883" s="200" t="s">
        <v>685</v>
      </c>
    </row>
    <row r="884" spans="1:9" ht="15" customHeight="1">
      <c r="A884" s="199">
        <v>45680</v>
      </c>
      <c r="B884" s="202" t="s">
        <v>1041</v>
      </c>
      <c r="C884" s="200" t="s">
        <v>307</v>
      </c>
      <c r="D884" s="204">
        <v>-6336</v>
      </c>
      <c r="E884" s="201">
        <v>45658</v>
      </c>
      <c r="F884" s="200" t="s">
        <v>296</v>
      </c>
      <c r="G884" s="531" t="s">
        <v>392</v>
      </c>
      <c r="H884" s="200" t="s">
        <v>377</v>
      </c>
      <c r="I884" s="200" t="s">
        <v>685</v>
      </c>
    </row>
    <row r="885" spans="1:9" ht="15" customHeight="1">
      <c r="A885" s="199">
        <v>45680</v>
      </c>
      <c r="B885" s="202" t="s">
        <v>431</v>
      </c>
      <c r="C885" s="200" t="s">
        <v>307</v>
      </c>
      <c r="D885" s="204">
        <v>-15200</v>
      </c>
      <c r="E885" s="201">
        <v>45658</v>
      </c>
      <c r="F885" s="200" t="s">
        <v>296</v>
      </c>
      <c r="G885" s="200" t="s">
        <v>328</v>
      </c>
      <c r="H885" s="200" t="s">
        <v>350</v>
      </c>
      <c r="I885" s="200" t="s">
        <v>685</v>
      </c>
    </row>
    <row r="886" spans="1:9" ht="15" customHeight="1">
      <c r="A886" s="199">
        <v>45680</v>
      </c>
      <c r="B886" s="202" t="s">
        <v>1042</v>
      </c>
      <c r="C886" s="200" t="s">
        <v>307</v>
      </c>
      <c r="D886" s="204">
        <v>-15000</v>
      </c>
      <c r="E886" s="201">
        <v>45658</v>
      </c>
      <c r="F886" s="200" t="s">
        <v>296</v>
      </c>
      <c r="G886" s="200" t="s">
        <v>482</v>
      </c>
      <c r="H886" s="200" t="s">
        <v>350</v>
      </c>
      <c r="I886" s="200" t="s">
        <v>685</v>
      </c>
    </row>
    <row r="887" spans="1:9" ht="15" customHeight="1">
      <c r="A887" s="199">
        <v>45680</v>
      </c>
      <c r="B887" s="202" t="s">
        <v>1043</v>
      </c>
      <c r="C887" s="200" t="s">
        <v>307</v>
      </c>
      <c r="D887" s="204">
        <v>-170000</v>
      </c>
      <c r="E887" s="201">
        <v>45658</v>
      </c>
      <c r="F887" s="200" t="s">
        <v>296</v>
      </c>
      <c r="G887" s="531" t="s">
        <v>392</v>
      </c>
      <c r="H887" s="200" t="s">
        <v>377</v>
      </c>
      <c r="I887" s="200" t="s">
        <v>685</v>
      </c>
    </row>
    <row r="888" spans="1:9" ht="15" customHeight="1">
      <c r="A888" s="199">
        <v>45680</v>
      </c>
      <c r="B888" s="202" t="s">
        <v>1044</v>
      </c>
      <c r="C888" s="200" t="s">
        <v>307</v>
      </c>
      <c r="D888" s="204">
        <v>-37200</v>
      </c>
      <c r="E888" s="201">
        <v>45658</v>
      </c>
      <c r="F888" s="200" t="s">
        <v>296</v>
      </c>
      <c r="G888" s="531" t="s">
        <v>392</v>
      </c>
      <c r="H888" s="200" t="s">
        <v>377</v>
      </c>
      <c r="I888" s="200" t="s">
        <v>685</v>
      </c>
    </row>
    <row r="889" spans="1:9" ht="15" customHeight="1">
      <c r="A889" s="199">
        <v>45680</v>
      </c>
      <c r="B889" s="202" t="s">
        <v>1045</v>
      </c>
      <c r="C889" s="200" t="s">
        <v>307</v>
      </c>
      <c r="D889" s="204">
        <v>-188541</v>
      </c>
      <c r="E889" s="201">
        <v>45658</v>
      </c>
      <c r="F889" s="200" t="s">
        <v>296</v>
      </c>
      <c r="G889" s="531" t="s">
        <v>392</v>
      </c>
      <c r="H889" s="200" t="s">
        <v>377</v>
      </c>
      <c r="I889" s="200" t="s">
        <v>685</v>
      </c>
    </row>
    <row r="890" spans="1:9" ht="15" customHeight="1">
      <c r="A890" s="199">
        <v>45680</v>
      </c>
      <c r="B890" s="202" t="s">
        <v>1046</v>
      </c>
      <c r="C890" s="200" t="s">
        <v>307</v>
      </c>
      <c r="D890" s="204">
        <v>-56000</v>
      </c>
      <c r="E890" s="201">
        <v>45658</v>
      </c>
      <c r="F890" s="200" t="s">
        <v>296</v>
      </c>
      <c r="G890" s="200" t="s">
        <v>328</v>
      </c>
      <c r="H890" s="200" t="s">
        <v>350</v>
      </c>
      <c r="I890" s="200" t="s">
        <v>685</v>
      </c>
    </row>
    <row r="891" spans="1:9" ht="15" customHeight="1">
      <c r="A891" s="199">
        <v>45681</v>
      </c>
      <c r="B891" s="202" t="s">
        <v>1047</v>
      </c>
      <c r="C891" s="200" t="s">
        <v>307</v>
      </c>
      <c r="D891" s="204">
        <v>-99000</v>
      </c>
      <c r="E891" s="201">
        <v>45658</v>
      </c>
      <c r="F891" s="200" t="s">
        <v>256</v>
      </c>
      <c r="G891" s="200" t="s">
        <v>256</v>
      </c>
      <c r="H891" s="200" t="s">
        <v>267</v>
      </c>
      <c r="I891" s="200" t="s">
        <v>685</v>
      </c>
    </row>
    <row r="892" spans="1:9" ht="15" customHeight="1">
      <c r="A892" s="199">
        <v>45681</v>
      </c>
      <c r="B892" s="202" t="s">
        <v>1048</v>
      </c>
      <c r="C892" s="200" t="s">
        <v>307</v>
      </c>
      <c r="D892" s="204">
        <v>-40001</v>
      </c>
      <c r="E892" s="201">
        <v>45658</v>
      </c>
      <c r="F892" s="200" t="s">
        <v>296</v>
      </c>
      <c r="G892" s="531" t="s">
        <v>392</v>
      </c>
      <c r="H892" s="200" t="s">
        <v>377</v>
      </c>
      <c r="I892" s="200" t="s">
        <v>685</v>
      </c>
    </row>
    <row r="893" spans="1:9" ht="15" customHeight="1">
      <c r="A893" s="199">
        <v>45681</v>
      </c>
      <c r="B893" s="202" t="s">
        <v>1049</v>
      </c>
      <c r="C893" s="200" t="s">
        <v>307</v>
      </c>
      <c r="D893" s="204">
        <v>-72000</v>
      </c>
      <c r="E893" s="201">
        <v>45658</v>
      </c>
      <c r="F893" s="200" t="s">
        <v>296</v>
      </c>
      <c r="G893" s="200" t="s">
        <v>482</v>
      </c>
      <c r="H893" s="200" t="s">
        <v>350</v>
      </c>
      <c r="I893" s="200" t="s">
        <v>685</v>
      </c>
    </row>
    <row r="894" spans="1:9" ht="15" customHeight="1">
      <c r="A894" s="199">
        <v>45681</v>
      </c>
      <c r="B894" s="202" t="s">
        <v>1050</v>
      </c>
      <c r="C894" s="200" t="s">
        <v>307</v>
      </c>
      <c r="D894" s="204">
        <v>-95000</v>
      </c>
      <c r="E894" s="201">
        <v>45658</v>
      </c>
      <c r="F894" s="200" t="s">
        <v>296</v>
      </c>
      <c r="G894" s="531" t="s">
        <v>392</v>
      </c>
      <c r="H894" s="200" t="s">
        <v>377</v>
      </c>
      <c r="I894" s="200" t="s">
        <v>685</v>
      </c>
    </row>
    <row r="895" spans="1:9" ht="15" customHeight="1">
      <c r="A895" s="199">
        <v>45681</v>
      </c>
      <c r="B895" s="202" t="s">
        <v>1051</v>
      </c>
      <c r="C895" s="200" t="s">
        <v>307</v>
      </c>
      <c r="D895" s="204">
        <v>-150000</v>
      </c>
      <c r="E895" s="201">
        <v>45658</v>
      </c>
      <c r="F895" s="200" t="s">
        <v>296</v>
      </c>
      <c r="G895" s="200" t="s">
        <v>328</v>
      </c>
      <c r="H895" s="200" t="s">
        <v>350</v>
      </c>
      <c r="I895" s="200" t="s">
        <v>685</v>
      </c>
    </row>
    <row r="896" spans="1:9" ht="15" customHeight="1">
      <c r="A896" s="199">
        <v>45681</v>
      </c>
      <c r="B896" s="202" t="s">
        <v>1052</v>
      </c>
      <c r="C896" s="200" t="s">
        <v>307</v>
      </c>
      <c r="D896" s="204">
        <v>-28000</v>
      </c>
      <c r="E896" s="201">
        <v>45658</v>
      </c>
      <c r="F896" s="200" t="s">
        <v>296</v>
      </c>
      <c r="G896" s="531" t="s">
        <v>392</v>
      </c>
      <c r="H896" s="200" t="s">
        <v>377</v>
      </c>
      <c r="I896" s="200" t="s">
        <v>685</v>
      </c>
    </row>
    <row r="897" spans="1:9" ht="15" customHeight="1">
      <c r="A897" s="199">
        <v>45634</v>
      </c>
      <c r="B897" s="202" t="s">
        <v>1053</v>
      </c>
      <c r="C897" s="200" t="s">
        <v>307</v>
      </c>
      <c r="D897" s="204">
        <v>-30000</v>
      </c>
      <c r="E897" s="201">
        <v>45658</v>
      </c>
      <c r="F897" s="200" t="s">
        <v>296</v>
      </c>
      <c r="G897" s="200" t="s">
        <v>321</v>
      </c>
      <c r="H897" s="200" t="s">
        <v>326</v>
      </c>
      <c r="I897" s="200" t="s">
        <v>1054</v>
      </c>
    </row>
    <row r="898" spans="1:9" ht="15" customHeight="1">
      <c r="A898" s="199">
        <v>45646</v>
      </c>
      <c r="B898" s="202" t="s">
        <v>1055</v>
      </c>
      <c r="C898" s="200" t="s">
        <v>307</v>
      </c>
      <c r="D898" s="204">
        <v>-15000</v>
      </c>
      <c r="E898" s="201">
        <v>45658</v>
      </c>
      <c r="F898" s="200" t="s">
        <v>296</v>
      </c>
      <c r="G898" s="200" t="s">
        <v>321</v>
      </c>
      <c r="H898" s="200" t="s">
        <v>326</v>
      </c>
      <c r="I898" s="200" t="s">
        <v>1054</v>
      </c>
    </row>
    <row r="899" spans="1:9" ht="15" customHeight="1">
      <c r="A899" s="199">
        <v>45646</v>
      </c>
      <c r="B899" s="202" t="s">
        <v>1056</v>
      </c>
      <c r="C899" s="200" t="s">
        <v>136</v>
      </c>
      <c r="D899" s="668">
        <v>-7000</v>
      </c>
      <c r="E899" s="201">
        <v>45658</v>
      </c>
      <c r="F899" s="200" t="s">
        <v>296</v>
      </c>
      <c r="G899" s="200" t="s">
        <v>321</v>
      </c>
      <c r="H899" s="200" t="s">
        <v>488</v>
      </c>
      <c r="I899" s="200" t="s">
        <v>1054</v>
      </c>
    </row>
    <row r="900" spans="1:9" ht="15" customHeight="1">
      <c r="A900" s="199">
        <v>45647</v>
      </c>
      <c r="B900" s="202" t="s">
        <v>1057</v>
      </c>
      <c r="C900" s="200" t="s">
        <v>307</v>
      </c>
      <c r="D900" s="204">
        <v>-70000</v>
      </c>
      <c r="E900" s="201">
        <v>45658</v>
      </c>
      <c r="F900" s="200" t="s">
        <v>296</v>
      </c>
      <c r="G900" s="200" t="s">
        <v>321</v>
      </c>
      <c r="H900" s="200" t="s">
        <v>326</v>
      </c>
      <c r="I900" s="200" t="s">
        <v>1054</v>
      </c>
    </row>
    <row r="901" spans="1:9" ht="15" customHeight="1">
      <c r="A901" s="199">
        <v>45649</v>
      </c>
      <c r="B901" s="202" t="s">
        <v>1058</v>
      </c>
      <c r="C901" s="200" t="s">
        <v>307</v>
      </c>
      <c r="D901" s="204">
        <v>-8000</v>
      </c>
      <c r="E901" s="201">
        <v>45658</v>
      </c>
      <c r="F901" s="200" t="s">
        <v>296</v>
      </c>
      <c r="G901" s="200" t="s">
        <v>321</v>
      </c>
      <c r="H901" s="200" t="s">
        <v>488</v>
      </c>
      <c r="I901" s="200" t="s">
        <v>1054</v>
      </c>
    </row>
    <row r="902" spans="1:9" ht="15" customHeight="1">
      <c r="A902" s="199">
        <v>45665</v>
      </c>
      <c r="B902" s="202" t="s">
        <v>1059</v>
      </c>
      <c r="C902" s="200" t="s">
        <v>307</v>
      </c>
      <c r="D902" s="204">
        <v>-13800</v>
      </c>
      <c r="E902" s="201">
        <v>45658</v>
      </c>
      <c r="F902" s="200" t="s">
        <v>296</v>
      </c>
      <c r="G902" s="200" t="s">
        <v>321</v>
      </c>
      <c r="H902" s="200" t="s">
        <v>326</v>
      </c>
      <c r="I902" s="200" t="s">
        <v>1054</v>
      </c>
    </row>
    <row r="903" spans="1:9" ht="15" customHeight="1">
      <c r="A903" s="199">
        <v>45665</v>
      </c>
      <c r="B903" s="202" t="s">
        <v>1060</v>
      </c>
      <c r="C903" s="200" t="s">
        <v>307</v>
      </c>
      <c r="D903" s="204">
        <v>-50000</v>
      </c>
      <c r="E903" s="201">
        <v>45658</v>
      </c>
      <c r="F903" s="200" t="s">
        <v>296</v>
      </c>
      <c r="G903" s="200" t="s">
        <v>321</v>
      </c>
      <c r="H903" s="200" t="s">
        <v>326</v>
      </c>
      <c r="I903" s="200" t="s">
        <v>1054</v>
      </c>
    </row>
    <row r="904" spans="1:9" ht="15" customHeight="1">
      <c r="A904" s="199">
        <v>45666</v>
      </c>
      <c r="B904" s="202" t="s">
        <v>1061</v>
      </c>
      <c r="C904" s="200" t="s">
        <v>307</v>
      </c>
      <c r="D904" s="204">
        <v>-50000</v>
      </c>
      <c r="E904" s="201">
        <v>45658</v>
      </c>
      <c r="F904" s="200" t="s">
        <v>296</v>
      </c>
      <c r="G904" s="200" t="s">
        <v>321</v>
      </c>
      <c r="H904" s="200" t="s">
        <v>326</v>
      </c>
      <c r="I904" s="200" t="s">
        <v>1054</v>
      </c>
    </row>
    <row r="905" spans="1:9" ht="15" customHeight="1">
      <c r="A905" s="199">
        <v>45666</v>
      </c>
      <c r="B905" s="202" t="s">
        <v>1062</v>
      </c>
      <c r="C905" s="200" t="s">
        <v>307</v>
      </c>
      <c r="D905" s="204">
        <v>-40000</v>
      </c>
      <c r="E905" s="201">
        <v>45658</v>
      </c>
      <c r="F905" s="200" t="s">
        <v>296</v>
      </c>
      <c r="G905" s="200" t="s">
        <v>321</v>
      </c>
      <c r="H905" s="200" t="s">
        <v>429</v>
      </c>
      <c r="I905" s="200" t="s">
        <v>1054</v>
      </c>
    </row>
    <row r="906" spans="1:9" ht="15" customHeight="1">
      <c r="A906" s="199">
        <v>45666</v>
      </c>
      <c r="B906" s="202" t="s">
        <v>1063</v>
      </c>
      <c r="C906" s="200" t="s">
        <v>307</v>
      </c>
      <c r="D906" s="204">
        <v>-20000</v>
      </c>
      <c r="E906" s="201">
        <v>45658</v>
      </c>
      <c r="F906" s="200" t="s">
        <v>296</v>
      </c>
      <c r="G906" s="200" t="s">
        <v>321</v>
      </c>
      <c r="H906" s="200" t="s">
        <v>429</v>
      </c>
      <c r="I906" s="200" t="s">
        <v>1054</v>
      </c>
    </row>
    <row r="907" spans="1:9" ht="15" customHeight="1">
      <c r="A907" s="199">
        <v>45666</v>
      </c>
      <c r="B907" s="202" t="s">
        <v>1064</v>
      </c>
      <c r="C907" s="200" t="s">
        <v>136</v>
      </c>
      <c r="D907" s="668">
        <v>-478500</v>
      </c>
      <c r="E907" s="201">
        <v>45658</v>
      </c>
      <c r="F907" s="200" t="s">
        <v>296</v>
      </c>
      <c r="G907" s="200" t="s">
        <v>321</v>
      </c>
      <c r="H907" s="200" t="s">
        <v>429</v>
      </c>
      <c r="I907" s="200" t="s">
        <v>1054</v>
      </c>
    </row>
    <row r="908" spans="1:9" ht="15" customHeight="1">
      <c r="A908" s="199">
        <v>45667</v>
      </c>
      <c r="B908" s="202" t="s">
        <v>1065</v>
      </c>
      <c r="C908" s="200" t="s">
        <v>307</v>
      </c>
      <c r="D908" s="204">
        <v>-46000</v>
      </c>
      <c r="E908" s="201">
        <v>45658</v>
      </c>
      <c r="F908" s="200" t="s">
        <v>296</v>
      </c>
      <c r="G908" s="200" t="s">
        <v>321</v>
      </c>
      <c r="H908" s="200" t="s">
        <v>1066</v>
      </c>
      <c r="I908" s="200" t="s">
        <v>1054</v>
      </c>
    </row>
    <row r="909" spans="1:9" ht="15" customHeight="1">
      <c r="A909" s="199">
        <v>45667</v>
      </c>
      <c r="B909" s="202" t="s">
        <v>1067</v>
      </c>
      <c r="C909" s="200" t="s">
        <v>307</v>
      </c>
      <c r="D909" s="204">
        <v>-40000</v>
      </c>
      <c r="E909" s="201">
        <v>45658</v>
      </c>
      <c r="F909" s="200" t="s">
        <v>296</v>
      </c>
      <c r="G909" s="200" t="s">
        <v>321</v>
      </c>
      <c r="H909" s="200" t="s">
        <v>326</v>
      </c>
      <c r="I909" s="200" t="s">
        <v>1054</v>
      </c>
    </row>
    <row r="910" spans="1:9" ht="15" customHeight="1">
      <c r="A910" s="199">
        <v>45667</v>
      </c>
      <c r="B910" s="202" t="s">
        <v>1067</v>
      </c>
      <c r="C910" s="200" t="s">
        <v>307</v>
      </c>
      <c r="D910" s="204">
        <v>-40000</v>
      </c>
      <c r="E910" s="201">
        <v>45658</v>
      </c>
      <c r="F910" s="200" t="s">
        <v>296</v>
      </c>
      <c r="G910" s="200" t="s">
        <v>321</v>
      </c>
      <c r="H910" s="200" t="s">
        <v>326</v>
      </c>
      <c r="I910" s="200" t="s">
        <v>1054</v>
      </c>
    </row>
    <row r="911" spans="1:9" ht="15" customHeight="1">
      <c r="A911" s="199">
        <v>45668</v>
      </c>
      <c r="B911" s="202" t="s">
        <v>1057</v>
      </c>
      <c r="C911" s="200" t="s">
        <v>307</v>
      </c>
      <c r="D911" s="204">
        <v>-60000</v>
      </c>
      <c r="E911" s="201">
        <v>45658</v>
      </c>
      <c r="F911" s="200" t="s">
        <v>296</v>
      </c>
      <c r="G911" s="200" t="s">
        <v>321</v>
      </c>
      <c r="H911" s="200" t="s">
        <v>326</v>
      </c>
      <c r="I911" s="200" t="s">
        <v>1054</v>
      </c>
    </row>
    <row r="912" spans="1:9" ht="15" customHeight="1">
      <c r="A912" s="199">
        <v>45668</v>
      </c>
      <c r="B912" s="202" t="s">
        <v>1061</v>
      </c>
      <c r="C912" s="200" t="s">
        <v>136</v>
      </c>
      <c r="D912" s="668">
        <v>-165000</v>
      </c>
      <c r="E912" s="201">
        <v>45658</v>
      </c>
      <c r="F912" s="200" t="s">
        <v>296</v>
      </c>
      <c r="G912" s="200" t="s">
        <v>321</v>
      </c>
      <c r="H912" s="200" t="s">
        <v>326</v>
      </c>
      <c r="I912" s="200" t="s">
        <v>1054</v>
      </c>
    </row>
    <row r="913" spans="1:9" ht="15" customHeight="1">
      <c r="A913" s="199">
        <v>45668</v>
      </c>
      <c r="B913" s="202" t="s">
        <v>1063</v>
      </c>
      <c r="C913" s="200" t="s">
        <v>307</v>
      </c>
      <c r="D913" s="204">
        <v>-20000</v>
      </c>
      <c r="E913" s="201">
        <v>45658</v>
      </c>
      <c r="F913" s="200" t="s">
        <v>296</v>
      </c>
      <c r="G913" s="200" t="s">
        <v>321</v>
      </c>
      <c r="H913" s="200" t="s">
        <v>429</v>
      </c>
      <c r="I913" s="200" t="s">
        <v>1054</v>
      </c>
    </row>
    <row r="914" spans="1:9" ht="15" customHeight="1">
      <c r="A914" s="199">
        <v>45668</v>
      </c>
      <c r="B914" s="202" t="s">
        <v>1068</v>
      </c>
      <c r="C914" s="200" t="s">
        <v>136</v>
      </c>
      <c r="D914" s="668">
        <v>-13500</v>
      </c>
      <c r="E914" s="201">
        <v>45658</v>
      </c>
      <c r="F914" s="200" t="s">
        <v>296</v>
      </c>
      <c r="G914" s="200" t="s">
        <v>321</v>
      </c>
      <c r="H914" s="200" t="s">
        <v>490</v>
      </c>
      <c r="I914" s="200" t="s">
        <v>1054</v>
      </c>
    </row>
    <row r="915" spans="1:9" ht="15" customHeight="1">
      <c r="A915" s="199">
        <v>45668</v>
      </c>
      <c r="B915" s="202" t="s">
        <v>1059</v>
      </c>
      <c r="C915" s="200" t="s">
        <v>307</v>
      </c>
      <c r="D915" s="204">
        <v>-13800</v>
      </c>
      <c r="E915" s="201">
        <v>45658</v>
      </c>
      <c r="F915" s="200" t="s">
        <v>296</v>
      </c>
      <c r="G915" s="200" t="s">
        <v>321</v>
      </c>
      <c r="H915" s="200" t="s">
        <v>326</v>
      </c>
      <c r="I915" s="200" t="s">
        <v>1054</v>
      </c>
    </row>
    <row r="916" spans="1:9" ht="15" customHeight="1">
      <c r="A916" s="199">
        <v>45670</v>
      </c>
      <c r="B916" s="202" t="s">
        <v>1069</v>
      </c>
      <c r="C916" s="200" t="s">
        <v>307</v>
      </c>
      <c r="D916" s="204">
        <v>-50000</v>
      </c>
      <c r="E916" s="201">
        <v>45658</v>
      </c>
      <c r="F916" s="200" t="s">
        <v>296</v>
      </c>
      <c r="G916" s="200" t="s">
        <v>321</v>
      </c>
      <c r="H916" s="200" t="s">
        <v>429</v>
      </c>
      <c r="I916" s="200" t="s">
        <v>1054</v>
      </c>
    </row>
    <row r="917" spans="1:9" ht="15" customHeight="1">
      <c r="A917" s="199">
        <v>45670</v>
      </c>
      <c r="B917" s="202" t="s">
        <v>1070</v>
      </c>
      <c r="C917" s="200" t="s">
        <v>307</v>
      </c>
      <c r="D917" s="204">
        <v>-188000</v>
      </c>
      <c r="E917" s="201">
        <v>45658</v>
      </c>
      <c r="F917" s="200" t="s">
        <v>296</v>
      </c>
      <c r="G917" s="200" t="s">
        <v>321</v>
      </c>
      <c r="H917" s="200" t="s">
        <v>429</v>
      </c>
      <c r="I917" s="200" t="s">
        <v>1054</v>
      </c>
    </row>
    <row r="918" spans="1:9" ht="15" customHeight="1">
      <c r="A918" s="199">
        <v>45671</v>
      </c>
      <c r="B918" s="202" t="s">
        <v>1057</v>
      </c>
      <c r="C918" s="200" t="s">
        <v>307</v>
      </c>
      <c r="D918" s="204">
        <v>-60000</v>
      </c>
      <c r="E918" s="201">
        <v>45658</v>
      </c>
      <c r="F918" s="200" t="s">
        <v>296</v>
      </c>
      <c r="G918" s="200" t="s">
        <v>321</v>
      </c>
      <c r="H918" s="200" t="s">
        <v>326</v>
      </c>
      <c r="I918" s="200" t="s">
        <v>1054</v>
      </c>
    </row>
    <row r="919" spans="1:9" ht="15" customHeight="1">
      <c r="A919" s="199">
        <v>45672</v>
      </c>
      <c r="B919" s="202" t="s">
        <v>1063</v>
      </c>
      <c r="C919" s="200" t="s">
        <v>307</v>
      </c>
      <c r="D919" s="204">
        <v>-20000</v>
      </c>
      <c r="E919" s="201">
        <v>45658</v>
      </c>
      <c r="F919" s="200" t="s">
        <v>296</v>
      </c>
      <c r="G919" s="200" t="s">
        <v>321</v>
      </c>
      <c r="H919" s="200" t="s">
        <v>429</v>
      </c>
      <c r="I919" s="200" t="s">
        <v>1054</v>
      </c>
    </row>
    <row r="920" spans="1:9" ht="15" customHeight="1">
      <c r="A920" s="199">
        <v>45673</v>
      </c>
      <c r="B920" s="202" t="s">
        <v>1060</v>
      </c>
      <c r="C920" s="200" t="s">
        <v>307</v>
      </c>
      <c r="D920" s="204">
        <v>-13800</v>
      </c>
      <c r="E920" s="201">
        <v>45658</v>
      </c>
      <c r="F920" s="200" t="s">
        <v>296</v>
      </c>
      <c r="G920" s="200" t="s">
        <v>321</v>
      </c>
      <c r="H920" s="200" t="s">
        <v>326</v>
      </c>
      <c r="I920" s="200" t="s">
        <v>1054</v>
      </c>
    </row>
    <row r="921" spans="1:9" ht="15" customHeight="1">
      <c r="A921" s="199">
        <v>45674</v>
      </c>
      <c r="B921" s="202" t="s">
        <v>1060</v>
      </c>
      <c r="C921" s="200" t="s">
        <v>307</v>
      </c>
      <c r="D921" s="204">
        <v>-20000</v>
      </c>
      <c r="E921" s="201">
        <v>45658</v>
      </c>
      <c r="F921" s="200" t="s">
        <v>296</v>
      </c>
      <c r="G921" s="200" t="s">
        <v>321</v>
      </c>
      <c r="H921" s="200" t="s">
        <v>326</v>
      </c>
      <c r="I921" s="200" t="s">
        <v>1054</v>
      </c>
    </row>
    <row r="922" spans="1:9" ht="15" customHeight="1">
      <c r="A922" s="199">
        <v>45674</v>
      </c>
      <c r="B922" s="202" t="s">
        <v>1067</v>
      </c>
      <c r="C922" s="200" t="s">
        <v>307</v>
      </c>
      <c r="D922" s="204">
        <v>-40000</v>
      </c>
      <c r="E922" s="201">
        <v>45658</v>
      </c>
      <c r="F922" s="200" t="s">
        <v>296</v>
      </c>
      <c r="G922" s="200" t="s">
        <v>321</v>
      </c>
      <c r="H922" s="200" t="s">
        <v>326</v>
      </c>
      <c r="I922" s="200" t="s">
        <v>1054</v>
      </c>
    </row>
    <row r="923" spans="1:9" ht="15" customHeight="1">
      <c r="A923" s="199">
        <v>45675</v>
      </c>
      <c r="B923" s="202" t="s">
        <v>1071</v>
      </c>
      <c r="C923" s="200" t="s">
        <v>307</v>
      </c>
      <c r="D923" s="204">
        <v>-40000</v>
      </c>
      <c r="E923" s="201">
        <v>45658</v>
      </c>
      <c r="F923" s="200" t="s">
        <v>296</v>
      </c>
      <c r="G923" s="200" t="s">
        <v>321</v>
      </c>
      <c r="H923" s="200" t="s">
        <v>1017</v>
      </c>
      <c r="I923" s="200" t="s">
        <v>1054</v>
      </c>
    </row>
    <row r="924" spans="1:9" ht="15" customHeight="1">
      <c r="A924" s="199">
        <v>45675</v>
      </c>
      <c r="B924" s="202" t="s">
        <v>1057</v>
      </c>
      <c r="C924" s="200" t="s">
        <v>307</v>
      </c>
      <c r="D924" s="204">
        <v>-60000</v>
      </c>
      <c r="E924" s="201">
        <v>45658</v>
      </c>
      <c r="F924" s="200" t="s">
        <v>296</v>
      </c>
      <c r="G924" s="200" t="s">
        <v>321</v>
      </c>
      <c r="H924" s="200" t="s">
        <v>326</v>
      </c>
      <c r="I924" s="200" t="s">
        <v>1054</v>
      </c>
    </row>
    <row r="925" spans="1:9" ht="15" customHeight="1">
      <c r="A925" s="199">
        <v>45675</v>
      </c>
      <c r="B925" s="202" t="s">
        <v>1072</v>
      </c>
      <c r="C925" s="200" t="s">
        <v>307</v>
      </c>
      <c r="D925" s="204">
        <v>-372000</v>
      </c>
      <c r="E925" s="201">
        <v>45658</v>
      </c>
      <c r="F925" s="200" t="s">
        <v>296</v>
      </c>
      <c r="G925" s="200" t="s">
        <v>337</v>
      </c>
      <c r="H925" s="200" t="s">
        <v>429</v>
      </c>
      <c r="I925" s="200" t="s">
        <v>1054</v>
      </c>
    </row>
    <row r="926" spans="1:9" ht="15" customHeight="1">
      <c r="A926" s="199">
        <v>45677</v>
      </c>
      <c r="B926" s="202" t="s">
        <v>1069</v>
      </c>
      <c r="C926" s="200" t="s">
        <v>307</v>
      </c>
      <c r="D926" s="204">
        <v>-50000</v>
      </c>
      <c r="E926" s="201">
        <v>45658</v>
      </c>
      <c r="F926" s="200" t="s">
        <v>296</v>
      </c>
      <c r="G926" s="200" t="s">
        <v>321</v>
      </c>
      <c r="H926" s="200" t="s">
        <v>429</v>
      </c>
      <c r="I926" s="200" t="s">
        <v>1054</v>
      </c>
    </row>
    <row r="927" spans="1:9" ht="15" customHeight="1">
      <c r="A927" s="199">
        <v>45677</v>
      </c>
      <c r="B927" s="202" t="s">
        <v>1061</v>
      </c>
      <c r="C927" s="200" t="s">
        <v>307</v>
      </c>
      <c r="D927" s="204">
        <v>-51437</v>
      </c>
      <c r="E927" s="201">
        <v>45658</v>
      </c>
      <c r="F927" s="200" t="s">
        <v>296</v>
      </c>
      <c r="G927" s="200" t="s">
        <v>321</v>
      </c>
      <c r="H927" s="200" t="s">
        <v>326</v>
      </c>
      <c r="I927" s="200" t="s">
        <v>1054</v>
      </c>
    </row>
    <row r="928" spans="1:9" ht="15" customHeight="1">
      <c r="A928" s="199">
        <v>45678</v>
      </c>
      <c r="B928" s="202" t="s">
        <v>1073</v>
      </c>
      <c r="C928" s="200" t="s">
        <v>136</v>
      </c>
      <c r="D928" s="668">
        <v>-236000</v>
      </c>
      <c r="E928" s="201">
        <v>45658</v>
      </c>
      <c r="F928" s="200" t="s">
        <v>296</v>
      </c>
      <c r="G928" s="200" t="s">
        <v>321</v>
      </c>
      <c r="H928" s="200" t="s">
        <v>429</v>
      </c>
      <c r="I928" s="200" t="s">
        <v>1054</v>
      </c>
    </row>
    <row r="929" spans="1:9" ht="15" customHeight="1">
      <c r="A929" s="199">
        <v>45678</v>
      </c>
      <c r="B929" s="202" t="s">
        <v>1060</v>
      </c>
      <c r="C929" s="200" t="s">
        <v>307</v>
      </c>
      <c r="D929" s="204">
        <v>-20000</v>
      </c>
      <c r="E929" s="201">
        <v>45658</v>
      </c>
      <c r="F929" s="200" t="s">
        <v>296</v>
      </c>
      <c r="G929" s="200" t="s">
        <v>321</v>
      </c>
      <c r="H929" s="200" t="s">
        <v>326</v>
      </c>
      <c r="I929" s="200" t="s">
        <v>1054</v>
      </c>
    </row>
    <row r="930" spans="1:9" ht="15" customHeight="1">
      <c r="A930" s="199">
        <v>45681</v>
      </c>
      <c r="B930" s="202" t="s">
        <v>1074</v>
      </c>
      <c r="C930" s="200" t="s">
        <v>307</v>
      </c>
      <c r="D930" s="204">
        <v>-22000</v>
      </c>
      <c r="E930" s="201">
        <v>45658</v>
      </c>
      <c r="F930" s="200" t="s">
        <v>296</v>
      </c>
      <c r="G930" s="200" t="s">
        <v>44</v>
      </c>
      <c r="H930" s="200" t="s">
        <v>442</v>
      </c>
      <c r="I930" s="200" t="s">
        <v>718</v>
      </c>
    </row>
    <row r="931" spans="1:9" ht="15" customHeight="1">
      <c r="A931" s="199">
        <v>45681</v>
      </c>
      <c r="B931" s="202" t="s">
        <v>1075</v>
      </c>
      <c r="C931" s="200" t="s">
        <v>307</v>
      </c>
      <c r="D931" s="204">
        <v>-22000</v>
      </c>
      <c r="E931" s="201">
        <v>45658</v>
      </c>
      <c r="F931" s="200" t="s">
        <v>296</v>
      </c>
      <c r="G931" s="200" t="s">
        <v>321</v>
      </c>
      <c r="H931" s="200" t="s">
        <v>326</v>
      </c>
      <c r="I931" s="200" t="s">
        <v>718</v>
      </c>
    </row>
    <row r="932" spans="1:9" ht="15" customHeight="1">
      <c r="A932" s="199">
        <v>45681</v>
      </c>
      <c r="B932" s="202" t="s">
        <v>729</v>
      </c>
      <c r="C932" s="200" t="s">
        <v>307</v>
      </c>
      <c r="D932" s="204">
        <v>-5000</v>
      </c>
      <c r="E932" s="201">
        <v>45658</v>
      </c>
      <c r="F932" s="200" t="s">
        <v>296</v>
      </c>
      <c r="G932" s="200" t="s">
        <v>44</v>
      </c>
      <c r="H932" s="200" t="s">
        <v>442</v>
      </c>
      <c r="I932" s="200" t="s">
        <v>718</v>
      </c>
    </row>
    <row r="933" spans="1:9" ht="15" customHeight="1">
      <c r="A933" s="199">
        <v>45681</v>
      </c>
      <c r="B933" s="202" t="s">
        <v>729</v>
      </c>
      <c r="C933" s="200" t="s">
        <v>307</v>
      </c>
      <c r="D933" s="204">
        <v>-5000</v>
      </c>
      <c r="E933" s="201">
        <v>45658</v>
      </c>
      <c r="F933" s="200" t="s">
        <v>296</v>
      </c>
      <c r="G933" s="200" t="s">
        <v>321</v>
      </c>
      <c r="H933" s="200" t="s">
        <v>326</v>
      </c>
      <c r="I933" s="200" t="s">
        <v>718</v>
      </c>
    </row>
    <row r="934" spans="1:9" ht="15" customHeight="1">
      <c r="A934" s="199">
        <v>45681</v>
      </c>
      <c r="B934" s="202" t="s">
        <v>1076</v>
      </c>
      <c r="C934" s="200" t="s">
        <v>307</v>
      </c>
      <c r="D934" s="204">
        <v>-52600</v>
      </c>
      <c r="E934" s="201">
        <v>45658</v>
      </c>
      <c r="F934" s="200" t="s">
        <v>296</v>
      </c>
      <c r="G934" s="200" t="s">
        <v>321</v>
      </c>
      <c r="H934" s="200" t="s">
        <v>322</v>
      </c>
      <c r="I934" s="200" t="s">
        <v>718</v>
      </c>
    </row>
    <row r="935" spans="1:9" ht="15" customHeight="1">
      <c r="A935" s="199">
        <v>45685</v>
      </c>
      <c r="B935" s="202" t="s">
        <v>1077</v>
      </c>
      <c r="C935" s="200" t="s">
        <v>307</v>
      </c>
      <c r="D935" s="204">
        <v>-6700</v>
      </c>
      <c r="E935" s="201">
        <v>45658</v>
      </c>
      <c r="F935" s="200" t="s">
        <v>256</v>
      </c>
      <c r="G935" s="200" t="s">
        <v>256</v>
      </c>
      <c r="H935" s="200" t="s">
        <v>267</v>
      </c>
      <c r="I935" s="200" t="s">
        <v>718</v>
      </c>
    </row>
    <row r="936" spans="1:9" ht="15" customHeight="1">
      <c r="A936" s="199">
        <v>45687</v>
      </c>
      <c r="B936" s="202" t="s">
        <v>442</v>
      </c>
      <c r="C936" s="200" t="s">
        <v>307</v>
      </c>
      <c r="D936" s="204">
        <v>-20100</v>
      </c>
      <c r="E936" s="201">
        <v>45658</v>
      </c>
      <c r="F936" s="200" t="s">
        <v>296</v>
      </c>
      <c r="G936" s="531" t="s">
        <v>392</v>
      </c>
      <c r="H936" s="200" t="s">
        <v>268</v>
      </c>
      <c r="I936" s="200" t="s">
        <v>718</v>
      </c>
    </row>
    <row r="937" spans="1:9" ht="15" customHeight="1">
      <c r="A937" s="199">
        <v>45681</v>
      </c>
      <c r="B937" s="202" t="s">
        <v>1078</v>
      </c>
      <c r="C937" s="200" t="s">
        <v>307</v>
      </c>
      <c r="D937" s="204">
        <v>-1110000</v>
      </c>
      <c r="E937" s="201">
        <v>45658</v>
      </c>
      <c r="F937" s="200" t="s">
        <v>296</v>
      </c>
      <c r="G937" s="200" t="s">
        <v>522</v>
      </c>
      <c r="H937" s="200" t="s">
        <v>1079</v>
      </c>
      <c r="I937" s="200" t="s">
        <v>1080</v>
      </c>
    </row>
    <row r="938" spans="1:9" ht="15" customHeight="1">
      <c r="A938" s="199">
        <v>45684</v>
      </c>
      <c r="B938" s="202" t="s">
        <v>1081</v>
      </c>
      <c r="C938" s="200" t="s">
        <v>307</v>
      </c>
      <c r="D938" s="204">
        <v>-70000</v>
      </c>
      <c r="E938" s="201">
        <v>45658</v>
      </c>
      <c r="F938" s="200" t="s">
        <v>296</v>
      </c>
      <c r="G938" s="200" t="s">
        <v>522</v>
      </c>
      <c r="H938" s="200" t="s">
        <v>1079</v>
      </c>
      <c r="I938" s="200" t="s">
        <v>1080</v>
      </c>
    </row>
    <row r="939" spans="1:9" ht="15" customHeight="1">
      <c r="A939" s="199">
        <v>45684</v>
      </c>
      <c r="B939" s="202" t="s">
        <v>1082</v>
      </c>
      <c r="C939" s="200" t="s">
        <v>307</v>
      </c>
      <c r="D939" s="204">
        <v>-330000</v>
      </c>
      <c r="E939" s="201">
        <v>45658</v>
      </c>
      <c r="F939" s="200" t="s">
        <v>296</v>
      </c>
      <c r="G939" s="200" t="s">
        <v>522</v>
      </c>
      <c r="H939" s="200" t="s">
        <v>1079</v>
      </c>
      <c r="I939" s="200" t="s">
        <v>1080</v>
      </c>
    </row>
    <row r="940" spans="1:9" ht="15" customHeight="1">
      <c r="A940" s="199">
        <v>45685</v>
      </c>
      <c r="B940" s="202" t="s">
        <v>1083</v>
      </c>
      <c r="C940" s="200" t="s">
        <v>307</v>
      </c>
      <c r="D940" s="204">
        <v>-400000</v>
      </c>
      <c r="E940" s="201">
        <v>45658</v>
      </c>
      <c r="F940" s="200" t="s">
        <v>296</v>
      </c>
      <c r="G940" s="200" t="s">
        <v>522</v>
      </c>
      <c r="H940" s="200" t="s">
        <v>1079</v>
      </c>
      <c r="I940" s="200" t="s">
        <v>1080</v>
      </c>
    </row>
    <row r="941" spans="1:9" ht="15" customHeight="1">
      <c r="A941" s="199">
        <v>45686</v>
      </c>
      <c r="B941" s="202" t="s">
        <v>1084</v>
      </c>
      <c r="C941" s="200" t="s">
        <v>307</v>
      </c>
      <c r="D941" s="204">
        <v>-5000</v>
      </c>
      <c r="E941" s="201">
        <v>45658</v>
      </c>
      <c r="F941" s="200" t="s">
        <v>296</v>
      </c>
      <c r="G941" s="200" t="s">
        <v>522</v>
      </c>
      <c r="H941" s="200" t="s">
        <v>490</v>
      </c>
      <c r="I941" s="200" t="s">
        <v>1080</v>
      </c>
    </row>
    <row r="942" spans="1:9" ht="15" customHeight="1">
      <c r="A942" s="199">
        <v>45686</v>
      </c>
      <c r="B942" s="202" t="s">
        <v>1085</v>
      </c>
      <c r="C942" s="200" t="s">
        <v>307</v>
      </c>
      <c r="D942" s="204">
        <v>-644500</v>
      </c>
      <c r="E942" s="201">
        <v>45658</v>
      </c>
      <c r="F942" s="200" t="s">
        <v>296</v>
      </c>
      <c r="G942" s="200" t="s">
        <v>522</v>
      </c>
      <c r="H942" s="200" t="s">
        <v>490</v>
      </c>
      <c r="I942" s="200" t="s">
        <v>1080</v>
      </c>
    </row>
    <row r="943" spans="1:9" ht="15" customHeight="1">
      <c r="A943" s="199">
        <v>45681</v>
      </c>
      <c r="B943" s="202" t="s">
        <v>1086</v>
      </c>
      <c r="C943" s="200" t="s">
        <v>204</v>
      </c>
      <c r="D943" s="658">
        <v>-930591</v>
      </c>
      <c r="E943" s="201">
        <v>45658</v>
      </c>
      <c r="F943" s="200" t="s">
        <v>296</v>
      </c>
      <c r="G943" s="200" t="s">
        <v>1087</v>
      </c>
    </row>
    <row r="944" spans="1:9" ht="15" customHeight="1">
      <c r="A944" s="199">
        <v>45681</v>
      </c>
      <c r="B944" s="202" t="s">
        <v>1088</v>
      </c>
      <c r="C944" s="200" t="s">
        <v>204</v>
      </c>
      <c r="D944" s="658">
        <v>-69293</v>
      </c>
      <c r="E944" s="201">
        <v>45658</v>
      </c>
      <c r="F944" s="200" t="s">
        <v>256</v>
      </c>
      <c r="G944" s="200" t="s">
        <v>256</v>
      </c>
      <c r="H944" s="531" t="s">
        <v>386</v>
      </c>
    </row>
    <row r="945" spans="1:9" ht="15" customHeight="1">
      <c r="A945" s="199">
        <v>45681</v>
      </c>
      <c r="B945" s="202" t="s">
        <v>1089</v>
      </c>
      <c r="C945" s="200" t="s">
        <v>204</v>
      </c>
      <c r="D945" s="658">
        <v>-21475590</v>
      </c>
      <c r="E945" s="201">
        <v>45658</v>
      </c>
      <c r="F945" s="200" t="s">
        <v>296</v>
      </c>
      <c r="G945" s="200" t="s">
        <v>44</v>
      </c>
      <c r="H945" s="200" t="s">
        <v>811</v>
      </c>
    </row>
    <row r="946" spans="1:9" ht="15" customHeight="1">
      <c r="A946" s="199">
        <v>45681</v>
      </c>
      <c r="B946" s="202" t="s">
        <v>1090</v>
      </c>
      <c r="C946" s="200" t="s">
        <v>372</v>
      </c>
      <c r="D946" s="204">
        <v>-463235.32500000001</v>
      </c>
      <c r="E946" s="201">
        <v>45658</v>
      </c>
      <c r="F946" s="200" t="s">
        <v>296</v>
      </c>
      <c r="G946" s="200" t="s">
        <v>44</v>
      </c>
      <c r="H946" s="200" t="s">
        <v>811</v>
      </c>
    </row>
    <row r="947" spans="1:9" ht="15" customHeight="1">
      <c r="A947" s="199">
        <v>45681</v>
      </c>
      <c r="B947" s="202" t="s">
        <v>1091</v>
      </c>
      <c r="C947" s="200" t="s">
        <v>372</v>
      </c>
      <c r="D947" s="204">
        <v>-111176.478</v>
      </c>
      <c r="E947" s="201">
        <v>45658</v>
      </c>
      <c r="F947" s="200" t="s">
        <v>296</v>
      </c>
      <c r="G947" s="200" t="s">
        <v>44</v>
      </c>
      <c r="H947" s="200" t="s">
        <v>811</v>
      </c>
    </row>
    <row r="948" spans="1:9" ht="15" customHeight="1">
      <c r="A948" s="199">
        <v>45681</v>
      </c>
      <c r="B948" s="202" t="s">
        <v>1092</v>
      </c>
      <c r="C948" s="200" t="s">
        <v>204</v>
      </c>
      <c r="D948" s="658">
        <v>-41650</v>
      </c>
      <c r="E948" s="201">
        <v>45658</v>
      </c>
      <c r="F948" s="200" t="s">
        <v>256</v>
      </c>
      <c r="G948" s="200" t="s">
        <v>256</v>
      </c>
      <c r="H948" s="531" t="s">
        <v>386</v>
      </c>
    </row>
    <row r="949" spans="1:9" ht="15" customHeight="1">
      <c r="A949" s="199">
        <v>45684</v>
      </c>
      <c r="B949" s="202" t="s">
        <v>1093</v>
      </c>
      <c r="C949" s="200" t="s">
        <v>204</v>
      </c>
      <c r="D949" s="658">
        <v>-9475500</v>
      </c>
      <c r="E949" s="201">
        <v>45658</v>
      </c>
      <c r="F949" s="200" t="s">
        <v>296</v>
      </c>
      <c r="G949" s="200" t="s">
        <v>453</v>
      </c>
      <c r="H949" s="200" t="s">
        <v>98</v>
      </c>
    </row>
    <row r="950" spans="1:9" ht="15" customHeight="1">
      <c r="A950" s="199">
        <v>45684</v>
      </c>
      <c r="B950" s="202" t="s">
        <v>1094</v>
      </c>
      <c r="C950" s="200" t="s">
        <v>204</v>
      </c>
      <c r="D950" s="658">
        <v>-5765175</v>
      </c>
      <c r="E950" s="201">
        <v>45658</v>
      </c>
      <c r="F950" s="200" t="s">
        <v>296</v>
      </c>
      <c r="G950" s="200" t="s">
        <v>522</v>
      </c>
      <c r="H950" s="200" t="s">
        <v>322</v>
      </c>
    </row>
    <row r="951" spans="1:9" ht="15" customHeight="1">
      <c r="A951" s="199">
        <v>45685</v>
      </c>
      <c r="B951" s="202" t="s">
        <v>1095</v>
      </c>
      <c r="C951" s="200" t="s">
        <v>204</v>
      </c>
      <c r="D951" s="658">
        <v>-1174694</v>
      </c>
      <c r="E951" s="201">
        <v>45658</v>
      </c>
      <c r="F951" s="200" t="s">
        <v>296</v>
      </c>
      <c r="G951" s="200" t="s">
        <v>337</v>
      </c>
      <c r="H951" s="200" t="s">
        <v>366</v>
      </c>
    </row>
    <row r="952" spans="1:9" ht="15" customHeight="1">
      <c r="A952" s="199">
        <v>45685</v>
      </c>
      <c r="B952" s="202" t="s">
        <v>1096</v>
      </c>
      <c r="C952" s="200" t="s">
        <v>372</v>
      </c>
      <c r="D952" s="204">
        <v>-4957</v>
      </c>
      <c r="E952" s="201">
        <v>45658</v>
      </c>
      <c r="F952" s="200" t="s">
        <v>296</v>
      </c>
      <c r="G952" s="200" t="s">
        <v>337</v>
      </c>
      <c r="H952" s="200" t="s">
        <v>366</v>
      </c>
    </row>
    <row r="953" spans="1:9" ht="15" customHeight="1">
      <c r="A953" s="199">
        <v>45685</v>
      </c>
      <c r="B953" s="202" t="s">
        <v>1097</v>
      </c>
      <c r="C953" s="200" t="s">
        <v>204</v>
      </c>
      <c r="D953" s="658">
        <v>-985841</v>
      </c>
      <c r="E953" s="201">
        <v>45658</v>
      </c>
      <c r="F953" s="200" t="s">
        <v>296</v>
      </c>
      <c r="G953" s="200" t="s">
        <v>522</v>
      </c>
      <c r="H953" s="200" t="s">
        <v>322</v>
      </c>
    </row>
    <row r="954" spans="1:9" ht="15" customHeight="1">
      <c r="A954" s="199">
        <v>45685</v>
      </c>
      <c r="B954" s="202" t="s">
        <v>1098</v>
      </c>
      <c r="C954" s="200" t="s">
        <v>372</v>
      </c>
      <c r="D954" s="204">
        <v>-4160</v>
      </c>
      <c r="E954" s="201">
        <v>45658</v>
      </c>
      <c r="F954" s="200" t="s">
        <v>296</v>
      </c>
      <c r="G954" s="200" t="s">
        <v>522</v>
      </c>
      <c r="H954" s="200" t="s">
        <v>322</v>
      </c>
    </row>
    <row r="955" spans="1:9" ht="15" customHeight="1">
      <c r="A955" s="199">
        <v>45685</v>
      </c>
      <c r="B955" s="202" t="s">
        <v>1099</v>
      </c>
      <c r="C955" s="200" t="s">
        <v>136</v>
      </c>
      <c r="D955" s="668">
        <v>-380395</v>
      </c>
      <c r="E955" s="201">
        <v>45658</v>
      </c>
      <c r="F955" s="200" t="s">
        <v>296</v>
      </c>
      <c r="G955" s="200" t="s">
        <v>337</v>
      </c>
      <c r="H955" s="202" t="s">
        <v>429</v>
      </c>
      <c r="I955" s="200" t="s">
        <v>1100</v>
      </c>
    </row>
    <row r="956" spans="1:9" ht="15" customHeight="1">
      <c r="A956" s="199">
        <v>45685</v>
      </c>
      <c r="B956" s="202" t="s">
        <v>1101</v>
      </c>
      <c r="C956" s="200" t="s">
        <v>204</v>
      </c>
      <c r="D956" s="658">
        <v>-32723387</v>
      </c>
      <c r="E956" s="201">
        <v>45658</v>
      </c>
      <c r="F956" s="200" t="s">
        <v>296</v>
      </c>
      <c r="G956" s="200" t="s">
        <v>328</v>
      </c>
      <c r="H956" s="200" t="s">
        <v>350</v>
      </c>
    </row>
    <row r="957" spans="1:9" ht="15" customHeight="1">
      <c r="A957" s="199">
        <v>45685</v>
      </c>
      <c r="B957" s="202" t="s">
        <v>1102</v>
      </c>
      <c r="C957" s="200" t="s">
        <v>372</v>
      </c>
      <c r="D957" s="204">
        <v>-1230203</v>
      </c>
      <c r="E957" s="201">
        <v>45658</v>
      </c>
      <c r="F957" s="200" t="s">
        <v>296</v>
      </c>
      <c r="G957" s="200" t="s">
        <v>328</v>
      </c>
      <c r="H957" s="200" t="s">
        <v>350</v>
      </c>
    </row>
    <row r="958" spans="1:9" ht="15" customHeight="1">
      <c r="A958" s="199">
        <v>45685</v>
      </c>
      <c r="B958" s="202" t="s">
        <v>1103</v>
      </c>
      <c r="C958" s="200" t="s">
        <v>204</v>
      </c>
      <c r="D958" s="658">
        <v>-29096030</v>
      </c>
      <c r="E958" s="201">
        <v>45658</v>
      </c>
      <c r="F958" s="200" t="s">
        <v>296</v>
      </c>
      <c r="G958" s="200" t="s">
        <v>522</v>
      </c>
      <c r="H958" s="200" t="s">
        <v>1104</v>
      </c>
    </row>
    <row r="959" spans="1:9" ht="15" customHeight="1">
      <c r="A959" s="199">
        <v>45685</v>
      </c>
      <c r="B959" s="202" t="s">
        <v>1103</v>
      </c>
      <c r="C959" s="200" t="s">
        <v>204</v>
      </c>
      <c r="D959" s="658">
        <v>-73635215</v>
      </c>
      <c r="E959" s="201">
        <v>45658</v>
      </c>
      <c r="F959" s="200" t="s">
        <v>296</v>
      </c>
      <c r="G959" s="200" t="s">
        <v>44</v>
      </c>
      <c r="H959" s="200" t="s">
        <v>1104</v>
      </c>
    </row>
    <row r="960" spans="1:9" ht="15" customHeight="1">
      <c r="A960" s="199">
        <v>45685</v>
      </c>
      <c r="B960" s="202" t="s">
        <v>1105</v>
      </c>
      <c r="C960" s="200" t="s">
        <v>204</v>
      </c>
      <c r="D960" s="658">
        <v>-265158</v>
      </c>
      <c r="E960" s="201">
        <v>45658</v>
      </c>
      <c r="F960" s="200" t="s">
        <v>296</v>
      </c>
      <c r="G960" s="200" t="s">
        <v>482</v>
      </c>
      <c r="H960" s="200" t="s">
        <v>379</v>
      </c>
    </row>
    <row r="961" spans="1:8" ht="15" customHeight="1">
      <c r="A961" s="199">
        <v>45685</v>
      </c>
      <c r="B961" s="202" t="s">
        <v>1106</v>
      </c>
      <c r="C961" s="200" t="s">
        <v>372</v>
      </c>
      <c r="D961" s="204">
        <v>-5720</v>
      </c>
      <c r="E961" s="201">
        <v>45658</v>
      </c>
      <c r="F961" s="200" t="s">
        <v>296</v>
      </c>
      <c r="G961" s="200" t="s">
        <v>482</v>
      </c>
      <c r="H961" s="200" t="s">
        <v>379</v>
      </c>
    </row>
    <row r="962" spans="1:8" ht="15" customHeight="1">
      <c r="A962" s="199">
        <v>45685</v>
      </c>
      <c r="B962" s="202" t="s">
        <v>1107</v>
      </c>
      <c r="C962" s="200" t="s">
        <v>372</v>
      </c>
      <c r="D962" s="204">
        <v>-1373</v>
      </c>
      <c r="E962" s="201">
        <v>45658</v>
      </c>
      <c r="F962" s="200" t="s">
        <v>296</v>
      </c>
      <c r="G962" s="200" t="s">
        <v>482</v>
      </c>
      <c r="H962" s="200" t="s">
        <v>379</v>
      </c>
    </row>
    <row r="963" spans="1:8" ht="15" customHeight="1">
      <c r="A963" s="199">
        <v>45685</v>
      </c>
      <c r="B963" s="202" t="s">
        <v>1105</v>
      </c>
      <c r="C963" s="200" t="s">
        <v>204</v>
      </c>
      <c r="D963" s="658">
        <v>-358472</v>
      </c>
      <c r="E963" s="201">
        <v>45658</v>
      </c>
      <c r="F963" s="200" t="s">
        <v>296</v>
      </c>
      <c r="G963" s="200" t="s">
        <v>328</v>
      </c>
      <c r="H963" s="200" t="s">
        <v>379</v>
      </c>
    </row>
    <row r="964" spans="1:8" ht="15" customHeight="1">
      <c r="A964" s="199">
        <v>45685</v>
      </c>
      <c r="B964" s="202" t="s">
        <v>1106</v>
      </c>
      <c r="C964" s="200" t="s">
        <v>372</v>
      </c>
      <c r="D964" s="204">
        <v>-7732</v>
      </c>
      <c r="E964" s="201">
        <v>45658</v>
      </c>
      <c r="F964" s="200" t="s">
        <v>296</v>
      </c>
      <c r="G964" s="200" t="s">
        <v>328</v>
      </c>
      <c r="H964" s="200" t="s">
        <v>379</v>
      </c>
    </row>
    <row r="965" spans="1:8" ht="15" customHeight="1">
      <c r="A965" s="199">
        <v>45685</v>
      </c>
      <c r="B965" s="202" t="s">
        <v>1107</v>
      </c>
      <c r="C965" s="200" t="s">
        <v>372</v>
      </c>
      <c r="D965" s="204">
        <v>-1856</v>
      </c>
      <c r="E965" s="201">
        <v>45658</v>
      </c>
      <c r="F965" s="200" t="s">
        <v>296</v>
      </c>
      <c r="G965" s="200" t="s">
        <v>328</v>
      </c>
      <c r="H965" s="200" t="s">
        <v>379</v>
      </c>
    </row>
    <row r="966" spans="1:8" ht="15" customHeight="1">
      <c r="A966" s="199">
        <v>45685</v>
      </c>
      <c r="B966" s="202" t="s">
        <v>1108</v>
      </c>
      <c r="C966" s="200" t="s">
        <v>204</v>
      </c>
      <c r="D966" s="658">
        <v>-1989682</v>
      </c>
      <c r="E966" s="201">
        <v>45658</v>
      </c>
      <c r="F966" s="200" t="s">
        <v>296</v>
      </c>
      <c r="G966" s="200" t="s">
        <v>522</v>
      </c>
      <c r="H966" s="200" t="s">
        <v>322</v>
      </c>
    </row>
    <row r="967" spans="1:8" ht="15" customHeight="1">
      <c r="A967" s="199">
        <v>45685</v>
      </c>
      <c r="B967" s="202" t="s">
        <v>1109</v>
      </c>
      <c r="C967" s="200" t="s">
        <v>372</v>
      </c>
      <c r="D967" s="204">
        <v>-42918</v>
      </c>
      <c r="E967" s="201">
        <v>45658</v>
      </c>
      <c r="F967" s="200" t="s">
        <v>296</v>
      </c>
      <c r="G967" s="200" t="s">
        <v>522</v>
      </c>
      <c r="H967" s="200" t="s">
        <v>322</v>
      </c>
    </row>
    <row r="968" spans="1:8" ht="15" customHeight="1">
      <c r="A968" s="199">
        <v>45685</v>
      </c>
      <c r="B968" s="202" t="s">
        <v>1110</v>
      </c>
      <c r="C968" s="200" t="s">
        <v>372</v>
      </c>
      <c r="D968" s="204">
        <v>-10300</v>
      </c>
      <c r="E968" s="201">
        <v>45658</v>
      </c>
      <c r="F968" s="200" t="s">
        <v>296</v>
      </c>
      <c r="G968" s="200" t="s">
        <v>522</v>
      </c>
      <c r="H968" s="200" t="s">
        <v>322</v>
      </c>
    </row>
    <row r="969" spans="1:8" ht="15" customHeight="1">
      <c r="A969" s="199">
        <v>45685</v>
      </c>
      <c r="B969" s="202" t="s">
        <v>1108</v>
      </c>
      <c r="C969" s="200" t="s">
        <v>204</v>
      </c>
      <c r="D969" s="658">
        <v>-1989682</v>
      </c>
      <c r="E969" s="201">
        <v>45658</v>
      </c>
      <c r="F969" s="200" t="s">
        <v>296</v>
      </c>
      <c r="G969" s="200" t="s">
        <v>44</v>
      </c>
      <c r="H969" s="200" t="s">
        <v>322</v>
      </c>
    </row>
    <row r="970" spans="1:8" ht="15" customHeight="1">
      <c r="A970" s="199">
        <v>45685</v>
      </c>
      <c r="B970" s="202" t="s">
        <v>1109</v>
      </c>
      <c r="C970" s="200" t="s">
        <v>372</v>
      </c>
      <c r="D970" s="204">
        <v>-42918</v>
      </c>
      <c r="E970" s="201">
        <v>45658</v>
      </c>
      <c r="F970" s="200" t="s">
        <v>296</v>
      </c>
      <c r="G970" s="200" t="s">
        <v>44</v>
      </c>
      <c r="H970" s="200" t="s">
        <v>322</v>
      </c>
    </row>
    <row r="971" spans="1:8" ht="15" customHeight="1">
      <c r="A971" s="199">
        <v>45685</v>
      </c>
      <c r="B971" s="202" t="s">
        <v>1110</v>
      </c>
      <c r="C971" s="200" t="s">
        <v>372</v>
      </c>
      <c r="D971" s="204">
        <v>-10300</v>
      </c>
      <c r="E971" s="201">
        <v>45658</v>
      </c>
      <c r="F971" s="200" t="s">
        <v>296</v>
      </c>
      <c r="G971" s="200" t="s">
        <v>44</v>
      </c>
      <c r="H971" s="200" t="s">
        <v>322</v>
      </c>
    </row>
    <row r="972" spans="1:8" ht="15" customHeight="1">
      <c r="A972" s="199">
        <v>45685</v>
      </c>
      <c r="B972" s="202" t="s">
        <v>1111</v>
      </c>
      <c r="C972" s="200" t="s">
        <v>204</v>
      </c>
      <c r="D972" s="658">
        <v>-650988</v>
      </c>
      <c r="E972" s="201">
        <v>45658</v>
      </c>
      <c r="F972" s="200" t="s">
        <v>296</v>
      </c>
      <c r="G972" s="200" t="s">
        <v>337</v>
      </c>
      <c r="H972" s="200" t="s">
        <v>322</v>
      </c>
    </row>
    <row r="973" spans="1:8" ht="15" customHeight="1">
      <c r="A973" s="199">
        <v>45685</v>
      </c>
      <c r="B973" s="202" t="s">
        <v>1112</v>
      </c>
      <c r="C973" s="200" t="s">
        <v>372</v>
      </c>
      <c r="D973" s="204">
        <v>-14042</v>
      </c>
      <c r="E973" s="201">
        <v>45658</v>
      </c>
      <c r="F973" s="200" t="s">
        <v>296</v>
      </c>
      <c r="G973" s="200" t="s">
        <v>337</v>
      </c>
      <c r="H973" s="200" t="s">
        <v>322</v>
      </c>
    </row>
    <row r="974" spans="1:8" ht="15" customHeight="1">
      <c r="A974" s="199">
        <v>45685</v>
      </c>
      <c r="B974" s="202" t="s">
        <v>1113</v>
      </c>
      <c r="C974" s="200" t="s">
        <v>372</v>
      </c>
      <c r="D974" s="204">
        <v>-3370</v>
      </c>
      <c r="E974" s="201">
        <v>45658</v>
      </c>
      <c r="F974" s="200" t="s">
        <v>296</v>
      </c>
      <c r="G974" s="200" t="s">
        <v>337</v>
      </c>
      <c r="H974" s="200" t="s">
        <v>322</v>
      </c>
    </row>
    <row r="975" spans="1:8" ht="15" customHeight="1">
      <c r="A975" s="199">
        <v>45685</v>
      </c>
      <c r="B975" s="202" t="s">
        <v>1111</v>
      </c>
      <c r="C975" s="200" t="s">
        <v>204</v>
      </c>
      <c r="D975" s="658">
        <v>-65449</v>
      </c>
      <c r="E975" s="201">
        <v>45658</v>
      </c>
      <c r="F975" s="200" t="s">
        <v>296</v>
      </c>
      <c r="G975" s="200" t="s">
        <v>44</v>
      </c>
      <c r="H975" s="200" t="s">
        <v>322</v>
      </c>
    </row>
    <row r="976" spans="1:8" ht="15" customHeight="1">
      <c r="A976" s="199">
        <v>45685</v>
      </c>
      <c r="B976" s="202" t="s">
        <v>1112</v>
      </c>
      <c r="C976" s="200" t="s">
        <v>372</v>
      </c>
      <c r="D976" s="204">
        <v>-1412</v>
      </c>
      <c r="E976" s="201">
        <v>45658</v>
      </c>
      <c r="F976" s="200" t="s">
        <v>296</v>
      </c>
      <c r="G976" s="200" t="s">
        <v>44</v>
      </c>
      <c r="H976" s="200" t="s">
        <v>322</v>
      </c>
    </row>
    <row r="977" spans="1:8" ht="15" customHeight="1">
      <c r="A977" s="199">
        <v>45685</v>
      </c>
      <c r="B977" s="202" t="s">
        <v>1113</v>
      </c>
      <c r="C977" s="200" t="s">
        <v>372</v>
      </c>
      <c r="D977" s="204">
        <v>-339</v>
      </c>
      <c r="E977" s="201">
        <v>45658</v>
      </c>
      <c r="F977" s="200" t="s">
        <v>296</v>
      </c>
      <c r="G977" s="200" t="s">
        <v>44</v>
      </c>
      <c r="H977" s="200" t="s">
        <v>322</v>
      </c>
    </row>
    <row r="978" spans="1:8" ht="15" customHeight="1">
      <c r="A978" s="199">
        <v>45685</v>
      </c>
      <c r="B978" s="202" t="s">
        <v>1114</v>
      </c>
      <c r="C978" s="200" t="s">
        <v>204</v>
      </c>
      <c r="D978" s="658">
        <v>-461145</v>
      </c>
      <c r="E978" s="201">
        <v>45658</v>
      </c>
      <c r="F978" s="200" t="s">
        <v>296</v>
      </c>
      <c r="G978" s="200" t="s">
        <v>328</v>
      </c>
      <c r="H978" s="200" t="s">
        <v>379</v>
      </c>
    </row>
    <row r="979" spans="1:8" ht="15" customHeight="1">
      <c r="A979" s="199">
        <v>45685</v>
      </c>
      <c r="B979" s="202" t="s">
        <v>1115</v>
      </c>
      <c r="C979" s="200" t="s">
        <v>372</v>
      </c>
      <c r="D979" s="204">
        <v>-9947</v>
      </c>
      <c r="E979" s="201">
        <v>45658</v>
      </c>
      <c r="F979" s="200" t="s">
        <v>296</v>
      </c>
      <c r="G979" s="200" t="s">
        <v>328</v>
      </c>
      <c r="H979" s="200" t="s">
        <v>379</v>
      </c>
    </row>
    <row r="980" spans="1:8" ht="15" customHeight="1">
      <c r="A980" s="199">
        <v>45685</v>
      </c>
      <c r="B980" s="202" t="s">
        <v>1116</v>
      </c>
      <c r="C980" s="200" t="s">
        <v>372</v>
      </c>
      <c r="D980" s="204">
        <v>-2387</v>
      </c>
      <c r="E980" s="201">
        <v>45658</v>
      </c>
      <c r="F980" s="200" t="s">
        <v>296</v>
      </c>
      <c r="G980" s="200" t="s">
        <v>328</v>
      </c>
      <c r="H980" s="200" t="s">
        <v>379</v>
      </c>
    </row>
    <row r="981" spans="1:8" ht="15" customHeight="1">
      <c r="A981" s="199">
        <v>45685</v>
      </c>
      <c r="B981" s="202" t="s">
        <v>1114</v>
      </c>
      <c r="C981" s="200" t="s">
        <v>204</v>
      </c>
      <c r="D981" s="658">
        <v>-241199</v>
      </c>
      <c r="E981" s="201">
        <v>45658</v>
      </c>
      <c r="F981" s="200" t="s">
        <v>296</v>
      </c>
      <c r="G981" s="531" t="s">
        <v>392</v>
      </c>
      <c r="H981" s="200" t="s">
        <v>379</v>
      </c>
    </row>
    <row r="982" spans="1:8" ht="15" customHeight="1">
      <c r="A982" s="199">
        <v>45685</v>
      </c>
      <c r="B982" s="202" t="s">
        <v>1115</v>
      </c>
      <c r="C982" s="200" t="s">
        <v>372</v>
      </c>
      <c r="D982" s="204">
        <v>-5203</v>
      </c>
      <c r="E982" s="201">
        <v>45658</v>
      </c>
      <c r="F982" s="200" t="s">
        <v>296</v>
      </c>
      <c r="G982" s="531" t="s">
        <v>392</v>
      </c>
      <c r="H982" s="200" t="s">
        <v>379</v>
      </c>
    </row>
    <row r="983" spans="1:8" ht="15" customHeight="1">
      <c r="A983" s="199">
        <v>45685</v>
      </c>
      <c r="B983" s="202" t="s">
        <v>1116</v>
      </c>
      <c r="C983" s="200" t="s">
        <v>372</v>
      </c>
      <c r="D983" s="204">
        <v>-1249</v>
      </c>
      <c r="E983" s="201">
        <v>45658</v>
      </c>
      <c r="F983" s="200" t="s">
        <v>296</v>
      </c>
      <c r="G983" s="531" t="s">
        <v>392</v>
      </c>
      <c r="H983" s="200" t="s">
        <v>379</v>
      </c>
    </row>
    <row r="984" spans="1:8" ht="15" customHeight="1">
      <c r="A984" s="199">
        <v>45685</v>
      </c>
      <c r="B984" s="202" t="s">
        <v>1114</v>
      </c>
      <c r="C984" s="200" t="s">
        <v>204</v>
      </c>
      <c r="D984" s="658">
        <v>-541272</v>
      </c>
      <c r="E984" s="201">
        <v>45658</v>
      </c>
      <c r="F984" s="200" t="s">
        <v>296</v>
      </c>
      <c r="G984" s="200" t="s">
        <v>482</v>
      </c>
      <c r="H984" s="200" t="s">
        <v>379</v>
      </c>
    </row>
    <row r="985" spans="1:8" ht="15" customHeight="1">
      <c r="A985" s="199">
        <v>45685</v>
      </c>
      <c r="B985" s="202" t="s">
        <v>1115</v>
      </c>
      <c r="C985" s="200" t="s">
        <v>372</v>
      </c>
      <c r="D985" s="204">
        <v>-11675</v>
      </c>
      <c r="E985" s="201">
        <v>45658</v>
      </c>
      <c r="F985" s="200" t="s">
        <v>296</v>
      </c>
      <c r="G985" s="200" t="s">
        <v>482</v>
      </c>
      <c r="H985" s="200" t="s">
        <v>379</v>
      </c>
    </row>
    <row r="986" spans="1:8" ht="15" customHeight="1">
      <c r="A986" s="199">
        <v>45685</v>
      </c>
      <c r="B986" s="202" t="s">
        <v>1116</v>
      </c>
      <c r="C986" s="200" t="s">
        <v>372</v>
      </c>
      <c r="D986" s="204">
        <v>-2802</v>
      </c>
      <c r="E986" s="201">
        <v>45658</v>
      </c>
      <c r="F986" s="200" t="s">
        <v>296</v>
      </c>
      <c r="G986" s="200" t="s">
        <v>482</v>
      </c>
      <c r="H986" s="200" t="s">
        <v>379</v>
      </c>
    </row>
    <row r="987" spans="1:8" ht="15" customHeight="1">
      <c r="A987" s="199">
        <v>45685</v>
      </c>
      <c r="B987" s="202" t="s">
        <v>1117</v>
      </c>
      <c r="C987" s="200" t="s">
        <v>204</v>
      </c>
      <c r="D987" s="658">
        <v>-217772</v>
      </c>
      <c r="E987" s="201">
        <v>45658</v>
      </c>
      <c r="F987" s="200" t="s">
        <v>296</v>
      </c>
      <c r="G987" s="200" t="s">
        <v>328</v>
      </c>
      <c r="H987" s="200" t="s">
        <v>350</v>
      </c>
    </row>
    <row r="988" spans="1:8" ht="15" customHeight="1">
      <c r="A988" s="199">
        <v>45685</v>
      </c>
      <c r="B988" s="202" t="s">
        <v>1117</v>
      </c>
      <c r="C988" s="200" t="s">
        <v>204</v>
      </c>
      <c r="D988" s="658">
        <v>-661926</v>
      </c>
      <c r="E988" s="201">
        <v>45658</v>
      </c>
      <c r="F988" s="200" t="s">
        <v>296</v>
      </c>
      <c r="G988" s="200" t="s">
        <v>328</v>
      </c>
      <c r="H988" s="200" t="s">
        <v>350</v>
      </c>
    </row>
    <row r="989" spans="1:8" ht="15" customHeight="1">
      <c r="A989" s="199">
        <v>45685</v>
      </c>
      <c r="B989" s="202" t="s">
        <v>1118</v>
      </c>
      <c r="C989" s="200" t="s">
        <v>204</v>
      </c>
      <c r="D989" s="658">
        <v>-202056</v>
      </c>
      <c r="E989" s="201">
        <v>45658</v>
      </c>
      <c r="F989" s="200" t="s">
        <v>296</v>
      </c>
      <c r="G989" s="531" t="s">
        <v>392</v>
      </c>
      <c r="H989" s="200" t="s">
        <v>364</v>
      </c>
    </row>
    <row r="990" spans="1:8" ht="15" customHeight="1">
      <c r="A990" s="199">
        <v>45685</v>
      </c>
      <c r="B990" s="202" t="s">
        <v>1119</v>
      </c>
      <c r="C990" s="200" t="s">
        <v>204</v>
      </c>
      <c r="D990" s="658">
        <v>-2750000</v>
      </c>
      <c r="E990" s="201">
        <v>45658</v>
      </c>
      <c r="F990" s="200" t="s">
        <v>256</v>
      </c>
      <c r="G990" s="200" t="s">
        <v>256</v>
      </c>
      <c r="H990" s="200" t="s">
        <v>263</v>
      </c>
    </row>
    <row r="991" spans="1:8" ht="15" customHeight="1">
      <c r="A991" s="199">
        <v>45685</v>
      </c>
      <c r="B991" s="202" t="s">
        <v>1120</v>
      </c>
      <c r="C991" s="200" t="s">
        <v>204</v>
      </c>
      <c r="D991" s="658">
        <v>-314150</v>
      </c>
      <c r="E991" s="201">
        <v>45658</v>
      </c>
      <c r="F991" s="200" t="s">
        <v>296</v>
      </c>
      <c r="G991" s="200" t="s">
        <v>337</v>
      </c>
      <c r="H991" s="200" t="s">
        <v>322</v>
      </c>
    </row>
    <row r="992" spans="1:8" ht="15" customHeight="1">
      <c r="A992" s="199">
        <v>45685</v>
      </c>
      <c r="B992" s="202" t="s">
        <v>1121</v>
      </c>
      <c r="C992" s="200" t="s">
        <v>204</v>
      </c>
      <c r="D992" s="658">
        <v>-6818294</v>
      </c>
      <c r="E992" s="201">
        <v>45658</v>
      </c>
      <c r="F992" s="200" t="s">
        <v>296</v>
      </c>
      <c r="G992" s="200" t="s">
        <v>337</v>
      </c>
      <c r="H992" s="200" t="s">
        <v>366</v>
      </c>
    </row>
    <row r="993" spans="1:9" ht="15" customHeight="1">
      <c r="A993" s="199">
        <v>45685</v>
      </c>
      <c r="B993" s="202" t="s">
        <v>1122</v>
      </c>
      <c r="C993" s="200" t="s">
        <v>204</v>
      </c>
      <c r="D993" s="658">
        <v>-2676615</v>
      </c>
      <c r="E993" s="201">
        <v>45658</v>
      </c>
      <c r="F993" s="200" t="s">
        <v>296</v>
      </c>
      <c r="G993" s="200" t="s">
        <v>328</v>
      </c>
      <c r="H993" s="200" t="s">
        <v>350</v>
      </c>
    </row>
    <row r="994" spans="1:9" ht="15" customHeight="1">
      <c r="A994" s="199">
        <v>45685</v>
      </c>
      <c r="B994" s="202" t="s">
        <v>1123</v>
      </c>
      <c r="C994" s="200" t="s">
        <v>204</v>
      </c>
      <c r="D994" s="658">
        <v>-14280000</v>
      </c>
      <c r="E994" s="201">
        <v>45658</v>
      </c>
      <c r="F994" s="200" t="s">
        <v>296</v>
      </c>
      <c r="G994" s="200" t="s">
        <v>1124</v>
      </c>
      <c r="H994" s="200" t="s">
        <v>375</v>
      </c>
      <c r="I994" s="648" t="s">
        <v>329</v>
      </c>
    </row>
    <row r="995" spans="1:9" ht="15" customHeight="1">
      <c r="A995" s="199">
        <v>45685</v>
      </c>
      <c r="B995" s="202" t="s">
        <v>1125</v>
      </c>
      <c r="C995" s="200" t="s">
        <v>204</v>
      </c>
      <c r="D995" s="658">
        <v>-4273290</v>
      </c>
      <c r="E995" s="201">
        <v>45658</v>
      </c>
      <c r="F995" s="200" t="s">
        <v>296</v>
      </c>
      <c r="G995" s="200" t="s">
        <v>44</v>
      </c>
      <c r="H995" s="200" t="s">
        <v>811</v>
      </c>
    </row>
    <row r="996" spans="1:9" ht="15" customHeight="1">
      <c r="A996" s="199">
        <v>45685</v>
      </c>
      <c r="B996" s="202" t="s">
        <v>1126</v>
      </c>
      <c r="C996" s="200" t="s">
        <v>372</v>
      </c>
      <c r="D996" s="204">
        <v>-110250</v>
      </c>
      <c r="E996" s="201">
        <v>45658</v>
      </c>
      <c r="F996" s="200" t="s">
        <v>296</v>
      </c>
      <c r="G996" s="200" t="s">
        <v>44</v>
      </c>
      <c r="H996" s="200" t="s">
        <v>811</v>
      </c>
    </row>
    <row r="997" spans="1:9" ht="15" customHeight="1">
      <c r="A997" s="199">
        <v>45685</v>
      </c>
      <c r="B997" s="202" t="s">
        <v>1127</v>
      </c>
      <c r="C997" s="200" t="s">
        <v>372</v>
      </c>
      <c r="D997" s="204">
        <v>-26460</v>
      </c>
      <c r="E997" s="201">
        <v>45658</v>
      </c>
      <c r="F997" s="200" t="s">
        <v>296</v>
      </c>
      <c r="G997" s="200" t="s">
        <v>44</v>
      </c>
      <c r="H997" s="200" t="s">
        <v>811</v>
      </c>
    </row>
    <row r="998" spans="1:9" ht="15" customHeight="1">
      <c r="A998" s="199">
        <v>45685</v>
      </c>
      <c r="B998" s="202" t="s">
        <v>1128</v>
      </c>
      <c r="C998" s="200" t="s">
        <v>204</v>
      </c>
      <c r="D998" s="658">
        <v>-1322020</v>
      </c>
      <c r="E998" s="201">
        <v>45658</v>
      </c>
      <c r="F998" s="200" t="s">
        <v>296</v>
      </c>
      <c r="G998" s="200" t="s">
        <v>522</v>
      </c>
      <c r="H998" s="200" t="s">
        <v>490</v>
      </c>
    </row>
    <row r="999" spans="1:9" ht="15" customHeight="1">
      <c r="A999" s="199">
        <v>45685</v>
      </c>
      <c r="B999" s="202" t="s">
        <v>1129</v>
      </c>
      <c r="C999" s="200" t="s">
        <v>372</v>
      </c>
      <c r="D999" s="204">
        <v>-7980</v>
      </c>
      <c r="E999" s="201">
        <v>45658</v>
      </c>
      <c r="F999" s="200" t="s">
        <v>296</v>
      </c>
      <c r="G999" s="200" t="s">
        <v>522</v>
      </c>
      <c r="H999" s="200" t="s">
        <v>490</v>
      </c>
    </row>
    <row r="1000" spans="1:9" ht="15" customHeight="1">
      <c r="A1000" s="199">
        <v>45685</v>
      </c>
      <c r="B1000" s="202" t="s">
        <v>1130</v>
      </c>
      <c r="C1000" s="200" t="s">
        <v>204</v>
      </c>
      <c r="D1000" s="658">
        <v>-1322020</v>
      </c>
      <c r="E1000" s="201">
        <v>45658</v>
      </c>
      <c r="F1000" s="200" t="s">
        <v>296</v>
      </c>
      <c r="G1000" s="200" t="s">
        <v>44</v>
      </c>
      <c r="H1000" s="200" t="s">
        <v>488</v>
      </c>
    </row>
    <row r="1001" spans="1:9" ht="15" customHeight="1">
      <c r="A1001" s="199">
        <v>45685</v>
      </c>
      <c r="B1001" s="202" t="s">
        <v>1131</v>
      </c>
      <c r="C1001" s="200" t="s">
        <v>372</v>
      </c>
      <c r="D1001" s="204">
        <v>-7980</v>
      </c>
      <c r="E1001" s="201">
        <v>45658</v>
      </c>
      <c r="F1001" s="200" t="s">
        <v>296</v>
      </c>
      <c r="G1001" s="200" t="s">
        <v>44</v>
      </c>
      <c r="H1001" s="200" t="s">
        <v>488</v>
      </c>
    </row>
    <row r="1002" spans="1:9" ht="15" customHeight="1">
      <c r="A1002" s="199">
        <v>45685</v>
      </c>
      <c r="B1002" s="202" t="s">
        <v>1132</v>
      </c>
      <c r="C1002" s="200" t="s">
        <v>204</v>
      </c>
      <c r="D1002" s="658">
        <v>-267750</v>
      </c>
      <c r="E1002" s="201">
        <v>45658</v>
      </c>
      <c r="F1002" s="200" t="s">
        <v>296</v>
      </c>
      <c r="G1002" s="200" t="s">
        <v>482</v>
      </c>
      <c r="H1002" s="200" t="s">
        <v>377</v>
      </c>
    </row>
    <row r="1003" spans="1:9" ht="15" customHeight="1">
      <c r="A1003" s="199">
        <v>45685</v>
      </c>
      <c r="B1003" s="202" t="s">
        <v>1133</v>
      </c>
      <c r="C1003" s="200" t="s">
        <v>204</v>
      </c>
      <c r="D1003" s="658">
        <v>-213103650</v>
      </c>
      <c r="E1003" s="201">
        <v>45658</v>
      </c>
      <c r="F1003" s="200" t="s">
        <v>296</v>
      </c>
      <c r="G1003" s="200" t="s">
        <v>1087</v>
      </c>
    </row>
    <row r="1004" spans="1:9" ht="15" customHeight="1">
      <c r="A1004" s="199">
        <v>45685</v>
      </c>
      <c r="B1004" s="202" t="s">
        <v>1134</v>
      </c>
      <c r="C1004" s="200" t="s">
        <v>204</v>
      </c>
      <c r="D1004" s="658">
        <v>-21310365</v>
      </c>
      <c r="E1004" s="201">
        <v>45658</v>
      </c>
      <c r="F1004" s="200" t="s">
        <v>296</v>
      </c>
      <c r="G1004" s="200" t="s">
        <v>1087</v>
      </c>
    </row>
    <row r="1005" spans="1:9" ht="15" customHeight="1">
      <c r="A1005" s="199">
        <v>45685</v>
      </c>
      <c r="B1005" s="202" t="s">
        <v>1134</v>
      </c>
      <c r="C1005" s="200" t="s">
        <v>204</v>
      </c>
      <c r="D1005" s="658">
        <v>-500000</v>
      </c>
      <c r="E1005" s="201">
        <v>45658</v>
      </c>
      <c r="F1005" s="200" t="s">
        <v>296</v>
      </c>
      <c r="G1005" s="200" t="s">
        <v>453</v>
      </c>
      <c r="H1005" s="200" t="s">
        <v>103</v>
      </c>
    </row>
    <row r="1006" spans="1:9" ht="15" customHeight="1">
      <c r="A1006" s="199">
        <v>45685</v>
      </c>
      <c r="B1006" s="202" t="s">
        <v>1135</v>
      </c>
      <c r="C1006" s="200" t="s">
        <v>204</v>
      </c>
      <c r="D1006" s="658">
        <v>-300000</v>
      </c>
      <c r="E1006" s="201">
        <v>45658</v>
      </c>
      <c r="F1006" s="200" t="s">
        <v>256</v>
      </c>
      <c r="G1006" s="200" t="s">
        <v>256</v>
      </c>
      <c r="H1006" s="200" t="s">
        <v>258</v>
      </c>
    </row>
    <row r="1007" spans="1:9" ht="15" customHeight="1">
      <c r="A1007" s="199">
        <v>45685</v>
      </c>
      <c r="B1007" s="202" t="s">
        <v>1136</v>
      </c>
      <c r="C1007" s="200" t="s">
        <v>204</v>
      </c>
      <c r="D1007" s="658">
        <v>-1152185</v>
      </c>
      <c r="E1007" s="201">
        <v>45658</v>
      </c>
      <c r="F1007" s="200" t="s">
        <v>296</v>
      </c>
      <c r="G1007" s="200" t="s">
        <v>522</v>
      </c>
      <c r="H1007" s="200" t="s">
        <v>366</v>
      </c>
    </row>
    <row r="1008" spans="1:9" ht="15" customHeight="1">
      <c r="A1008" s="199">
        <v>45685</v>
      </c>
      <c r="B1008" s="202" t="s">
        <v>1137</v>
      </c>
      <c r="C1008" s="200" t="s">
        <v>372</v>
      </c>
      <c r="D1008" s="204">
        <v>-24725</v>
      </c>
      <c r="E1008" s="201">
        <v>45658</v>
      </c>
      <c r="F1008" s="200" t="s">
        <v>296</v>
      </c>
      <c r="G1008" s="200" t="s">
        <v>522</v>
      </c>
      <c r="H1008" s="200" t="s">
        <v>366</v>
      </c>
    </row>
    <row r="1009" spans="1:9" ht="15" customHeight="1">
      <c r="A1009" s="199">
        <v>45685</v>
      </c>
      <c r="B1009" s="202" t="s">
        <v>1136</v>
      </c>
      <c r="C1009" s="200" t="s">
        <v>204</v>
      </c>
      <c r="D1009" s="658">
        <v>-1152185</v>
      </c>
      <c r="E1009" s="201">
        <v>45658</v>
      </c>
      <c r="F1009" s="200" t="s">
        <v>296</v>
      </c>
      <c r="G1009" s="200" t="s">
        <v>321</v>
      </c>
      <c r="H1009" s="200" t="s">
        <v>366</v>
      </c>
    </row>
    <row r="1010" spans="1:9" ht="15" customHeight="1">
      <c r="A1010" s="199">
        <v>45685</v>
      </c>
      <c r="B1010" s="202" t="s">
        <v>1137</v>
      </c>
      <c r="C1010" s="200" t="s">
        <v>372</v>
      </c>
      <c r="D1010" s="204">
        <v>-24725</v>
      </c>
      <c r="E1010" s="201">
        <v>45658</v>
      </c>
      <c r="F1010" s="200" t="s">
        <v>296</v>
      </c>
      <c r="G1010" s="200" t="s">
        <v>321</v>
      </c>
      <c r="H1010" s="200" t="s">
        <v>366</v>
      </c>
    </row>
    <row r="1011" spans="1:9" ht="15" customHeight="1">
      <c r="A1011" s="199">
        <v>45685</v>
      </c>
      <c r="B1011" s="202" t="s">
        <v>1138</v>
      </c>
      <c r="C1011" s="200" t="s">
        <v>204</v>
      </c>
      <c r="D1011" s="658">
        <v>-2300000</v>
      </c>
      <c r="E1011" s="201">
        <v>45658</v>
      </c>
      <c r="F1011" s="200" t="s">
        <v>296</v>
      </c>
      <c r="G1011" s="200" t="s">
        <v>1087</v>
      </c>
    </row>
    <row r="1012" spans="1:9" ht="15" customHeight="1">
      <c r="A1012" s="199">
        <v>45685</v>
      </c>
      <c r="B1012" s="202" t="s">
        <v>1139</v>
      </c>
      <c r="C1012" s="200" t="s">
        <v>204</v>
      </c>
      <c r="D1012" s="658">
        <v>-1163000</v>
      </c>
      <c r="E1012" s="201">
        <v>45658</v>
      </c>
      <c r="F1012" s="200" t="s">
        <v>256</v>
      </c>
      <c r="G1012" s="200" t="s">
        <v>256</v>
      </c>
      <c r="H1012" s="200" t="s">
        <v>267</v>
      </c>
    </row>
    <row r="1013" spans="1:9" ht="15" customHeight="1">
      <c r="A1013" s="199">
        <v>45685</v>
      </c>
      <c r="B1013" s="202" t="s">
        <v>1140</v>
      </c>
      <c r="C1013" s="200" t="s">
        <v>204</v>
      </c>
      <c r="D1013" s="658">
        <v>-1705275</v>
      </c>
      <c r="E1013" s="201">
        <v>45658</v>
      </c>
      <c r="F1013" s="200" t="s">
        <v>296</v>
      </c>
      <c r="G1013" s="200" t="s">
        <v>513</v>
      </c>
      <c r="H1013" s="200" t="s">
        <v>322</v>
      </c>
    </row>
    <row r="1014" spans="1:9" ht="15" customHeight="1">
      <c r="A1014" s="199">
        <v>45685</v>
      </c>
      <c r="B1014" s="202" t="s">
        <v>1141</v>
      </c>
      <c r="C1014" s="200" t="s">
        <v>204</v>
      </c>
      <c r="D1014" s="658">
        <v>-286663</v>
      </c>
      <c r="E1014" s="201">
        <v>45658</v>
      </c>
      <c r="F1014" s="200" t="s">
        <v>296</v>
      </c>
      <c r="G1014" s="200" t="s">
        <v>513</v>
      </c>
      <c r="H1014" s="200" t="s">
        <v>322</v>
      </c>
    </row>
    <row r="1015" spans="1:9" ht="15" customHeight="1">
      <c r="A1015" s="199">
        <v>45685</v>
      </c>
      <c r="B1015" s="202" t="s">
        <v>1142</v>
      </c>
      <c r="C1015" s="200" t="s">
        <v>204</v>
      </c>
      <c r="D1015" s="658">
        <v>-1820325</v>
      </c>
      <c r="E1015" s="201">
        <v>45658</v>
      </c>
      <c r="F1015" s="200" t="s">
        <v>296</v>
      </c>
      <c r="G1015" s="200" t="s">
        <v>522</v>
      </c>
      <c r="H1015" s="200" t="s">
        <v>490</v>
      </c>
    </row>
    <row r="1016" spans="1:9" ht="15" customHeight="1">
      <c r="A1016" s="199">
        <v>45685</v>
      </c>
      <c r="B1016" s="202" t="s">
        <v>1143</v>
      </c>
      <c r="C1016" s="200" t="s">
        <v>372</v>
      </c>
      <c r="D1016" s="204">
        <v>-46675</v>
      </c>
      <c r="E1016" s="201">
        <v>45658</v>
      </c>
      <c r="F1016" s="200" t="s">
        <v>296</v>
      </c>
      <c r="G1016" s="200" t="s">
        <v>522</v>
      </c>
      <c r="H1016" s="200" t="s">
        <v>490</v>
      </c>
    </row>
    <row r="1017" spans="1:9" ht="15" customHeight="1">
      <c r="A1017" s="199">
        <v>45686</v>
      </c>
      <c r="B1017" s="202" t="s">
        <v>1144</v>
      </c>
      <c r="C1017" s="200" t="s">
        <v>204</v>
      </c>
      <c r="D1017" s="658">
        <v>-242647</v>
      </c>
      <c r="E1017" s="201">
        <v>45658</v>
      </c>
      <c r="F1017" s="200" t="s">
        <v>296</v>
      </c>
      <c r="G1017" s="200" t="s">
        <v>453</v>
      </c>
      <c r="H1017" s="200" t="s">
        <v>97</v>
      </c>
    </row>
    <row r="1018" spans="1:9" ht="15" customHeight="1">
      <c r="A1018" s="199">
        <v>45686</v>
      </c>
      <c r="B1018" s="202" t="s">
        <v>1145</v>
      </c>
      <c r="C1018" s="200" t="s">
        <v>204</v>
      </c>
      <c r="D1018" s="658">
        <v>-120000</v>
      </c>
      <c r="E1018" s="201">
        <v>45658</v>
      </c>
      <c r="F1018" s="200" t="s">
        <v>256</v>
      </c>
      <c r="G1018" s="200" t="s">
        <v>256</v>
      </c>
      <c r="H1018" s="200" t="s">
        <v>267</v>
      </c>
    </row>
    <row r="1019" spans="1:9" ht="15" customHeight="1">
      <c r="A1019" s="199">
        <v>45686</v>
      </c>
      <c r="B1019" s="202" t="s">
        <v>1146</v>
      </c>
      <c r="C1019" s="200" t="s">
        <v>204</v>
      </c>
      <c r="D1019" s="658">
        <v>-50000</v>
      </c>
      <c r="E1019" s="201">
        <v>45658</v>
      </c>
      <c r="F1019" s="200" t="s">
        <v>256</v>
      </c>
      <c r="G1019" s="200" t="s">
        <v>107</v>
      </c>
      <c r="H1019" s="200" t="s">
        <v>777</v>
      </c>
    </row>
    <row r="1020" spans="1:9" ht="15" customHeight="1">
      <c r="A1020" s="199">
        <v>45686</v>
      </c>
      <c r="B1020" s="202" t="s">
        <v>1147</v>
      </c>
      <c r="C1020" s="200" t="s">
        <v>204</v>
      </c>
      <c r="D1020" s="658">
        <v>-3454000</v>
      </c>
      <c r="E1020" s="201">
        <v>45658</v>
      </c>
      <c r="F1020" s="200" t="s">
        <v>525</v>
      </c>
    </row>
    <row r="1021" spans="1:9" ht="15" customHeight="1">
      <c r="A1021" s="199">
        <v>45653</v>
      </c>
      <c r="B1021" s="202" t="s">
        <v>1148</v>
      </c>
      <c r="C1021" s="200" t="s">
        <v>136</v>
      </c>
      <c r="D1021" s="668">
        <v>-16000</v>
      </c>
      <c r="E1021" s="201">
        <v>45658</v>
      </c>
      <c r="F1021" s="200" t="s">
        <v>256</v>
      </c>
      <c r="G1021" s="200" t="s">
        <v>107</v>
      </c>
      <c r="H1021" s="200" t="s">
        <v>275</v>
      </c>
      <c r="I1021" s="200" t="s">
        <v>1149</v>
      </c>
    </row>
    <row r="1022" spans="1:9" ht="15" customHeight="1">
      <c r="A1022" s="199">
        <v>45653</v>
      </c>
      <c r="B1022" s="202" t="s">
        <v>1148</v>
      </c>
      <c r="C1022" s="200" t="s">
        <v>136</v>
      </c>
      <c r="D1022" s="668">
        <v>-16000</v>
      </c>
      <c r="E1022" s="201">
        <v>45658</v>
      </c>
      <c r="F1022" s="200" t="s">
        <v>256</v>
      </c>
      <c r="G1022" s="200" t="s">
        <v>107</v>
      </c>
      <c r="H1022" s="200" t="s">
        <v>275</v>
      </c>
      <c r="I1022" s="200" t="s">
        <v>1149</v>
      </c>
    </row>
    <row r="1023" spans="1:9" ht="15" customHeight="1">
      <c r="A1023" s="199">
        <v>45653</v>
      </c>
      <c r="B1023" s="202" t="s">
        <v>1150</v>
      </c>
      <c r="C1023" s="200" t="s">
        <v>136</v>
      </c>
      <c r="D1023" s="668">
        <v>-32000</v>
      </c>
      <c r="E1023" s="201">
        <v>45658</v>
      </c>
      <c r="F1023" s="200" t="s">
        <v>256</v>
      </c>
      <c r="G1023" s="200" t="s">
        <v>107</v>
      </c>
      <c r="H1023" s="200" t="s">
        <v>275</v>
      </c>
      <c r="I1023" s="200" t="s">
        <v>1149</v>
      </c>
    </row>
    <row r="1024" spans="1:9" ht="15" customHeight="1">
      <c r="A1024" s="199">
        <v>45653</v>
      </c>
      <c r="B1024" s="202" t="s">
        <v>1151</v>
      </c>
      <c r="C1024" s="200" t="s">
        <v>136</v>
      </c>
      <c r="D1024" s="668">
        <v>-25000</v>
      </c>
      <c r="E1024" s="201">
        <v>45658</v>
      </c>
      <c r="F1024" s="200" t="s">
        <v>256</v>
      </c>
      <c r="G1024" s="200" t="s">
        <v>107</v>
      </c>
      <c r="H1024" s="200" t="s">
        <v>275</v>
      </c>
      <c r="I1024" s="200" t="s">
        <v>1149</v>
      </c>
    </row>
    <row r="1025" spans="1:9" ht="15" customHeight="1">
      <c r="A1025" s="199">
        <v>45681</v>
      </c>
      <c r="B1025" s="202" t="s">
        <v>1152</v>
      </c>
      <c r="C1025" s="200" t="s">
        <v>136</v>
      </c>
      <c r="D1025" s="668">
        <v>-47500</v>
      </c>
      <c r="E1025" s="201">
        <v>45658</v>
      </c>
      <c r="F1025" s="200" t="s">
        <v>256</v>
      </c>
      <c r="G1025" s="200" t="s">
        <v>256</v>
      </c>
      <c r="H1025" s="200" t="s">
        <v>269</v>
      </c>
      <c r="I1025" s="200" t="s">
        <v>1153</v>
      </c>
    </row>
    <row r="1026" spans="1:9" ht="15" customHeight="1">
      <c r="A1026" s="199">
        <v>45681</v>
      </c>
      <c r="B1026" s="202" t="s">
        <v>1154</v>
      </c>
      <c r="C1026" s="200" t="s">
        <v>136</v>
      </c>
      <c r="D1026" s="668">
        <v>-17800</v>
      </c>
      <c r="E1026" s="201">
        <v>45658</v>
      </c>
      <c r="F1026" s="200" t="s">
        <v>256</v>
      </c>
      <c r="G1026" s="200" t="s">
        <v>256</v>
      </c>
      <c r="H1026" s="200" t="s">
        <v>269</v>
      </c>
      <c r="I1026" s="200" t="s">
        <v>1153</v>
      </c>
    </row>
    <row r="1027" spans="1:9" ht="15" customHeight="1">
      <c r="A1027" s="199">
        <v>45681</v>
      </c>
      <c r="B1027" s="202" t="s">
        <v>1154</v>
      </c>
      <c r="C1027" s="200" t="s">
        <v>136</v>
      </c>
      <c r="D1027" s="668">
        <v>-17800</v>
      </c>
      <c r="E1027" s="201">
        <v>45658</v>
      </c>
      <c r="F1027" s="200" t="s">
        <v>256</v>
      </c>
      <c r="G1027" s="200" t="s">
        <v>256</v>
      </c>
      <c r="H1027" s="200" t="s">
        <v>269</v>
      </c>
      <c r="I1027" s="200" t="s">
        <v>1153</v>
      </c>
    </row>
    <row r="1028" spans="1:9" ht="15" customHeight="1">
      <c r="A1028" s="199">
        <v>45681</v>
      </c>
      <c r="B1028" s="202" t="s">
        <v>1155</v>
      </c>
      <c r="C1028" s="200" t="s">
        <v>136</v>
      </c>
      <c r="D1028" s="668">
        <v>-60000</v>
      </c>
      <c r="E1028" s="201">
        <v>45658</v>
      </c>
      <c r="F1028" s="200" t="s">
        <v>256</v>
      </c>
      <c r="G1028" s="200" t="s">
        <v>256</v>
      </c>
      <c r="H1028" s="200" t="s">
        <v>269</v>
      </c>
      <c r="I1028" s="200" t="s">
        <v>1153</v>
      </c>
    </row>
    <row r="1029" spans="1:9" ht="15" customHeight="1">
      <c r="A1029" s="199">
        <v>45670</v>
      </c>
      <c r="B1029" s="202" t="s">
        <v>1156</v>
      </c>
      <c r="C1029" s="200" t="s">
        <v>136</v>
      </c>
      <c r="D1029" s="668">
        <v>-130000</v>
      </c>
      <c r="E1029" s="201">
        <v>45658</v>
      </c>
      <c r="F1029" s="200" t="s">
        <v>256</v>
      </c>
      <c r="G1029" s="200" t="s">
        <v>256</v>
      </c>
      <c r="H1029" s="200" t="s">
        <v>269</v>
      </c>
      <c r="I1029" s="200" t="s">
        <v>1157</v>
      </c>
    </row>
    <row r="1030" spans="1:9" ht="15" customHeight="1">
      <c r="A1030" s="199">
        <v>45305</v>
      </c>
      <c r="B1030" s="202" t="s">
        <v>1152</v>
      </c>
      <c r="C1030" s="200" t="s">
        <v>136</v>
      </c>
      <c r="D1030" s="668">
        <v>-20000</v>
      </c>
      <c r="E1030" s="201">
        <v>45658</v>
      </c>
      <c r="F1030" s="200" t="s">
        <v>256</v>
      </c>
      <c r="G1030" s="200" t="s">
        <v>256</v>
      </c>
      <c r="H1030" s="200" t="s">
        <v>269</v>
      </c>
      <c r="I1030" s="200" t="s">
        <v>1157</v>
      </c>
    </row>
    <row r="1031" spans="1:9" ht="15" customHeight="1">
      <c r="A1031" s="199">
        <v>45306</v>
      </c>
      <c r="B1031" s="202" t="s">
        <v>1152</v>
      </c>
      <c r="C1031" s="200" t="s">
        <v>136</v>
      </c>
      <c r="D1031" s="668">
        <v>-20000</v>
      </c>
      <c r="E1031" s="201">
        <v>45658</v>
      </c>
      <c r="F1031" s="200" t="s">
        <v>256</v>
      </c>
      <c r="G1031" s="200" t="s">
        <v>256</v>
      </c>
      <c r="H1031" s="200" t="s">
        <v>269</v>
      </c>
      <c r="I1031" s="200" t="s">
        <v>1157</v>
      </c>
    </row>
    <row r="1032" spans="1:9" ht="15" customHeight="1">
      <c r="A1032" s="199">
        <v>45306</v>
      </c>
      <c r="B1032" s="202" t="s">
        <v>1152</v>
      </c>
      <c r="C1032" s="200" t="s">
        <v>136</v>
      </c>
      <c r="D1032" s="668">
        <v>-24000</v>
      </c>
      <c r="E1032" s="201">
        <v>45658</v>
      </c>
      <c r="F1032" s="200" t="s">
        <v>256</v>
      </c>
      <c r="G1032" s="200" t="s">
        <v>256</v>
      </c>
      <c r="H1032" s="200" t="s">
        <v>269</v>
      </c>
      <c r="I1032" s="200" t="s">
        <v>1157</v>
      </c>
    </row>
    <row r="1033" spans="1:9" ht="15" customHeight="1">
      <c r="A1033" s="199">
        <v>45671</v>
      </c>
      <c r="B1033" s="202" t="s">
        <v>1152</v>
      </c>
      <c r="C1033" s="200" t="s">
        <v>136</v>
      </c>
      <c r="D1033" s="668">
        <v>-8900</v>
      </c>
      <c r="E1033" s="201">
        <v>45658</v>
      </c>
      <c r="F1033" s="200" t="s">
        <v>256</v>
      </c>
      <c r="G1033" s="200" t="s">
        <v>256</v>
      </c>
      <c r="H1033" s="200" t="s">
        <v>269</v>
      </c>
      <c r="I1033" s="200" t="s">
        <v>1157</v>
      </c>
    </row>
    <row r="1034" spans="1:9" ht="15" customHeight="1">
      <c r="A1034" s="199">
        <v>45672</v>
      </c>
      <c r="B1034" s="202" t="s">
        <v>1152</v>
      </c>
      <c r="C1034" s="200" t="s">
        <v>136</v>
      </c>
      <c r="D1034" s="668">
        <v>-4000</v>
      </c>
      <c r="E1034" s="201">
        <v>45658</v>
      </c>
      <c r="F1034" s="200" t="s">
        <v>256</v>
      </c>
      <c r="G1034" s="200" t="s">
        <v>256</v>
      </c>
      <c r="H1034" s="200" t="s">
        <v>269</v>
      </c>
      <c r="I1034" s="200" t="s">
        <v>1157</v>
      </c>
    </row>
    <row r="1035" spans="1:9" ht="15" customHeight="1">
      <c r="A1035" s="199">
        <v>45670</v>
      </c>
      <c r="B1035" s="202" t="s">
        <v>1152</v>
      </c>
      <c r="C1035" s="200" t="s">
        <v>136</v>
      </c>
      <c r="D1035" s="668">
        <v>-26200</v>
      </c>
      <c r="E1035" s="201">
        <v>45658</v>
      </c>
      <c r="F1035" s="200" t="s">
        <v>256</v>
      </c>
      <c r="G1035" s="200" t="s">
        <v>256</v>
      </c>
      <c r="H1035" s="200" t="s">
        <v>269</v>
      </c>
      <c r="I1035" s="200" t="s">
        <v>1157</v>
      </c>
    </row>
    <row r="1036" spans="1:9" ht="15" customHeight="1">
      <c r="A1036" s="199">
        <v>45670</v>
      </c>
      <c r="B1036" s="202" t="s">
        <v>1152</v>
      </c>
      <c r="C1036" s="200" t="s">
        <v>136</v>
      </c>
      <c r="D1036" s="668">
        <v>-30000</v>
      </c>
      <c r="E1036" s="201">
        <v>45658</v>
      </c>
      <c r="F1036" s="200" t="s">
        <v>256</v>
      </c>
      <c r="G1036" s="200" t="s">
        <v>256</v>
      </c>
      <c r="H1036" s="200" t="s">
        <v>269</v>
      </c>
      <c r="I1036" s="200" t="s">
        <v>1157</v>
      </c>
    </row>
    <row r="1037" spans="1:9" ht="15" customHeight="1">
      <c r="A1037" s="199">
        <v>45670</v>
      </c>
      <c r="B1037" s="202" t="s">
        <v>1152</v>
      </c>
      <c r="C1037" s="200" t="s">
        <v>136</v>
      </c>
      <c r="D1037" s="668">
        <v>-5000</v>
      </c>
      <c r="E1037" s="201">
        <v>45658</v>
      </c>
      <c r="F1037" s="200" t="s">
        <v>256</v>
      </c>
      <c r="G1037" s="200" t="s">
        <v>256</v>
      </c>
      <c r="H1037" s="200" t="s">
        <v>269</v>
      </c>
      <c r="I1037" s="200" t="s">
        <v>1157</v>
      </c>
    </row>
    <row r="1038" spans="1:9" ht="15" customHeight="1">
      <c r="A1038" s="199">
        <v>45673</v>
      </c>
      <c r="B1038" s="202" t="s">
        <v>1152</v>
      </c>
      <c r="C1038" s="200" t="s">
        <v>136</v>
      </c>
      <c r="D1038" s="668">
        <v>-5000</v>
      </c>
      <c r="E1038" s="201">
        <v>45658</v>
      </c>
      <c r="F1038" s="200" t="s">
        <v>256</v>
      </c>
      <c r="G1038" s="200" t="s">
        <v>256</v>
      </c>
      <c r="H1038" s="200" t="s">
        <v>269</v>
      </c>
      <c r="I1038" s="200" t="s">
        <v>1157</v>
      </c>
    </row>
    <row r="1039" spans="1:9" ht="15" customHeight="1">
      <c r="A1039" s="199">
        <v>45673</v>
      </c>
      <c r="B1039" s="202" t="s">
        <v>1152</v>
      </c>
      <c r="C1039" s="200" t="s">
        <v>136</v>
      </c>
      <c r="D1039" s="668">
        <v>-5000</v>
      </c>
      <c r="E1039" s="201">
        <v>45658</v>
      </c>
      <c r="F1039" s="200" t="s">
        <v>256</v>
      </c>
      <c r="G1039" s="200" t="s">
        <v>256</v>
      </c>
      <c r="H1039" s="200" t="s">
        <v>269</v>
      </c>
      <c r="I1039" s="200" t="s">
        <v>1157</v>
      </c>
    </row>
    <row r="1040" spans="1:9" ht="15" customHeight="1">
      <c r="A1040" s="199">
        <v>45673</v>
      </c>
      <c r="B1040" s="202" t="s">
        <v>1152</v>
      </c>
      <c r="C1040" s="200" t="s">
        <v>136</v>
      </c>
      <c r="D1040" s="668">
        <v>-8500</v>
      </c>
      <c r="E1040" s="201">
        <v>45658</v>
      </c>
      <c r="F1040" s="200" t="s">
        <v>256</v>
      </c>
      <c r="G1040" s="200" t="s">
        <v>256</v>
      </c>
      <c r="H1040" s="200" t="s">
        <v>269</v>
      </c>
      <c r="I1040" s="200" t="s">
        <v>1157</v>
      </c>
    </row>
    <row r="1041" spans="1:9" ht="15" customHeight="1">
      <c r="A1041" s="199">
        <v>45678</v>
      </c>
      <c r="B1041" s="202" t="s">
        <v>1152</v>
      </c>
      <c r="C1041" s="200" t="s">
        <v>136</v>
      </c>
      <c r="D1041" s="668">
        <v>-30500</v>
      </c>
      <c r="E1041" s="201">
        <v>45658</v>
      </c>
      <c r="F1041" s="200" t="s">
        <v>256</v>
      </c>
      <c r="G1041" s="200" t="s">
        <v>256</v>
      </c>
      <c r="H1041" s="200" t="s">
        <v>269</v>
      </c>
      <c r="I1041" s="200" t="s">
        <v>1157</v>
      </c>
    </row>
    <row r="1042" spans="1:9" ht="15" customHeight="1">
      <c r="A1042" s="199">
        <v>45678</v>
      </c>
      <c r="B1042" s="202" t="s">
        <v>1152</v>
      </c>
      <c r="C1042" s="200" t="s">
        <v>136</v>
      </c>
      <c r="D1042" s="668">
        <v>-29300</v>
      </c>
      <c r="E1042" s="201">
        <v>45658</v>
      </c>
      <c r="F1042" s="200" t="s">
        <v>256</v>
      </c>
      <c r="G1042" s="200" t="s">
        <v>256</v>
      </c>
      <c r="H1042" s="200" t="s">
        <v>269</v>
      </c>
      <c r="I1042" s="200" t="s">
        <v>1157</v>
      </c>
    </row>
    <row r="1043" spans="1:9" ht="15" customHeight="1">
      <c r="A1043" s="199">
        <v>45677</v>
      </c>
      <c r="B1043" s="202" t="s">
        <v>1152</v>
      </c>
      <c r="C1043" s="200" t="s">
        <v>136</v>
      </c>
      <c r="D1043" s="668">
        <v>-22500</v>
      </c>
      <c r="E1043" s="201">
        <v>45658</v>
      </c>
      <c r="F1043" s="200" t="s">
        <v>256</v>
      </c>
      <c r="G1043" s="200" t="s">
        <v>256</v>
      </c>
      <c r="H1043" s="200" t="s">
        <v>269</v>
      </c>
      <c r="I1043" s="200" t="s">
        <v>1157</v>
      </c>
    </row>
    <row r="1044" spans="1:9" ht="15" customHeight="1">
      <c r="A1044" s="199">
        <v>45675</v>
      </c>
      <c r="B1044" s="202" t="s">
        <v>1152</v>
      </c>
      <c r="C1044" s="200" t="s">
        <v>136</v>
      </c>
      <c r="D1044" s="668">
        <v>-15000</v>
      </c>
      <c r="E1044" s="201">
        <v>45658</v>
      </c>
      <c r="F1044" s="200" t="s">
        <v>256</v>
      </c>
      <c r="G1044" s="200" t="s">
        <v>256</v>
      </c>
      <c r="H1044" s="200" t="s">
        <v>269</v>
      </c>
      <c r="I1044" s="200" t="s">
        <v>1157</v>
      </c>
    </row>
    <row r="1045" spans="1:9" ht="15" customHeight="1">
      <c r="A1045" s="199">
        <v>45673</v>
      </c>
      <c r="B1045" s="202" t="s">
        <v>1152</v>
      </c>
      <c r="C1045" s="200" t="s">
        <v>136</v>
      </c>
      <c r="D1045" s="668">
        <v>-24000</v>
      </c>
      <c r="E1045" s="201">
        <v>45658</v>
      </c>
      <c r="F1045" s="200" t="s">
        <v>256</v>
      </c>
      <c r="G1045" s="200" t="s">
        <v>256</v>
      </c>
      <c r="H1045" s="200" t="s">
        <v>269</v>
      </c>
      <c r="I1045" s="200" t="s">
        <v>1157</v>
      </c>
    </row>
    <row r="1046" spans="1:9" ht="15" customHeight="1">
      <c r="A1046" s="199">
        <v>45674</v>
      </c>
      <c r="B1046" s="202" t="s">
        <v>1152</v>
      </c>
      <c r="C1046" s="200" t="s">
        <v>136</v>
      </c>
      <c r="D1046" s="668">
        <v>-51500</v>
      </c>
      <c r="E1046" s="201">
        <v>45658</v>
      </c>
      <c r="F1046" s="200" t="s">
        <v>256</v>
      </c>
      <c r="G1046" s="200" t="s">
        <v>256</v>
      </c>
      <c r="H1046" s="200" t="s">
        <v>269</v>
      </c>
      <c r="I1046" s="200" t="s">
        <v>1157</v>
      </c>
    </row>
    <row r="1047" spans="1:9" ht="15" customHeight="1">
      <c r="A1047" s="199">
        <v>45676</v>
      </c>
      <c r="B1047" s="202" t="s">
        <v>1152</v>
      </c>
      <c r="C1047" s="200" t="s">
        <v>136</v>
      </c>
      <c r="D1047" s="668">
        <v>-31000</v>
      </c>
      <c r="E1047" s="201">
        <v>45658</v>
      </c>
      <c r="F1047" s="200" t="s">
        <v>256</v>
      </c>
      <c r="G1047" s="200" t="s">
        <v>256</v>
      </c>
      <c r="H1047" s="200" t="s">
        <v>269</v>
      </c>
      <c r="I1047" s="200" t="s">
        <v>1157</v>
      </c>
    </row>
    <row r="1048" spans="1:9" ht="15" customHeight="1">
      <c r="A1048" s="199">
        <v>45677</v>
      </c>
      <c r="B1048" s="202" t="s">
        <v>1152</v>
      </c>
      <c r="C1048" s="200" t="s">
        <v>136</v>
      </c>
      <c r="D1048" s="668">
        <v>-20000</v>
      </c>
      <c r="E1048" s="201">
        <v>45658</v>
      </c>
      <c r="F1048" s="200" t="s">
        <v>256</v>
      </c>
      <c r="G1048" s="200" t="s">
        <v>256</v>
      </c>
      <c r="H1048" s="200" t="s">
        <v>269</v>
      </c>
      <c r="I1048" s="200" t="s">
        <v>1157</v>
      </c>
    </row>
    <row r="1049" spans="1:9" ht="15" customHeight="1">
      <c r="A1049" s="199">
        <v>45674</v>
      </c>
      <c r="B1049" s="202" t="s">
        <v>1152</v>
      </c>
      <c r="C1049" s="200" t="s">
        <v>136</v>
      </c>
      <c r="D1049" s="668">
        <v>-20000</v>
      </c>
      <c r="E1049" s="201">
        <v>45658</v>
      </c>
      <c r="F1049" s="200" t="s">
        <v>256</v>
      </c>
      <c r="G1049" s="200" t="s">
        <v>256</v>
      </c>
      <c r="H1049" s="200" t="s">
        <v>269</v>
      </c>
      <c r="I1049" s="200" t="s">
        <v>1157</v>
      </c>
    </row>
    <row r="1050" spans="1:9" ht="15" customHeight="1">
      <c r="A1050" s="199">
        <v>45673</v>
      </c>
      <c r="B1050" s="202" t="s">
        <v>1152</v>
      </c>
      <c r="C1050" s="200" t="s">
        <v>136</v>
      </c>
      <c r="D1050" s="668">
        <v>-20000</v>
      </c>
      <c r="E1050" s="201">
        <v>45658</v>
      </c>
      <c r="F1050" s="200" t="s">
        <v>256</v>
      </c>
      <c r="G1050" s="200" t="s">
        <v>256</v>
      </c>
      <c r="H1050" s="200" t="s">
        <v>269</v>
      </c>
      <c r="I1050" s="200" t="s">
        <v>1157</v>
      </c>
    </row>
    <row r="1051" spans="1:9" ht="15" customHeight="1">
      <c r="A1051" s="199">
        <v>45676</v>
      </c>
      <c r="B1051" s="202" t="s">
        <v>1152</v>
      </c>
      <c r="C1051" s="200" t="s">
        <v>136</v>
      </c>
      <c r="D1051" s="668">
        <v>-38300</v>
      </c>
      <c r="E1051" s="201">
        <v>45658</v>
      </c>
      <c r="F1051" s="200" t="s">
        <v>256</v>
      </c>
      <c r="G1051" s="200" t="s">
        <v>256</v>
      </c>
      <c r="H1051" s="200" t="s">
        <v>269</v>
      </c>
      <c r="I1051" s="200" t="s">
        <v>1157</v>
      </c>
    </row>
    <row r="1052" spans="1:9" ht="15" customHeight="1">
      <c r="A1052" s="199">
        <v>45674</v>
      </c>
      <c r="B1052" s="202" t="s">
        <v>1152</v>
      </c>
      <c r="C1052" s="200" t="s">
        <v>136</v>
      </c>
      <c r="D1052" s="668">
        <v>-16000</v>
      </c>
      <c r="E1052" s="201">
        <v>45658</v>
      </c>
      <c r="F1052" s="200" t="s">
        <v>256</v>
      </c>
      <c r="G1052" s="200" t="s">
        <v>256</v>
      </c>
      <c r="H1052" s="200" t="s">
        <v>269</v>
      </c>
      <c r="I1052" s="200" t="s">
        <v>1157</v>
      </c>
    </row>
    <row r="1053" spans="1:9" ht="15" customHeight="1">
      <c r="A1053" s="199">
        <v>45672</v>
      </c>
      <c r="B1053" s="202" t="s">
        <v>1152</v>
      </c>
      <c r="C1053" s="200" t="s">
        <v>136</v>
      </c>
      <c r="D1053" s="668">
        <v>-22000</v>
      </c>
      <c r="E1053" s="201">
        <v>45658</v>
      </c>
      <c r="F1053" s="200" t="s">
        <v>256</v>
      </c>
      <c r="G1053" s="200" t="s">
        <v>256</v>
      </c>
      <c r="H1053" s="200" t="s">
        <v>269</v>
      </c>
      <c r="I1053" s="200" t="s">
        <v>1157</v>
      </c>
    </row>
    <row r="1054" spans="1:9" ht="15" customHeight="1">
      <c r="A1054" s="199">
        <v>45675</v>
      </c>
      <c r="B1054" s="202" t="s">
        <v>1152</v>
      </c>
      <c r="C1054" s="200" t="s">
        <v>136</v>
      </c>
      <c r="D1054" s="668">
        <v>-35900</v>
      </c>
      <c r="E1054" s="201">
        <v>45658</v>
      </c>
      <c r="F1054" s="200" t="s">
        <v>256</v>
      </c>
      <c r="G1054" s="200" t="s">
        <v>256</v>
      </c>
      <c r="H1054" s="200" t="s">
        <v>269</v>
      </c>
      <c r="I1054" s="200" t="s">
        <v>1157</v>
      </c>
    </row>
    <row r="1055" spans="1:9" ht="15" customHeight="1">
      <c r="A1055" s="199">
        <v>45680</v>
      </c>
      <c r="B1055" s="202" t="s">
        <v>1152</v>
      </c>
      <c r="C1055" s="200" t="s">
        <v>136</v>
      </c>
      <c r="D1055" s="668">
        <v>-5000</v>
      </c>
      <c r="E1055" s="201">
        <v>45658</v>
      </c>
      <c r="F1055" s="200" t="s">
        <v>256</v>
      </c>
      <c r="G1055" s="200" t="s">
        <v>256</v>
      </c>
      <c r="H1055" s="200" t="s">
        <v>269</v>
      </c>
      <c r="I1055" s="200" t="s">
        <v>1157</v>
      </c>
    </row>
    <row r="1056" spans="1:9" ht="15" customHeight="1">
      <c r="A1056" s="199">
        <v>45679</v>
      </c>
      <c r="B1056" s="202" t="s">
        <v>1152</v>
      </c>
      <c r="C1056" s="200" t="s">
        <v>136</v>
      </c>
      <c r="D1056" s="668">
        <v>-20500</v>
      </c>
      <c r="E1056" s="201">
        <v>45658</v>
      </c>
      <c r="F1056" s="200" t="s">
        <v>256</v>
      </c>
      <c r="G1056" s="200" t="s">
        <v>256</v>
      </c>
      <c r="H1056" s="200" t="s">
        <v>269</v>
      </c>
      <c r="I1056" s="200" t="s">
        <v>1157</v>
      </c>
    </row>
    <row r="1057" spans="1:9" ht="15" customHeight="1">
      <c r="A1057" s="199">
        <v>45679</v>
      </c>
      <c r="B1057" s="202" t="s">
        <v>1152</v>
      </c>
      <c r="C1057" s="200" t="s">
        <v>136</v>
      </c>
      <c r="D1057" s="668">
        <v>-20000</v>
      </c>
      <c r="E1057" s="201">
        <v>45658</v>
      </c>
      <c r="F1057" s="200" t="s">
        <v>256</v>
      </c>
      <c r="G1057" s="200" t="s">
        <v>256</v>
      </c>
      <c r="H1057" s="200" t="s">
        <v>269</v>
      </c>
      <c r="I1057" s="200" t="s">
        <v>1157</v>
      </c>
    </row>
    <row r="1058" spans="1:9" ht="15" customHeight="1">
      <c r="A1058" s="199">
        <v>45681</v>
      </c>
      <c r="B1058" s="202" t="s">
        <v>1152</v>
      </c>
      <c r="C1058" s="200" t="s">
        <v>136</v>
      </c>
      <c r="D1058" s="668">
        <v>-5000</v>
      </c>
      <c r="E1058" s="201">
        <v>45658</v>
      </c>
      <c r="F1058" s="200" t="s">
        <v>256</v>
      </c>
      <c r="G1058" s="200" t="s">
        <v>256</v>
      </c>
      <c r="H1058" s="200" t="s">
        <v>269</v>
      </c>
      <c r="I1058" s="200" t="s">
        <v>1157</v>
      </c>
    </row>
    <row r="1059" spans="1:9" ht="15" customHeight="1">
      <c r="A1059" s="199">
        <v>45680</v>
      </c>
      <c r="B1059" s="202" t="s">
        <v>1152</v>
      </c>
      <c r="C1059" s="200" t="s">
        <v>136</v>
      </c>
      <c r="D1059" s="668">
        <v>-31000</v>
      </c>
      <c r="E1059" s="201">
        <v>45658</v>
      </c>
      <c r="F1059" s="200" t="s">
        <v>256</v>
      </c>
      <c r="G1059" s="200" t="s">
        <v>256</v>
      </c>
      <c r="H1059" s="200" t="s">
        <v>269</v>
      </c>
      <c r="I1059" s="200" t="s">
        <v>1157</v>
      </c>
    </row>
    <row r="1060" spans="1:9" ht="15" customHeight="1">
      <c r="A1060" s="199">
        <v>45679</v>
      </c>
      <c r="B1060" s="202" t="s">
        <v>1158</v>
      </c>
      <c r="C1060" s="200" t="s">
        <v>307</v>
      </c>
      <c r="D1060" s="204">
        <v>-100000</v>
      </c>
      <c r="E1060" s="201">
        <v>45658</v>
      </c>
      <c r="F1060" s="200" t="s">
        <v>296</v>
      </c>
      <c r="G1060" s="200" t="s">
        <v>522</v>
      </c>
      <c r="H1060" s="200" t="s">
        <v>326</v>
      </c>
      <c r="I1060" s="200" t="s">
        <v>1031</v>
      </c>
    </row>
    <row r="1061" spans="1:9" ht="15" customHeight="1">
      <c r="A1061" s="199">
        <v>45679</v>
      </c>
      <c r="B1061" s="202" t="s">
        <v>1159</v>
      </c>
      <c r="C1061" s="200" t="s">
        <v>307</v>
      </c>
      <c r="D1061" s="204">
        <v>-18900</v>
      </c>
      <c r="E1061" s="201">
        <v>45658</v>
      </c>
      <c r="F1061" s="200" t="s">
        <v>296</v>
      </c>
      <c r="G1061" s="200" t="s">
        <v>522</v>
      </c>
      <c r="H1061" s="200" t="s">
        <v>326</v>
      </c>
      <c r="I1061" s="200" t="s">
        <v>1031</v>
      </c>
    </row>
    <row r="1062" spans="1:9" ht="15" customHeight="1">
      <c r="A1062" s="199">
        <v>45679</v>
      </c>
      <c r="B1062" s="202" t="s">
        <v>1160</v>
      </c>
      <c r="C1062" s="200" t="s">
        <v>307</v>
      </c>
      <c r="D1062" s="204">
        <v>-12400</v>
      </c>
      <c r="E1062" s="201">
        <v>45658</v>
      </c>
      <c r="F1062" s="200" t="s">
        <v>296</v>
      </c>
      <c r="G1062" s="200" t="s">
        <v>522</v>
      </c>
      <c r="H1062" s="200" t="s">
        <v>326</v>
      </c>
      <c r="I1062" s="200" t="s">
        <v>1031</v>
      </c>
    </row>
    <row r="1063" spans="1:9" ht="15" customHeight="1">
      <c r="A1063" s="199">
        <v>45679</v>
      </c>
      <c r="B1063" s="202" t="s">
        <v>1161</v>
      </c>
      <c r="C1063" s="200" t="s">
        <v>307</v>
      </c>
      <c r="D1063" s="204">
        <v>-13000</v>
      </c>
      <c r="E1063" s="201">
        <v>45658</v>
      </c>
      <c r="F1063" s="200" t="s">
        <v>296</v>
      </c>
      <c r="G1063" s="200" t="s">
        <v>522</v>
      </c>
      <c r="H1063" s="200" t="s">
        <v>326</v>
      </c>
      <c r="I1063" s="200" t="s">
        <v>1031</v>
      </c>
    </row>
    <row r="1064" spans="1:9" ht="15" customHeight="1">
      <c r="A1064" s="199">
        <v>45679</v>
      </c>
      <c r="B1064" s="202" t="s">
        <v>1162</v>
      </c>
      <c r="C1064" s="200" t="s">
        <v>307</v>
      </c>
      <c r="D1064" s="204">
        <v>-14000</v>
      </c>
      <c r="E1064" s="201">
        <v>45658</v>
      </c>
      <c r="F1064" s="200" t="s">
        <v>296</v>
      </c>
      <c r="G1064" s="200" t="s">
        <v>522</v>
      </c>
      <c r="H1064" s="200" t="s">
        <v>326</v>
      </c>
      <c r="I1064" s="200" t="s">
        <v>1031</v>
      </c>
    </row>
    <row r="1065" spans="1:9" ht="15" customHeight="1">
      <c r="A1065" s="199">
        <v>45680</v>
      </c>
      <c r="B1065" s="202" t="s">
        <v>1163</v>
      </c>
      <c r="C1065" s="200" t="s">
        <v>307</v>
      </c>
      <c r="D1065" s="204">
        <v>-172000</v>
      </c>
      <c r="E1065" s="201">
        <v>45658</v>
      </c>
      <c r="F1065" s="200" t="s">
        <v>296</v>
      </c>
      <c r="G1065" s="200" t="s">
        <v>522</v>
      </c>
      <c r="H1065" s="200" t="s">
        <v>326</v>
      </c>
      <c r="I1065" s="200" t="s">
        <v>1031</v>
      </c>
    </row>
    <row r="1066" spans="1:9" ht="15" customHeight="1">
      <c r="A1066" s="199">
        <v>45680</v>
      </c>
      <c r="B1066" s="202" t="s">
        <v>1159</v>
      </c>
      <c r="C1066" s="200" t="s">
        <v>307</v>
      </c>
      <c r="D1066" s="204">
        <v>-73000</v>
      </c>
      <c r="E1066" s="201">
        <v>45658</v>
      </c>
      <c r="F1066" s="200" t="s">
        <v>296</v>
      </c>
      <c r="G1066" s="200" t="s">
        <v>522</v>
      </c>
      <c r="H1066" s="200" t="s">
        <v>326</v>
      </c>
      <c r="I1066" s="200" t="s">
        <v>1031</v>
      </c>
    </row>
    <row r="1067" spans="1:9" ht="15" customHeight="1">
      <c r="A1067" s="199">
        <v>45680</v>
      </c>
      <c r="B1067" s="202" t="s">
        <v>1160</v>
      </c>
      <c r="C1067" s="200" t="s">
        <v>307</v>
      </c>
      <c r="D1067" s="204">
        <v>-12400</v>
      </c>
      <c r="E1067" s="201">
        <v>45658</v>
      </c>
      <c r="F1067" s="200" t="s">
        <v>296</v>
      </c>
      <c r="G1067" s="200" t="s">
        <v>522</v>
      </c>
      <c r="H1067" s="200" t="s">
        <v>326</v>
      </c>
      <c r="I1067" s="200" t="s">
        <v>1031</v>
      </c>
    </row>
    <row r="1068" spans="1:9" ht="15" customHeight="1">
      <c r="A1068" s="199">
        <v>45680</v>
      </c>
      <c r="B1068" s="202" t="s">
        <v>738</v>
      </c>
      <c r="C1068" s="200" t="s">
        <v>307</v>
      </c>
      <c r="D1068" s="204">
        <v>-12200</v>
      </c>
      <c r="E1068" s="201">
        <v>45658</v>
      </c>
      <c r="F1068" s="200" t="s">
        <v>296</v>
      </c>
      <c r="G1068" s="200" t="s">
        <v>522</v>
      </c>
      <c r="H1068" s="200" t="s">
        <v>326</v>
      </c>
      <c r="I1068" s="200" t="s">
        <v>1031</v>
      </c>
    </row>
    <row r="1069" spans="1:9" ht="15" customHeight="1">
      <c r="A1069" s="199">
        <v>45681</v>
      </c>
      <c r="B1069" s="202" t="s">
        <v>733</v>
      </c>
      <c r="C1069" s="200" t="s">
        <v>307</v>
      </c>
      <c r="D1069" s="204">
        <v>-14500</v>
      </c>
      <c r="E1069" s="201">
        <v>45658</v>
      </c>
      <c r="F1069" s="200" t="s">
        <v>296</v>
      </c>
      <c r="G1069" s="200" t="s">
        <v>522</v>
      </c>
      <c r="H1069" s="200" t="s">
        <v>326</v>
      </c>
      <c r="I1069" s="200" t="s">
        <v>1031</v>
      </c>
    </row>
    <row r="1070" spans="1:9" ht="15" customHeight="1">
      <c r="A1070" s="199">
        <v>45685</v>
      </c>
      <c r="B1070" s="202" t="s">
        <v>1164</v>
      </c>
      <c r="C1070" s="200" t="s">
        <v>136</v>
      </c>
      <c r="D1070" s="668">
        <v>-11600</v>
      </c>
      <c r="E1070" s="201">
        <v>45658</v>
      </c>
      <c r="F1070" s="200" t="s">
        <v>296</v>
      </c>
      <c r="G1070" s="200" t="s">
        <v>453</v>
      </c>
      <c r="H1070" s="200" t="s">
        <v>98</v>
      </c>
    </row>
    <row r="1071" spans="1:9" ht="15" customHeight="1">
      <c r="A1071" s="199">
        <v>45685</v>
      </c>
      <c r="B1071" s="202" t="s">
        <v>1165</v>
      </c>
      <c r="C1071" s="200" t="s">
        <v>136</v>
      </c>
      <c r="D1071" s="668">
        <v>-11600</v>
      </c>
      <c r="E1071" s="201">
        <v>45658</v>
      </c>
      <c r="F1071" s="200" t="s">
        <v>296</v>
      </c>
      <c r="G1071" s="200" t="s">
        <v>522</v>
      </c>
      <c r="H1071" s="200" t="s">
        <v>322</v>
      </c>
    </row>
    <row r="1072" spans="1:9" ht="15" customHeight="1">
      <c r="A1072" s="199">
        <v>45671</v>
      </c>
      <c r="B1072" s="202" t="s">
        <v>501</v>
      </c>
      <c r="C1072" s="200" t="s">
        <v>136</v>
      </c>
      <c r="D1072" s="668">
        <v>-40000</v>
      </c>
      <c r="E1072" s="201">
        <v>45658</v>
      </c>
      <c r="F1072" s="200" t="s">
        <v>296</v>
      </c>
      <c r="G1072" s="200" t="s">
        <v>341</v>
      </c>
      <c r="H1072" s="200" t="s">
        <v>342</v>
      </c>
      <c r="I1072" s="200" t="s">
        <v>1166</v>
      </c>
    </row>
    <row r="1073" spans="1:9" ht="15" customHeight="1">
      <c r="A1073" s="199">
        <v>45671</v>
      </c>
      <c r="B1073" s="202" t="s">
        <v>499</v>
      </c>
      <c r="C1073" s="200" t="s">
        <v>136</v>
      </c>
      <c r="D1073" s="668">
        <v>-50000</v>
      </c>
      <c r="E1073" s="201">
        <v>45658</v>
      </c>
      <c r="F1073" s="200" t="s">
        <v>296</v>
      </c>
      <c r="G1073" s="200" t="s">
        <v>341</v>
      </c>
      <c r="H1073" s="200" t="s">
        <v>342</v>
      </c>
      <c r="I1073" s="200" t="s">
        <v>1166</v>
      </c>
    </row>
    <row r="1074" spans="1:9" ht="15" customHeight="1">
      <c r="A1074" s="199">
        <v>45671</v>
      </c>
      <c r="B1074" s="202" t="s">
        <v>1167</v>
      </c>
      <c r="C1074" s="200" t="s">
        <v>136</v>
      </c>
      <c r="D1074" s="668">
        <v>-21000</v>
      </c>
      <c r="E1074" s="201">
        <v>45658</v>
      </c>
      <c r="F1074" s="200" t="s">
        <v>296</v>
      </c>
      <c r="G1074" s="200" t="s">
        <v>341</v>
      </c>
      <c r="H1074" s="200" t="s">
        <v>350</v>
      </c>
      <c r="I1074" s="200" t="s">
        <v>1166</v>
      </c>
    </row>
    <row r="1075" spans="1:9" ht="15" customHeight="1">
      <c r="A1075" s="199">
        <v>45671</v>
      </c>
      <c r="B1075" s="202" t="s">
        <v>1168</v>
      </c>
      <c r="C1075" s="200" t="s">
        <v>136</v>
      </c>
      <c r="D1075" s="668">
        <v>-65000</v>
      </c>
      <c r="E1075" s="201">
        <v>45658</v>
      </c>
      <c r="F1075" s="200" t="s">
        <v>296</v>
      </c>
      <c r="G1075" s="200" t="s">
        <v>341</v>
      </c>
      <c r="H1075" s="200" t="s">
        <v>342</v>
      </c>
      <c r="I1075" s="200" t="s">
        <v>1166</v>
      </c>
    </row>
    <row r="1076" spans="1:9" ht="15" customHeight="1">
      <c r="A1076" s="199">
        <v>45671</v>
      </c>
      <c r="B1076" s="202" t="s">
        <v>1169</v>
      </c>
      <c r="C1076" s="200" t="s">
        <v>136</v>
      </c>
      <c r="D1076" s="668">
        <v>-14440</v>
      </c>
      <c r="E1076" s="201">
        <v>45658</v>
      </c>
      <c r="F1076" s="200" t="s">
        <v>296</v>
      </c>
      <c r="G1076" s="200" t="s">
        <v>341</v>
      </c>
      <c r="H1076" s="200" t="s">
        <v>342</v>
      </c>
      <c r="I1076" s="200" t="s">
        <v>1166</v>
      </c>
    </row>
    <row r="1077" spans="1:9" ht="15" customHeight="1">
      <c r="A1077" s="199">
        <v>45672</v>
      </c>
      <c r="B1077" s="202" t="s">
        <v>501</v>
      </c>
      <c r="C1077" s="200" t="s">
        <v>136</v>
      </c>
      <c r="D1077" s="668">
        <v>-35000</v>
      </c>
      <c r="E1077" s="201">
        <v>45658</v>
      </c>
      <c r="F1077" s="200" t="s">
        <v>296</v>
      </c>
      <c r="G1077" s="200" t="s">
        <v>341</v>
      </c>
      <c r="H1077" s="200" t="s">
        <v>342</v>
      </c>
      <c r="I1077" s="200" t="s">
        <v>1166</v>
      </c>
    </row>
    <row r="1078" spans="1:9" ht="15" customHeight="1">
      <c r="A1078" s="199">
        <v>45672</v>
      </c>
      <c r="B1078" s="202" t="s">
        <v>499</v>
      </c>
      <c r="C1078" s="200" t="s">
        <v>136</v>
      </c>
      <c r="D1078" s="668">
        <v>-50000</v>
      </c>
      <c r="E1078" s="201">
        <v>45658</v>
      </c>
      <c r="F1078" s="200" t="s">
        <v>296</v>
      </c>
      <c r="G1078" s="200" t="s">
        <v>341</v>
      </c>
      <c r="H1078" s="200" t="s">
        <v>342</v>
      </c>
      <c r="I1078" s="200" t="s">
        <v>1166</v>
      </c>
    </row>
    <row r="1079" spans="1:9" ht="15" customHeight="1">
      <c r="A1079" s="199">
        <v>45672</v>
      </c>
      <c r="B1079" s="202" t="s">
        <v>1170</v>
      </c>
      <c r="C1079" s="200" t="s">
        <v>136</v>
      </c>
      <c r="D1079" s="668">
        <v>-25000</v>
      </c>
      <c r="E1079" s="201">
        <v>45658</v>
      </c>
      <c r="F1079" s="200" t="s">
        <v>296</v>
      </c>
      <c r="G1079" s="200" t="s">
        <v>341</v>
      </c>
      <c r="H1079" s="200" t="s">
        <v>342</v>
      </c>
      <c r="I1079" s="200" t="s">
        <v>1166</v>
      </c>
    </row>
    <row r="1080" spans="1:9" ht="15" customHeight="1">
      <c r="A1080" s="199">
        <v>45672</v>
      </c>
      <c r="B1080" s="202" t="s">
        <v>358</v>
      </c>
      <c r="C1080" s="200" t="s">
        <v>136</v>
      </c>
      <c r="D1080" s="668">
        <v>-25025</v>
      </c>
      <c r="E1080" s="201">
        <v>45658</v>
      </c>
      <c r="F1080" s="200" t="s">
        <v>296</v>
      </c>
      <c r="G1080" s="200" t="s">
        <v>341</v>
      </c>
      <c r="H1080" s="200" t="s">
        <v>268</v>
      </c>
      <c r="I1080" s="200" t="s">
        <v>1166</v>
      </c>
    </row>
    <row r="1081" spans="1:9" ht="15" customHeight="1">
      <c r="A1081" s="199">
        <v>45672</v>
      </c>
      <c r="B1081" s="202" t="s">
        <v>1167</v>
      </c>
      <c r="C1081" s="200" t="s">
        <v>136</v>
      </c>
      <c r="D1081" s="668">
        <v>-21000</v>
      </c>
      <c r="E1081" s="201">
        <v>45658</v>
      </c>
      <c r="F1081" s="200" t="s">
        <v>296</v>
      </c>
      <c r="G1081" s="200" t="s">
        <v>341</v>
      </c>
      <c r="H1081" s="200" t="s">
        <v>350</v>
      </c>
      <c r="I1081" s="200" t="s">
        <v>1166</v>
      </c>
    </row>
    <row r="1082" spans="1:9" ht="15" customHeight="1">
      <c r="A1082" s="199">
        <v>45672</v>
      </c>
      <c r="B1082" s="202" t="s">
        <v>802</v>
      </c>
      <c r="C1082" s="200" t="s">
        <v>136</v>
      </c>
      <c r="D1082" s="668">
        <v>-20000</v>
      </c>
      <c r="E1082" s="201">
        <v>45658</v>
      </c>
      <c r="F1082" s="200" t="s">
        <v>296</v>
      </c>
      <c r="G1082" s="200" t="s">
        <v>341</v>
      </c>
      <c r="H1082" s="200" t="s">
        <v>268</v>
      </c>
      <c r="I1082" s="200" t="s">
        <v>1166</v>
      </c>
    </row>
    <row r="1083" spans="1:9" ht="15" customHeight="1">
      <c r="A1083" s="199">
        <v>45672</v>
      </c>
      <c r="B1083" s="202" t="s">
        <v>493</v>
      </c>
      <c r="C1083" s="200" t="s">
        <v>136</v>
      </c>
      <c r="D1083" s="668">
        <v>-20000</v>
      </c>
      <c r="E1083" s="201">
        <v>45658</v>
      </c>
      <c r="F1083" s="200" t="s">
        <v>296</v>
      </c>
      <c r="G1083" s="200" t="s">
        <v>341</v>
      </c>
      <c r="H1083" s="200" t="s">
        <v>268</v>
      </c>
      <c r="I1083" s="200" t="s">
        <v>1166</v>
      </c>
    </row>
    <row r="1084" spans="1:9" ht="15" customHeight="1">
      <c r="A1084" s="199">
        <v>45672</v>
      </c>
      <c r="B1084" s="202" t="s">
        <v>1171</v>
      </c>
      <c r="C1084" s="200" t="s">
        <v>136</v>
      </c>
      <c r="D1084" s="668">
        <v>-52900</v>
      </c>
      <c r="E1084" s="201">
        <v>45658</v>
      </c>
      <c r="F1084" s="200" t="s">
        <v>296</v>
      </c>
      <c r="G1084" s="200" t="s">
        <v>341</v>
      </c>
      <c r="H1084" s="200" t="s">
        <v>342</v>
      </c>
      <c r="I1084" s="200" t="s">
        <v>1166</v>
      </c>
    </row>
    <row r="1085" spans="1:9" ht="15" customHeight="1">
      <c r="A1085" s="199">
        <v>45673</v>
      </c>
      <c r="B1085" s="202" t="s">
        <v>348</v>
      </c>
      <c r="C1085" s="200" t="s">
        <v>136</v>
      </c>
      <c r="D1085" s="668">
        <v>-40000</v>
      </c>
      <c r="E1085" s="201">
        <v>45658</v>
      </c>
      <c r="F1085" s="200" t="s">
        <v>296</v>
      </c>
      <c r="G1085" s="200" t="s">
        <v>341</v>
      </c>
      <c r="H1085" s="200" t="s">
        <v>342</v>
      </c>
      <c r="I1085" s="200" t="s">
        <v>1166</v>
      </c>
    </row>
    <row r="1086" spans="1:9" ht="15" customHeight="1">
      <c r="A1086" s="199">
        <v>45673</v>
      </c>
      <c r="B1086" s="202" t="s">
        <v>507</v>
      </c>
      <c r="C1086" s="200" t="s">
        <v>136</v>
      </c>
      <c r="D1086" s="668">
        <v>-40000</v>
      </c>
      <c r="E1086" s="201">
        <v>45658</v>
      </c>
      <c r="F1086" s="200" t="s">
        <v>296</v>
      </c>
      <c r="G1086" s="200" t="s">
        <v>341</v>
      </c>
      <c r="H1086" s="200" t="s">
        <v>342</v>
      </c>
      <c r="I1086" s="200" t="s">
        <v>1166</v>
      </c>
    </row>
    <row r="1087" spans="1:9" ht="15" customHeight="1">
      <c r="A1087" s="199">
        <v>45673</v>
      </c>
      <c r="B1087" s="202" t="s">
        <v>1171</v>
      </c>
      <c r="C1087" s="200" t="s">
        <v>136</v>
      </c>
      <c r="D1087" s="668">
        <v>-62500</v>
      </c>
      <c r="E1087" s="201">
        <v>45658</v>
      </c>
      <c r="F1087" s="200" t="s">
        <v>296</v>
      </c>
      <c r="G1087" s="200" t="s">
        <v>341</v>
      </c>
      <c r="H1087" s="200" t="s">
        <v>342</v>
      </c>
      <c r="I1087" s="200" t="s">
        <v>1166</v>
      </c>
    </row>
    <row r="1088" spans="1:9" ht="15" customHeight="1">
      <c r="A1088" s="199">
        <v>45674</v>
      </c>
      <c r="B1088" s="202" t="s">
        <v>348</v>
      </c>
      <c r="C1088" s="200" t="s">
        <v>136</v>
      </c>
      <c r="D1088" s="668">
        <v>-28000</v>
      </c>
      <c r="E1088" s="201">
        <v>45658</v>
      </c>
      <c r="F1088" s="200" t="s">
        <v>296</v>
      </c>
      <c r="G1088" s="200" t="s">
        <v>341</v>
      </c>
      <c r="H1088" s="200" t="s">
        <v>342</v>
      </c>
      <c r="I1088" s="200" t="s">
        <v>1166</v>
      </c>
    </row>
    <row r="1089" spans="1:9" ht="15" customHeight="1">
      <c r="A1089" s="199">
        <v>45674</v>
      </c>
      <c r="B1089" s="202" t="s">
        <v>1172</v>
      </c>
      <c r="C1089" s="200" t="s">
        <v>136</v>
      </c>
      <c r="D1089" s="668">
        <v>-3400</v>
      </c>
      <c r="E1089" s="201">
        <v>45658</v>
      </c>
      <c r="F1089" s="200" t="s">
        <v>296</v>
      </c>
      <c r="G1089" s="200" t="s">
        <v>341</v>
      </c>
      <c r="H1089" s="200" t="s">
        <v>342</v>
      </c>
      <c r="I1089" s="200" t="s">
        <v>1166</v>
      </c>
    </row>
    <row r="1090" spans="1:9" ht="15" customHeight="1">
      <c r="A1090" s="199">
        <v>45674</v>
      </c>
      <c r="B1090" s="202" t="s">
        <v>1173</v>
      </c>
      <c r="C1090" s="200" t="s">
        <v>136</v>
      </c>
      <c r="D1090" s="668">
        <v>-2000</v>
      </c>
      <c r="E1090" s="201">
        <v>45658</v>
      </c>
      <c r="F1090" s="200" t="s">
        <v>296</v>
      </c>
      <c r="G1090" s="200" t="s">
        <v>341</v>
      </c>
      <c r="H1090" s="200" t="s">
        <v>342</v>
      </c>
      <c r="I1090" s="200" t="s">
        <v>1166</v>
      </c>
    </row>
    <row r="1091" spans="1:9" ht="15" customHeight="1">
      <c r="A1091" s="199">
        <v>45674</v>
      </c>
      <c r="B1091" s="202" t="s">
        <v>507</v>
      </c>
      <c r="C1091" s="200" t="s">
        <v>136</v>
      </c>
      <c r="D1091" s="668">
        <v>-40000</v>
      </c>
      <c r="E1091" s="201">
        <v>45658</v>
      </c>
      <c r="F1091" s="200" t="s">
        <v>296</v>
      </c>
      <c r="G1091" s="200" t="s">
        <v>341</v>
      </c>
      <c r="H1091" s="200" t="s">
        <v>342</v>
      </c>
      <c r="I1091" s="200" t="s">
        <v>1166</v>
      </c>
    </row>
    <row r="1092" spans="1:9" ht="15" customHeight="1">
      <c r="A1092" s="199">
        <v>45674</v>
      </c>
      <c r="B1092" s="202" t="s">
        <v>356</v>
      </c>
      <c r="C1092" s="200" t="s">
        <v>136</v>
      </c>
      <c r="D1092" s="668">
        <v>-31900</v>
      </c>
      <c r="E1092" s="201">
        <v>45658</v>
      </c>
      <c r="F1092" s="200" t="s">
        <v>296</v>
      </c>
      <c r="G1092" s="200" t="s">
        <v>341</v>
      </c>
      <c r="H1092" s="200" t="s">
        <v>268</v>
      </c>
      <c r="I1092" s="200" t="s">
        <v>1166</v>
      </c>
    </row>
    <row r="1093" spans="1:9" ht="15" customHeight="1">
      <c r="A1093" s="199">
        <v>45674</v>
      </c>
      <c r="B1093" s="202" t="s">
        <v>503</v>
      </c>
      <c r="C1093" s="200" t="s">
        <v>136</v>
      </c>
      <c r="D1093" s="668">
        <v>-31900</v>
      </c>
      <c r="E1093" s="201">
        <v>45658</v>
      </c>
      <c r="F1093" s="200" t="s">
        <v>296</v>
      </c>
      <c r="G1093" s="200" t="s">
        <v>341</v>
      </c>
      <c r="H1093" s="200" t="s">
        <v>268</v>
      </c>
      <c r="I1093" s="200" t="s">
        <v>1166</v>
      </c>
    </row>
    <row r="1094" spans="1:9" ht="15" customHeight="1">
      <c r="A1094" s="199">
        <v>45674</v>
      </c>
      <c r="B1094" s="202" t="s">
        <v>358</v>
      </c>
      <c r="C1094" s="200" t="s">
        <v>136</v>
      </c>
      <c r="D1094" s="668">
        <v>-10064</v>
      </c>
      <c r="E1094" s="201">
        <v>45658</v>
      </c>
      <c r="F1094" s="200" t="s">
        <v>296</v>
      </c>
      <c r="G1094" s="200" t="s">
        <v>341</v>
      </c>
      <c r="H1094" s="200" t="s">
        <v>268</v>
      </c>
      <c r="I1094" s="200" t="s">
        <v>1166</v>
      </c>
    </row>
    <row r="1095" spans="1:9" ht="15" customHeight="1">
      <c r="A1095" s="199">
        <v>45674</v>
      </c>
      <c r="B1095" s="202" t="s">
        <v>1174</v>
      </c>
      <c r="C1095" s="200" t="s">
        <v>136</v>
      </c>
      <c r="D1095" s="668">
        <v>-36000</v>
      </c>
      <c r="E1095" s="201">
        <v>45658</v>
      </c>
      <c r="F1095" s="200" t="s">
        <v>296</v>
      </c>
      <c r="G1095" s="200" t="s">
        <v>341</v>
      </c>
      <c r="H1095" s="200" t="s">
        <v>342</v>
      </c>
      <c r="I1095" s="200" t="s">
        <v>1166</v>
      </c>
    </row>
    <row r="1096" spans="1:9" ht="15" customHeight="1">
      <c r="A1096" s="199">
        <v>45677</v>
      </c>
      <c r="B1096" s="202" t="s">
        <v>493</v>
      </c>
      <c r="C1096" s="200" t="s">
        <v>136</v>
      </c>
      <c r="D1096" s="668">
        <v>-20000</v>
      </c>
      <c r="E1096" s="201">
        <v>45658</v>
      </c>
      <c r="F1096" s="200" t="s">
        <v>296</v>
      </c>
      <c r="G1096" s="200" t="s">
        <v>341</v>
      </c>
      <c r="H1096" s="200" t="s">
        <v>268</v>
      </c>
      <c r="I1096" s="200" t="s">
        <v>1166</v>
      </c>
    </row>
    <row r="1097" spans="1:9" ht="15" customHeight="1">
      <c r="A1097" s="199">
        <v>45677</v>
      </c>
      <c r="B1097" s="202" t="s">
        <v>802</v>
      </c>
      <c r="C1097" s="200" t="s">
        <v>136</v>
      </c>
      <c r="D1097" s="668">
        <v>-20000</v>
      </c>
      <c r="E1097" s="201">
        <v>45658</v>
      </c>
      <c r="F1097" s="200" t="s">
        <v>296</v>
      </c>
      <c r="G1097" s="200" t="s">
        <v>341</v>
      </c>
      <c r="H1097" s="200" t="s">
        <v>268</v>
      </c>
      <c r="I1097" s="200" t="s">
        <v>1166</v>
      </c>
    </row>
    <row r="1098" spans="1:9" ht="15" customHeight="1">
      <c r="A1098" s="199">
        <v>45677</v>
      </c>
      <c r="B1098" s="202" t="s">
        <v>496</v>
      </c>
      <c r="C1098" s="200" t="s">
        <v>136</v>
      </c>
      <c r="D1098" s="668">
        <v>-24000</v>
      </c>
      <c r="E1098" s="201">
        <v>45658</v>
      </c>
      <c r="F1098" s="200" t="s">
        <v>296</v>
      </c>
      <c r="G1098" s="200" t="s">
        <v>341</v>
      </c>
      <c r="H1098" s="200" t="s">
        <v>342</v>
      </c>
      <c r="I1098" s="200" t="s">
        <v>1166</v>
      </c>
    </row>
    <row r="1099" spans="1:9" ht="15" customHeight="1">
      <c r="A1099" s="199">
        <v>45677</v>
      </c>
      <c r="B1099" s="202" t="s">
        <v>803</v>
      </c>
      <c r="C1099" s="200" t="s">
        <v>136</v>
      </c>
      <c r="D1099" s="668">
        <v>-12000</v>
      </c>
      <c r="E1099" s="201">
        <v>45658</v>
      </c>
      <c r="F1099" s="200" t="s">
        <v>296</v>
      </c>
      <c r="G1099" s="200" t="s">
        <v>341</v>
      </c>
      <c r="H1099" s="200" t="s">
        <v>268</v>
      </c>
      <c r="I1099" s="200" t="s">
        <v>1166</v>
      </c>
    </row>
    <row r="1100" spans="1:9" ht="15" customHeight="1">
      <c r="A1100" s="199">
        <v>45677</v>
      </c>
      <c r="B1100" s="202" t="s">
        <v>506</v>
      </c>
      <c r="C1100" s="200" t="s">
        <v>136</v>
      </c>
      <c r="D1100" s="668">
        <v>-30000</v>
      </c>
      <c r="E1100" s="201">
        <v>45658</v>
      </c>
      <c r="F1100" s="200" t="s">
        <v>296</v>
      </c>
      <c r="G1100" s="200" t="s">
        <v>341</v>
      </c>
      <c r="H1100" s="200" t="s">
        <v>342</v>
      </c>
      <c r="I1100" s="200" t="s">
        <v>1166</v>
      </c>
    </row>
    <row r="1101" spans="1:9" ht="15" customHeight="1">
      <c r="A1101" s="199">
        <v>45677</v>
      </c>
      <c r="B1101" s="202" t="s">
        <v>499</v>
      </c>
      <c r="C1101" s="200" t="s">
        <v>136</v>
      </c>
      <c r="D1101" s="668">
        <v>-50000</v>
      </c>
      <c r="E1101" s="201">
        <v>45658</v>
      </c>
      <c r="F1101" s="200" t="s">
        <v>296</v>
      </c>
      <c r="G1101" s="200" t="s">
        <v>341</v>
      </c>
      <c r="H1101" s="200" t="s">
        <v>342</v>
      </c>
      <c r="I1101" s="200" t="s">
        <v>1166</v>
      </c>
    </row>
    <row r="1102" spans="1:9" ht="15" customHeight="1">
      <c r="A1102" s="199">
        <v>45677</v>
      </c>
      <c r="B1102" s="202" t="s">
        <v>1175</v>
      </c>
      <c r="C1102" s="200" t="s">
        <v>136</v>
      </c>
      <c r="D1102" s="668">
        <v>-8410</v>
      </c>
      <c r="E1102" s="201">
        <v>45658</v>
      </c>
      <c r="F1102" s="200" t="s">
        <v>296</v>
      </c>
      <c r="G1102" s="200" t="s">
        <v>341</v>
      </c>
      <c r="H1102" s="200" t="s">
        <v>342</v>
      </c>
      <c r="I1102" s="200" t="s">
        <v>1166</v>
      </c>
    </row>
    <row r="1103" spans="1:9" ht="15" customHeight="1">
      <c r="A1103" s="199">
        <v>45677</v>
      </c>
      <c r="B1103" s="202" t="s">
        <v>1176</v>
      </c>
      <c r="C1103" s="200" t="s">
        <v>136</v>
      </c>
      <c r="D1103" s="668">
        <v>-86800</v>
      </c>
      <c r="E1103" s="201">
        <v>45658</v>
      </c>
      <c r="F1103" s="200" t="s">
        <v>296</v>
      </c>
      <c r="G1103" s="200" t="s">
        <v>341</v>
      </c>
      <c r="H1103" s="200" t="s">
        <v>342</v>
      </c>
      <c r="I1103" s="200" t="s">
        <v>1166</v>
      </c>
    </row>
    <row r="1104" spans="1:9" ht="15" customHeight="1">
      <c r="A1104" s="199">
        <v>45677</v>
      </c>
      <c r="B1104" s="202" t="s">
        <v>1177</v>
      </c>
      <c r="C1104" s="200" t="s">
        <v>136</v>
      </c>
      <c r="D1104" s="668">
        <v>-5350</v>
      </c>
      <c r="E1104" s="201">
        <v>45658</v>
      </c>
      <c r="F1104" s="200" t="s">
        <v>296</v>
      </c>
      <c r="G1104" s="200" t="s">
        <v>341</v>
      </c>
      <c r="H1104" s="200" t="s">
        <v>342</v>
      </c>
      <c r="I1104" s="200" t="s">
        <v>1166</v>
      </c>
    </row>
    <row r="1105" spans="1:9" ht="15" customHeight="1">
      <c r="A1105" s="199">
        <v>45677</v>
      </c>
      <c r="B1105" s="202" t="s">
        <v>1178</v>
      </c>
      <c r="C1105" s="200" t="s">
        <v>136</v>
      </c>
      <c r="D1105" s="668">
        <v>-81000</v>
      </c>
      <c r="E1105" s="201">
        <v>45658</v>
      </c>
      <c r="F1105" s="200" t="s">
        <v>296</v>
      </c>
      <c r="G1105" s="200" t="s">
        <v>341</v>
      </c>
      <c r="H1105" s="200" t="s">
        <v>342</v>
      </c>
      <c r="I1105" s="200" t="s">
        <v>1166</v>
      </c>
    </row>
    <row r="1106" spans="1:9" ht="15" customHeight="1">
      <c r="A1106" s="199">
        <v>45686</v>
      </c>
      <c r="B1106" s="202" t="s">
        <v>1179</v>
      </c>
      <c r="C1106" s="200" t="s">
        <v>136</v>
      </c>
      <c r="D1106" s="668">
        <v>-227180</v>
      </c>
      <c r="E1106" s="201">
        <v>45658</v>
      </c>
      <c r="F1106" s="200" t="s">
        <v>256</v>
      </c>
      <c r="G1106" s="200" t="s">
        <v>107</v>
      </c>
      <c r="H1106" s="200" t="s">
        <v>277</v>
      </c>
    </row>
    <row r="1107" spans="1:9" ht="15" customHeight="1">
      <c r="A1107" s="199">
        <v>45686</v>
      </c>
      <c r="B1107" s="202" t="s">
        <v>1180</v>
      </c>
      <c r="C1107" s="200" t="s">
        <v>136</v>
      </c>
      <c r="D1107" s="668">
        <v>-256440</v>
      </c>
      <c r="E1107" s="201">
        <v>45658</v>
      </c>
      <c r="F1107" s="200" t="s">
        <v>256</v>
      </c>
      <c r="G1107" s="200" t="s">
        <v>107</v>
      </c>
      <c r="H1107" s="200" t="s">
        <v>277</v>
      </c>
    </row>
    <row r="1108" spans="1:9" ht="15" customHeight="1">
      <c r="A1108" s="199">
        <v>45686</v>
      </c>
      <c r="B1108" s="202" t="s">
        <v>1181</v>
      </c>
      <c r="C1108" s="200" t="s">
        <v>136</v>
      </c>
      <c r="D1108" s="668">
        <v>-910370</v>
      </c>
      <c r="E1108" s="201">
        <v>45658</v>
      </c>
      <c r="F1108" s="200" t="s">
        <v>296</v>
      </c>
      <c r="G1108" s="200" t="s">
        <v>337</v>
      </c>
      <c r="H1108" s="200" t="s">
        <v>429</v>
      </c>
    </row>
    <row r="1109" spans="1:9" ht="15" customHeight="1">
      <c r="A1109" s="199">
        <v>45682</v>
      </c>
      <c r="B1109" s="202" t="s">
        <v>1182</v>
      </c>
      <c r="C1109" s="200" t="s">
        <v>136</v>
      </c>
      <c r="D1109" s="668">
        <v>-40000</v>
      </c>
      <c r="E1109" s="201">
        <v>45658</v>
      </c>
      <c r="F1109" s="200" t="s">
        <v>256</v>
      </c>
      <c r="G1109" s="200" t="s">
        <v>107</v>
      </c>
      <c r="H1109" s="200" t="s">
        <v>9</v>
      </c>
      <c r="I1109" s="200" t="s">
        <v>1183</v>
      </c>
    </row>
    <row r="1110" spans="1:9" ht="15" customHeight="1">
      <c r="A1110" s="199">
        <v>45682</v>
      </c>
      <c r="B1110" s="202" t="s">
        <v>1184</v>
      </c>
      <c r="C1110" s="200" t="s">
        <v>136</v>
      </c>
      <c r="D1110" s="668">
        <v>-5530</v>
      </c>
      <c r="E1110" s="201">
        <v>45658</v>
      </c>
      <c r="F1110" s="200" t="s">
        <v>256</v>
      </c>
      <c r="G1110" s="200" t="s">
        <v>107</v>
      </c>
      <c r="H1110" s="200" t="s">
        <v>275</v>
      </c>
      <c r="I1110" s="200" t="s">
        <v>1183</v>
      </c>
    </row>
    <row r="1111" spans="1:9" ht="15" customHeight="1">
      <c r="A1111" s="199">
        <v>45682</v>
      </c>
      <c r="B1111" s="202" t="s">
        <v>1185</v>
      </c>
      <c r="C1111" s="200" t="s">
        <v>136</v>
      </c>
      <c r="D1111" s="668">
        <v>-13800</v>
      </c>
      <c r="E1111" s="201">
        <v>45658</v>
      </c>
      <c r="F1111" s="200" t="s">
        <v>256</v>
      </c>
      <c r="G1111" s="200" t="s">
        <v>107</v>
      </c>
      <c r="H1111" s="200" t="s">
        <v>275</v>
      </c>
      <c r="I1111" s="200" t="s">
        <v>1183</v>
      </c>
    </row>
    <row r="1112" spans="1:9" ht="15" customHeight="1">
      <c r="A1112" s="666" t="s">
        <v>1186</v>
      </c>
      <c r="B1112" s="202" t="s">
        <v>1187</v>
      </c>
      <c r="C1112" s="200" t="s">
        <v>136</v>
      </c>
      <c r="D1112" s="668">
        <v>-30000</v>
      </c>
      <c r="E1112" s="201">
        <v>45658</v>
      </c>
      <c r="F1112" s="200" t="s">
        <v>256</v>
      </c>
      <c r="G1112" s="200" t="s">
        <v>256</v>
      </c>
      <c r="H1112" s="200" t="s">
        <v>268</v>
      </c>
      <c r="I1112" s="200" t="s">
        <v>1188</v>
      </c>
    </row>
    <row r="1113" spans="1:9" ht="15" customHeight="1">
      <c r="A1113" s="666" t="s">
        <v>1186</v>
      </c>
      <c r="B1113" s="202" t="s">
        <v>1189</v>
      </c>
      <c r="C1113" s="200" t="s">
        <v>136</v>
      </c>
      <c r="D1113" s="668">
        <v>-19500</v>
      </c>
      <c r="E1113" s="201">
        <v>45658</v>
      </c>
      <c r="F1113" s="200" t="s">
        <v>256</v>
      </c>
      <c r="G1113" s="200" t="s">
        <v>256</v>
      </c>
      <c r="H1113" s="200" t="s">
        <v>269</v>
      </c>
      <c r="I1113" s="200" t="s">
        <v>1188</v>
      </c>
    </row>
    <row r="1114" spans="1:9" ht="15" customHeight="1">
      <c r="A1114" s="666" t="s">
        <v>1190</v>
      </c>
      <c r="B1114" s="202" t="s">
        <v>1191</v>
      </c>
      <c r="C1114" s="200" t="s">
        <v>136</v>
      </c>
      <c r="D1114" s="668">
        <v>-19000</v>
      </c>
      <c r="E1114" s="201">
        <v>45658</v>
      </c>
      <c r="F1114" s="200" t="s">
        <v>256</v>
      </c>
      <c r="G1114" s="200" t="s">
        <v>256</v>
      </c>
      <c r="H1114" s="200" t="s">
        <v>269</v>
      </c>
      <c r="I1114" s="200" t="s">
        <v>1188</v>
      </c>
    </row>
    <row r="1115" spans="1:9" ht="15" customHeight="1">
      <c r="A1115" s="666" t="s">
        <v>1190</v>
      </c>
      <c r="B1115" s="202" t="s">
        <v>1189</v>
      </c>
      <c r="C1115" s="200" t="s">
        <v>136</v>
      </c>
      <c r="D1115" s="668">
        <v>-19500</v>
      </c>
      <c r="E1115" s="201">
        <v>45658</v>
      </c>
      <c r="F1115" s="200" t="s">
        <v>256</v>
      </c>
      <c r="G1115" s="200" t="s">
        <v>256</v>
      </c>
      <c r="H1115" s="200" t="s">
        <v>269</v>
      </c>
      <c r="I1115" s="200" t="s">
        <v>1188</v>
      </c>
    </row>
    <row r="1116" spans="1:9" ht="15" customHeight="1">
      <c r="A1116" s="666" t="s">
        <v>1192</v>
      </c>
      <c r="B1116" s="202" t="s">
        <v>1191</v>
      </c>
      <c r="C1116" s="200" t="s">
        <v>136</v>
      </c>
      <c r="D1116" s="668">
        <v>-15000</v>
      </c>
      <c r="E1116" s="201">
        <v>45658</v>
      </c>
      <c r="F1116" s="200" t="s">
        <v>256</v>
      </c>
      <c r="G1116" s="200" t="s">
        <v>256</v>
      </c>
      <c r="H1116" s="200" t="s">
        <v>269</v>
      </c>
      <c r="I1116" s="200" t="s">
        <v>1188</v>
      </c>
    </row>
    <row r="1117" spans="1:9" ht="15" customHeight="1">
      <c r="A1117" s="666" t="s">
        <v>1192</v>
      </c>
      <c r="B1117" s="202" t="s">
        <v>1187</v>
      </c>
      <c r="C1117" s="200" t="s">
        <v>136</v>
      </c>
      <c r="D1117" s="668">
        <v>-7000</v>
      </c>
      <c r="E1117" s="201">
        <v>45658</v>
      </c>
      <c r="F1117" s="200" t="s">
        <v>256</v>
      </c>
      <c r="G1117" s="200" t="s">
        <v>256</v>
      </c>
      <c r="H1117" s="200" t="s">
        <v>268</v>
      </c>
      <c r="I1117" s="200" t="s">
        <v>1188</v>
      </c>
    </row>
    <row r="1118" spans="1:9" ht="15" customHeight="1">
      <c r="A1118" s="666" t="s">
        <v>1192</v>
      </c>
      <c r="B1118" s="202" t="s">
        <v>1189</v>
      </c>
      <c r="C1118" s="200" t="s">
        <v>136</v>
      </c>
      <c r="D1118" s="668">
        <v>-31000</v>
      </c>
      <c r="E1118" s="201">
        <v>45658</v>
      </c>
      <c r="F1118" s="200" t="s">
        <v>256</v>
      </c>
      <c r="G1118" s="200" t="s">
        <v>256</v>
      </c>
      <c r="H1118" s="200" t="s">
        <v>269</v>
      </c>
      <c r="I1118" s="200" t="s">
        <v>1188</v>
      </c>
    </row>
    <row r="1119" spans="1:9" ht="15" customHeight="1">
      <c r="A1119" s="666" t="s">
        <v>1193</v>
      </c>
      <c r="B1119" s="202" t="s">
        <v>1191</v>
      </c>
      <c r="C1119" s="200" t="s">
        <v>136</v>
      </c>
      <c r="D1119" s="668">
        <v>-14000</v>
      </c>
      <c r="E1119" s="201">
        <v>45658</v>
      </c>
      <c r="F1119" s="200" t="s">
        <v>256</v>
      </c>
      <c r="G1119" s="200" t="s">
        <v>256</v>
      </c>
      <c r="H1119" s="200" t="s">
        <v>269</v>
      </c>
      <c r="I1119" s="200" t="s">
        <v>1188</v>
      </c>
    </row>
    <row r="1120" spans="1:9" ht="15" customHeight="1">
      <c r="A1120" s="666" t="s">
        <v>1193</v>
      </c>
      <c r="B1120" s="202" t="s">
        <v>1194</v>
      </c>
      <c r="C1120" s="200" t="s">
        <v>136</v>
      </c>
      <c r="D1120" s="668">
        <v>-20000</v>
      </c>
      <c r="E1120" s="201">
        <v>45658</v>
      </c>
      <c r="F1120" s="200" t="s">
        <v>256</v>
      </c>
      <c r="G1120" s="200" t="s">
        <v>256</v>
      </c>
      <c r="H1120" s="200" t="s">
        <v>269</v>
      </c>
      <c r="I1120" s="200" t="s">
        <v>1188</v>
      </c>
    </row>
    <row r="1121" spans="1:9" ht="15" customHeight="1">
      <c r="A1121" s="666" t="s">
        <v>1193</v>
      </c>
      <c r="B1121" s="202" t="s">
        <v>1189</v>
      </c>
      <c r="C1121" s="200" t="s">
        <v>136</v>
      </c>
      <c r="D1121" s="668">
        <v>-31000</v>
      </c>
      <c r="E1121" s="201">
        <v>45658</v>
      </c>
      <c r="F1121" s="200" t="s">
        <v>256</v>
      </c>
      <c r="G1121" s="200" t="s">
        <v>256</v>
      </c>
      <c r="H1121" s="200" t="s">
        <v>269</v>
      </c>
      <c r="I1121" s="200" t="s">
        <v>1188</v>
      </c>
    </row>
    <row r="1122" spans="1:9" ht="15" customHeight="1">
      <c r="A1122" s="666" t="s">
        <v>1195</v>
      </c>
      <c r="B1122" s="202" t="s">
        <v>1191</v>
      </c>
      <c r="C1122" s="200" t="s">
        <v>136</v>
      </c>
      <c r="D1122" s="668">
        <v>-21000</v>
      </c>
      <c r="E1122" s="201">
        <v>45658</v>
      </c>
      <c r="F1122" s="200" t="s">
        <v>256</v>
      </c>
      <c r="G1122" s="200" t="s">
        <v>256</v>
      </c>
      <c r="H1122" s="200" t="s">
        <v>269</v>
      </c>
      <c r="I1122" s="200" t="s">
        <v>1188</v>
      </c>
    </row>
    <row r="1123" spans="1:9" ht="15" customHeight="1">
      <c r="A1123" s="666" t="s">
        <v>1195</v>
      </c>
      <c r="B1123" s="202" t="s">
        <v>1196</v>
      </c>
      <c r="C1123" s="200" t="s">
        <v>136</v>
      </c>
      <c r="D1123" s="668">
        <v>-55000</v>
      </c>
      <c r="E1123" s="201">
        <v>45658</v>
      </c>
      <c r="F1123" s="200" t="s">
        <v>256</v>
      </c>
      <c r="G1123" s="200" t="s">
        <v>256</v>
      </c>
      <c r="H1123" s="200" t="s">
        <v>268</v>
      </c>
      <c r="I1123" s="200" t="s">
        <v>1188</v>
      </c>
    </row>
    <row r="1124" spans="1:9" ht="15" customHeight="1">
      <c r="A1124" s="199">
        <v>45686</v>
      </c>
      <c r="B1124" s="202" t="s">
        <v>1197</v>
      </c>
      <c r="C1124" s="200" t="s">
        <v>136</v>
      </c>
      <c r="D1124" s="668">
        <v>-159120</v>
      </c>
      <c r="E1124" s="201">
        <v>45658</v>
      </c>
      <c r="F1124" s="200" t="s">
        <v>256</v>
      </c>
      <c r="G1124" s="200" t="s">
        <v>256</v>
      </c>
      <c r="H1124" s="200" t="s">
        <v>267</v>
      </c>
    </row>
    <row r="1125" spans="1:9" ht="15" customHeight="1">
      <c r="A1125" s="199">
        <v>45686</v>
      </c>
      <c r="B1125" s="202" t="s">
        <v>1198</v>
      </c>
      <c r="C1125" s="200" t="s">
        <v>372</v>
      </c>
      <c r="D1125" s="204">
        <v>-19800</v>
      </c>
      <c r="E1125" s="201">
        <v>45658</v>
      </c>
      <c r="F1125" s="200" t="s">
        <v>256</v>
      </c>
      <c r="G1125" s="200" t="s">
        <v>256</v>
      </c>
      <c r="H1125" s="200" t="s">
        <v>267</v>
      </c>
    </row>
    <row r="1126" spans="1:9" ht="15" customHeight="1">
      <c r="A1126" s="199">
        <v>45686</v>
      </c>
      <c r="B1126" s="202" t="s">
        <v>1199</v>
      </c>
      <c r="C1126" s="200" t="s">
        <v>372</v>
      </c>
      <c r="D1126" s="204">
        <v>-1080</v>
      </c>
      <c r="E1126" s="201">
        <v>45658</v>
      </c>
      <c r="F1126" s="200" t="s">
        <v>256</v>
      </c>
      <c r="G1126" s="200" t="s">
        <v>256</v>
      </c>
      <c r="H1126" s="200" t="s">
        <v>267</v>
      </c>
    </row>
    <row r="1127" spans="1:9" ht="15" customHeight="1">
      <c r="A1127" s="199">
        <v>45686</v>
      </c>
      <c r="B1127" s="202" t="s">
        <v>1200</v>
      </c>
      <c r="C1127" s="200" t="s">
        <v>136</v>
      </c>
      <c r="D1127" s="668">
        <v>-404660</v>
      </c>
      <c r="E1127" s="201">
        <v>45658</v>
      </c>
      <c r="F1127" s="200" t="s">
        <v>296</v>
      </c>
      <c r="G1127" s="200" t="s">
        <v>453</v>
      </c>
      <c r="H1127" s="200" t="s">
        <v>97</v>
      </c>
    </row>
    <row r="1128" spans="1:9" ht="15" customHeight="1">
      <c r="A1128" s="199">
        <v>45686</v>
      </c>
      <c r="B1128" s="202" t="s">
        <v>1201</v>
      </c>
      <c r="C1128" s="200" t="s">
        <v>136</v>
      </c>
      <c r="D1128" s="668">
        <v>-523400</v>
      </c>
      <c r="E1128" s="201">
        <v>45658</v>
      </c>
      <c r="F1128" s="200" t="s">
        <v>256</v>
      </c>
      <c r="G1128" s="200" t="s">
        <v>256</v>
      </c>
      <c r="H1128" s="200" t="s">
        <v>269</v>
      </c>
    </row>
    <row r="1129" spans="1:9" ht="15" customHeight="1">
      <c r="A1129" s="199">
        <v>45686</v>
      </c>
      <c r="B1129" s="202" t="s">
        <v>1202</v>
      </c>
      <c r="C1129" s="200" t="s">
        <v>136</v>
      </c>
      <c r="D1129" s="668">
        <v>-1300000</v>
      </c>
      <c r="E1129" s="201">
        <v>45658</v>
      </c>
      <c r="F1129" s="200" t="s">
        <v>296</v>
      </c>
      <c r="G1129" s="200" t="s">
        <v>44</v>
      </c>
      <c r="H1129" s="200" t="s">
        <v>429</v>
      </c>
    </row>
    <row r="1130" spans="1:9" ht="15" customHeight="1">
      <c r="A1130" s="199">
        <v>45687</v>
      </c>
      <c r="B1130" s="202" t="s">
        <v>1203</v>
      </c>
      <c r="C1130" s="200" t="s">
        <v>136</v>
      </c>
      <c r="D1130" s="668">
        <v>-3588945</v>
      </c>
      <c r="E1130" s="201">
        <v>45658</v>
      </c>
      <c r="F1130" s="200" t="s">
        <v>315</v>
      </c>
    </row>
    <row r="1131" spans="1:9" ht="15" customHeight="1">
      <c r="A1131" s="199">
        <v>45687</v>
      </c>
      <c r="B1131" s="202" t="s">
        <v>1204</v>
      </c>
      <c r="C1131" s="200" t="s">
        <v>136</v>
      </c>
      <c r="D1131" s="668">
        <v>-38668000</v>
      </c>
      <c r="E1131" s="201">
        <v>45658</v>
      </c>
      <c r="F1131" s="200" t="s">
        <v>298</v>
      </c>
    </row>
    <row r="1132" spans="1:9" ht="15" customHeight="1">
      <c r="A1132" s="199">
        <v>45687</v>
      </c>
      <c r="B1132" s="202" t="s">
        <v>1205</v>
      </c>
      <c r="C1132" s="200" t="s">
        <v>307</v>
      </c>
      <c r="D1132" s="204">
        <v>-21000</v>
      </c>
      <c r="E1132" s="201">
        <v>45658</v>
      </c>
      <c r="F1132" s="200" t="s">
        <v>296</v>
      </c>
      <c r="G1132" s="200" t="s">
        <v>328</v>
      </c>
      <c r="H1132" s="200" t="s">
        <v>268</v>
      </c>
    </row>
    <row r="1133" spans="1:9" ht="15" customHeight="1">
      <c r="A1133" s="199">
        <v>45687</v>
      </c>
      <c r="B1133" s="202" t="s">
        <v>1205</v>
      </c>
      <c r="C1133" s="200" t="s">
        <v>307</v>
      </c>
      <c r="D1133" s="204">
        <v>-21000</v>
      </c>
      <c r="E1133" s="201">
        <v>45658</v>
      </c>
      <c r="F1133" s="200" t="s">
        <v>296</v>
      </c>
      <c r="G1133" s="200" t="s">
        <v>337</v>
      </c>
      <c r="H1133" s="200" t="s">
        <v>326</v>
      </c>
    </row>
    <row r="1134" spans="1:9" ht="15" customHeight="1">
      <c r="A1134" s="199">
        <v>45687</v>
      </c>
      <c r="B1134" s="202" t="s">
        <v>1205</v>
      </c>
      <c r="C1134" s="200" t="s">
        <v>307</v>
      </c>
      <c r="D1134" s="204">
        <v>-7000</v>
      </c>
      <c r="E1134" s="201">
        <v>45658</v>
      </c>
      <c r="F1134" s="200" t="s">
        <v>296</v>
      </c>
      <c r="G1134" s="531" t="s">
        <v>392</v>
      </c>
      <c r="H1134" s="200" t="s">
        <v>268</v>
      </c>
    </row>
    <row r="1135" spans="1:9" ht="15" customHeight="1">
      <c r="A1135" s="199">
        <v>45687</v>
      </c>
      <c r="B1135" s="202" t="s">
        <v>1205</v>
      </c>
      <c r="C1135" s="200" t="s">
        <v>307</v>
      </c>
      <c r="D1135" s="204">
        <v>-105104</v>
      </c>
      <c r="E1135" s="201">
        <v>45658</v>
      </c>
      <c r="F1135" s="200" t="s">
        <v>296</v>
      </c>
      <c r="G1135" s="200" t="s">
        <v>482</v>
      </c>
      <c r="H1135" s="200" t="s">
        <v>268</v>
      </c>
    </row>
    <row r="1136" spans="1:9" ht="15" customHeight="1">
      <c r="A1136" s="199">
        <v>45687</v>
      </c>
      <c r="B1136" s="202" t="s">
        <v>1205</v>
      </c>
      <c r="C1136" s="200" t="s">
        <v>307</v>
      </c>
      <c r="D1136" s="204">
        <v>-24000</v>
      </c>
      <c r="E1136" s="201">
        <v>45658</v>
      </c>
      <c r="F1136" s="200" t="s">
        <v>256</v>
      </c>
      <c r="G1136" s="200" t="s">
        <v>107</v>
      </c>
      <c r="H1136" s="200" t="s">
        <v>275</v>
      </c>
    </row>
    <row r="1137" spans="1:8" ht="15" customHeight="1">
      <c r="A1137" s="199">
        <v>45687</v>
      </c>
      <c r="B1137" s="202" t="s">
        <v>1206</v>
      </c>
      <c r="C1137" s="200" t="s">
        <v>372</v>
      </c>
      <c r="D1137" s="204">
        <v>-1810</v>
      </c>
      <c r="E1137" s="201">
        <v>45658</v>
      </c>
      <c r="F1137" s="200" t="s">
        <v>296</v>
      </c>
      <c r="G1137" s="200" t="s">
        <v>482</v>
      </c>
      <c r="H1137" s="200" t="s">
        <v>268</v>
      </c>
    </row>
    <row r="1138" spans="1:8" ht="15" customHeight="1">
      <c r="A1138" s="199">
        <v>45687</v>
      </c>
      <c r="B1138" s="202" t="s">
        <v>1207</v>
      </c>
      <c r="C1138" s="200" t="s">
        <v>372</v>
      </c>
      <c r="D1138" s="204">
        <v>-1086</v>
      </c>
      <c r="E1138" s="201">
        <v>45658</v>
      </c>
      <c r="F1138" s="200" t="s">
        <v>296</v>
      </c>
      <c r="G1138" s="200" t="s">
        <v>482</v>
      </c>
      <c r="H1138" s="200" t="s">
        <v>268</v>
      </c>
    </row>
    <row r="1139" spans="1:8" ht="15" customHeight="1">
      <c r="A1139" s="199">
        <v>45687</v>
      </c>
      <c r="B1139" s="202" t="s">
        <v>864</v>
      </c>
      <c r="C1139" s="200" t="s">
        <v>307</v>
      </c>
      <c r="D1139" s="204">
        <v>-200328</v>
      </c>
      <c r="E1139" s="201">
        <v>45658</v>
      </c>
      <c r="F1139" s="200" t="s">
        <v>296</v>
      </c>
      <c r="G1139" s="200" t="s">
        <v>482</v>
      </c>
      <c r="H1139" s="200" t="s">
        <v>268</v>
      </c>
    </row>
    <row r="1140" spans="1:8" ht="15" customHeight="1">
      <c r="A1140" s="199">
        <v>45687</v>
      </c>
      <c r="B1140" s="202" t="s">
        <v>864</v>
      </c>
      <c r="C1140" s="200" t="s">
        <v>307</v>
      </c>
      <c r="D1140" s="204">
        <v>-25500</v>
      </c>
      <c r="E1140" s="201">
        <v>45658</v>
      </c>
      <c r="F1140" s="200" t="s">
        <v>296</v>
      </c>
      <c r="G1140" s="200" t="s">
        <v>328</v>
      </c>
      <c r="H1140" s="200" t="s">
        <v>268</v>
      </c>
    </row>
    <row r="1141" spans="1:8" ht="15" customHeight="1">
      <c r="A1141" s="199">
        <v>45687</v>
      </c>
      <c r="B1141" s="202" t="s">
        <v>1208</v>
      </c>
      <c r="C1141" s="200" t="s">
        <v>372</v>
      </c>
      <c r="D1141" s="204">
        <v>-2295</v>
      </c>
      <c r="E1141" s="201">
        <v>45658</v>
      </c>
      <c r="F1141" s="200" t="s">
        <v>296</v>
      </c>
      <c r="G1141" s="200" t="s">
        <v>482</v>
      </c>
      <c r="H1141" s="200" t="s">
        <v>268</v>
      </c>
    </row>
    <row r="1142" spans="1:8" ht="15" customHeight="1">
      <c r="A1142" s="199">
        <v>45687</v>
      </c>
      <c r="B1142" s="202" t="s">
        <v>1209</v>
      </c>
      <c r="C1142" s="200" t="s">
        <v>372</v>
      </c>
      <c r="D1142" s="204">
        <v>-1377</v>
      </c>
      <c r="E1142" s="201">
        <v>45658</v>
      </c>
      <c r="F1142" s="200" t="s">
        <v>296</v>
      </c>
      <c r="G1142" s="200" t="s">
        <v>482</v>
      </c>
      <c r="H1142" s="200" t="s">
        <v>268</v>
      </c>
    </row>
    <row r="1143" spans="1:8" ht="15" customHeight="1">
      <c r="A1143" s="199">
        <v>45681</v>
      </c>
      <c r="B1143" s="202" t="s">
        <v>1210</v>
      </c>
      <c r="C1143" s="200" t="s">
        <v>204</v>
      </c>
      <c r="D1143" s="658">
        <v>352957</v>
      </c>
      <c r="E1143" s="201">
        <v>45658</v>
      </c>
      <c r="F1143" s="200" t="s">
        <v>296</v>
      </c>
      <c r="G1143" s="200" t="s">
        <v>453</v>
      </c>
      <c r="H1143" s="200" t="s">
        <v>97</v>
      </c>
    </row>
    <row r="1144" spans="1:8" ht="15" customHeight="1">
      <c r="A1144" s="199">
        <v>45685</v>
      </c>
      <c r="B1144" s="793" t="s">
        <v>1211</v>
      </c>
      <c r="C1144" s="200" t="s">
        <v>204</v>
      </c>
      <c r="D1144" s="658">
        <v>400000000</v>
      </c>
      <c r="E1144" s="201">
        <v>45658</v>
      </c>
      <c r="F1144" s="200" t="s">
        <v>652</v>
      </c>
      <c r="G1144" s="200" t="s">
        <v>522</v>
      </c>
    </row>
    <row r="1145" spans="1:8" ht="15" customHeight="1">
      <c r="A1145" s="199">
        <v>45687</v>
      </c>
      <c r="B1145" s="202" t="s">
        <v>1212</v>
      </c>
      <c r="C1145" s="200" t="s">
        <v>136</v>
      </c>
      <c r="D1145" s="668">
        <v>-704489</v>
      </c>
      <c r="E1145" s="201">
        <v>45658</v>
      </c>
      <c r="F1145" s="200" t="s">
        <v>296</v>
      </c>
      <c r="G1145" s="200" t="s">
        <v>522</v>
      </c>
      <c r="H1145" s="200" t="s">
        <v>1213</v>
      </c>
    </row>
    <row r="1146" spans="1:8" ht="15" customHeight="1">
      <c r="A1146" s="199">
        <v>45674</v>
      </c>
      <c r="B1146" s="202" t="s">
        <v>671</v>
      </c>
      <c r="C1146" s="200" t="s">
        <v>136</v>
      </c>
      <c r="D1146" s="668">
        <v>352244.67</v>
      </c>
      <c r="E1146" s="201">
        <v>45658</v>
      </c>
      <c r="F1146" s="200" t="s">
        <v>296</v>
      </c>
      <c r="G1146" s="200" t="s">
        <v>337</v>
      </c>
      <c r="H1146" s="200" t="s">
        <v>429</v>
      </c>
    </row>
    <row r="1147" spans="1:8" ht="15" customHeight="1">
      <c r="A1147" s="199">
        <v>45681</v>
      </c>
      <c r="B1147" s="202" t="s">
        <v>1214</v>
      </c>
      <c r="C1147" s="200" t="s">
        <v>136</v>
      </c>
      <c r="D1147" s="668">
        <v>4308501</v>
      </c>
      <c r="E1147" s="201">
        <v>45658</v>
      </c>
      <c r="F1147" s="200" t="s">
        <v>295</v>
      </c>
    </row>
    <row r="1148" spans="1:8" ht="15" customHeight="1">
      <c r="A1148" s="199">
        <v>45681</v>
      </c>
      <c r="B1148" s="202" t="s">
        <v>1215</v>
      </c>
      <c r="C1148" s="200" t="s">
        <v>136</v>
      </c>
      <c r="D1148" s="668">
        <v>2112447</v>
      </c>
      <c r="E1148" s="201">
        <v>45658</v>
      </c>
      <c r="F1148" s="200" t="s">
        <v>295</v>
      </c>
    </row>
    <row r="1149" spans="1:8" ht="15" customHeight="1">
      <c r="A1149" s="199">
        <v>45685</v>
      </c>
      <c r="B1149" s="202" t="s">
        <v>1216</v>
      </c>
      <c r="C1149" s="200" t="s">
        <v>136</v>
      </c>
      <c r="D1149" s="668">
        <v>1138800</v>
      </c>
      <c r="E1149" s="201">
        <v>45658</v>
      </c>
      <c r="F1149" s="200" t="s">
        <v>256</v>
      </c>
      <c r="G1149" s="200" t="s">
        <v>256</v>
      </c>
      <c r="H1149" s="200" t="s">
        <v>121</v>
      </c>
    </row>
    <row r="1150" spans="1:8" ht="15" customHeight="1">
      <c r="A1150" s="199">
        <v>45687</v>
      </c>
      <c r="B1150" s="202" t="s">
        <v>1217</v>
      </c>
      <c r="C1150" s="200" t="s">
        <v>136</v>
      </c>
      <c r="D1150" s="668">
        <v>3279273</v>
      </c>
      <c r="E1150" s="201">
        <v>45658</v>
      </c>
      <c r="F1150" s="200" t="s">
        <v>295</v>
      </c>
    </row>
    <row r="1151" spans="1:8" ht="15" customHeight="1">
      <c r="A1151" s="199">
        <v>45685</v>
      </c>
      <c r="B1151" s="202" t="s">
        <v>1218</v>
      </c>
      <c r="C1151" s="200" t="s">
        <v>136</v>
      </c>
      <c r="D1151" s="668">
        <v>250000000</v>
      </c>
      <c r="E1151" s="201">
        <v>45658</v>
      </c>
      <c r="F1151" s="200" t="s">
        <v>652</v>
      </c>
      <c r="G1151" s="200" t="s">
        <v>44</v>
      </c>
    </row>
    <row r="1152" spans="1:8" ht="15" customHeight="1">
      <c r="A1152" s="199">
        <v>45684</v>
      </c>
      <c r="B1152" s="202" t="s">
        <v>1219</v>
      </c>
      <c r="C1152" s="200" t="s">
        <v>314</v>
      </c>
      <c r="D1152" s="658">
        <v>-11600</v>
      </c>
      <c r="E1152" s="201">
        <v>45658</v>
      </c>
      <c r="F1152" s="200" t="s">
        <v>296</v>
      </c>
      <c r="G1152" s="200" t="s">
        <v>522</v>
      </c>
      <c r="H1152" s="200" t="s">
        <v>322</v>
      </c>
    </row>
    <row r="1153" spans="1:8" ht="15" customHeight="1">
      <c r="A1153" s="199">
        <v>45684</v>
      </c>
      <c r="B1153" s="202" t="s">
        <v>1220</v>
      </c>
      <c r="C1153" s="200" t="s">
        <v>314</v>
      </c>
      <c r="D1153" s="658">
        <v>-386600</v>
      </c>
      <c r="E1153" s="201">
        <v>45658</v>
      </c>
      <c r="F1153" s="200" t="s">
        <v>256</v>
      </c>
      <c r="G1153" s="200" t="s">
        <v>256</v>
      </c>
      <c r="H1153" s="200" t="s">
        <v>266</v>
      </c>
    </row>
    <row r="1154" spans="1:8" ht="15" customHeight="1">
      <c r="A1154" s="199">
        <v>45687</v>
      </c>
      <c r="B1154" s="202" t="s">
        <v>1221</v>
      </c>
      <c r="C1154" s="200" t="s">
        <v>314</v>
      </c>
      <c r="D1154" s="658">
        <v>-349900</v>
      </c>
      <c r="E1154" s="201">
        <v>45658</v>
      </c>
      <c r="F1154" s="200" t="s">
        <v>296</v>
      </c>
      <c r="G1154" s="200" t="s">
        <v>453</v>
      </c>
      <c r="H1154" s="200" t="s">
        <v>97</v>
      </c>
    </row>
    <row r="1155" spans="1:8" ht="15" customHeight="1">
      <c r="A1155" s="199">
        <v>45687</v>
      </c>
      <c r="B1155" s="202" t="s">
        <v>440</v>
      </c>
      <c r="C1155" s="200" t="s">
        <v>314</v>
      </c>
      <c r="D1155" s="658">
        <v>-145200</v>
      </c>
      <c r="E1155" s="201">
        <v>45658</v>
      </c>
      <c r="F1155" s="200" t="s">
        <v>256</v>
      </c>
      <c r="G1155" s="200" t="s">
        <v>256</v>
      </c>
      <c r="H1155" s="200" t="s">
        <v>263</v>
      </c>
    </row>
    <row r="1156" spans="1:8" ht="15" customHeight="1">
      <c r="A1156" s="199">
        <v>45685</v>
      </c>
      <c r="B1156" s="202" t="s">
        <v>1222</v>
      </c>
      <c r="C1156" s="200" t="s">
        <v>314</v>
      </c>
      <c r="D1156" s="204">
        <v>3003153</v>
      </c>
      <c r="E1156" s="201">
        <v>45658</v>
      </c>
      <c r="F1156" s="200" t="s">
        <v>295</v>
      </c>
    </row>
    <row r="1157" spans="1:8" ht="15" customHeight="1">
      <c r="A1157" s="199">
        <v>45686</v>
      </c>
      <c r="B1157" s="202" t="s">
        <v>1223</v>
      </c>
      <c r="C1157" s="200" t="s">
        <v>314</v>
      </c>
      <c r="D1157" s="204">
        <v>2338075</v>
      </c>
      <c r="E1157" s="201">
        <v>45658</v>
      </c>
      <c r="F1157" s="200" t="s">
        <v>295</v>
      </c>
    </row>
    <row r="1158" spans="1:8" ht="15" customHeight="1">
      <c r="A1158" s="199">
        <v>45687</v>
      </c>
      <c r="B1158" s="202" t="s">
        <v>1224</v>
      </c>
      <c r="C1158" s="200" t="s">
        <v>314</v>
      </c>
      <c r="D1158" s="204">
        <v>5000000</v>
      </c>
      <c r="E1158" s="201">
        <v>45658</v>
      </c>
      <c r="F1158" s="200" t="s">
        <v>983</v>
      </c>
      <c r="G1158" s="200" t="s">
        <v>411</v>
      </c>
    </row>
    <row r="1159" spans="1:8" ht="15" customHeight="1">
      <c r="A1159" s="199">
        <v>45685</v>
      </c>
      <c r="B1159" s="202" t="s">
        <v>1225</v>
      </c>
      <c r="C1159" s="200" t="s">
        <v>314</v>
      </c>
      <c r="D1159" s="204">
        <v>1202568</v>
      </c>
      <c r="E1159" s="201">
        <v>45658</v>
      </c>
      <c r="F1159" s="200" t="s">
        <v>295</v>
      </c>
    </row>
    <row r="1160" spans="1:8" ht="15" customHeight="1">
      <c r="A1160" s="199">
        <v>45681</v>
      </c>
      <c r="B1160" s="202" t="s">
        <v>1226</v>
      </c>
      <c r="C1160" s="531" t="s">
        <v>398</v>
      </c>
      <c r="D1160" s="204">
        <v>-308000</v>
      </c>
      <c r="E1160" s="532">
        <v>45658</v>
      </c>
      <c r="F1160" s="200" t="s">
        <v>256</v>
      </c>
      <c r="G1160" s="200" t="s">
        <v>107</v>
      </c>
      <c r="H1160" s="200" t="s">
        <v>777</v>
      </c>
    </row>
    <row r="1161" spans="1:8" ht="15" customHeight="1">
      <c r="A1161" s="199">
        <v>45681</v>
      </c>
      <c r="B1161" s="202" t="s">
        <v>1227</v>
      </c>
      <c r="C1161" s="531" t="s">
        <v>398</v>
      </c>
      <c r="D1161" s="204">
        <v>-40200</v>
      </c>
      <c r="E1161" s="532">
        <v>45658</v>
      </c>
      <c r="F1161" s="200" t="s">
        <v>256</v>
      </c>
      <c r="G1161" s="200" t="s">
        <v>107</v>
      </c>
      <c r="H1161" s="200" t="s">
        <v>277</v>
      </c>
    </row>
    <row r="1162" spans="1:8" ht="15" customHeight="1">
      <c r="A1162" s="199">
        <v>45682</v>
      </c>
      <c r="B1162" s="202" t="s">
        <v>1228</v>
      </c>
      <c r="C1162" s="531" t="s">
        <v>398</v>
      </c>
      <c r="D1162" s="204">
        <v>-290560</v>
      </c>
      <c r="E1162" s="532">
        <v>45658</v>
      </c>
      <c r="F1162" s="200" t="s">
        <v>256</v>
      </c>
      <c r="G1162" s="200" t="s">
        <v>107</v>
      </c>
      <c r="H1162" s="200" t="s">
        <v>277</v>
      </c>
    </row>
    <row r="1163" spans="1:8" ht="15" customHeight="1">
      <c r="A1163" s="199">
        <v>45682</v>
      </c>
      <c r="B1163" s="202" t="s">
        <v>1228</v>
      </c>
      <c r="C1163" s="531" t="s">
        <v>398</v>
      </c>
      <c r="D1163" s="204">
        <v>-249300</v>
      </c>
      <c r="E1163" s="532">
        <v>45658</v>
      </c>
      <c r="F1163" s="200" t="s">
        <v>256</v>
      </c>
      <c r="G1163" s="200" t="s">
        <v>107</v>
      </c>
      <c r="H1163" s="200" t="s">
        <v>277</v>
      </c>
    </row>
    <row r="1164" spans="1:8" ht="15" customHeight="1">
      <c r="A1164" s="199">
        <v>45685</v>
      </c>
      <c r="B1164" s="202" t="s">
        <v>1229</v>
      </c>
      <c r="C1164" s="531" t="s">
        <v>398</v>
      </c>
      <c r="D1164" s="204">
        <v>-50800</v>
      </c>
      <c r="E1164" s="532">
        <v>45658</v>
      </c>
      <c r="F1164" s="200" t="s">
        <v>256</v>
      </c>
      <c r="G1164" s="200" t="s">
        <v>107</v>
      </c>
      <c r="H1164" s="200" t="s">
        <v>277</v>
      </c>
    </row>
    <row r="1165" spans="1:8" ht="15" customHeight="1">
      <c r="A1165" s="199">
        <v>45685</v>
      </c>
      <c r="B1165" s="202" t="s">
        <v>1230</v>
      </c>
      <c r="C1165" s="531" t="s">
        <v>398</v>
      </c>
      <c r="D1165" s="204">
        <v>-16500</v>
      </c>
      <c r="E1165" s="532">
        <v>45658</v>
      </c>
      <c r="F1165" s="200" t="s">
        <v>256</v>
      </c>
      <c r="G1165" s="200" t="s">
        <v>107</v>
      </c>
      <c r="H1165" s="200" t="s">
        <v>277</v>
      </c>
    </row>
    <row r="1166" spans="1:8" ht="15" customHeight="1">
      <c r="A1166" s="199">
        <v>45685</v>
      </c>
      <c r="B1166" s="202" t="s">
        <v>1231</v>
      </c>
      <c r="C1166" s="531" t="s">
        <v>398</v>
      </c>
      <c r="D1166" s="204">
        <v>-20100</v>
      </c>
      <c r="E1166" s="532">
        <v>45658</v>
      </c>
      <c r="F1166" s="200" t="s">
        <v>256</v>
      </c>
      <c r="G1166" s="200" t="s">
        <v>107</v>
      </c>
      <c r="H1166" s="200" t="s">
        <v>277</v>
      </c>
    </row>
    <row r="1167" spans="1:8" ht="15" customHeight="1">
      <c r="A1167" s="199">
        <v>45686</v>
      </c>
      <c r="B1167" s="202" t="s">
        <v>1232</v>
      </c>
      <c r="C1167" s="531" t="s">
        <v>398</v>
      </c>
      <c r="D1167" s="204">
        <v>-34600</v>
      </c>
      <c r="E1167" s="532">
        <v>45658</v>
      </c>
      <c r="F1167" s="200" t="s">
        <v>256</v>
      </c>
      <c r="G1167" s="200" t="s">
        <v>107</v>
      </c>
      <c r="H1167" s="200" t="s">
        <v>277</v>
      </c>
    </row>
    <row r="1168" spans="1:8" ht="15" customHeight="1">
      <c r="A1168" s="199">
        <v>45687</v>
      </c>
      <c r="B1168" s="202" t="s">
        <v>1233</v>
      </c>
      <c r="C1168" s="531" t="s">
        <v>398</v>
      </c>
      <c r="D1168" s="204">
        <v>-88500</v>
      </c>
      <c r="E1168" s="532">
        <v>45658</v>
      </c>
      <c r="F1168" s="200" t="s">
        <v>256</v>
      </c>
      <c r="G1168" s="200" t="s">
        <v>107</v>
      </c>
      <c r="H1168" s="200" t="s">
        <v>277</v>
      </c>
    </row>
    <row r="1169" spans="1:8" ht="15" customHeight="1">
      <c r="A1169" s="199">
        <v>45687</v>
      </c>
      <c r="B1169" s="202" t="s">
        <v>1234</v>
      </c>
      <c r="C1169" s="531" t="s">
        <v>398</v>
      </c>
      <c r="D1169" s="204">
        <v>-75000</v>
      </c>
      <c r="E1169" s="532">
        <v>45658</v>
      </c>
      <c r="F1169" s="200" t="s">
        <v>256</v>
      </c>
      <c r="G1169" s="200" t="s">
        <v>107</v>
      </c>
      <c r="H1169" s="200" t="s">
        <v>277</v>
      </c>
    </row>
    <row r="1170" spans="1:8" ht="15" customHeight="1">
      <c r="A1170" s="199">
        <v>45687</v>
      </c>
      <c r="B1170" s="202" t="s">
        <v>1235</v>
      </c>
      <c r="C1170" s="200" t="s">
        <v>136</v>
      </c>
      <c r="D1170" s="668">
        <v>-4620000</v>
      </c>
      <c r="E1170" s="201">
        <v>45658</v>
      </c>
      <c r="F1170" s="200" t="s">
        <v>296</v>
      </c>
      <c r="G1170" s="200" t="s">
        <v>522</v>
      </c>
      <c r="H1170" s="200" t="s">
        <v>429</v>
      </c>
    </row>
    <row r="1171" spans="1:8" ht="15" customHeight="1">
      <c r="A1171" s="199">
        <v>45687</v>
      </c>
      <c r="B1171" s="202" t="s">
        <v>1236</v>
      </c>
      <c r="C1171" s="200" t="s">
        <v>136</v>
      </c>
      <c r="D1171" s="668">
        <v>-1752766</v>
      </c>
      <c r="E1171" s="201">
        <v>45658</v>
      </c>
      <c r="F1171" s="200" t="s">
        <v>296</v>
      </c>
      <c r="G1171" s="200" t="s">
        <v>337</v>
      </c>
      <c r="H1171" s="200" t="s">
        <v>429</v>
      </c>
    </row>
    <row r="1172" spans="1:8" ht="15" customHeight="1">
      <c r="A1172" s="199">
        <v>45687</v>
      </c>
      <c r="B1172" s="202" t="s">
        <v>1237</v>
      </c>
      <c r="C1172" s="200" t="s">
        <v>136</v>
      </c>
      <c r="D1172" s="668">
        <v>-1127490</v>
      </c>
      <c r="E1172" s="201">
        <v>45658</v>
      </c>
      <c r="F1172" s="200" t="s">
        <v>296</v>
      </c>
      <c r="G1172" s="200" t="s">
        <v>337</v>
      </c>
      <c r="H1172" s="200" t="s">
        <v>429</v>
      </c>
    </row>
    <row r="1173" spans="1:8" ht="15" customHeight="1">
      <c r="A1173" s="199">
        <v>45687</v>
      </c>
      <c r="B1173" s="202" t="s">
        <v>1238</v>
      </c>
      <c r="C1173" s="200" t="s">
        <v>136</v>
      </c>
      <c r="D1173" s="668">
        <v>-942260</v>
      </c>
      <c r="E1173" s="201">
        <v>45658</v>
      </c>
      <c r="F1173" s="200" t="s">
        <v>296</v>
      </c>
      <c r="G1173" s="200" t="s">
        <v>337</v>
      </c>
      <c r="H1173" s="200" t="s">
        <v>429</v>
      </c>
    </row>
    <row r="1174" spans="1:8" ht="15" customHeight="1">
      <c r="A1174" s="199">
        <v>45687</v>
      </c>
      <c r="B1174" s="202" t="s">
        <v>1239</v>
      </c>
      <c r="C1174" s="200" t="s">
        <v>136</v>
      </c>
      <c r="D1174" s="668">
        <v>-936998</v>
      </c>
      <c r="E1174" s="201">
        <v>45658</v>
      </c>
      <c r="F1174" s="200" t="s">
        <v>296</v>
      </c>
      <c r="G1174" s="200" t="s">
        <v>337</v>
      </c>
      <c r="H1174" s="200" t="s">
        <v>429</v>
      </c>
    </row>
    <row r="1175" spans="1:8" ht="15" customHeight="1">
      <c r="A1175" s="199">
        <v>45687</v>
      </c>
      <c r="B1175" s="202" t="s">
        <v>1240</v>
      </c>
      <c r="C1175" s="200" t="s">
        <v>136</v>
      </c>
      <c r="D1175" s="668">
        <v>-937293</v>
      </c>
      <c r="E1175" s="201">
        <v>45658</v>
      </c>
      <c r="F1175" s="200" t="s">
        <v>296</v>
      </c>
      <c r="G1175" s="200" t="s">
        <v>337</v>
      </c>
      <c r="H1175" s="200" t="s">
        <v>429</v>
      </c>
    </row>
    <row r="1176" spans="1:8" ht="15" customHeight="1">
      <c r="A1176" s="199">
        <v>45687</v>
      </c>
      <c r="B1176" s="202" t="s">
        <v>1241</v>
      </c>
      <c r="C1176" s="200" t="s">
        <v>136</v>
      </c>
      <c r="D1176" s="668">
        <v>-880026</v>
      </c>
      <c r="E1176" s="201">
        <v>45658</v>
      </c>
      <c r="F1176" s="200" t="s">
        <v>296</v>
      </c>
      <c r="G1176" s="200" t="s">
        <v>337</v>
      </c>
      <c r="H1176" s="200" t="s">
        <v>429</v>
      </c>
    </row>
    <row r="1177" spans="1:8" ht="15" customHeight="1">
      <c r="A1177" s="199">
        <v>45687</v>
      </c>
      <c r="B1177" s="202" t="s">
        <v>1242</v>
      </c>
      <c r="C1177" s="200" t="s">
        <v>136</v>
      </c>
      <c r="D1177" s="668">
        <v>-880458</v>
      </c>
      <c r="E1177" s="201">
        <v>45658</v>
      </c>
      <c r="F1177" s="200" t="s">
        <v>296</v>
      </c>
      <c r="G1177" s="200" t="s">
        <v>337</v>
      </c>
      <c r="H1177" s="200" t="s">
        <v>429</v>
      </c>
    </row>
    <row r="1178" spans="1:8" ht="15" customHeight="1">
      <c r="A1178" s="199">
        <v>45687</v>
      </c>
      <c r="B1178" s="202" t="s">
        <v>1243</v>
      </c>
      <c r="C1178" s="200" t="s">
        <v>136</v>
      </c>
      <c r="D1178" s="668">
        <v>-775625</v>
      </c>
      <c r="E1178" s="201">
        <v>45658</v>
      </c>
      <c r="F1178" s="200" t="s">
        <v>296</v>
      </c>
      <c r="G1178" s="200" t="s">
        <v>337</v>
      </c>
      <c r="H1178" s="200" t="s">
        <v>429</v>
      </c>
    </row>
    <row r="1179" spans="1:8" ht="15" customHeight="1">
      <c r="A1179" s="199">
        <v>45687</v>
      </c>
      <c r="B1179" s="202" t="s">
        <v>1244</v>
      </c>
      <c r="C1179" s="200" t="s">
        <v>136</v>
      </c>
      <c r="D1179" s="668">
        <v>-775625</v>
      </c>
      <c r="E1179" s="201">
        <v>45658</v>
      </c>
      <c r="F1179" s="200" t="s">
        <v>296</v>
      </c>
      <c r="G1179" s="200" t="s">
        <v>337</v>
      </c>
      <c r="H1179" s="200" t="s">
        <v>429</v>
      </c>
    </row>
    <row r="1180" spans="1:8" ht="15" customHeight="1">
      <c r="A1180" s="199">
        <v>45687</v>
      </c>
      <c r="B1180" s="202" t="s">
        <v>1245</v>
      </c>
      <c r="C1180" s="200" t="s">
        <v>136</v>
      </c>
      <c r="D1180" s="668">
        <v>-995355</v>
      </c>
      <c r="E1180" s="201">
        <v>45658</v>
      </c>
      <c r="F1180" s="200" t="s">
        <v>296</v>
      </c>
      <c r="G1180" s="200" t="s">
        <v>337</v>
      </c>
      <c r="H1180" s="200" t="s">
        <v>429</v>
      </c>
    </row>
    <row r="1181" spans="1:8" ht="15" customHeight="1">
      <c r="A1181" s="199">
        <v>45687</v>
      </c>
      <c r="B1181" s="202" t="s">
        <v>1246</v>
      </c>
      <c r="C1181" s="200" t="s">
        <v>136</v>
      </c>
      <c r="D1181" s="668">
        <v>-867625</v>
      </c>
      <c r="E1181" s="201">
        <v>45658</v>
      </c>
      <c r="F1181" s="200" t="s">
        <v>296</v>
      </c>
      <c r="G1181" s="200" t="s">
        <v>337</v>
      </c>
      <c r="H1181" s="200" t="s">
        <v>429</v>
      </c>
    </row>
    <row r="1182" spans="1:8" ht="15" customHeight="1">
      <c r="A1182" s="199">
        <v>45687</v>
      </c>
      <c r="B1182" s="202" t="s">
        <v>1247</v>
      </c>
      <c r="C1182" s="200" t="s">
        <v>136</v>
      </c>
      <c r="D1182" s="668">
        <v>-863813</v>
      </c>
      <c r="E1182" s="201">
        <v>45658</v>
      </c>
      <c r="F1182" s="200" t="s">
        <v>296</v>
      </c>
      <c r="G1182" s="200" t="s">
        <v>337</v>
      </c>
      <c r="H1182" s="200" t="s">
        <v>429</v>
      </c>
    </row>
    <row r="1183" spans="1:8" ht="15" customHeight="1">
      <c r="A1183" s="199">
        <v>45687</v>
      </c>
      <c r="B1183" s="202" t="s">
        <v>1248</v>
      </c>
      <c r="C1183" s="200" t="s">
        <v>136</v>
      </c>
      <c r="D1183" s="668">
        <v>-721492.33333333337</v>
      </c>
      <c r="E1183" s="201">
        <v>45658</v>
      </c>
      <c r="F1183" s="200" t="s">
        <v>296</v>
      </c>
      <c r="G1183" s="200" t="s">
        <v>337</v>
      </c>
      <c r="H1183" s="200" t="s">
        <v>429</v>
      </c>
    </row>
    <row r="1184" spans="1:8" ht="15" customHeight="1">
      <c r="A1184" s="199">
        <v>45687</v>
      </c>
      <c r="B1184" s="202" t="s">
        <v>1249</v>
      </c>
      <c r="C1184" s="200" t="s">
        <v>136</v>
      </c>
      <c r="D1184" s="668">
        <v>-771813</v>
      </c>
      <c r="E1184" s="201">
        <v>45658</v>
      </c>
      <c r="F1184" s="200" t="s">
        <v>296</v>
      </c>
      <c r="G1184" s="200" t="s">
        <v>337</v>
      </c>
      <c r="H1184" s="200" t="s">
        <v>429</v>
      </c>
    </row>
    <row r="1185" spans="1:8" ht="15" customHeight="1">
      <c r="A1185" s="199">
        <v>45687</v>
      </c>
      <c r="B1185" s="202" t="s">
        <v>1250</v>
      </c>
      <c r="C1185" s="200" t="s">
        <v>136</v>
      </c>
      <c r="D1185" s="668">
        <v>-704489.33333333337</v>
      </c>
      <c r="E1185" s="201">
        <v>45658</v>
      </c>
      <c r="F1185" s="200" t="s">
        <v>296</v>
      </c>
      <c r="G1185" s="200" t="s">
        <v>337</v>
      </c>
      <c r="H1185" s="200" t="s">
        <v>429</v>
      </c>
    </row>
    <row r="1186" spans="1:8" ht="15" customHeight="1">
      <c r="A1186" s="199">
        <v>45687</v>
      </c>
      <c r="B1186" s="202" t="s">
        <v>1251</v>
      </c>
      <c r="C1186" s="200" t="s">
        <v>136</v>
      </c>
      <c r="D1186" s="668">
        <v>-704489.33333333337</v>
      </c>
      <c r="E1186" s="201">
        <v>45658</v>
      </c>
      <c r="F1186" s="200" t="s">
        <v>296</v>
      </c>
      <c r="G1186" s="200" t="s">
        <v>337</v>
      </c>
      <c r="H1186" s="200" t="s">
        <v>429</v>
      </c>
    </row>
    <row r="1187" spans="1:8" ht="15" customHeight="1">
      <c r="A1187" s="199">
        <v>45687</v>
      </c>
      <c r="B1187" s="202" t="s">
        <v>1252</v>
      </c>
      <c r="C1187" s="200" t="s">
        <v>136</v>
      </c>
      <c r="D1187" s="668">
        <v>-704489.33333333337</v>
      </c>
      <c r="E1187" s="201">
        <v>45658</v>
      </c>
      <c r="F1187" s="200" t="s">
        <v>296</v>
      </c>
      <c r="G1187" s="200" t="s">
        <v>337</v>
      </c>
      <c r="H1187" s="200" t="s">
        <v>429</v>
      </c>
    </row>
    <row r="1188" spans="1:8" ht="15" customHeight="1">
      <c r="A1188" s="199">
        <v>45687</v>
      </c>
      <c r="B1188" s="202" t="s">
        <v>1253</v>
      </c>
      <c r="C1188" s="200" t="s">
        <v>136</v>
      </c>
      <c r="D1188" s="668">
        <v>-704489.33333333337</v>
      </c>
      <c r="E1188" s="201">
        <v>45658</v>
      </c>
      <c r="F1188" s="200" t="s">
        <v>296</v>
      </c>
      <c r="G1188" s="200" t="s">
        <v>337</v>
      </c>
      <c r="H1188" s="200" t="s">
        <v>429</v>
      </c>
    </row>
    <row r="1189" spans="1:8" ht="15" customHeight="1">
      <c r="A1189" s="199">
        <v>45687</v>
      </c>
      <c r="B1189" s="202" t="s">
        <v>1254</v>
      </c>
      <c r="C1189" s="200" t="s">
        <v>136</v>
      </c>
      <c r="D1189" s="668">
        <v>-704489.33333333337</v>
      </c>
      <c r="E1189" s="201">
        <v>45658</v>
      </c>
      <c r="F1189" s="200" t="s">
        <v>296</v>
      </c>
      <c r="G1189" s="200" t="s">
        <v>337</v>
      </c>
      <c r="H1189" s="200" t="s">
        <v>429</v>
      </c>
    </row>
    <row r="1190" spans="1:8" ht="15" customHeight="1">
      <c r="A1190" s="199">
        <v>45687</v>
      </c>
      <c r="B1190" s="202" t="s">
        <v>1255</v>
      </c>
      <c r="C1190" s="200" t="s">
        <v>136</v>
      </c>
      <c r="D1190" s="668">
        <v>-704489.33333333337</v>
      </c>
      <c r="E1190" s="201">
        <v>45658</v>
      </c>
      <c r="F1190" s="200" t="s">
        <v>296</v>
      </c>
      <c r="G1190" s="200" t="s">
        <v>337</v>
      </c>
      <c r="H1190" s="200" t="s">
        <v>429</v>
      </c>
    </row>
    <row r="1191" spans="1:8" ht="14.1">
      <c r="A1191" s="199">
        <v>45687</v>
      </c>
      <c r="B1191" s="202" t="s">
        <v>1256</v>
      </c>
      <c r="C1191" s="200" t="s">
        <v>136</v>
      </c>
      <c r="D1191" s="668">
        <v>-765293</v>
      </c>
      <c r="E1191" s="201">
        <v>45658</v>
      </c>
      <c r="F1191" s="200" t="s">
        <v>296</v>
      </c>
      <c r="G1191" s="200" t="s">
        <v>337</v>
      </c>
      <c r="H1191" s="200" t="s">
        <v>429</v>
      </c>
    </row>
    <row r="1192" spans="1:8" ht="14.1">
      <c r="A1192" s="199">
        <v>45687</v>
      </c>
      <c r="B1192" s="202" t="s">
        <v>1257</v>
      </c>
      <c r="C1192" s="200" t="s">
        <v>136</v>
      </c>
      <c r="D1192" s="668">
        <v>-1250000</v>
      </c>
      <c r="E1192" s="201">
        <v>45658</v>
      </c>
      <c r="F1192" s="200" t="s">
        <v>296</v>
      </c>
      <c r="G1192" s="200" t="s">
        <v>337</v>
      </c>
      <c r="H1192" s="200" t="s">
        <v>338</v>
      </c>
    </row>
    <row r="1193" spans="1:8" ht="14.1">
      <c r="A1193" s="199">
        <v>45687</v>
      </c>
      <c r="B1193" s="202" t="s">
        <v>1258</v>
      </c>
      <c r="C1193" s="200" t="s">
        <v>136</v>
      </c>
      <c r="D1193" s="668">
        <v>-882000</v>
      </c>
      <c r="E1193" s="201">
        <v>45658</v>
      </c>
      <c r="F1193" s="200" t="s">
        <v>296</v>
      </c>
      <c r="G1193" s="200" t="s">
        <v>337</v>
      </c>
      <c r="H1193" s="200" t="s">
        <v>429</v>
      </c>
    </row>
    <row r="1194" spans="1:8" ht="15" customHeight="1">
      <c r="A1194" s="199">
        <v>45687</v>
      </c>
      <c r="B1194" s="202" t="s">
        <v>1259</v>
      </c>
      <c r="C1194" s="200" t="s">
        <v>136</v>
      </c>
      <c r="D1194" s="668">
        <v>-942806</v>
      </c>
      <c r="E1194" s="201">
        <v>45658</v>
      </c>
      <c r="F1194" s="200" t="s">
        <v>296</v>
      </c>
      <c r="G1194" s="200" t="s">
        <v>522</v>
      </c>
      <c r="H1194" s="200" t="s">
        <v>1213</v>
      </c>
    </row>
    <row r="1195" spans="1:8" ht="15" customHeight="1">
      <c r="A1195" s="199">
        <v>45687</v>
      </c>
      <c r="B1195" s="202" t="s">
        <v>1260</v>
      </c>
      <c r="C1195" s="200" t="s">
        <v>136</v>
      </c>
      <c r="D1195" s="668">
        <v>-1125066.8</v>
      </c>
      <c r="E1195" s="201">
        <v>45658</v>
      </c>
      <c r="F1195" s="200" t="s">
        <v>296</v>
      </c>
      <c r="G1195" s="200" t="s">
        <v>522</v>
      </c>
      <c r="H1195" s="200" t="s">
        <v>1213</v>
      </c>
    </row>
    <row r="1196" spans="1:8" ht="15" customHeight="1">
      <c r="A1196" s="199">
        <v>45687</v>
      </c>
      <c r="B1196" s="202" t="s">
        <v>1261</v>
      </c>
      <c r="C1196" s="200" t="s">
        <v>136</v>
      </c>
      <c r="D1196" s="668">
        <v>-880026</v>
      </c>
      <c r="E1196" s="201">
        <v>45658</v>
      </c>
      <c r="F1196" s="200" t="s">
        <v>296</v>
      </c>
      <c r="G1196" s="200" t="s">
        <v>522</v>
      </c>
      <c r="H1196" s="200" t="s">
        <v>1213</v>
      </c>
    </row>
    <row r="1197" spans="1:8" ht="15" customHeight="1">
      <c r="A1197" s="199">
        <v>45687</v>
      </c>
      <c r="B1197" s="202" t="s">
        <v>1262</v>
      </c>
      <c r="C1197" s="200" t="s">
        <v>136</v>
      </c>
      <c r="D1197" s="668">
        <v>-765293</v>
      </c>
      <c r="E1197" s="201">
        <v>45658</v>
      </c>
      <c r="F1197" s="200" t="s">
        <v>296</v>
      </c>
      <c r="G1197" s="200" t="s">
        <v>522</v>
      </c>
      <c r="H1197" s="200" t="s">
        <v>1213</v>
      </c>
    </row>
    <row r="1198" spans="1:8" ht="15" customHeight="1">
      <c r="A1198" s="199">
        <v>45679</v>
      </c>
      <c r="B1198" s="202" t="s">
        <v>625</v>
      </c>
      <c r="C1198" s="200" t="s">
        <v>136</v>
      </c>
      <c r="D1198" s="668">
        <v>-352245</v>
      </c>
      <c r="E1198" s="201">
        <v>45658</v>
      </c>
      <c r="F1198" s="200" t="s">
        <v>296</v>
      </c>
      <c r="G1198" s="200" t="s">
        <v>337</v>
      </c>
      <c r="H1198" s="200" t="s">
        <v>429</v>
      </c>
    </row>
    <row r="1199" spans="1:8" ht="15" customHeight="1">
      <c r="A1199" s="199">
        <v>45687</v>
      </c>
      <c r="B1199" s="202" t="s">
        <v>1263</v>
      </c>
      <c r="C1199" s="200" t="s">
        <v>136</v>
      </c>
      <c r="D1199" s="668">
        <v>-754810</v>
      </c>
      <c r="E1199" s="201">
        <v>45658</v>
      </c>
      <c r="F1199" s="200" t="s">
        <v>296</v>
      </c>
      <c r="G1199" s="200" t="s">
        <v>522</v>
      </c>
      <c r="H1199" s="200" t="s">
        <v>1213</v>
      </c>
    </row>
    <row r="1200" spans="1:8" ht="15" customHeight="1">
      <c r="A1200" s="199">
        <v>45687</v>
      </c>
      <c r="B1200" s="202" t="s">
        <v>1264</v>
      </c>
      <c r="C1200" s="200" t="s">
        <v>136</v>
      </c>
      <c r="D1200" s="668">
        <v>-754810</v>
      </c>
      <c r="E1200" s="201">
        <v>45658</v>
      </c>
      <c r="F1200" s="200" t="s">
        <v>296</v>
      </c>
      <c r="G1200" s="200" t="s">
        <v>522</v>
      </c>
      <c r="H1200" s="200" t="s">
        <v>1213</v>
      </c>
    </row>
    <row r="1201" spans="1:8" ht="15" customHeight="1">
      <c r="A1201" s="199">
        <v>45687</v>
      </c>
      <c r="B1201" s="202" t="s">
        <v>1265</v>
      </c>
      <c r="C1201" s="200" t="s">
        <v>136</v>
      </c>
      <c r="D1201" s="668">
        <v>-754810</v>
      </c>
      <c r="E1201" s="201">
        <v>45658</v>
      </c>
      <c r="F1201" s="200" t="s">
        <v>296</v>
      </c>
      <c r="G1201" s="200" t="s">
        <v>522</v>
      </c>
      <c r="H1201" s="200" t="s">
        <v>1213</v>
      </c>
    </row>
    <row r="1202" spans="1:8" ht="15" customHeight="1">
      <c r="A1202" s="199">
        <v>45687</v>
      </c>
      <c r="B1202" s="202" t="s">
        <v>1266</v>
      </c>
      <c r="C1202" s="200" t="s">
        <v>136</v>
      </c>
      <c r="D1202" s="668">
        <v>-1107054.6666666667</v>
      </c>
      <c r="E1202" s="201">
        <v>45658</v>
      </c>
      <c r="F1202" s="200" t="s">
        <v>296</v>
      </c>
      <c r="G1202" s="200" t="s">
        <v>522</v>
      </c>
      <c r="H1202" s="200" t="s">
        <v>1213</v>
      </c>
    </row>
    <row r="1203" spans="1:8" ht="15" customHeight="1">
      <c r="A1203" s="199">
        <v>45687</v>
      </c>
      <c r="B1203" s="202" t="s">
        <v>1267</v>
      </c>
      <c r="C1203" s="200" t="s">
        <v>136</v>
      </c>
      <c r="D1203" s="668">
        <v>-704489.33333333337</v>
      </c>
      <c r="E1203" s="201">
        <v>45658</v>
      </c>
      <c r="F1203" s="200" t="s">
        <v>296</v>
      </c>
      <c r="G1203" s="200" t="s">
        <v>522</v>
      </c>
      <c r="H1203" s="200" t="s">
        <v>1213</v>
      </c>
    </row>
    <row r="1204" spans="1:8" ht="15" customHeight="1">
      <c r="A1204" s="199">
        <v>45687</v>
      </c>
      <c r="B1204" s="202" t="s">
        <v>1268</v>
      </c>
      <c r="C1204" s="200" t="s">
        <v>136</v>
      </c>
      <c r="D1204" s="668">
        <v>-704489.33333333337</v>
      </c>
      <c r="E1204" s="201">
        <v>45658</v>
      </c>
      <c r="F1204" s="200" t="s">
        <v>296</v>
      </c>
      <c r="G1204" s="200" t="s">
        <v>522</v>
      </c>
      <c r="H1204" s="200" t="s">
        <v>1213</v>
      </c>
    </row>
    <row r="1205" spans="1:8" ht="15" customHeight="1">
      <c r="A1205" s="199">
        <v>45687</v>
      </c>
      <c r="B1205" s="202" t="s">
        <v>1269</v>
      </c>
      <c r="C1205" s="200" t="s">
        <v>136</v>
      </c>
      <c r="D1205" s="668">
        <v>-704489.33333333337</v>
      </c>
      <c r="E1205" s="201">
        <v>45658</v>
      </c>
      <c r="F1205" s="200" t="s">
        <v>296</v>
      </c>
      <c r="G1205" s="200" t="s">
        <v>522</v>
      </c>
      <c r="H1205" s="200" t="s">
        <v>1213</v>
      </c>
    </row>
    <row r="1206" spans="1:8" ht="15" customHeight="1">
      <c r="A1206" s="199">
        <v>45687</v>
      </c>
      <c r="B1206" s="202" t="s">
        <v>1270</v>
      </c>
      <c r="C1206" s="200" t="s">
        <v>136</v>
      </c>
      <c r="D1206" s="668">
        <v>-704489.33333333337</v>
      </c>
      <c r="E1206" s="201">
        <v>45658</v>
      </c>
      <c r="F1206" s="200" t="s">
        <v>296</v>
      </c>
      <c r="G1206" s="200" t="s">
        <v>522</v>
      </c>
      <c r="H1206" s="200" t="s">
        <v>1213</v>
      </c>
    </row>
    <row r="1207" spans="1:8" ht="15" customHeight="1">
      <c r="A1207" s="199">
        <v>45687</v>
      </c>
      <c r="B1207" s="202" t="s">
        <v>1271</v>
      </c>
      <c r="C1207" s="200" t="s">
        <v>136</v>
      </c>
      <c r="D1207" s="668">
        <v>-704489.33333333337</v>
      </c>
      <c r="E1207" s="201">
        <v>45658</v>
      </c>
      <c r="F1207" s="200" t="s">
        <v>296</v>
      </c>
      <c r="G1207" s="200" t="s">
        <v>522</v>
      </c>
      <c r="H1207" s="200" t="s">
        <v>1213</v>
      </c>
    </row>
    <row r="1208" spans="1:8" ht="15" customHeight="1">
      <c r="A1208" s="199">
        <v>45687</v>
      </c>
      <c r="B1208" s="202" t="s">
        <v>1272</v>
      </c>
      <c r="C1208" s="200" t="s">
        <v>136</v>
      </c>
      <c r="D1208" s="668">
        <v>-704489.33333333337</v>
      </c>
      <c r="E1208" s="201">
        <v>45658</v>
      </c>
      <c r="F1208" s="200" t="s">
        <v>296</v>
      </c>
      <c r="G1208" s="200" t="s">
        <v>522</v>
      </c>
      <c r="H1208" s="200" t="s">
        <v>1213</v>
      </c>
    </row>
    <row r="1209" spans="1:8" ht="15" customHeight="1">
      <c r="A1209" s="199">
        <v>45687</v>
      </c>
      <c r="B1209" s="202" t="s">
        <v>1273</v>
      </c>
      <c r="C1209" s="200" t="s">
        <v>136</v>
      </c>
      <c r="D1209" s="668">
        <v>-704489.33333333337</v>
      </c>
      <c r="E1209" s="201">
        <v>45658</v>
      </c>
      <c r="F1209" s="200" t="s">
        <v>296</v>
      </c>
      <c r="G1209" s="200" t="s">
        <v>522</v>
      </c>
      <c r="H1209" s="200" t="s">
        <v>1213</v>
      </c>
    </row>
    <row r="1210" spans="1:8" ht="15" customHeight="1">
      <c r="A1210" s="199">
        <v>45687</v>
      </c>
      <c r="B1210" s="202" t="s">
        <v>1274</v>
      </c>
      <c r="C1210" s="200" t="s">
        <v>136</v>
      </c>
      <c r="D1210" s="668">
        <v>-704489.33333333337</v>
      </c>
      <c r="E1210" s="201">
        <v>45658</v>
      </c>
      <c r="F1210" s="200" t="s">
        <v>296</v>
      </c>
      <c r="G1210" s="200" t="s">
        <v>522</v>
      </c>
      <c r="H1210" s="200" t="s">
        <v>1213</v>
      </c>
    </row>
    <row r="1211" spans="1:8" ht="15" customHeight="1">
      <c r="A1211" s="199">
        <v>45687</v>
      </c>
      <c r="B1211" s="202" t="s">
        <v>1275</v>
      </c>
      <c r="C1211" s="200" t="s">
        <v>136</v>
      </c>
      <c r="D1211" s="668">
        <v>-704489.33333333337</v>
      </c>
      <c r="E1211" s="201">
        <v>45658</v>
      </c>
      <c r="F1211" s="200" t="s">
        <v>296</v>
      </c>
      <c r="G1211" s="200" t="s">
        <v>522</v>
      </c>
      <c r="H1211" s="200" t="s">
        <v>1213</v>
      </c>
    </row>
    <row r="1212" spans="1:8" ht="15" customHeight="1">
      <c r="A1212" s="199">
        <v>45687</v>
      </c>
      <c r="B1212" s="202" t="s">
        <v>1276</v>
      </c>
      <c r="C1212" s="200" t="s">
        <v>136</v>
      </c>
      <c r="D1212" s="668">
        <v>-1226082</v>
      </c>
      <c r="E1212" s="201">
        <v>45658</v>
      </c>
      <c r="F1212" s="200" t="s">
        <v>296</v>
      </c>
      <c r="G1212" s="200" t="s">
        <v>44</v>
      </c>
      <c r="H1212" s="200" t="s">
        <v>429</v>
      </c>
    </row>
    <row r="1213" spans="1:8" ht="15" customHeight="1">
      <c r="A1213" s="199">
        <v>45687</v>
      </c>
      <c r="B1213" s="202" t="s">
        <v>1277</v>
      </c>
      <c r="C1213" s="200" t="s">
        <v>136</v>
      </c>
      <c r="D1213" s="668">
        <v>-901843</v>
      </c>
      <c r="E1213" s="201">
        <v>45658</v>
      </c>
      <c r="F1213" s="200" t="s">
        <v>296</v>
      </c>
      <c r="G1213" s="200" t="s">
        <v>44</v>
      </c>
      <c r="H1213" s="200" t="s">
        <v>429</v>
      </c>
    </row>
    <row r="1214" spans="1:8" ht="15" customHeight="1">
      <c r="A1214" s="199">
        <v>45687</v>
      </c>
      <c r="B1214" s="202" t="s">
        <v>1278</v>
      </c>
      <c r="C1214" s="200" t="s">
        <v>136</v>
      </c>
      <c r="D1214" s="668">
        <v>-754666.66666666663</v>
      </c>
      <c r="E1214" s="201">
        <v>45658</v>
      </c>
      <c r="F1214" s="200" t="s">
        <v>296</v>
      </c>
      <c r="G1214" s="200" t="s">
        <v>44</v>
      </c>
      <c r="H1214" s="200" t="s">
        <v>429</v>
      </c>
    </row>
    <row r="1215" spans="1:8" ht="15" customHeight="1">
      <c r="A1215" s="199">
        <v>45687</v>
      </c>
      <c r="B1215" s="202" t="s">
        <v>1279</v>
      </c>
      <c r="C1215" s="200" t="s">
        <v>136</v>
      </c>
      <c r="D1215" s="668">
        <v>-845047</v>
      </c>
      <c r="E1215" s="201">
        <v>45658</v>
      </c>
      <c r="F1215" s="200" t="s">
        <v>296</v>
      </c>
      <c r="G1215" s="200" t="s">
        <v>44</v>
      </c>
      <c r="H1215" s="200" t="s">
        <v>429</v>
      </c>
    </row>
    <row r="1216" spans="1:8" ht="15" customHeight="1">
      <c r="A1216" s="199">
        <v>45687</v>
      </c>
      <c r="B1216" s="202" t="s">
        <v>1280</v>
      </c>
      <c r="C1216" s="200" t="s">
        <v>136</v>
      </c>
      <c r="D1216" s="668">
        <v>-775625</v>
      </c>
      <c r="E1216" s="201">
        <v>45658</v>
      </c>
      <c r="F1216" s="200" t="s">
        <v>296</v>
      </c>
      <c r="G1216" s="200" t="s">
        <v>44</v>
      </c>
      <c r="H1216" s="200" t="s">
        <v>429</v>
      </c>
    </row>
    <row r="1217" spans="1:8" ht="15" customHeight="1">
      <c r="A1217" s="199">
        <v>45687</v>
      </c>
      <c r="B1217" s="202" t="s">
        <v>1281</v>
      </c>
      <c r="C1217" s="200" t="s">
        <v>136</v>
      </c>
      <c r="D1217" s="668">
        <v>-765293</v>
      </c>
      <c r="E1217" s="201">
        <v>45658</v>
      </c>
      <c r="F1217" s="200" t="s">
        <v>296</v>
      </c>
      <c r="G1217" s="200" t="s">
        <v>44</v>
      </c>
      <c r="H1217" s="200" t="s">
        <v>429</v>
      </c>
    </row>
    <row r="1218" spans="1:8" ht="15" customHeight="1">
      <c r="A1218" s="199">
        <v>45687</v>
      </c>
      <c r="B1218" s="202" t="s">
        <v>1282</v>
      </c>
      <c r="C1218" s="200" t="s">
        <v>136</v>
      </c>
      <c r="D1218" s="668">
        <v>-765293</v>
      </c>
      <c r="E1218" s="201">
        <v>45658</v>
      </c>
      <c r="F1218" s="200" t="s">
        <v>296</v>
      </c>
      <c r="G1218" s="200" t="s">
        <v>44</v>
      </c>
      <c r="H1218" s="200" t="s">
        <v>429</v>
      </c>
    </row>
    <row r="1219" spans="1:8" ht="15" customHeight="1">
      <c r="A1219" s="199">
        <v>45687</v>
      </c>
      <c r="B1219" s="202" t="s">
        <v>1283</v>
      </c>
      <c r="C1219" s="200" t="s">
        <v>136</v>
      </c>
      <c r="D1219" s="668">
        <v>-754810</v>
      </c>
      <c r="E1219" s="201">
        <v>45658</v>
      </c>
      <c r="F1219" s="200" t="s">
        <v>296</v>
      </c>
      <c r="G1219" s="200" t="s">
        <v>44</v>
      </c>
      <c r="H1219" s="200" t="s">
        <v>429</v>
      </c>
    </row>
    <row r="1220" spans="1:8" ht="15" customHeight="1">
      <c r="A1220" s="199">
        <v>45687</v>
      </c>
      <c r="B1220" s="202" t="s">
        <v>1284</v>
      </c>
      <c r="C1220" s="200" t="s">
        <v>136</v>
      </c>
      <c r="D1220" s="668">
        <v>-754810</v>
      </c>
      <c r="E1220" s="201">
        <v>45658</v>
      </c>
      <c r="F1220" s="200" t="s">
        <v>296</v>
      </c>
      <c r="G1220" s="200" t="s">
        <v>44</v>
      </c>
      <c r="H1220" s="200" t="s">
        <v>429</v>
      </c>
    </row>
    <row r="1221" spans="1:8" ht="15" customHeight="1">
      <c r="A1221" s="199">
        <v>45687</v>
      </c>
      <c r="B1221" s="202" t="s">
        <v>1285</v>
      </c>
      <c r="C1221" s="200" t="s">
        <v>136</v>
      </c>
      <c r="D1221" s="668">
        <v>-754810</v>
      </c>
      <c r="E1221" s="201">
        <v>45658</v>
      </c>
      <c r="F1221" s="200" t="s">
        <v>296</v>
      </c>
      <c r="G1221" s="200" t="s">
        <v>44</v>
      </c>
      <c r="H1221" s="200" t="s">
        <v>429</v>
      </c>
    </row>
    <row r="1222" spans="1:8" ht="15" customHeight="1">
      <c r="A1222" s="199">
        <v>45687</v>
      </c>
      <c r="B1222" s="202" t="s">
        <v>1286</v>
      </c>
      <c r="C1222" s="200" t="s">
        <v>136</v>
      </c>
      <c r="D1222" s="668">
        <v>-754810</v>
      </c>
      <c r="E1222" s="201">
        <v>45658</v>
      </c>
      <c r="F1222" s="200" t="s">
        <v>296</v>
      </c>
      <c r="G1222" s="200" t="s">
        <v>44</v>
      </c>
      <c r="H1222" s="200" t="s">
        <v>429</v>
      </c>
    </row>
    <row r="1223" spans="1:8" ht="15" customHeight="1">
      <c r="A1223" s="199">
        <v>45687</v>
      </c>
      <c r="B1223" s="202" t="s">
        <v>1287</v>
      </c>
      <c r="C1223" s="200" t="s">
        <v>136</v>
      </c>
      <c r="D1223" s="668">
        <v>-754810</v>
      </c>
      <c r="E1223" s="201">
        <v>45658</v>
      </c>
      <c r="F1223" s="200" t="s">
        <v>296</v>
      </c>
      <c r="G1223" s="200" t="s">
        <v>44</v>
      </c>
      <c r="H1223" s="200" t="s">
        <v>429</v>
      </c>
    </row>
    <row r="1224" spans="1:8" ht="15" customHeight="1">
      <c r="A1224" s="199">
        <v>45687</v>
      </c>
      <c r="B1224" s="202" t="s">
        <v>1288</v>
      </c>
      <c r="C1224" s="200" t="s">
        <v>136</v>
      </c>
      <c r="D1224" s="668">
        <v>-754810</v>
      </c>
      <c r="E1224" s="201">
        <v>45658</v>
      </c>
      <c r="F1224" s="200" t="s">
        <v>296</v>
      </c>
      <c r="G1224" s="200" t="s">
        <v>44</v>
      </c>
      <c r="H1224" s="200" t="s">
        <v>429</v>
      </c>
    </row>
    <row r="1225" spans="1:8" ht="15" customHeight="1">
      <c r="A1225" s="199">
        <v>45687</v>
      </c>
      <c r="B1225" s="202" t="s">
        <v>1289</v>
      </c>
      <c r="C1225" s="200" t="s">
        <v>136</v>
      </c>
      <c r="D1225" s="668">
        <v>-754810</v>
      </c>
      <c r="E1225" s="201">
        <v>45658</v>
      </c>
      <c r="F1225" s="200" t="s">
        <v>296</v>
      </c>
      <c r="G1225" s="200" t="s">
        <v>44</v>
      </c>
      <c r="H1225" s="200" t="s">
        <v>429</v>
      </c>
    </row>
    <row r="1226" spans="1:8" ht="15" customHeight="1">
      <c r="A1226" s="199">
        <v>45687</v>
      </c>
      <c r="B1226" s="202" t="s">
        <v>1290</v>
      </c>
      <c r="C1226" s="200" t="s">
        <v>136</v>
      </c>
      <c r="D1226" s="668">
        <v>-754810</v>
      </c>
      <c r="E1226" s="201">
        <v>45658</v>
      </c>
      <c r="F1226" s="200" t="s">
        <v>296</v>
      </c>
      <c r="G1226" s="200" t="s">
        <v>44</v>
      </c>
      <c r="H1226" s="200" t="s">
        <v>429</v>
      </c>
    </row>
    <row r="1227" spans="1:8" ht="15" customHeight="1">
      <c r="A1227" s="199">
        <v>45687</v>
      </c>
      <c r="B1227" s="202" t="s">
        <v>1291</v>
      </c>
      <c r="C1227" s="200" t="s">
        <v>136</v>
      </c>
      <c r="D1227" s="668">
        <v>-754810</v>
      </c>
      <c r="E1227" s="201">
        <v>45658</v>
      </c>
      <c r="F1227" s="200" t="s">
        <v>296</v>
      </c>
      <c r="G1227" s="200" t="s">
        <v>44</v>
      </c>
      <c r="H1227" s="200" t="s">
        <v>429</v>
      </c>
    </row>
    <row r="1228" spans="1:8" ht="15" customHeight="1">
      <c r="A1228" s="199">
        <v>45687</v>
      </c>
      <c r="B1228" s="202" t="s">
        <v>1292</v>
      </c>
      <c r="C1228" s="200" t="s">
        <v>136</v>
      </c>
      <c r="D1228" s="668">
        <v>-754810</v>
      </c>
      <c r="E1228" s="201">
        <v>45658</v>
      </c>
      <c r="F1228" s="200" t="s">
        <v>296</v>
      </c>
      <c r="G1228" s="200" t="s">
        <v>44</v>
      </c>
      <c r="H1228" s="200" t="s">
        <v>429</v>
      </c>
    </row>
    <row r="1229" spans="1:8" ht="15" customHeight="1">
      <c r="A1229" s="199">
        <v>45687</v>
      </c>
      <c r="B1229" s="202" t="s">
        <v>1293</v>
      </c>
      <c r="C1229" s="200" t="s">
        <v>136</v>
      </c>
      <c r="D1229" s="668">
        <v>-994933.33333333326</v>
      </c>
      <c r="E1229" s="201">
        <v>45658</v>
      </c>
      <c r="F1229" s="200" t="s">
        <v>296</v>
      </c>
      <c r="G1229" s="200" t="s">
        <v>44</v>
      </c>
      <c r="H1229" s="200" t="s">
        <v>429</v>
      </c>
    </row>
    <row r="1230" spans="1:8" ht="15" customHeight="1">
      <c r="A1230" s="199">
        <v>45687</v>
      </c>
      <c r="B1230" s="202" t="s">
        <v>1294</v>
      </c>
      <c r="C1230" s="200" t="s">
        <v>136</v>
      </c>
      <c r="D1230" s="668">
        <v>-704489.33333333337</v>
      </c>
      <c r="E1230" s="201">
        <v>45658</v>
      </c>
      <c r="F1230" s="200" t="s">
        <v>296</v>
      </c>
      <c r="G1230" s="200" t="s">
        <v>44</v>
      </c>
      <c r="H1230" s="200" t="s">
        <v>429</v>
      </c>
    </row>
    <row r="1231" spans="1:8" ht="15" customHeight="1">
      <c r="A1231" s="199">
        <v>45687</v>
      </c>
      <c r="B1231" s="202" t="s">
        <v>1295</v>
      </c>
      <c r="C1231" s="200" t="s">
        <v>136</v>
      </c>
      <c r="D1231" s="668">
        <v>-704489.33333333337</v>
      </c>
      <c r="E1231" s="201">
        <v>45658</v>
      </c>
      <c r="F1231" s="200" t="s">
        <v>296</v>
      </c>
      <c r="G1231" s="200" t="s">
        <v>44</v>
      </c>
      <c r="H1231" s="200" t="s">
        <v>429</v>
      </c>
    </row>
    <row r="1232" spans="1:8" ht="15" customHeight="1">
      <c r="A1232" s="199">
        <v>45687</v>
      </c>
      <c r="B1232" s="202" t="s">
        <v>1296</v>
      </c>
      <c r="C1232" s="200" t="s">
        <v>136</v>
      </c>
      <c r="D1232" s="668">
        <v>-704489.33333333337</v>
      </c>
      <c r="E1232" s="201">
        <v>45658</v>
      </c>
      <c r="F1232" s="200" t="s">
        <v>296</v>
      </c>
      <c r="G1232" s="200" t="s">
        <v>44</v>
      </c>
      <c r="H1232" s="200" t="s">
        <v>429</v>
      </c>
    </row>
    <row r="1233" spans="1:8" ht="15" customHeight="1">
      <c r="A1233" s="199">
        <v>45687</v>
      </c>
      <c r="B1233" s="202" t="s">
        <v>1297</v>
      </c>
      <c r="C1233" s="200" t="s">
        <v>136</v>
      </c>
      <c r="D1233" s="668">
        <v>-704489.33333333337</v>
      </c>
      <c r="E1233" s="201">
        <v>45658</v>
      </c>
      <c r="F1233" s="200" t="s">
        <v>296</v>
      </c>
      <c r="G1233" s="200" t="s">
        <v>44</v>
      </c>
      <c r="H1233" s="200" t="s">
        <v>429</v>
      </c>
    </row>
    <row r="1234" spans="1:8" ht="15" customHeight="1">
      <c r="A1234" s="199">
        <v>45687</v>
      </c>
      <c r="B1234" s="202" t="s">
        <v>1298</v>
      </c>
      <c r="C1234" s="200" t="s">
        <v>136</v>
      </c>
      <c r="D1234" s="668">
        <v>-504013</v>
      </c>
      <c r="E1234" s="201">
        <v>45658</v>
      </c>
      <c r="F1234" s="200" t="s">
        <v>296</v>
      </c>
      <c r="G1234" s="200" t="s">
        <v>522</v>
      </c>
      <c r="H1234" s="200" t="s">
        <v>1213</v>
      </c>
    </row>
    <row r="1235" spans="1:8" ht="15" customHeight="1">
      <c r="A1235" s="199">
        <v>45687</v>
      </c>
      <c r="B1235" s="202" t="s">
        <v>1298</v>
      </c>
      <c r="C1235" s="200" t="s">
        <v>136</v>
      </c>
      <c r="D1235" s="668">
        <v>-504013</v>
      </c>
      <c r="E1235" s="201">
        <v>45658</v>
      </c>
      <c r="F1235" s="200" t="s">
        <v>296</v>
      </c>
      <c r="G1235" s="200" t="s">
        <v>337</v>
      </c>
      <c r="H1235" s="200" t="s">
        <v>429</v>
      </c>
    </row>
    <row r="1236" spans="1:8" ht="15" customHeight="1">
      <c r="A1236" s="199">
        <v>45687</v>
      </c>
      <c r="B1236" s="202" t="s">
        <v>1298</v>
      </c>
      <c r="C1236" s="200" t="s">
        <v>136</v>
      </c>
      <c r="D1236" s="668">
        <v>-504013</v>
      </c>
      <c r="E1236" s="201">
        <v>45658</v>
      </c>
      <c r="F1236" s="200" t="s">
        <v>296</v>
      </c>
      <c r="G1236" s="200" t="s">
        <v>44</v>
      </c>
      <c r="H1236" s="200" t="s">
        <v>429</v>
      </c>
    </row>
    <row r="1237" spans="1:8" ht="15" customHeight="1">
      <c r="A1237" s="199">
        <v>45687</v>
      </c>
      <c r="B1237" s="202" t="s">
        <v>1299</v>
      </c>
      <c r="C1237" s="200" t="s">
        <v>136</v>
      </c>
      <c r="D1237" s="668">
        <v>-3216508.33</v>
      </c>
      <c r="E1237" s="201">
        <v>45658</v>
      </c>
      <c r="F1237" s="200" t="s">
        <v>296</v>
      </c>
      <c r="G1237" s="200" t="s">
        <v>44</v>
      </c>
      <c r="H1237" s="200" t="s">
        <v>338</v>
      </c>
    </row>
    <row r="1238" spans="1:8" ht="15" customHeight="1">
      <c r="A1238" s="199">
        <v>45687</v>
      </c>
      <c r="B1238" s="202" t="s">
        <v>1300</v>
      </c>
      <c r="C1238" s="200" t="s">
        <v>136</v>
      </c>
      <c r="D1238" s="668">
        <v>-3103920</v>
      </c>
      <c r="E1238" s="201">
        <v>45658</v>
      </c>
      <c r="F1238" s="200" t="s">
        <v>296</v>
      </c>
      <c r="G1238" s="200" t="s">
        <v>337</v>
      </c>
      <c r="H1238" s="200" t="s">
        <v>338</v>
      </c>
    </row>
    <row r="1239" spans="1:8" ht="15" customHeight="1">
      <c r="A1239" s="199">
        <v>45687</v>
      </c>
      <c r="B1239" s="202" t="s">
        <v>1301</v>
      </c>
      <c r="C1239" s="200" t="s">
        <v>136</v>
      </c>
      <c r="D1239" s="668">
        <v>-878778</v>
      </c>
      <c r="E1239" s="201">
        <v>45658</v>
      </c>
      <c r="F1239" s="200" t="s">
        <v>296</v>
      </c>
      <c r="G1239" s="200" t="s">
        <v>341</v>
      </c>
      <c r="H1239" s="200" t="s">
        <v>342</v>
      </c>
    </row>
    <row r="1240" spans="1:8" ht="15" customHeight="1">
      <c r="A1240" s="199">
        <v>45687</v>
      </c>
      <c r="B1240" s="202" t="s">
        <v>1302</v>
      </c>
      <c r="C1240" s="200" t="s">
        <v>136</v>
      </c>
      <c r="D1240" s="668">
        <v>-878778</v>
      </c>
      <c r="E1240" s="201">
        <v>45658</v>
      </c>
      <c r="F1240" s="200" t="s">
        <v>296</v>
      </c>
      <c r="G1240" s="200" t="s">
        <v>341</v>
      </c>
      <c r="H1240" s="200" t="s">
        <v>342</v>
      </c>
    </row>
    <row r="1241" spans="1:8" ht="15" customHeight="1">
      <c r="A1241" s="199">
        <v>45687</v>
      </c>
      <c r="B1241" s="202" t="s">
        <v>1303</v>
      </c>
      <c r="C1241" s="200" t="s">
        <v>136</v>
      </c>
      <c r="D1241" s="668">
        <v>-1347928.5</v>
      </c>
      <c r="E1241" s="201">
        <v>45658</v>
      </c>
      <c r="F1241" s="200" t="s">
        <v>296</v>
      </c>
      <c r="G1241" s="200" t="s">
        <v>341</v>
      </c>
      <c r="H1241" s="200" t="s">
        <v>342</v>
      </c>
    </row>
    <row r="1242" spans="1:8" ht="15" customHeight="1">
      <c r="A1242" s="199">
        <v>45687</v>
      </c>
      <c r="B1242" s="202" t="s">
        <v>1304</v>
      </c>
      <c r="C1242" s="200" t="s">
        <v>136</v>
      </c>
      <c r="D1242" s="668">
        <v>-801596</v>
      </c>
      <c r="E1242" s="201">
        <v>45658</v>
      </c>
      <c r="F1242" s="200" t="s">
        <v>296</v>
      </c>
      <c r="G1242" s="200" t="s">
        <v>341</v>
      </c>
      <c r="H1242" s="200" t="s">
        <v>342</v>
      </c>
    </row>
    <row r="1243" spans="1:8" ht="15" customHeight="1">
      <c r="A1243" s="199">
        <v>45687</v>
      </c>
      <c r="B1243" s="202" t="s">
        <v>1305</v>
      </c>
      <c r="C1243" s="200" t="s">
        <v>136</v>
      </c>
      <c r="D1243" s="668">
        <v>-3457560</v>
      </c>
      <c r="E1243" s="201">
        <v>45658</v>
      </c>
      <c r="F1243" s="200" t="s">
        <v>256</v>
      </c>
      <c r="G1243" s="200" t="s">
        <v>107</v>
      </c>
      <c r="H1243" s="200" t="s">
        <v>923</v>
      </c>
    </row>
    <row r="1244" spans="1:8" ht="15" customHeight="1">
      <c r="A1244" s="199">
        <v>45687</v>
      </c>
      <c r="B1244" s="202" t="s">
        <v>1306</v>
      </c>
      <c r="C1244" s="200" t="s">
        <v>136</v>
      </c>
      <c r="D1244" s="668">
        <v>-4530480</v>
      </c>
      <c r="E1244" s="201">
        <v>45658</v>
      </c>
      <c r="F1244" s="200" t="s">
        <v>296</v>
      </c>
      <c r="G1244" s="200" t="s">
        <v>453</v>
      </c>
      <c r="H1244" s="200" t="s">
        <v>923</v>
      </c>
    </row>
    <row r="1245" spans="1:8" ht="15" customHeight="1">
      <c r="A1245" s="199">
        <v>45687</v>
      </c>
      <c r="B1245" s="202" t="s">
        <v>1307</v>
      </c>
      <c r="C1245" s="200" t="s">
        <v>136</v>
      </c>
      <c r="D1245" s="668">
        <v>-2827920</v>
      </c>
      <c r="E1245" s="201">
        <v>45658</v>
      </c>
      <c r="F1245" s="200" t="s">
        <v>296</v>
      </c>
      <c r="G1245" s="200" t="s">
        <v>453</v>
      </c>
      <c r="H1245" s="200" t="s">
        <v>923</v>
      </c>
    </row>
    <row r="1246" spans="1:8" ht="15" customHeight="1">
      <c r="A1246" s="199">
        <v>45687</v>
      </c>
      <c r="B1246" s="202" t="s">
        <v>1308</v>
      </c>
      <c r="C1246" s="200" t="s">
        <v>136</v>
      </c>
      <c r="D1246" s="668">
        <v>-3485183</v>
      </c>
      <c r="E1246" s="201">
        <v>45658</v>
      </c>
      <c r="F1246" s="200" t="s">
        <v>296</v>
      </c>
      <c r="G1246" s="200" t="s">
        <v>453</v>
      </c>
      <c r="H1246" s="200" t="s">
        <v>923</v>
      </c>
    </row>
    <row r="1247" spans="1:8" ht="15" customHeight="1">
      <c r="A1247" s="199">
        <v>45687</v>
      </c>
      <c r="B1247" s="202" t="s">
        <v>1309</v>
      </c>
      <c r="C1247" s="200" t="s">
        <v>136</v>
      </c>
      <c r="D1247" s="668">
        <v>-1538068.85</v>
      </c>
      <c r="E1247" s="201">
        <v>45658</v>
      </c>
      <c r="F1247" s="200" t="s">
        <v>256</v>
      </c>
      <c r="G1247" s="200" t="s">
        <v>107</v>
      </c>
      <c r="H1247" s="200" t="s">
        <v>121</v>
      </c>
    </row>
    <row r="1248" spans="1:8" ht="15" customHeight="1">
      <c r="A1248" s="199">
        <v>45687</v>
      </c>
      <c r="B1248" s="202" t="s">
        <v>1310</v>
      </c>
      <c r="C1248" s="200" t="s">
        <v>136</v>
      </c>
      <c r="D1248" s="668">
        <v>-388682</v>
      </c>
      <c r="E1248" s="201">
        <v>45658</v>
      </c>
      <c r="F1248" s="200" t="s">
        <v>296</v>
      </c>
      <c r="G1248" s="200" t="s">
        <v>1311</v>
      </c>
      <c r="H1248" s="200" t="s">
        <v>342</v>
      </c>
    </row>
    <row r="1249" spans="1:8" ht="15" customHeight="1">
      <c r="A1249" s="199">
        <v>45687</v>
      </c>
      <c r="B1249" s="202" t="s">
        <v>1312</v>
      </c>
      <c r="C1249" s="200" t="s">
        <v>136</v>
      </c>
      <c r="D1249" s="668">
        <v>-795801</v>
      </c>
      <c r="E1249" s="201">
        <v>45658</v>
      </c>
      <c r="F1249" s="200" t="s">
        <v>297</v>
      </c>
      <c r="G1249" s="200" t="s">
        <v>1313</v>
      </c>
      <c r="H1249" s="200" t="s">
        <v>342</v>
      </c>
    </row>
    <row r="1250" spans="1:8" ht="15" customHeight="1">
      <c r="A1250" s="199">
        <v>45687</v>
      </c>
      <c r="B1250" s="202" t="s">
        <v>1314</v>
      </c>
      <c r="C1250" s="200" t="s">
        <v>136</v>
      </c>
      <c r="D1250" s="668">
        <v>-313166</v>
      </c>
      <c r="E1250" s="201">
        <v>45658</v>
      </c>
      <c r="F1250" s="200" t="s">
        <v>296</v>
      </c>
      <c r="G1250" s="200" t="s">
        <v>984</v>
      </c>
      <c r="H1250" s="200" t="s">
        <v>342</v>
      </c>
    </row>
    <row r="1251" spans="1:8" ht="15" customHeight="1">
      <c r="A1251" s="199">
        <v>45687</v>
      </c>
      <c r="B1251" s="202" t="s">
        <v>1315</v>
      </c>
      <c r="C1251" s="200" t="s">
        <v>136</v>
      </c>
      <c r="D1251" s="668">
        <v>-4922124.4000000004</v>
      </c>
      <c r="E1251" s="201">
        <v>45658</v>
      </c>
      <c r="F1251" s="200" t="s">
        <v>256</v>
      </c>
      <c r="G1251" s="200" t="s">
        <v>107</v>
      </c>
      <c r="H1251" s="200" t="s">
        <v>121</v>
      </c>
    </row>
    <row r="1252" spans="1:8" ht="15" customHeight="1">
      <c r="A1252" s="199">
        <v>45687</v>
      </c>
      <c r="B1252" s="202" t="s">
        <v>1316</v>
      </c>
      <c r="C1252" s="200" t="s">
        <v>136</v>
      </c>
      <c r="D1252" s="668">
        <v>-2211497.333333333</v>
      </c>
      <c r="E1252" s="201">
        <v>45658</v>
      </c>
      <c r="F1252" s="200" t="s">
        <v>256</v>
      </c>
      <c r="G1252" s="200" t="s">
        <v>107</v>
      </c>
      <c r="H1252" s="200" t="s">
        <v>121</v>
      </c>
    </row>
    <row r="1253" spans="1:8" ht="15" customHeight="1">
      <c r="A1253" s="199">
        <v>45687</v>
      </c>
      <c r="B1253" s="202" t="s">
        <v>1317</v>
      </c>
      <c r="C1253" s="200" t="s">
        <v>136</v>
      </c>
      <c r="D1253" s="668">
        <v>-2771480</v>
      </c>
      <c r="E1253" s="201">
        <v>45658</v>
      </c>
      <c r="F1253" s="200" t="s">
        <v>256</v>
      </c>
      <c r="G1253" s="200" t="s">
        <v>107</v>
      </c>
      <c r="H1253" s="200" t="s">
        <v>121</v>
      </c>
    </row>
    <row r="1254" spans="1:8" ht="15" customHeight="1">
      <c r="A1254" s="199">
        <v>45687</v>
      </c>
      <c r="B1254" s="202" t="s">
        <v>1318</v>
      </c>
      <c r="C1254" s="200" t="s">
        <v>136</v>
      </c>
      <c r="D1254" s="668">
        <v>-1330769</v>
      </c>
      <c r="E1254" s="201">
        <v>45658</v>
      </c>
      <c r="F1254" s="200" t="s">
        <v>296</v>
      </c>
      <c r="G1254" s="200" t="s">
        <v>482</v>
      </c>
      <c r="H1254" s="200" t="s">
        <v>342</v>
      </c>
    </row>
    <row r="1255" spans="1:8" ht="15" customHeight="1">
      <c r="A1255" s="199">
        <v>45687</v>
      </c>
      <c r="B1255" s="202" t="s">
        <v>1319</v>
      </c>
      <c r="C1255" s="200" t="s">
        <v>136</v>
      </c>
      <c r="D1255" s="668">
        <v>-917476.67</v>
      </c>
      <c r="E1255" s="201">
        <v>45658</v>
      </c>
      <c r="F1255" s="200" t="s">
        <v>296</v>
      </c>
      <c r="G1255" s="200" t="s">
        <v>482</v>
      </c>
      <c r="H1255" s="200" t="s">
        <v>342</v>
      </c>
    </row>
    <row r="1256" spans="1:8" ht="15" customHeight="1">
      <c r="A1256" s="199">
        <v>45687</v>
      </c>
      <c r="B1256" s="202" t="s">
        <v>1320</v>
      </c>
      <c r="C1256" s="200" t="s">
        <v>136</v>
      </c>
      <c r="D1256" s="668">
        <v>-1464057</v>
      </c>
      <c r="E1256" s="201">
        <v>45658</v>
      </c>
      <c r="F1256" s="200" t="s">
        <v>296</v>
      </c>
      <c r="G1256" s="200" t="s">
        <v>328</v>
      </c>
      <c r="H1256" s="200" t="s">
        <v>342</v>
      </c>
    </row>
    <row r="1257" spans="1:8" ht="15" customHeight="1">
      <c r="A1257" s="199">
        <v>45687</v>
      </c>
      <c r="B1257" s="202" t="s">
        <v>1321</v>
      </c>
      <c r="C1257" s="200" t="s">
        <v>136</v>
      </c>
      <c r="D1257" s="668">
        <v>-1013386</v>
      </c>
      <c r="E1257" s="201">
        <v>45658</v>
      </c>
      <c r="F1257" s="200" t="s">
        <v>296</v>
      </c>
      <c r="G1257" s="200" t="s">
        <v>328</v>
      </c>
      <c r="H1257" s="200" t="s">
        <v>342</v>
      </c>
    </row>
    <row r="1258" spans="1:8" ht="15" customHeight="1">
      <c r="A1258" s="199">
        <v>45687</v>
      </c>
      <c r="B1258" s="202" t="s">
        <v>1322</v>
      </c>
      <c r="C1258" s="200" t="s">
        <v>136</v>
      </c>
      <c r="D1258" s="668">
        <v>-903079</v>
      </c>
      <c r="E1258" s="201">
        <v>45658</v>
      </c>
      <c r="F1258" s="200" t="s">
        <v>296</v>
      </c>
      <c r="G1258" s="531" t="s">
        <v>392</v>
      </c>
      <c r="H1258" s="200" t="s">
        <v>342</v>
      </c>
    </row>
    <row r="1259" spans="1:8" ht="15" customHeight="1">
      <c r="A1259" s="199">
        <v>45687</v>
      </c>
      <c r="B1259" s="202" t="s">
        <v>1323</v>
      </c>
      <c r="C1259" s="200" t="s">
        <v>136</v>
      </c>
      <c r="D1259" s="668">
        <v>-1406290</v>
      </c>
      <c r="E1259" s="201">
        <v>45658</v>
      </c>
      <c r="F1259" s="200" t="s">
        <v>296</v>
      </c>
      <c r="G1259" s="531" t="s">
        <v>392</v>
      </c>
      <c r="H1259" s="200" t="s">
        <v>342</v>
      </c>
    </row>
    <row r="1260" spans="1:8" ht="15" customHeight="1">
      <c r="A1260" s="199">
        <v>45687</v>
      </c>
      <c r="B1260" s="202" t="s">
        <v>1324</v>
      </c>
      <c r="C1260" s="200" t="s">
        <v>136</v>
      </c>
      <c r="D1260" s="668">
        <v>-982157</v>
      </c>
      <c r="E1260" s="201">
        <v>45658</v>
      </c>
      <c r="F1260" s="200" t="s">
        <v>296</v>
      </c>
      <c r="G1260" s="200" t="s">
        <v>482</v>
      </c>
      <c r="H1260" s="200" t="s">
        <v>342</v>
      </c>
    </row>
    <row r="1261" spans="1:8" ht="15" customHeight="1">
      <c r="A1261" s="199">
        <v>45687</v>
      </c>
      <c r="B1261" s="202" t="s">
        <v>1325</v>
      </c>
      <c r="C1261" s="200" t="s">
        <v>136</v>
      </c>
      <c r="D1261" s="668">
        <v>-813085</v>
      </c>
      <c r="E1261" s="201">
        <v>45658</v>
      </c>
      <c r="F1261" s="200" t="s">
        <v>296</v>
      </c>
      <c r="G1261" s="200" t="s">
        <v>328</v>
      </c>
      <c r="H1261" s="200" t="s">
        <v>342</v>
      </c>
    </row>
    <row r="1262" spans="1:8" ht="15" customHeight="1">
      <c r="A1262" s="199">
        <v>45687</v>
      </c>
      <c r="B1262" s="202" t="s">
        <v>1326</v>
      </c>
      <c r="C1262" s="200" t="s">
        <v>136</v>
      </c>
      <c r="D1262" s="668">
        <v>-812640</v>
      </c>
      <c r="E1262" s="201">
        <v>45658</v>
      </c>
      <c r="F1262" s="200" t="s">
        <v>296</v>
      </c>
      <c r="G1262" s="531" t="s">
        <v>392</v>
      </c>
      <c r="H1262" s="200" t="s">
        <v>342</v>
      </c>
    </row>
    <row r="1263" spans="1:8" ht="15" customHeight="1">
      <c r="A1263" s="199">
        <v>45687</v>
      </c>
      <c r="B1263" s="202" t="s">
        <v>1327</v>
      </c>
      <c r="C1263" s="200" t="s">
        <v>136</v>
      </c>
      <c r="D1263" s="668">
        <v>-813504</v>
      </c>
      <c r="E1263" s="201">
        <v>45658</v>
      </c>
      <c r="F1263" s="200" t="s">
        <v>296</v>
      </c>
      <c r="G1263" s="200" t="s">
        <v>328</v>
      </c>
      <c r="H1263" s="200" t="s">
        <v>342</v>
      </c>
    </row>
    <row r="1264" spans="1:8" ht="15" customHeight="1">
      <c r="A1264" s="199">
        <v>45687</v>
      </c>
      <c r="B1264" s="202" t="s">
        <v>1328</v>
      </c>
      <c r="C1264" s="200" t="s">
        <v>136</v>
      </c>
      <c r="D1264" s="668">
        <v>-812498</v>
      </c>
      <c r="E1264" s="201">
        <v>45658</v>
      </c>
      <c r="F1264" s="200" t="s">
        <v>296</v>
      </c>
      <c r="G1264" s="200" t="s">
        <v>482</v>
      </c>
      <c r="H1264" s="200" t="s">
        <v>342</v>
      </c>
    </row>
    <row r="1265" spans="1:8" ht="15" customHeight="1">
      <c r="A1265" s="199">
        <v>45687</v>
      </c>
      <c r="B1265" s="202" t="s">
        <v>1329</v>
      </c>
      <c r="C1265" s="200" t="s">
        <v>136</v>
      </c>
      <c r="D1265" s="668">
        <v>-812458</v>
      </c>
      <c r="E1265" s="201">
        <v>45658</v>
      </c>
      <c r="F1265" s="200" t="s">
        <v>296</v>
      </c>
      <c r="G1265" s="531" t="s">
        <v>392</v>
      </c>
      <c r="H1265" s="200" t="s">
        <v>342</v>
      </c>
    </row>
    <row r="1266" spans="1:8" ht="15" customHeight="1">
      <c r="A1266" s="199">
        <v>45687</v>
      </c>
      <c r="B1266" s="202" t="s">
        <v>1330</v>
      </c>
      <c r="C1266" s="200" t="s">
        <v>136</v>
      </c>
      <c r="D1266" s="668">
        <v>-773980</v>
      </c>
      <c r="E1266" s="201">
        <v>45658</v>
      </c>
      <c r="F1266" s="200" t="s">
        <v>296</v>
      </c>
      <c r="G1266" s="200" t="s">
        <v>482</v>
      </c>
      <c r="H1266" s="200" t="s">
        <v>342</v>
      </c>
    </row>
    <row r="1267" spans="1:8" ht="15" customHeight="1">
      <c r="A1267" s="199">
        <v>45687</v>
      </c>
      <c r="B1267" s="202" t="s">
        <v>1331</v>
      </c>
      <c r="C1267" s="200" t="s">
        <v>136</v>
      </c>
      <c r="D1267" s="668">
        <v>-752441.66666666663</v>
      </c>
      <c r="E1267" s="201">
        <v>45658</v>
      </c>
      <c r="F1267" s="200" t="s">
        <v>296</v>
      </c>
      <c r="G1267" s="200" t="s">
        <v>328</v>
      </c>
      <c r="H1267" s="200" t="s">
        <v>342</v>
      </c>
    </row>
    <row r="1268" spans="1:8" ht="15" customHeight="1">
      <c r="A1268" s="199">
        <v>45687</v>
      </c>
      <c r="B1268" s="202" t="s">
        <v>1332</v>
      </c>
      <c r="C1268" s="200" t="s">
        <v>136</v>
      </c>
      <c r="D1268" s="668">
        <v>-765775</v>
      </c>
      <c r="E1268" s="201">
        <v>45658</v>
      </c>
      <c r="F1268" s="200" t="s">
        <v>296</v>
      </c>
      <c r="G1268" s="200" t="s">
        <v>482</v>
      </c>
      <c r="H1268" s="200" t="s">
        <v>342</v>
      </c>
    </row>
    <row r="1269" spans="1:8" ht="15" customHeight="1">
      <c r="A1269" s="199">
        <v>45687</v>
      </c>
      <c r="B1269" s="202" t="s">
        <v>1333</v>
      </c>
      <c r="C1269" s="200" t="s">
        <v>136</v>
      </c>
      <c r="D1269" s="668">
        <v>-765775</v>
      </c>
      <c r="E1269" s="201">
        <v>45658</v>
      </c>
      <c r="F1269" s="200" t="s">
        <v>296</v>
      </c>
      <c r="G1269" s="200" t="s">
        <v>328</v>
      </c>
      <c r="H1269" s="200" t="s">
        <v>342</v>
      </c>
    </row>
    <row r="1270" spans="1:8" ht="15" customHeight="1">
      <c r="A1270" s="199">
        <v>45687</v>
      </c>
      <c r="B1270" s="202" t="s">
        <v>1334</v>
      </c>
      <c r="C1270" s="200" t="s">
        <v>136</v>
      </c>
      <c r="D1270" s="668">
        <v>-765775</v>
      </c>
      <c r="E1270" s="201">
        <v>45658</v>
      </c>
      <c r="F1270" s="200" t="s">
        <v>296</v>
      </c>
      <c r="G1270" s="200" t="s">
        <v>482</v>
      </c>
      <c r="H1270" s="200" t="s">
        <v>342</v>
      </c>
    </row>
    <row r="1271" spans="1:8" ht="15" customHeight="1">
      <c r="A1271" s="199">
        <v>45687</v>
      </c>
      <c r="B1271" s="202" t="s">
        <v>1335</v>
      </c>
      <c r="C1271" s="200" t="s">
        <v>136</v>
      </c>
      <c r="D1271" s="668">
        <v>-765775</v>
      </c>
      <c r="E1271" s="201">
        <v>45658</v>
      </c>
      <c r="F1271" s="200" t="s">
        <v>296</v>
      </c>
      <c r="G1271" s="200" t="s">
        <v>328</v>
      </c>
      <c r="H1271" s="200" t="s">
        <v>342</v>
      </c>
    </row>
    <row r="1272" spans="1:8" ht="15" customHeight="1">
      <c r="A1272" s="199">
        <v>45687</v>
      </c>
      <c r="B1272" s="202" t="s">
        <v>1336</v>
      </c>
      <c r="C1272" s="200" t="s">
        <v>136</v>
      </c>
      <c r="D1272" s="668">
        <v>-752441.66666666663</v>
      </c>
      <c r="E1272" s="201">
        <v>45658</v>
      </c>
      <c r="F1272" s="200" t="s">
        <v>296</v>
      </c>
      <c r="G1272" s="200" t="s">
        <v>328</v>
      </c>
      <c r="H1272" s="200" t="s">
        <v>342</v>
      </c>
    </row>
    <row r="1273" spans="1:8" ht="15" customHeight="1">
      <c r="A1273" s="199">
        <v>45687</v>
      </c>
      <c r="B1273" s="202" t="s">
        <v>1337</v>
      </c>
      <c r="C1273" s="200" t="s">
        <v>136</v>
      </c>
      <c r="D1273" s="668">
        <v>-5303287</v>
      </c>
      <c r="E1273" s="201">
        <v>45658</v>
      </c>
      <c r="F1273" s="200" t="s">
        <v>256</v>
      </c>
      <c r="G1273" s="200" t="s">
        <v>256</v>
      </c>
      <c r="H1273" s="200" t="s">
        <v>121</v>
      </c>
    </row>
    <row r="1274" spans="1:8" ht="15" customHeight="1">
      <c r="A1274" s="199">
        <v>45687</v>
      </c>
      <c r="B1274" s="202" t="s">
        <v>1338</v>
      </c>
      <c r="C1274" s="200" t="s">
        <v>136</v>
      </c>
      <c r="D1274" s="668">
        <v>-14122000</v>
      </c>
      <c r="E1274" s="201">
        <v>45658</v>
      </c>
      <c r="F1274" s="200" t="s">
        <v>256</v>
      </c>
      <c r="G1274" s="200" t="s">
        <v>256</v>
      </c>
      <c r="H1274" s="200" t="s">
        <v>121</v>
      </c>
    </row>
    <row r="1275" spans="1:8" ht="15" customHeight="1">
      <c r="A1275" s="199">
        <v>45687</v>
      </c>
      <c r="B1275" s="202" t="s">
        <v>1339</v>
      </c>
      <c r="C1275" s="200" t="s">
        <v>136</v>
      </c>
      <c r="D1275" s="668">
        <v>-14122000</v>
      </c>
      <c r="E1275" s="201">
        <v>45658</v>
      </c>
      <c r="F1275" s="200" t="s">
        <v>256</v>
      </c>
      <c r="G1275" s="200" t="s">
        <v>256</v>
      </c>
      <c r="H1275" s="200" t="s">
        <v>121</v>
      </c>
    </row>
    <row r="1276" spans="1:8" ht="15" customHeight="1">
      <c r="A1276" s="199">
        <v>45687</v>
      </c>
      <c r="B1276" s="202" t="s">
        <v>1340</v>
      </c>
      <c r="C1276" s="200" t="s">
        <v>136</v>
      </c>
      <c r="D1276" s="668">
        <v>-1063295</v>
      </c>
      <c r="E1276" s="201">
        <v>45658</v>
      </c>
      <c r="F1276" s="200" t="s">
        <v>256</v>
      </c>
      <c r="G1276" s="200" t="s">
        <v>256</v>
      </c>
      <c r="H1276" s="200" t="s">
        <v>121</v>
      </c>
    </row>
    <row r="1277" spans="1:8" ht="15" customHeight="1">
      <c r="A1277" s="199">
        <v>45687</v>
      </c>
      <c r="B1277" s="202" t="s">
        <v>1341</v>
      </c>
      <c r="C1277" s="200" t="s">
        <v>136</v>
      </c>
      <c r="D1277" s="668">
        <v>-2368000</v>
      </c>
      <c r="E1277" s="201">
        <v>45658</v>
      </c>
      <c r="F1277" s="200" t="s">
        <v>256</v>
      </c>
      <c r="G1277" s="200" t="s">
        <v>256</v>
      </c>
      <c r="H1277" s="200" t="s">
        <v>121</v>
      </c>
    </row>
    <row r="1278" spans="1:8" ht="15" customHeight="1">
      <c r="A1278" s="199">
        <v>45687</v>
      </c>
      <c r="B1278" s="202" t="s">
        <v>1342</v>
      </c>
      <c r="C1278" s="200" t="s">
        <v>136</v>
      </c>
      <c r="D1278" s="668">
        <v>-1092720</v>
      </c>
      <c r="E1278" s="201">
        <v>45658</v>
      </c>
      <c r="F1278" s="200" t="s">
        <v>256</v>
      </c>
      <c r="G1278" s="200" t="s">
        <v>256</v>
      </c>
      <c r="H1278" s="200" t="s">
        <v>121</v>
      </c>
    </row>
    <row r="1279" spans="1:8" ht="15" customHeight="1">
      <c r="A1279" s="199">
        <v>45687</v>
      </c>
      <c r="B1279" s="202" t="s">
        <v>1343</v>
      </c>
      <c r="C1279" s="200" t="s">
        <v>136</v>
      </c>
      <c r="D1279" s="668">
        <v>-805468.33333333337</v>
      </c>
      <c r="E1279" s="201">
        <v>45658</v>
      </c>
      <c r="F1279" s="200" t="s">
        <v>256</v>
      </c>
      <c r="G1279" s="200" t="s">
        <v>256</v>
      </c>
      <c r="H1279" s="200" t="s">
        <v>121</v>
      </c>
    </row>
    <row r="1280" spans="1:8" ht="15" customHeight="1">
      <c r="A1280" s="199">
        <v>45687</v>
      </c>
      <c r="B1280" s="202" t="s">
        <v>1344</v>
      </c>
      <c r="C1280" s="200" t="s">
        <v>136</v>
      </c>
      <c r="D1280" s="668">
        <v>-3272563</v>
      </c>
      <c r="E1280" s="201">
        <v>45658</v>
      </c>
      <c r="F1280" s="200" t="s">
        <v>256</v>
      </c>
      <c r="G1280" s="200" t="s">
        <v>256</v>
      </c>
      <c r="H1280" s="200" t="s">
        <v>121</v>
      </c>
    </row>
    <row r="1281" spans="1:8" ht="15" customHeight="1">
      <c r="A1281" s="199">
        <v>45687</v>
      </c>
      <c r="B1281" s="202" t="s">
        <v>1345</v>
      </c>
      <c r="C1281" s="200" t="s">
        <v>136</v>
      </c>
      <c r="D1281" s="668">
        <v>-821233</v>
      </c>
      <c r="E1281" s="201">
        <v>45658</v>
      </c>
      <c r="F1281" s="200" t="s">
        <v>256</v>
      </c>
      <c r="G1281" s="200" t="s">
        <v>256</v>
      </c>
      <c r="H1281" s="200" t="s">
        <v>121</v>
      </c>
    </row>
    <row r="1282" spans="1:8" ht="15" customHeight="1">
      <c r="A1282" s="199">
        <v>45687</v>
      </c>
      <c r="B1282" s="202" t="s">
        <v>1346</v>
      </c>
      <c r="C1282" s="200" t="s">
        <v>136</v>
      </c>
      <c r="D1282" s="668">
        <v>-1348902</v>
      </c>
      <c r="E1282" s="201">
        <v>45658</v>
      </c>
      <c r="F1282" s="200" t="s">
        <v>256</v>
      </c>
      <c r="G1282" s="200" t="s">
        <v>256</v>
      </c>
      <c r="H1282" s="200" t="s">
        <v>121</v>
      </c>
    </row>
    <row r="1283" spans="1:8" ht="15" customHeight="1">
      <c r="A1283" s="199">
        <v>45687</v>
      </c>
      <c r="B1283" s="202" t="s">
        <v>1347</v>
      </c>
      <c r="C1283" s="200" t="s">
        <v>136</v>
      </c>
      <c r="D1283" s="668">
        <v>-739579</v>
      </c>
      <c r="E1283" s="201">
        <v>45658</v>
      </c>
      <c r="F1283" s="200" t="s">
        <v>256</v>
      </c>
      <c r="G1283" s="200" t="s">
        <v>256</v>
      </c>
      <c r="H1283" s="200" t="s">
        <v>121</v>
      </c>
    </row>
    <row r="1284" spans="1:8" ht="15" customHeight="1">
      <c r="A1284" s="199">
        <v>45687</v>
      </c>
      <c r="B1284" s="202" t="s">
        <v>1348</v>
      </c>
      <c r="C1284" s="200" t="s">
        <v>136</v>
      </c>
      <c r="D1284" s="668">
        <v>-759055</v>
      </c>
      <c r="E1284" s="201">
        <v>45658</v>
      </c>
      <c r="F1284" s="200" t="s">
        <v>256</v>
      </c>
      <c r="G1284" s="200" t="s">
        <v>256</v>
      </c>
      <c r="H1284" s="200" t="s">
        <v>121</v>
      </c>
    </row>
    <row r="1285" spans="1:8" ht="15" customHeight="1">
      <c r="A1285" s="199">
        <v>45687</v>
      </c>
      <c r="B1285" s="202" t="s">
        <v>1349</v>
      </c>
      <c r="C1285" s="200" t="s">
        <v>136</v>
      </c>
      <c r="D1285" s="668">
        <v>-758060</v>
      </c>
      <c r="E1285" s="201">
        <v>45658</v>
      </c>
      <c r="F1285" s="200" t="s">
        <v>256</v>
      </c>
      <c r="G1285" s="200" t="s">
        <v>256</v>
      </c>
      <c r="H1285" s="200" t="s">
        <v>121</v>
      </c>
    </row>
    <row r="1286" spans="1:8" ht="15" customHeight="1">
      <c r="A1286" s="199">
        <v>45687</v>
      </c>
      <c r="B1286" s="202" t="s">
        <v>1350</v>
      </c>
      <c r="C1286" s="200" t="s">
        <v>136</v>
      </c>
      <c r="D1286" s="668">
        <v>-2116000</v>
      </c>
      <c r="E1286" s="201">
        <v>45658</v>
      </c>
      <c r="F1286" s="200" t="s">
        <v>256</v>
      </c>
      <c r="G1286" s="200" t="s">
        <v>256</v>
      </c>
      <c r="H1286" s="200" t="s">
        <v>121</v>
      </c>
    </row>
    <row r="1287" spans="1:8" ht="15" customHeight="1">
      <c r="A1287" s="199">
        <v>45687</v>
      </c>
      <c r="B1287" s="202" t="s">
        <v>1351</v>
      </c>
      <c r="C1287" s="200" t="s">
        <v>136</v>
      </c>
      <c r="D1287" s="668">
        <v>-308800.00000000006</v>
      </c>
      <c r="E1287" s="201">
        <v>45658</v>
      </c>
      <c r="F1287" s="200" t="s">
        <v>256</v>
      </c>
      <c r="G1287" s="200" t="s">
        <v>256</v>
      </c>
      <c r="H1287" s="200" t="s">
        <v>121</v>
      </c>
    </row>
    <row r="1288" spans="1:8" ht="15" customHeight="1">
      <c r="A1288" s="199">
        <v>45687</v>
      </c>
      <c r="B1288" s="202" t="s">
        <v>1352</v>
      </c>
      <c r="C1288" s="200" t="s">
        <v>136</v>
      </c>
      <c r="D1288" s="668">
        <v>-3038492</v>
      </c>
      <c r="E1288" s="201">
        <v>45658</v>
      </c>
      <c r="F1288" s="200" t="s">
        <v>256</v>
      </c>
      <c r="G1288" s="200" t="s">
        <v>256</v>
      </c>
      <c r="H1288" s="200" t="s">
        <v>121</v>
      </c>
    </row>
    <row r="1289" spans="1:8" ht="15" customHeight="1">
      <c r="A1289" s="199">
        <v>45687</v>
      </c>
      <c r="B1289" s="202" t="s">
        <v>1353</v>
      </c>
      <c r="C1289" s="200" t="s">
        <v>136</v>
      </c>
      <c r="D1289" s="668">
        <v>-355875</v>
      </c>
      <c r="E1289" s="201">
        <v>45658</v>
      </c>
      <c r="F1289" s="200" t="s">
        <v>256</v>
      </c>
      <c r="G1289" s="200" t="s">
        <v>256</v>
      </c>
      <c r="H1289" s="200" t="s">
        <v>121</v>
      </c>
    </row>
    <row r="1290" spans="1:8" ht="15" customHeight="1">
      <c r="A1290" s="199">
        <v>45687</v>
      </c>
      <c r="B1290" s="202" t="s">
        <v>1354</v>
      </c>
      <c r="C1290" s="200" t="s">
        <v>136</v>
      </c>
      <c r="D1290" s="668">
        <v>-2947630</v>
      </c>
      <c r="E1290" s="201">
        <v>45658</v>
      </c>
      <c r="F1290" s="200" t="s">
        <v>296</v>
      </c>
      <c r="G1290" s="200" t="s">
        <v>453</v>
      </c>
      <c r="H1290" s="200" t="s">
        <v>923</v>
      </c>
    </row>
    <row r="1291" spans="1:8" ht="15" customHeight="1">
      <c r="A1291" s="199">
        <v>45687</v>
      </c>
      <c r="B1291" s="202" t="s">
        <v>1355</v>
      </c>
      <c r="C1291" s="200" t="s">
        <v>136</v>
      </c>
      <c r="D1291" s="668">
        <v>-754810</v>
      </c>
      <c r="E1291" s="201">
        <v>45658</v>
      </c>
      <c r="F1291" s="200" t="s">
        <v>256</v>
      </c>
      <c r="G1291" s="200" t="s">
        <v>107</v>
      </c>
      <c r="H1291" s="200" t="s">
        <v>121</v>
      </c>
    </row>
    <row r="1292" spans="1:8" ht="15" customHeight="1">
      <c r="A1292" s="199">
        <v>45687</v>
      </c>
      <c r="B1292" s="202" t="s">
        <v>1355</v>
      </c>
      <c r="C1292" s="200" t="s">
        <v>136</v>
      </c>
      <c r="D1292" s="668">
        <v>-754810</v>
      </c>
      <c r="E1292" s="201">
        <v>45658</v>
      </c>
      <c r="F1292" s="200" t="s">
        <v>256</v>
      </c>
      <c r="G1292" s="200" t="s">
        <v>107</v>
      </c>
      <c r="H1292" s="200" t="s">
        <v>121</v>
      </c>
    </row>
    <row r="1293" spans="1:8" ht="15" customHeight="1">
      <c r="A1293" s="199">
        <v>45687</v>
      </c>
      <c r="B1293" s="202" t="s">
        <v>1356</v>
      </c>
      <c r="C1293" s="200" t="s">
        <v>136</v>
      </c>
      <c r="D1293" s="668">
        <v>-754810</v>
      </c>
      <c r="E1293" s="201">
        <v>45658</v>
      </c>
      <c r="F1293" s="200" t="s">
        <v>256</v>
      </c>
      <c r="G1293" s="200" t="s">
        <v>107</v>
      </c>
      <c r="H1293" s="200" t="s">
        <v>121</v>
      </c>
    </row>
    <row r="1294" spans="1:8" ht="15" customHeight="1">
      <c r="A1294" s="199">
        <v>45687</v>
      </c>
      <c r="B1294" s="202" t="s">
        <v>1357</v>
      </c>
      <c r="C1294" s="200" t="s">
        <v>136</v>
      </c>
      <c r="D1294" s="668">
        <v>-3200000</v>
      </c>
      <c r="E1294" s="201">
        <v>45658</v>
      </c>
      <c r="F1294" s="200" t="s">
        <v>256</v>
      </c>
      <c r="G1294" s="200" t="s">
        <v>107</v>
      </c>
      <c r="H1294" s="200" t="s">
        <v>121</v>
      </c>
    </row>
    <row r="1295" spans="1:8" ht="15" customHeight="1">
      <c r="A1295" s="199">
        <v>45687</v>
      </c>
      <c r="B1295" s="202" t="s">
        <v>1358</v>
      </c>
      <c r="C1295" s="200" t="s">
        <v>136</v>
      </c>
      <c r="D1295" s="668">
        <v>-852133</v>
      </c>
      <c r="E1295" s="201">
        <v>45658</v>
      </c>
      <c r="F1295" s="200" t="s">
        <v>256</v>
      </c>
      <c r="G1295" s="200" t="s">
        <v>107</v>
      </c>
      <c r="H1295" s="200" t="s">
        <v>121</v>
      </c>
    </row>
    <row r="1296" spans="1:8" ht="15" customHeight="1">
      <c r="A1296" s="199">
        <v>45687</v>
      </c>
      <c r="B1296" s="202" t="s">
        <v>1359</v>
      </c>
      <c r="C1296" s="200" t="s">
        <v>136</v>
      </c>
      <c r="D1296" s="668">
        <v>-1012000</v>
      </c>
      <c r="E1296" s="201">
        <v>45658</v>
      </c>
      <c r="F1296" s="200" t="s">
        <v>296</v>
      </c>
      <c r="G1296" s="200" t="s">
        <v>522</v>
      </c>
      <c r="H1296" s="200" t="s">
        <v>338</v>
      </c>
    </row>
    <row r="1297" spans="1:8" ht="15" customHeight="1">
      <c r="A1297" s="199">
        <v>45687</v>
      </c>
      <c r="B1297" s="202" t="s">
        <v>1360</v>
      </c>
      <c r="C1297" s="200" t="s">
        <v>136</v>
      </c>
      <c r="D1297" s="668">
        <v>-1012000</v>
      </c>
      <c r="E1297" s="201">
        <v>45658</v>
      </c>
      <c r="F1297" s="200" t="s">
        <v>296</v>
      </c>
      <c r="G1297" s="200" t="s">
        <v>522</v>
      </c>
      <c r="H1297" s="200" t="s">
        <v>338</v>
      </c>
    </row>
    <row r="1298" spans="1:8" ht="15" customHeight="1">
      <c r="A1298" s="199">
        <v>45687</v>
      </c>
      <c r="B1298" s="202" t="s">
        <v>1361</v>
      </c>
      <c r="C1298" s="200" t="s">
        <v>136</v>
      </c>
      <c r="D1298" s="668">
        <v>-552000</v>
      </c>
      <c r="E1298" s="201">
        <v>45658</v>
      </c>
      <c r="F1298" s="200" t="s">
        <v>296</v>
      </c>
      <c r="G1298" s="200" t="s">
        <v>1362</v>
      </c>
      <c r="H1298" s="200" t="s">
        <v>567</v>
      </c>
    </row>
    <row r="1299" spans="1:8" ht="15" customHeight="1">
      <c r="A1299" s="199">
        <v>45687</v>
      </c>
      <c r="B1299" s="202" t="s">
        <v>1363</v>
      </c>
      <c r="C1299" s="200" t="s">
        <v>136</v>
      </c>
      <c r="D1299" s="668">
        <v>-276000</v>
      </c>
      <c r="E1299" s="201">
        <v>45658</v>
      </c>
      <c r="F1299" s="200" t="s">
        <v>296</v>
      </c>
      <c r="G1299" s="200" t="s">
        <v>1362</v>
      </c>
      <c r="H1299" s="200" t="s">
        <v>567</v>
      </c>
    </row>
    <row r="1300" spans="1:8" ht="15" customHeight="1">
      <c r="A1300" s="199">
        <v>45687</v>
      </c>
      <c r="B1300" s="202" t="s">
        <v>1364</v>
      </c>
      <c r="C1300" s="200" t="s">
        <v>136</v>
      </c>
      <c r="D1300" s="668">
        <v>-553527.32999999996</v>
      </c>
      <c r="E1300" s="201">
        <v>45658</v>
      </c>
      <c r="F1300" s="200" t="s">
        <v>256</v>
      </c>
      <c r="G1300" s="200" t="s">
        <v>256</v>
      </c>
      <c r="H1300" s="200" t="s">
        <v>121</v>
      </c>
    </row>
    <row r="1301" spans="1:8" ht="15" customHeight="1">
      <c r="A1301" s="199">
        <v>45687</v>
      </c>
      <c r="B1301" s="202" t="s">
        <v>1365</v>
      </c>
      <c r="C1301" s="200" t="s">
        <v>136</v>
      </c>
      <c r="D1301" s="668">
        <v>-2561833.3333333335</v>
      </c>
      <c r="E1301" s="201">
        <v>45658</v>
      </c>
      <c r="F1301" s="200" t="s">
        <v>296</v>
      </c>
      <c r="G1301" s="200" t="s">
        <v>328</v>
      </c>
      <c r="H1301" s="200" t="s">
        <v>567</v>
      </c>
    </row>
    <row r="1302" spans="1:8" ht="15" customHeight="1">
      <c r="A1302" s="199">
        <v>45687</v>
      </c>
      <c r="B1302" s="202" t="s">
        <v>1365</v>
      </c>
      <c r="C1302" s="200" t="s">
        <v>136</v>
      </c>
      <c r="D1302" s="668">
        <v>-2561833.3333333335</v>
      </c>
      <c r="E1302" s="201">
        <v>45658</v>
      </c>
      <c r="F1302" s="200" t="s">
        <v>296</v>
      </c>
      <c r="G1302" s="200" t="s">
        <v>482</v>
      </c>
      <c r="H1302" s="200" t="s">
        <v>567</v>
      </c>
    </row>
    <row r="1303" spans="1:8" ht="15" customHeight="1">
      <c r="A1303" s="199">
        <v>45687</v>
      </c>
      <c r="B1303" s="202" t="s">
        <v>1365</v>
      </c>
      <c r="C1303" s="200" t="s">
        <v>136</v>
      </c>
      <c r="D1303" s="668">
        <v>-2561833.3333333335</v>
      </c>
      <c r="E1303" s="201">
        <v>45658</v>
      </c>
      <c r="F1303" s="200" t="s">
        <v>296</v>
      </c>
      <c r="G1303" s="531" t="s">
        <v>392</v>
      </c>
      <c r="H1303" s="200" t="s">
        <v>567</v>
      </c>
    </row>
    <row r="1304" spans="1:8" ht="15" customHeight="1">
      <c r="A1304" s="199">
        <v>45687</v>
      </c>
      <c r="B1304" s="202" t="s">
        <v>1366</v>
      </c>
      <c r="C1304" s="200" t="s">
        <v>136</v>
      </c>
      <c r="D1304" s="668">
        <v>-356562.66666666669</v>
      </c>
      <c r="E1304" s="201">
        <v>45658</v>
      </c>
      <c r="F1304" s="200" t="s">
        <v>296</v>
      </c>
      <c r="G1304" s="200" t="s">
        <v>328</v>
      </c>
      <c r="H1304" s="200" t="s">
        <v>567</v>
      </c>
    </row>
    <row r="1305" spans="1:8" ht="15" customHeight="1">
      <c r="A1305" s="199">
        <v>45687</v>
      </c>
      <c r="B1305" s="202" t="s">
        <v>1366</v>
      </c>
      <c r="C1305" s="200" t="s">
        <v>136</v>
      </c>
      <c r="D1305" s="668">
        <v>-356562.66666666669</v>
      </c>
      <c r="E1305" s="201">
        <v>45658</v>
      </c>
      <c r="F1305" s="200" t="s">
        <v>296</v>
      </c>
      <c r="G1305" s="200" t="s">
        <v>482</v>
      </c>
      <c r="H1305" s="200" t="s">
        <v>567</v>
      </c>
    </row>
    <row r="1306" spans="1:8" ht="15" customHeight="1">
      <c r="A1306" s="199">
        <v>45687</v>
      </c>
      <c r="B1306" s="202" t="s">
        <v>1366</v>
      </c>
      <c r="C1306" s="200" t="s">
        <v>136</v>
      </c>
      <c r="D1306" s="668">
        <v>-356562.66666666669</v>
      </c>
      <c r="E1306" s="201">
        <v>45658</v>
      </c>
      <c r="F1306" s="200" t="s">
        <v>296</v>
      </c>
      <c r="G1306" s="531" t="s">
        <v>392</v>
      </c>
      <c r="H1306" s="200" t="s">
        <v>567</v>
      </c>
    </row>
    <row r="1307" spans="1:8" ht="15" customHeight="1">
      <c r="A1307" s="199">
        <v>45687</v>
      </c>
      <c r="B1307" s="202" t="s">
        <v>1367</v>
      </c>
      <c r="C1307" s="200" t="s">
        <v>136</v>
      </c>
      <c r="D1307" s="668">
        <v>-1232566.6666666667</v>
      </c>
      <c r="E1307" s="201">
        <v>45658</v>
      </c>
      <c r="F1307" s="200" t="s">
        <v>296</v>
      </c>
      <c r="G1307" s="200" t="s">
        <v>328</v>
      </c>
      <c r="H1307" s="200" t="s">
        <v>567</v>
      </c>
    </row>
    <row r="1308" spans="1:8" ht="15" customHeight="1">
      <c r="A1308" s="199">
        <v>45687</v>
      </c>
      <c r="B1308" s="202" t="s">
        <v>1367</v>
      </c>
      <c r="C1308" s="200" t="s">
        <v>136</v>
      </c>
      <c r="D1308" s="668">
        <v>-1232566.6666666667</v>
      </c>
      <c r="E1308" s="201">
        <v>45658</v>
      </c>
      <c r="F1308" s="200" t="s">
        <v>296</v>
      </c>
      <c r="G1308" s="200" t="s">
        <v>482</v>
      </c>
      <c r="H1308" s="200" t="s">
        <v>567</v>
      </c>
    </row>
    <row r="1309" spans="1:8" ht="15" customHeight="1">
      <c r="A1309" s="199">
        <v>45687</v>
      </c>
      <c r="B1309" s="202" t="s">
        <v>1367</v>
      </c>
      <c r="C1309" s="200" t="s">
        <v>136</v>
      </c>
      <c r="D1309" s="668">
        <v>-1232566.6666666667</v>
      </c>
      <c r="E1309" s="201">
        <v>45658</v>
      </c>
      <c r="F1309" s="200" t="s">
        <v>296</v>
      </c>
      <c r="G1309" s="531" t="s">
        <v>392</v>
      </c>
      <c r="H1309" s="200" t="s">
        <v>567</v>
      </c>
    </row>
    <row r="1310" spans="1:8" ht="15" customHeight="1">
      <c r="A1310" s="199">
        <v>45687</v>
      </c>
      <c r="B1310" s="202" t="s">
        <v>1368</v>
      </c>
      <c r="C1310" s="200" t="s">
        <v>136</v>
      </c>
      <c r="D1310" s="668">
        <v>-1329813.3333333333</v>
      </c>
      <c r="E1310" s="201">
        <v>45658</v>
      </c>
      <c r="F1310" s="200" t="s">
        <v>296</v>
      </c>
      <c r="G1310" s="200" t="s">
        <v>328</v>
      </c>
      <c r="H1310" s="200" t="s">
        <v>567</v>
      </c>
    </row>
    <row r="1311" spans="1:8" ht="15" customHeight="1">
      <c r="A1311" s="199">
        <v>45687</v>
      </c>
      <c r="B1311" s="202" t="s">
        <v>1368</v>
      </c>
      <c r="C1311" s="200" t="s">
        <v>136</v>
      </c>
      <c r="D1311" s="668">
        <v>-1329813.3333333333</v>
      </c>
      <c r="E1311" s="201">
        <v>45658</v>
      </c>
      <c r="F1311" s="200" t="s">
        <v>296</v>
      </c>
      <c r="G1311" s="200" t="s">
        <v>482</v>
      </c>
      <c r="H1311" s="200" t="s">
        <v>567</v>
      </c>
    </row>
    <row r="1312" spans="1:8" ht="15" customHeight="1">
      <c r="A1312" s="199">
        <v>45687</v>
      </c>
      <c r="B1312" s="202" t="s">
        <v>1368</v>
      </c>
      <c r="C1312" s="200" t="s">
        <v>136</v>
      </c>
      <c r="D1312" s="668">
        <v>-1329813.3333333333</v>
      </c>
      <c r="E1312" s="201">
        <v>45658</v>
      </c>
      <c r="F1312" s="200" t="s">
        <v>296</v>
      </c>
      <c r="G1312" s="531" t="s">
        <v>392</v>
      </c>
      <c r="H1312" s="200" t="s">
        <v>567</v>
      </c>
    </row>
    <row r="1313" spans="1:8" ht="15" customHeight="1">
      <c r="A1313" s="199">
        <v>45687</v>
      </c>
      <c r="B1313" s="202" t="s">
        <v>1369</v>
      </c>
      <c r="C1313" s="200" t="s">
        <v>136</v>
      </c>
      <c r="D1313" s="668">
        <v>-771685.11111111101</v>
      </c>
      <c r="E1313" s="201">
        <v>45658</v>
      </c>
      <c r="F1313" s="200" t="s">
        <v>296</v>
      </c>
      <c r="G1313" s="200" t="s">
        <v>328</v>
      </c>
      <c r="H1313" s="200" t="s">
        <v>567</v>
      </c>
    </row>
    <row r="1314" spans="1:8" ht="15" customHeight="1">
      <c r="A1314" s="199">
        <v>45687</v>
      </c>
      <c r="B1314" s="202" t="s">
        <v>1369</v>
      </c>
      <c r="C1314" s="200" t="s">
        <v>136</v>
      </c>
      <c r="D1314" s="668">
        <v>-771685.11111111101</v>
      </c>
      <c r="E1314" s="201">
        <v>45658</v>
      </c>
      <c r="F1314" s="200" t="s">
        <v>296</v>
      </c>
      <c r="G1314" s="200" t="s">
        <v>482</v>
      </c>
      <c r="H1314" s="200" t="s">
        <v>567</v>
      </c>
    </row>
    <row r="1315" spans="1:8" ht="15" customHeight="1">
      <c r="A1315" s="199">
        <v>45687</v>
      </c>
      <c r="B1315" s="202" t="s">
        <v>1369</v>
      </c>
      <c r="C1315" s="200" t="s">
        <v>136</v>
      </c>
      <c r="D1315" s="668">
        <v>-771685.11111111101</v>
      </c>
      <c r="E1315" s="201">
        <v>45658</v>
      </c>
      <c r="F1315" s="200" t="s">
        <v>296</v>
      </c>
      <c r="G1315" s="531" t="s">
        <v>392</v>
      </c>
      <c r="H1315" s="200" t="s">
        <v>567</v>
      </c>
    </row>
    <row r="1316" spans="1:8" ht="15" customHeight="1">
      <c r="A1316" s="199">
        <v>45687</v>
      </c>
      <c r="B1316" s="202" t="s">
        <v>1370</v>
      </c>
      <c r="C1316" s="200" t="s">
        <v>136</v>
      </c>
      <c r="D1316" s="668">
        <v>-354085.33333333331</v>
      </c>
      <c r="E1316" s="201">
        <v>45658</v>
      </c>
      <c r="F1316" s="200" t="s">
        <v>296</v>
      </c>
      <c r="G1316" s="200" t="s">
        <v>328</v>
      </c>
      <c r="H1316" s="200" t="s">
        <v>567</v>
      </c>
    </row>
    <row r="1317" spans="1:8" ht="15" customHeight="1">
      <c r="A1317" s="199">
        <v>45687</v>
      </c>
      <c r="B1317" s="202" t="s">
        <v>1370</v>
      </c>
      <c r="C1317" s="200" t="s">
        <v>136</v>
      </c>
      <c r="D1317" s="668">
        <v>-354085.33333333331</v>
      </c>
      <c r="E1317" s="201">
        <v>45658</v>
      </c>
      <c r="F1317" s="200" t="s">
        <v>296</v>
      </c>
      <c r="G1317" s="200" t="s">
        <v>482</v>
      </c>
      <c r="H1317" s="200" t="s">
        <v>567</v>
      </c>
    </row>
    <row r="1318" spans="1:8" ht="15" customHeight="1">
      <c r="A1318" s="199">
        <v>45687</v>
      </c>
      <c r="B1318" s="202" t="s">
        <v>1370</v>
      </c>
      <c r="C1318" s="200" t="s">
        <v>136</v>
      </c>
      <c r="D1318" s="668">
        <v>-354085.33333333331</v>
      </c>
      <c r="E1318" s="201">
        <v>45658</v>
      </c>
      <c r="F1318" s="200" t="s">
        <v>296</v>
      </c>
      <c r="G1318" s="531" t="s">
        <v>392</v>
      </c>
      <c r="H1318" s="200" t="s">
        <v>567</v>
      </c>
    </row>
    <row r="1319" spans="1:8" ht="15" customHeight="1">
      <c r="A1319" s="199">
        <v>45687</v>
      </c>
      <c r="B1319" s="202" t="s">
        <v>1371</v>
      </c>
      <c r="C1319" s="200" t="s">
        <v>136</v>
      </c>
      <c r="D1319" s="668">
        <v>-909526.5555555555</v>
      </c>
      <c r="E1319" s="201">
        <v>45658</v>
      </c>
      <c r="F1319" s="200" t="s">
        <v>296</v>
      </c>
      <c r="G1319" s="200" t="s">
        <v>328</v>
      </c>
      <c r="H1319" s="200" t="s">
        <v>567</v>
      </c>
    </row>
    <row r="1320" spans="1:8" ht="15" customHeight="1">
      <c r="A1320" s="199">
        <v>45687</v>
      </c>
      <c r="B1320" s="202" t="s">
        <v>1371</v>
      </c>
      <c r="C1320" s="200" t="s">
        <v>136</v>
      </c>
      <c r="D1320" s="668">
        <v>-909526.5555555555</v>
      </c>
      <c r="E1320" s="201">
        <v>45658</v>
      </c>
      <c r="F1320" s="200" t="s">
        <v>296</v>
      </c>
      <c r="G1320" s="200" t="s">
        <v>482</v>
      </c>
      <c r="H1320" s="200" t="s">
        <v>567</v>
      </c>
    </row>
    <row r="1321" spans="1:8" ht="15" customHeight="1">
      <c r="A1321" s="199">
        <v>45687</v>
      </c>
      <c r="B1321" s="202" t="s">
        <v>1371</v>
      </c>
      <c r="C1321" s="200" t="s">
        <v>136</v>
      </c>
      <c r="D1321" s="668">
        <v>-909526.5555555555</v>
      </c>
      <c r="E1321" s="201">
        <v>45658</v>
      </c>
      <c r="F1321" s="200" t="s">
        <v>296</v>
      </c>
      <c r="G1321" s="531" t="s">
        <v>392</v>
      </c>
      <c r="H1321" s="200" t="s">
        <v>567</v>
      </c>
    </row>
    <row r="1322" spans="1:8" ht="15" customHeight="1">
      <c r="A1322" s="199">
        <v>45687</v>
      </c>
      <c r="B1322" s="745" t="s">
        <v>1372</v>
      </c>
      <c r="C1322" s="200" t="s">
        <v>136</v>
      </c>
      <c r="D1322" s="668">
        <v>-793516.11111111101</v>
      </c>
      <c r="E1322" s="201">
        <v>45658</v>
      </c>
      <c r="F1322" s="200" t="s">
        <v>296</v>
      </c>
      <c r="G1322" s="200" t="s">
        <v>337</v>
      </c>
      <c r="H1322" s="200" t="s">
        <v>338</v>
      </c>
    </row>
    <row r="1323" spans="1:8" ht="15" customHeight="1">
      <c r="A1323" s="199">
        <v>45687</v>
      </c>
      <c r="B1323" s="202" t="s">
        <v>1372</v>
      </c>
      <c r="C1323" s="200" t="s">
        <v>136</v>
      </c>
      <c r="D1323" s="668">
        <v>-793516.11111111101</v>
      </c>
      <c r="E1323" s="201">
        <v>45658</v>
      </c>
      <c r="F1323" s="200" t="s">
        <v>296</v>
      </c>
      <c r="G1323" s="200" t="s">
        <v>44</v>
      </c>
      <c r="H1323" s="200" t="s">
        <v>338</v>
      </c>
    </row>
    <row r="1324" spans="1:8" ht="15" customHeight="1">
      <c r="A1324" s="199">
        <v>45687</v>
      </c>
      <c r="B1324" s="745" t="s">
        <v>1372</v>
      </c>
      <c r="C1324" s="200" t="s">
        <v>136</v>
      </c>
      <c r="D1324" s="668">
        <v>-793516.11111111101</v>
      </c>
      <c r="E1324" s="201">
        <v>45658</v>
      </c>
      <c r="F1324" s="200" t="s">
        <v>296</v>
      </c>
      <c r="G1324" s="200" t="s">
        <v>522</v>
      </c>
      <c r="H1324" s="200" t="s">
        <v>338</v>
      </c>
    </row>
    <row r="1325" spans="1:8" ht="15" customHeight="1">
      <c r="A1325" s="199">
        <v>45687</v>
      </c>
      <c r="B1325" s="202" t="s">
        <v>1373</v>
      </c>
      <c r="C1325" s="200" t="s">
        <v>136</v>
      </c>
      <c r="D1325" s="668">
        <v>-411377.77777777775</v>
      </c>
      <c r="E1325" s="201">
        <v>45658</v>
      </c>
      <c r="F1325" s="200" t="s">
        <v>296</v>
      </c>
      <c r="G1325" s="200" t="s">
        <v>328</v>
      </c>
      <c r="H1325" s="200" t="s">
        <v>567</v>
      </c>
    </row>
    <row r="1326" spans="1:8" ht="15" customHeight="1">
      <c r="A1326" s="199">
        <v>45687</v>
      </c>
      <c r="B1326" s="202" t="s">
        <v>1373</v>
      </c>
      <c r="C1326" s="200" t="s">
        <v>136</v>
      </c>
      <c r="D1326" s="668">
        <v>-411377.77777777775</v>
      </c>
      <c r="E1326" s="201">
        <v>45658</v>
      </c>
      <c r="F1326" s="200" t="s">
        <v>296</v>
      </c>
      <c r="G1326" s="200" t="s">
        <v>482</v>
      </c>
      <c r="H1326" s="200" t="s">
        <v>567</v>
      </c>
    </row>
    <row r="1327" spans="1:8" ht="15" customHeight="1">
      <c r="A1327" s="199">
        <v>45687</v>
      </c>
      <c r="B1327" s="202" t="s">
        <v>1373</v>
      </c>
      <c r="C1327" s="200" t="s">
        <v>136</v>
      </c>
      <c r="D1327" s="668">
        <v>-411377.77777777775</v>
      </c>
      <c r="E1327" s="201">
        <v>45658</v>
      </c>
      <c r="F1327" s="200" t="s">
        <v>296</v>
      </c>
      <c r="G1327" s="531" t="s">
        <v>392</v>
      </c>
      <c r="H1327" s="200" t="s">
        <v>567</v>
      </c>
    </row>
    <row r="1328" spans="1:8" ht="15" customHeight="1">
      <c r="A1328" s="199">
        <v>45687</v>
      </c>
      <c r="B1328" s="202" t="s">
        <v>1374</v>
      </c>
      <c r="C1328" s="200" t="s">
        <v>136</v>
      </c>
      <c r="D1328" s="668">
        <v>704489</v>
      </c>
      <c r="E1328" s="201">
        <v>45658</v>
      </c>
      <c r="F1328" s="200" t="s">
        <v>296</v>
      </c>
      <c r="G1328" s="200" t="s">
        <v>337</v>
      </c>
      <c r="H1328" s="200" t="s">
        <v>429</v>
      </c>
    </row>
    <row r="1329" spans="1:8" ht="15" customHeight="1">
      <c r="A1329" s="199">
        <v>45687</v>
      </c>
      <c r="B1329" s="202" t="s">
        <v>1375</v>
      </c>
      <c r="C1329" s="200" t="s">
        <v>136</v>
      </c>
      <c r="D1329" s="668">
        <v>704489</v>
      </c>
      <c r="E1329" s="201">
        <v>45658</v>
      </c>
      <c r="F1329" s="200" t="s">
        <v>296</v>
      </c>
      <c r="G1329" s="200" t="s">
        <v>522</v>
      </c>
      <c r="H1329" s="200" t="s">
        <v>1213</v>
      </c>
    </row>
    <row r="1330" spans="1:8" ht="15" customHeight="1">
      <c r="A1330" s="199">
        <v>45687</v>
      </c>
      <c r="B1330" s="202" t="s">
        <v>1376</v>
      </c>
      <c r="C1330" s="200" t="s">
        <v>136</v>
      </c>
      <c r="D1330" s="204">
        <v>553527</v>
      </c>
      <c r="E1330" s="201">
        <v>45658</v>
      </c>
      <c r="F1330" s="200" t="s">
        <v>256</v>
      </c>
      <c r="G1330" s="200" t="s">
        <v>256</v>
      </c>
      <c r="H1330" s="200" t="s">
        <v>121</v>
      </c>
    </row>
    <row r="1331" spans="1:8" ht="15" customHeight="1">
      <c r="A1331" s="199">
        <v>45687</v>
      </c>
      <c r="B1331" s="202" t="s">
        <v>1377</v>
      </c>
      <c r="C1331" s="200" t="s">
        <v>136</v>
      </c>
      <c r="D1331" s="204">
        <v>1012000</v>
      </c>
      <c r="E1331" s="201">
        <v>45658</v>
      </c>
      <c r="F1331" s="200" t="s">
        <v>296</v>
      </c>
      <c r="G1331" s="200" t="s">
        <v>337</v>
      </c>
      <c r="H1331" s="200" t="s">
        <v>338</v>
      </c>
    </row>
    <row r="1332" spans="1:8" ht="15" customHeight="1">
      <c r="A1332" s="199">
        <v>45687</v>
      </c>
      <c r="B1332" s="202" t="s">
        <v>1378</v>
      </c>
      <c r="C1332" s="200" t="s">
        <v>136</v>
      </c>
      <c r="D1332" s="204">
        <v>1012000</v>
      </c>
      <c r="E1332" s="201">
        <v>45658</v>
      </c>
      <c r="F1332" s="200" t="s">
        <v>296</v>
      </c>
      <c r="G1332" s="200" t="s">
        <v>522</v>
      </c>
      <c r="H1332" s="200" t="s">
        <v>338</v>
      </c>
    </row>
    <row r="1333" spans="1:8" ht="15" customHeight="1">
      <c r="A1333" s="199">
        <v>45687</v>
      </c>
      <c r="B1333" s="202" t="s">
        <v>1379</v>
      </c>
      <c r="C1333" s="200" t="s">
        <v>136</v>
      </c>
      <c r="D1333" s="204">
        <v>852133</v>
      </c>
      <c r="E1333" s="201">
        <v>45658</v>
      </c>
      <c r="F1333" s="200" t="s">
        <v>256</v>
      </c>
      <c r="G1333" s="200" t="s">
        <v>107</v>
      </c>
      <c r="H1333" s="200" t="s">
        <v>121</v>
      </c>
    </row>
    <row r="1334" spans="1:8" ht="15" customHeight="1">
      <c r="A1334" s="199">
        <v>45687</v>
      </c>
      <c r="B1334" s="202" t="s">
        <v>1380</v>
      </c>
      <c r="C1334" s="200" t="s">
        <v>136</v>
      </c>
      <c r="D1334" s="204">
        <v>704489</v>
      </c>
      <c r="E1334" s="201">
        <v>45658</v>
      </c>
      <c r="F1334" s="200" t="s">
        <v>296</v>
      </c>
      <c r="G1334" s="200" t="s">
        <v>522</v>
      </c>
      <c r="H1334" s="200" t="s">
        <v>1213</v>
      </c>
    </row>
    <row r="1335" spans="1:8" ht="15" customHeight="1">
      <c r="A1335" s="199">
        <v>45687</v>
      </c>
      <c r="B1335" s="202" t="s">
        <v>1381</v>
      </c>
      <c r="C1335" s="200" t="s">
        <v>136</v>
      </c>
      <c r="D1335" s="204">
        <v>704489</v>
      </c>
      <c r="E1335" s="201">
        <v>45658</v>
      </c>
      <c r="F1335" s="200" t="s">
        <v>296</v>
      </c>
      <c r="G1335" s="200" t="s">
        <v>522</v>
      </c>
      <c r="H1335" s="200" t="s">
        <v>1213</v>
      </c>
    </row>
    <row r="1336" spans="1:8" ht="15" customHeight="1">
      <c r="A1336" s="199">
        <v>45687</v>
      </c>
      <c r="B1336" s="202" t="s">
        <v>1382</v>
      </c>
      <c r="C1336" s="200" t="s">
        <v>136</v>
      </c>
      <c r="D1336" s="204">
        <v>704489</v>
      </c>
      <c r="E1336" s="201">
        <v>45658</v>
      </c>
      <c r="F1336" s="200" t="s">
        <v>296</v>
      </c>
      <c r="G1336" s="200" t="s">
        <v>337</v>
      </c>
      <c r="H1336" s="200" t="s">
        <v>429</v>
      </c>
    </row>
    <row r="1337" spans="1:8" ht="15" customHeight="1">
      <c r="A1337" s="199">
        <v>45687</v>
      </c>
      <c r="B1337" s="202" t="s">
        <v>1383</v>
      </c>
      <c r="C1337" s="200" t="s">
        <v>136</v>
      </c>
      <c r="D1337" s="204">
        <v>704489</v>
      </c>
      <c r="E1337" s="201">
        <v>45658</v>
      </c>
      <c r="F1337" s="200" t="s">
        <v>296</v>
      </c>
      <c r="G1337" s="200" t="s">
        <v>522</v>
      </c>
      <c r="H1337" s="200" t="s">
        <v>1213</v>
      </c>
    </row>
    <row r="1338" spans="1:8" ht="15" customHeight="1">
      <c r="A1338" s="199">
        <v>45687</v>
      </c>
      <c r="B1338" s="202" t="s">
        <v>1384</v>
      </c>
      <c r="C1338" s="200" t="s">
        <v>136</v>
      </c>
      <c r="D1338" s="204">
        <v>704489</v>
      </c>
      <c r="E1338" s="201">
        <v>45658</v>
      </c>
      <c r="F1338" s="200" t="s">
        <v>296</v>
      </c>
      <c r="G1338" s="200" t="s">
        <v>522</v>
      </c>
      <c r="H1338" s="200" t="s">
        <v>1213</v>
      </c>
    </row>
    <row r="1339" spans="1:8" ht="15" customHeight="1">
      <c r="A1339" s="199">
        <v>45687</v>
      </c>
      <c r="B1339" s="202" t="s">
        <v>1385</v>
      </c>
      <c r="C1339" s="200" t="s">
        <v>136</v>
      </c>
      <c r="D1339" s="204">
        <v>704489</v>
      </c>
      <c r="E1339" s="201">
        <v>45658</v>
      </c>
      <c r="F1339" s="200" t="s">
        <v>296</v>
      </c>
      <c r="G1339" s="200" t="s">
        <v>522</v>
      </c>
      <c r="H1339" s="200" t="s">
        <v>1213</v>
      </c>
    </row>
    <row r="1340" spans="1:8" ht="15" customHeight="1">
      <c r="A1340" s="199">
        <v>45687</v>
      </c>
      <c r="B1340" s="202" t="s">
        <v>1386</v>
      </c>
      <c r="C1340" s="200" t="s">
        <v>136</v>
      </c>
      <c r="D1340" s="204">
        <v>704489</v>
      </c>
      <c r="E1340" s="201">
        <v>45658</v>
      </c>
      <c r="F1340" s="200" t="s">
        <v>296</v>
      </c>
      <c r="G1340" s="200" t="s">
        <v>337</v>
      </c>
      <c r="H1340" s="200" t="s">
        <v>429</v>
      </c>
    </row>
    <row r="1341" spans="1:8" ht="15" customHeight="1">
      <c r="A1341" s="199">
        <v>45687</v>
      </c>
      <c r="B1341" s="202" t="s">
        <v>1387</v>
      </c>
      <c r="C1341" s="200" t="s">
        <v>136</v>
      </c>
      <c r="D1341" s="204">
        <v>704489</v>
      </c>
      <c r="E1341" s="201">
        <v>45658</v>
      </c>
      <c r="F1341" s="200" t="s">
        <v>296</v>
      </c>
      <c r="G1341" s="200" t="s">
        <v>44</v>
      </c>
      <c r="H1341" s="200" t="s">
        <v>429</v>
      </c>
    </row>
    <row r="1342" spans="1:8" ht="15" customHeight="1">
      <c r="A1342" s="199">
        <v>45687</v>
      </c>
      <c r="B1342" s="202" t="s">
        <v>1388</v>
      </c>
      <c r="C1342" s="200" t="s">
        <v>136</v>
      </c>
      <c r="D1342" s="204">
        <v>704489</v>
      </c>
      <c r="E1342" s="201">
        <v>45658</v>
      </c>
      <c r="F1342" s="200" t="s">
        <v>296</v>
      </c>
      <c r="G1342" s="200" t="s">
        <v>522</v>
      </c>
      <c r="H1342" s="200" t="s">
        <v>1213</v>
      </c>
    </row>
    <row r="1343" spans="1:8" ht="15" customHeight="1">
      <c r="A1343" s="199">
        <v>45687</v>
      </c>
      <c r="B1343" s="202" t="s">
        <v>1389</v>
      </c>
      <c r="C1343" s="200" t="s">
        <v>136</v>
      </c>
      <c r="D1343" s="204">
        <v>704489</v>
      </c>
      <c r="E1343" s="201">
        <v>45658</v>
      </c>
      <c r="F1343" s="200" t="s">
        <v>296</v>
      </c>
      <c r="G1343" s="200" t="s">
        <v>337</v>
      </c>
      <c r="H1343" s="200" t="s">
        <v>429</v>
      </c>
    </row>
    <row r="1344" spans="1:8" ht="15" customHeight="1">
      <c r="A1344" s="199">
        <v>45687</v>
      </c>
      <c r="B1344" s="202" t="s">
        <v>1390</v>
      </c>
      <c r="C1344" s="200" t="s">
        <v>136</v>
      </c>
      <c r="D1344" s="204">
        <v>704489</v>
      </c>
      <c r="E1344" s="201">
        <v>45658</v>
      </c>
      <c r="F1344" s="200" t="s">
        <v>296</v>
      </c>
      <c r="G1344" s="200" t="s">
        <v>522</v>
      </c>
      <c r="H1344" s="200" t="s">
        <v>1213</v>
      </c>
    </row>
    <row r="1345" spans="1:8" ht="15" customHeight="1">
      <c r="A1345" s="199">
        <v>45687</v>
      </c>
      <c r="B1345" s="202" t="s">
        <v>1391</v>
      </c>
      <c r="C1345" s="200" t="s">
        <v>136</v>
      </c>
      <c r="D1345" s="204">
        <v>704489</v>
      </c>
      <c r="E1345" s="201">
        <v>45658</v>
      </c>
      <c r="F1345" s="200" t="s">
        <v>296</v>
      </c>
      <c r="G1345" s="200" t="s">
        <v>522</v>
      </c>
      <c r="H1345" s="200" t="s">
        <v>1213</v>
      </c>
    </row>
    <row r="1346" spans="1:8" ht="15" customHeight="1">
      <c r="A1346" s="199">
        <v>45687</v>
      </c>
      <c r="B1346" s="202" t="s">
        <v>1392</v>
      </c>
      <c r="C1346" s="200" t="s">
        <v>136</v>
      </c>
      <c r="D1346" s="204">
        <v>704489</v>
      </c>
      <c r="E1346" s="201">
        <v>45658</v>
      </c>
      <c r="F1346" s="200" t="s">
        <v>296</v>
      </c>
      <c r="G1346" s="200" t="s">
        <v>337</v>
      </c>
      <c r="H1346" s="200" t="s">
        <v>429</v>
      </c>
    </row>
    <row r="1347" spans="1:8" ht="15" customHeight="1">
      <c r="A1347" s="199">
        <v>45687</v>
      </c>
      <c r="B1347" s="202" t="s">
        <v>1393</v>
      </c>
      <c r="C1347" s="200" t="s">
        <v>136</v>
      </c>
      <c r="D1347" s="204">
        <v>704489</v>
      </c>
      <c r="E1347" s="201">
        <v>45658</v>
      </c>
      <c r="F1347" s="200" t="s">
        <v>296</v>
      </c>
      <c r="G1347" s="200" t="s">
        <v>337</v>
      </c>
      <c r="H1347" s="200" t="s">
        <v>429</v>
      </c>
    </row>
    <row r="1348" spans="1:8" ht="15" customHeight="1">
      <c r="A1348" s="199">
        <v>45687</v>
      </c>
      <c r="B1348" s="202" t="s">
        <v>1394</v>
      </c>
      <c r="C1348" s="200" t="s">
        <v>136</v>
      </c>
      <c r="D1348" s="204">
        <v>704489</v>
      </c>
      <c r="E1348" s="201">
        <v>45658</v>
      </c>
      <c r="F1348" s="200" t="s">
        <v>296</v>
      </c>
      <c r="G1348" s="200" t="s">
        <v>522</v>
      </c>
      <c r="H1348" s="200" t="s">
        <v>1213</v>
      </c>
    </row>
    <row r="1349" spans="1:8" ht="15" customHeight="1">
      <c r="A1349" s="199">
        <v>45687</v>
      </c>
      <c r="B1349" s="202" t="s">
        <v>1395</v>
      </c>
      <c r="C1349" s="200" t="s">
        <v>136</v>
      </c>
      <c r="D1349" s="204">
        <v>704489</v>
      </c>
      <c r="E1349" s="201">
        <v>45658</v>
      </c>
      <c r="F1349" s="200" t="s">
        <v>296</v>
      </c>
      <c r="G1349" s="200" t="s">
        <v>44</v>
      </c>
      <c r="H1349" s="200" t="s">
        <v>429</v>
      </c>
    </row>
    <row r="1350" spans="1:8" ht="15" customHeight="1">
      <c r="A1350" s="199">
        <v>45687</v>
      </c>
      <c r="B1350" s="202" t="s">
        <v>1396</v>
      </c>
      <c r="C1350" s="200" t="s">
        <v>136</v>
      </c>
      <c r="D1350" s="204">
        <v>704489</v>
      </c>
      <c r="E1350" s="201">
        <v>45658</v>
      </c>
      <c r="F1350" s="200" t="s">
        <v>296</v>
      </c>
      <c r="G1350" s="200" t="s">
        <v>44</v>
      </c>
      <c r="H1350" s="200" t="s">
        <v>429</v>
      </c>
    </row>
    <row r="1351" spans="1:8" ht="15" customHeight="1">
      <c r="A1351" s="199">
        <v>45687</v>
      </c>
      <c r="B1351" s="202" t="s">
        <v>1397</v>
      </c>
      <c r="C1351" s="200" t="s">
        <v>136</v>
      </c>
      <c r="D1351" s="204">
        <v>704489</v>
      </c>
      <c r="E1351" s="201">
        <v>45658</v>
      </c>
      <c r="F1351" s="200" t="s">
        <v>296</v>
      </c>
      <c r="G1351" s="200" t="s">
        <v>44</v>
      </c>
      <c r="H1351" s="200" t="s">
        <v>429</v>
      </c>
    </row>
    <row r="1352" spans="1:8" ht="15" customHeight="1">
      <c r="A1352" s="199">
        <v>45687</v>
      </c>
      <c r="B1352" s="202" t="s">
        <v>1398</v>
      </c>
      <c r="C1352" s="200" t="s">
        <v>136</v>
      </c>
      <c r="D1352" s="204">
        <v>994933</v>
      </c>
      <c r="E1352" s="201">
        <v>45658</v>
      </c>
      <c r="F1352" s="200" t="s">
        <v>296</v>
      </c>
      <c r="G1352" s="200" t="s">
        <v>44</v>
      </c>
      <c r="H1352" s="200" t="s">
        <v>429</v>
      </c>
    </row>
    <row r="1353" spans="1:8" ht="15" customHeight="1">
      <c r="A1353" s="199">
        <v>45687</v>
      </c>
      <c r="B1353" s="202" t="s">
        <v>672</v>
      </c>
      <c r="C1353" s="200" t="s">
        <v>136</v>
      </c>
      <c r="D1353" s="204">
        <v>754810</v>
      </c>
      <c r="E1353" s="201">
        <v>45658</v>
      </c>
      <c r="F1353" s="200" t="s">
        <v>296</v>
      </c>
      <c r="G1353" s="200" t="s">
        <v>44</v>
      </c>
      <c r="H1353" s="200" t="s">
        <v>429</v>
      </c>
    </row>
    <row r="1354" spans="1:8" ht="15" customHeight="1">
      <c r="A1354" s="199">
        <v>45687</v>
      </c>
      <c r="B1354" s="202" t="s">
        <v>1399</v>
      </c>
      <c r="C1354" s="200" t="s">
        <v>136</v>
      </c>
      <c r="D1354" s="204">
        <v>1107055</v>
      </c>
      <c r="E1354" s="201">
        <v>45658</v>
      </c>
      <c r="F1354" s="200" t="s">
        <v>296</v>
      </c>
      <c r="G1354" s="200" t="s">
        <v>522</v>
      </c>
      <c r="H1354" s="200" t="s">
        <v>1213</v>
      </c>
    </row>
    <row r="1355" spans="1:8" ht="15" customHeight="1">
      <c r="A1355" s="199">
        <v>45687</v>
      </c>
      <c r="B1355" s="202" t="s">
        <v>1400</v>
      </c>
      <c r="C1355" s="200" t="s">
        <v>136</v>
      </c>
      <c r="D1355" s="204">
        <v>754810</v>
      </c>
      <c r="E1355" s="201">
        <v>45658</v>
      </c>
      <c r="F1355" s="200" t="s">
        <v>296</v>
      </c>
      <c r="G1355" s="200" t="s">
        <v>522</v>
      </c>
      <c r="H1355" s="200" t="s">
        <v>1213</v>
      </c>
    </row>
    <row r="1356" spans="1:8" ht="15" customHeight="1">
      <c r="A1356" s="199">
        <v>45687</v>
      </c>
      <c r="B1356" s="202" t="s">
        <v>1401</v>
      </c>
      <c r="C1356" s="200" t="s">
        <v>136</v>
      </c>
      <c r="D1356" s="204">
        <v>276000</v>
      </c>
      <c r="E1356" s="201">
        <v>45658</v>
      </c>
      <c r="F1356" s="200" t="s">
        <v>296</v>
      </c>
      <c r="G1356" s="200" t="s">
        <v>1362</v>
      </c>
      <c r="H1356" s="200" t="s">
        <v>567</v>
      </c>
    </row>
    <row r="1357" spans="1:8" ht="15" customHeight="1">
      <c r="A1357" s="199">
        <v>45687</v>
      </c>
      <c r="B1357" s="202" t="s">
        <v>1402</v>
      </c>
      <c r="C1357" s="200" t="s">
        <v>136</v>
      </c>
      <c r="D1357" s="204">
        <v>308800</v>
      </c>
      <c r="E1357" s="201">
        <v>45658</v>
      </c>
      <c r="F1357" s="200" t="s">
        <v>256</v>
      </c>
      <c r="G1357" s="200" t="s">
        <v>256</v>
      </c>
      <c r="H1357" s="200" t="s">
        <v>121</v>
      </c>
    </row>
    <row r="1358" spans="1:8" ht="15" customHeight="1">
      <c r="A1358" s="199">
        <v>45687</v>
      </c>
      <c r="B1358" s="202" t="s">
        <v>1403</v>
      </c>
      <c r="C1358" s="200" t="s">
        <v>136</v>
      </c>
      <c r="D1358" s="204">
        <v>552000</v>
      </c>
      <c r="E1358" s="201">
        <v>45658</v>
      </c>
      <c r="F1358" s="200" t="s">
        <v>296</v>
      </c>
      <c r="G1358" s="200" t="s">
        <v>1362</v>
      </c>
      <c r="H1358" s="200" t="s">
        <v>567</v>
      </c>
    </row>
    <row r="1359" spans="1:8" ht="15" customHeight="1">
      <c r="A1359" s="199">
        <v>45686</v>
      </c>
      <c r="B1359" s="202" t="s">
        <v>1404</v>
      </c>
      <c r="C1359" s="200" t="s">
        <v>204</v>
      </c>
      <c r="D1359" s="204">
        <v>-966000</v>
      </c>
      <c r="E1359" s="201">
        <v>45658</v>
      </c>
      <c r="F1359" s="200" t="s">
        <v>256</v>
      </c>
      <c r="G1359" s="200" t="s">
        <v>256</v>
      </c>
      <c r="H1359" s="200" t="s">
        <v>9</v>
      </c>
    </row>
    <row r="1360" spans="1:8" ht="15" customHeight="1">
      <c r="A1360" s="199">
        <v>45686</v>
      </c>
      <c r="B1360" s="202" t="s">
        <v>1405</v>
      </c>
      <c r="C1360" s="200" t="s">
        <v>204</v>
      </c>
      <c r="D1360" s="204">
        <v>-20900.009999999998</v>
      </c>
      <c r="E1360" s="201">
        <v>45658</v>
      </c>
      <c r="F1360" s="200" t="s">
        <v>256</v>
      </c>
      <c r="G1360" s="200" t="s">
        <v>107</v>
      </c>
      <c r="H1360" s="200" t="s">
        <v>275</v>
      </c>
    </row>
    <row r="1361" spans="1:9" ht="15" customHeight="1">
      <c r="A1361" s="199">
        <v>45686</v>
      </c>
      <c r="B1361" s="202" t="s">
        <v>1406</v>
      </c>
      <c r="C1361" s="200" t="s">
        <v>204</v>
      </c>
      <c r="D1361" s="204">
        <v>-7900</v>
      </c>
      <c r="E1361" s="201">
        <v>45658</v>
      </c>
      <c r="F1361" s="200" t="s">
        <v>256</v>
      </c>
      <c r="G1361" s="200" t="s">
        <v>256</v>
      </c>
      <c r="H1361" s="200" t="s">
        <v>9</v>
      </c>
    </row>
    <row r="1362" spans="1:9" ht="15" customHeight="1">
      <c r="A1362" s="199">
        <v>45686</v>
      </c>
      <c r="B1362" s="202" t="s">
        <v>1407</v>
      </c>
      <c r="C1362" s="200" t="s">
        <v>204</v>
      </c>
      <c r="D1362" s="204">
        <v>-7900</v>
      </c>
      <c r="E1362" s="201">
        <v>45658</v>
      </c>
      <c r="F1362" s="200" t="s">
        <v>256</v>
      </c>
      <c r="G1362" s="200" t="s">
        <v>256</v>
      </c>
      <c r="H1362" s="200" t="s">
        <v>9</v>
      </c>
    </row>
    <row r="1363" spans="1:9" ht="15" customHeight="1">
      <c r="A1363" s="199">
        <v>45686</v>
      </c>
      <c r="B1363" s="202" t="s">
        <v>1408</v>
      </c>
      <c r="C1363" s="200" t="s">
        <v>204</v>
      </c>
      <c r="D1363" s="204">
        <v>-20016</v>
      </c>
      <c r="E1363" s="201">
        <v>45658</v>
      </c>
      <c r="F1363" s="200" t="s">
        <v>256</v>
      </c>
      <c r="G1363" s="200" t="s">
        <v>256</v>
      </c>
      <c r="H1363" s="200" t="s">
        <v>269</v>
      </c>
    </row>
    <row r="1364" spans="1:9" ht="15" customHeight="1">
      <c r="A1364" s="199">
        <v>45686</v>
      </c>
      <c r="B1364" s="202" t="s">
        <v>1409</v>
      </c>
      <c r="C1364" s="200" t="s">
        <v>204</v>
      </c>
      <c r="D1364" s="204">
        <v>-20000</v>
      </c>
      <c r="E1364" s="201">
        <v>45658</v>
      </c>
      <c r="F1364" s="200" t="s">
        <v>256</v>
      </c>
      <c r="G1364" s="200" t="s">
        <v>256</v>
      </c>
      <c r="H1364" s="200" t="s">
        <v>269</v>
      </c>
    </row>
    <row r="1365" spans="1:9" ht="15" customHeight="1">
      <c r="A1365" s="199">
        <v>45686</v>
      </c>
      <c r="B1365" s="202" t="s">
        <v>1410</v>
      </c>
      <c r="C1365" s="200" t="s">
        <v>204</v>
      </c>
      <c r="D1365" s="204">
        <v>-43955.38</v>
      </c>
      <c r="E1365" s="201">
        <v>45658</v>
      </c>
      <c r="F1365" s="200" t="s">
        <v>256</v>
      </c>
      <c r="G1365" s="200" t="s">
        <v>107</v>
      </c>
      <c r="H1365" s="200" t="s">
        <v>275</v>
      </c>
    </row>
    <row r="1366" spans="1:9" ht="15" customHeight="1">
      <c r="A1366" s="199">
        <v>45686</v>
      </c>
      <c r="B1366" s="202" t="s">
        <v>1411</v>
      </c>
      <c r="C1366" s="200" t="s">
        <v>204</v>
      </c>
      <c r="D1366" s="204">
        <v>-20098.810000000001</v>
      </c>
      <c r="E1366" s="201">
        <v>45658</v>
      </c>
      <c r="F1366" s="200" t="s">
        <v>256</v>
      </c>
      <c r="G1366" s="200" t="s">
        <v>256</v>
      </c>
      <c r="H1366" s="200" t="s">
        <v>269</v>
      </c>
    </row>
    <row r="1367" spans="1:9" ht="15" customHeight="1">
      <c r="A1367" s="199">
        <v>45686</v>
      </c>
      <c r="B1367" s="202" t="s">
        <v>1412</v>
      </c>
      <c r="C1367" s="200" t="s">
        <v>204</v>
      </c>
      <c r="D1367" s="204">
        <v>-35441.94</v>
      </c>
      <c r="E1367" s="201">
        <v>45658</v>
      </c>
      <c r="F1367" s="200" t="s">
        <v>256</v>
      </c>
      <c r="G1367" s="200" t="s">
        <v>256</v>
      </c>
      <c r="H1367" s="200" t="s">
        <v>269</v>
      </c>
    </row>
    <row r="1368" spans="1:9" ht="15" customHeight="1">
      <c r="A1368" s="199">
        <v>45686</v>
      </c>
      <c r="B1368" s="202" t="s">
        <v>1413</v>
      </c>
      <c r="C1368" s="200" t="s">
        <v>204</v>
      </c>
      <c r="D1368" s="204">
        <v>-40201</v>
      </c>
      <c r="E1368" s="201">
        <v>45658</v>
      </c>
      <c r="F1368" s="200" t="s">
        <v>256</v>
      </c>
      <c r="G1368" s="200" t="s">
        <v>107</v>
      </c>
      <c r="H1368" s="200" t="s">
        <v>275</v>
      </c>
    </row>
    <row r="1369" spans="1:9" ht="15" customHeight="1">
      <c r="A1369" s="199">
        <v>45686</v>
      </c>
      <c r="B1369" s="202" t="s">
        <v>1414</v>
      </c>
      <c r="C1369" s="200" t="s">
        <v>204</v>
      </c>
      <c r="D1369" s="204">
        <v>-747831.04</v>
      </c>
      <c r="E1369" s="201">
        <v>45658</v>
      </c>
      <c r="F1369" s="200" t="s">
        <v>256</v>
      </c>
      <c r="G1369" s="200" t="s">
        <v>256</v>
      </c>
      <c r="H1369" s="200" t="s">
        <v>9</v>
      </c>
    </row>
    <row r="1370" spans="1:9" ht="15" customHeight="1">
      <c r="A1370" s="199">
        <v>45686</v>
      </c>
      <c r="B1370" s="202" t="s">
        <v>1415</v>
      </c>
      <c r="C1370" s="200" t="s">
        <v>204</v>
      </c>
      <c r="D1370" s="204">
        <v>-164195</v>
      </c>
      <c r="E1370" s="201">
        <v>45658</v>
      </c>
      <c r="F1370" s="200" t="s">
        <v>256</v>
      </c>
      <c r="G1370" s="200" t="s">
        <v>256</v>
      </c>
      <c r="H1370" s="200" t="s">
        <v>266</v>
      </c>
    </row>
    <row r="1371" spans="1:9" ht="15" customHeight="1">
      <c r="A1371" s="199">
        <v>45688</v>
      </c>
      <c r="B1371" s="202" t="s">
        <v>1416</v>
      </c>
      <c r="C1371" s="200" t="s">
        <v>307</v>
      </c>
      <c r="D1371" s="204">
        <v>-49000</v>
      </c>
      <c r="E1371" s="201">
        <v>45658</v>
      </c>
      <c r="F1371" s="200" t="s">
        <v>296</v>
      </c>
      <c r="G1371" s="200" t="s">
        <v>328</v>
      </c>
      <c r="H1371" s="200" t="s">
        <v>268</v>
      </c>
    </row>
    <row r="1372" spans="1:9" ht="15" customHeight="1">
      <c r="A1372" s="199">
        <v>45688</v>
      </c>
      <c r="B1372" s="202" t="s">
        <v>1416</v>
      </c>
      <c r="C1372" s="200" t="s">
        <v>307</v>
      </c>
      <c r="D1372" s="204">
        <v>-94000</v>
      </c>
      <c r="E1372" s="201">
        <v>45658</v>
      </c>
      <c r="F1372" s="200" t="s">
        <v>296</v>
      </c>
      <c r="G1372" s="200" t="s">
        <v>482</v>
      </c>
      <c r="H1372" s="200" t="s">
        <v>268</v>
      </c>
      <c r="I1372" s="648" t="s">
        <v>329</v>
      </c>
    </row>
    <row r="1373" spans="1:9" ht="15" customHeight="1">
      <c r="A1373" s="199">
        <v>45688</v>
      </c>
      <c r="B1373" s="202" t="s">
        <v>1416</v>
      </c>
      <c r="C1373" s="200" t="s">
        <v>307</v>
      </c>
      <c r="D1373" s="204">
        <v>-7000</v>
      </c>
      <c r="E1373" s="201">
        <v>45658</v>
      </c>
      <c r="F1373" s="200" t="s">
        <v>296</v>
      </c>
      <c r="G1373" s="200" t="s">
        <v>44</v>
      </c>
      <c r="H1373" s="200" t="s">
        <v>442</v>
      </c>
    </row>
    <row r="1374" spans="1:9" ht="15" customHeight="1">
      <c r="A1374" s="199">
        <v>45688</v>
      </c>
      <c r="B1374" s="202" t="s">
        <v>1416</v>
      </c>
      <c r="C1374" s="200" t="s">
        <v>307</v>
      </c>
      <c r="D1374" s="204">
        <v>-91000</v>
      </c>
      <c r="E1374" s="201">
        <v>45658</v>
      </c>
      <c r="F1374" s="200" t="s">
        <v>296</v>
      </c>
      <c r="G1374" s="531" t="s">
        <v>392</v>
      </c>
      <c r="H1374" s="200" t="s">
        <v>268</v>
      </c>
      <c r="I1374" s="648" t="s">
        <v>329</v>
      </c>
    </row>
    <row r="1375" spans="1:9" ht="15" customHeight="1">
      <c r="A1375" s="199">
        <v>45688</v>
      </c>
      <c r="B1375" s="202" t="s">
        <v>1416</v>
      </c>
      <c r="C1375" s="200" t="s">
        <v>307</v>
      </c>
      <c r="D1375" s="204">
        <v>-28000</v>
      </c>
      <c r="E1375" s="201">
        <v>45658</v>
      </c>
      <c r="F1375" s="200" t="s">
        <v>256</v>
      </c>
      <c r="G1375" s="200" t="s">
        <v>256</v>
      </c>
      <c r="H1375" s="200" t="s">
        <v>268</v>
      </c>
    </row>
    <row r="1376" spans="1:9" ht="15" customHeight="1">
      <c r="A1376" s="199">
        <v>45688</v>
      </c>
      <c r="B1376" s="202" t="s">
        <v>1416</v>
      </c>
      <c r="C1376" s="200" t="s">
        <v>307</v>
      </c>
      <c r="D1376" s="204">
        <v>-49000</v>
      </c>
      <c r="E1376" s="201">
        <v>45658</v>
      </c>
      <c r="F1376" s="200" t="s">
        <v>296</v>
      </c>
      <c r="G1376" s="200" t="s">
        <v>522</v>
      </c>
      <c r="H1376" s="200" t="s">
        <v>442</v>
      </c>
    </row>
    <row r="1377" spans="1:9" ht="15" customHeight="1">
      <c r="A1377" s="199">
        <v>45688</v>
      </c>
      <c r="B1377" s="202" t="s">
        <v>1416</v>
      </c>
      <c r="C1377" s="200" t="s">
        <v>307</v>
      </c>
      <c r="D1377" s="204">
        <v>-63000</v>
      </c>
      <c r="E1377" s="201">
        <v>45658</v>
      </c>
      <c r="F1377" s="200" t="s">
        <v>296</v>
      </c>
      <c r="G1377" s="200" t="s">
        <v>337</v>
      </c>
      <c r="H1377" s="200" t="s">
        <v>326</v>
      </c>
    </row>
    <row r="1378" spans="1:9" ht="15" customHeight="1">
      <c r="A1378" s="199">
        <v>45688</v>
      </c>
      <c r="B1378" s="202" t="s">
        <v>1416</v>
      </c>
      <c r="C1378" s="200" t="s">
        <v>307</v>
      </c>
      <c r="D1378" s="204">
        <v>-107688</v>
      </c>
      <c r="E1378" s="201">
        <v>45658</v>
      </c>
      <c r="F1378" s="200" t="s">
        <v>297</v>
      </c>
      <c r="G1378" s="200" t="s">
        <v>311</v>
      </c>
      <c r="H1378" s="200" t="s">
        <v>268</v>
      </c>
    </row>
    <row r="1379" spans="1:9" ht="15" customHeight="1">
      <c r="A1379" s="199">
        <v>45688</v>
      </c>
      <c r="B1379" s="202" t="s">
        <v>1416</v>
      </c>
      <c r="C1379" s="200" t="s">
        <v>307</v>
      </c>
      <c r="D1379" s="204">
        <v>-51000</v>
      </c>
      <c r="E1379" s="201">
        <v>45658</v>
      </c>
      <c r="F1379" s="200" t="s">
        <v>296</v>
      </c>
      <c r="G1379" s="200" t="s">
        <v>43</v>
      </c>
      <c r="H1379" s="200" t="s">
        <v>268</v>
      </c>
      <c r="I1379" s="648" t="s">
        <v>329</v>
      </c>
    </row>
    <row r="1380" spans="1:9" ht="15" customHeight="1">
      <c r="A1380" s="199">
        <v>45688</v>
      </c>
      <c r="B1380" s="202" t="s">
        <v>1416</v>
      </c>
      <c r="C1380" s="200" t="s">
        <v>307</v>
      </c>
      <c r="D1380" s="204">
        <v>-7000</v>
      </c>
      <c r="E1380" s="201">
        <v>45658</v>
      </c>
      <c r="F1380" s="200" t="s">
        <v>296</v>
      </c>
      <c r="G1380" s="200" t="s">
        <v>341</v>
      </c>
      <c r="H1380" s="200" t="s">
        <v>268</v>
      </c>
    </row>
    <row r="1381" spans="1:9" ht="15" customHeight="1">
      <c r="A1381" s="199">
        <v>45688</v>
      </c>
      <c r="B1381" s="202" t="s">
        <v>1416</v>
      </c>
      <c r="C1381" s="200" t="s">
        <v>307</v>
      </c>
      <c r="D1381" s="204">
        <v>-14000</v>
      </c>
      <c r="E1381" s="201">
        <v>45658</v>
      </c>
      <c r="F1381" s="200" t="s">
        <v>297</v>
      </c>
      <c r="G1381" s="200" t="s">
        <v>75</v>
      </c>
      <c r="H1381" s="200" t="s">
        <v>268</v>
      </c>
      <c r="I1381" s="648" t="s">
        <v>329</v>
      </c>
    </row>
    <row r="1382" spans="1:9" ht="15" customHeight="1">
      <c r="A1382" s="199">
        <v>45688</v>
      </c>
      <c r="B1382" s="202" t="s">
        <v>1416</v>
      </c>
      <c r="C1382" s="200" t="s">
        <v>307</v>
      </c>
      <c r="D1382" s="204">
        <v>-12000</v>
      </c>
      <c r="E1382" s="201">
        <v>45658</v>
      </c>
      <c r="F1382" s="200" t="s">
        <v>256</v>
      </c>
      <c r="G1382" s="200" t="s">
        <v>107</v>
      </c>
      <c r="H1382" s="531" t="s">
        <v>277</v>
      </c>
    </row>
    <row r="1383" spans="1:9" ht="15" customHeight="1">
      <c r="A1383" s="199">
        <v>45688</v>
      </c>
      <c r="B1383" s="202" t="s">
        <v>1417</v>
      </c>
      <c r="C1383" s="200" t="s">
        <v>372</v>
      </c>
      <c r="D1383" s="204">
        <v>-5820</v>
      </c>
      <c r="E1383" s="201">
        <v>45658</v>
      </c>
      <c r="F1383" s="200" t="s">
        <v>297</v>
      </c>
      <c r="G1383" s="200" t="s">
        <v>311</v>
      </c>
      <c r="H1383" s="200" t="s">
        <v>268</v>
      </c>
    </row>
    <row r="1384" spans="1:9" ht="15" customHeight="1">
      <c r="A1384" s="199">
        <v>45688</v>
      </c>
      <c r="B1384" s="202" t="s">
        <v>1418</v>
      </c>
      <c r="C1384" s="200" t="s">
        <v>372</v>
      </c>
      <c r="D1384" s="204">
        <v>-3492</v>
      </c>
      <c r="E1384" s="201">
        <v>45658</v>
      </c>
      <c r="F1384" s="200" t="s">
        <v>297</v>
      </c>
      <c r="G1384" s="200" t="s">
        <v>311</v>
      </c>
      <c r="H1384" s="200" t="s">
        <v>268</v>
      </c>
      <c r="I1384" s="648" t="s">
        <v>329</v>
      </c>
    </row>
    <row r="1385" spans="1:9" ht="15" customHeight="1">
      <c r="A1385" s="199">
        <v>45678</v>
      </c>
      <c r="B1385" s="202" t="s">
        <v>1419</v>
      </c>
      <c r="C1385" s="200" t="s">
        <v>307</v>
      </c>
      <c r="D1385" s="204">
        <v>-110000</v>
      </c>
      <c r="E1385" s="201">
        <v>45658</v>
      </c>
      <c r="F1385" s="200" t="s">
        <v>256</v>
      </c>
      <c r="G1385" s="200" t="s">
        <v>107</v>
      </c>
      <c r="H1385" s="200" t="s">
        <v>277</v>
      </c>
      <c r="I1385" s="200" t="s">
        <v>1420</v>
      </c>
    </row>
    <row r="1386" spans="1:9" ht="15" customHeight="1">
      <c r="A1386" s="199">
        <v>45679</v>
      </c>
      <c r="B1386" s="202" t="s">
        <v>498</v>
      </c>
      <c r="C1386" s="200" t="s">
        <v>307</v>
      </c>
      <c r="D1386" s="204">
        <v>-15000</v>
      </c>
      <c r="E1386" s="201">
        <v>45658</v>
      </c>
      <c r="F1386" s="200" t="s">
        <v>256</v>
      </c>
      <c r="G1386" s="200" t="s">
        <v>107</v>
      </c>
      <c r="H1386" s="200" t="s">
        <v>277</v>
      </c>
      <c r="I1386" s="200" t="s">
        <v>1420</v>
      </c>
    </row>
    <row r="1387" spans="1:9" ht="15" customHeight="1">
      <c r="A1387" s="199">
        <v>45680</v>
      </c>
      <c r="B1387" s="202" t="s">
        <v>498</v>
      </c>
      <c r="C1387" s="200" t="s">
        <v>307</v>
      </c>
      <c r="D1387" s="204">
        <v>-10000</v>
      </c>
      <c r="E1387" s="201">
        <v>45658</v>
      </c>
      <c r="F1387" s="200" t="s">
        <v>256</v>
      </c>
      <c r="G1387" s="200" t="s">
        <v>107</v>
      </c>
      <c r="H1387" s="200" t="s">
        <v>277</v>
      </c>
      <c r="I1387" s="200" t="s">
        <v>1420</v>
      </c>
    </row>
    <row r="1388" spans="1:9" ht="15" customHeight="1">
      <c r="A1388" s="199">
        <v>45681</v>
      </c>
      <c r="B1388" s="202" t="s">
        <v>498</v>
      </c>
      <c r="C1388" s="200" t="s">
        <v>307</v>
      </c>
      <c r="D1388" s="204">
        <v>-10000</v>
      </c>
      <c r="E1388" s="201">
        <v>45658</v>
      </c>
      <c r="F1388" s="200" t="s">
        <v>256</v>
      </c>
      <c r="G1388" s="200" t="s">
        <v>107</v>
      </c>
      <c r="H1388" s="200" t="s">
        <v>277</v>
      </c>
      <c r="I1388" s="200" t="s">
        <v>1420</v>
      </c>
    </row>
    <row r="1389" spans="1:9" ht="15" customHeight="1">
      <c r="A1389" s="199">
        <v>45681</v>
      </c>
      <c r="B1389" s="202" t="s">
        <v>1419</v>
      </c>
      <c r="C1389" s="200" t="s">
        <v>307</v>
      </c>
      <c r="D1389" s="204">
        <v>-27500</v>
      </c>
      <c r="E1389" s="201">
        <v>45658</v>
      </c>
      <c r="F1389" s="200" t="s">
        <v>256</v>
      </c>
      <c r="G1389" s="200" t="s">
        <v>107</v>
      </c>
      <c r="H1389" s="200" t="s">
        <v>277</v>
      </c>
      <c r="I1389" s="200" t="s">
        <v>1420</v>
      </c>
    </row>
    <row r="1390" spans="1:9" ht="15" customHeight="1">
      <c r="A1390" s="199">
        <v>45681</v>
      </c>
      <c r="B1390" s="202" t="s">
        <v>1419</v>
      </c>
      <c r="C1390" s="200" t="s">
        <v>307</v>
      </c>
      <c r="D1390" s="204">
        <v>-20000</v>
      </c>
      <c r="E1390" s="201">
        <v>45658</v>
      </c>
      <c r="F1390" s="200" t="s">
        <v>256</v>
      </c>
      <c r="G1390" s="200" t="s">
        <v>107</v>
      </c>
      <c r="H1390" s="200" t="s">
        <v>277</v>
      </c>
      <c r="I1390" s="200" t="s">
        <v>1420</v>
      </c>
    </row>
    <row r="1391" spans="1:9" ht="15" customHeight="1">
      <c r="A1391" s="199">
        <v>45687</v>
      </c>
      <c r="B1391" s="202" t="s">
        <v>1421</v>
      </c>
      <c r="C1391" s="200" t="s">
        <v>307</v>
      </c>
      <c r="D1391" s="204">
        <v>-30000</v>
      </c>
      <c r="E1391" s="201">
        <v>45658</v>
      </c>
      <c r="F1391" s="200" t="s">
        <v>256</v>
      </c>
      <c r="G1391" s="200" t="s">
        <v>256</v>
      </c>
      <c r="H1391" s="200" t="s">
        <v>9</v>
      </c>
    </row>
    <row r="1392" spans="1:9" ht="15" customHeight="1">
      <c r="A1392" s="199">
        <v>45688</v>
      </c>
      <c r="B1392" s="202" t="s">
        <v>1422</v>
      </c>
      <c r="C1392" s="200" t="s">
        <v>136</v>
      </c>
      <c r="D1392" s="204">
        <v>-836886</v>
      </c>
      <c r="E1392" s="201">
        <v>45658</v>
      </c>
      <c r="F1392" s="200" t="s">
        <v>296</v>
      </c>
      <c r="G1392" s="200" t="s">
        <v>337</v>
      </c>
      <c r="H1392" s="200" t="s">
        <v>429</v>
      </c>
    </row>
    <row r="1393" spans="1:8" ht="15" customHeight="1">
      <c r="A1393" s="199">
        <v>45688</v>
      </c>
      <c r="B1393" s="202" t="s">
        <v>1423</v>
      </c>
      <c r="C1393" s="200" t="s">
        <v>136</v>
      </c>
      <c r="D1393" s="204">
        <v>1107055</v>
      </c>
      <c r="E1393" s="201">
        <v>45658</v>
      </c>
      <c r="F1393" s="200" t="s">
        <v>296</v>
      </c>
      <c r="G1393" s="200" t="s">
        <v>522</v>
      </c>
      <c r="H1393" s="200" t="s">
        <v>1213</v>
      </c>
    </row>
    <row r="1394" spans="1:8" ht="15" customHeight="1">
      <c r="A1394" s="199">
        <v>45688</v>
      </c>
      <c r="B1394" s="202" t="s">
        <v>1383</v>
      </c>
      <c r="C1394" s="200" t="s">
        <v>136</v>
      </c>
      <c r="D1394" s="204">
        <v>704489</v>
      </c>
      <c r="E1394" s="201">
        <v>45658</v>
      </c>
      <c r="F1394" s="200" t="s">
        <v>296</v>
      </c>
      <c r="G1394" s="200" t="s">
        <v>522</v>
      </c>
      <c r="H1394" s="200" t="s">
        <v>1213</v>
      </c>
    </row>
    <row r="1395" spans="1:8" ht="15" customHeight="1">
      <c r="A1395" s="199">
        <v>45688</v>
      </c>
      <c r="B1395" s="202" t="s">
        <v>1424</v>
      </c>
      <c r="C1395" s="200" t="s">
        <v>136</v>
      </c>
      <c r="D1395" s="204">
        <v>-500000</v>
      </c>
      <c r="E1395" s="201">
        <v>45658</v>
      </c>
      <c r="F1395" s="200" t="s">
        <v>296</v>
      </c>
      <c r="G1395" s="200" t="s">
        <v>522</v>
      </c>
    </row>
    <row r="1396" spans="1:8" ht="15" customHeight="1">
      <c r="A1396" s="199">
        <v>45688</v>
      </c>
      <c r="B1396" s="202" t="s">
        <v>1425</v>
      </c>
      <c r="C1396" s="200" t="s">
        <v>136</v>
      </c>
      <c r="D1396" s="204">
        <v>500000</v>
      </c>
      <c r="E1396" s="201">
        <v>45658</v>
      </c>
      <c r="F1396" s="200" t="s">
        <v>296</v>
      </c>
      <c r="G1396" s="200" t="s">
        <v>522</v>
      </c>
    </row>
    <row r="1397" spans="1:8" ht="15" customHeight="1">
      <c r="A1397" s="199">
        <v>45688</v>
      </c>
      <c r="B1397" s="202" t="s">
        <v>1426</v>
      </c>
      <c r="C1397" s="200" t="s">
        <v>136</v>
      </c>
      <c r="D1397" s="658">
        <v>-704489</v>
      </c>
      <c r="E1397" s="201">
        <v>45658</v>
      </c>
      <c r="F1397" s="200" t="s">
        <v>296</v>
      </c>
      <c r="G1397" s="200" t="s">
        <v>337</v>
      </c>
      <c r="H1397" s="200" t="s">
        <v>429</v>
      </c>
    </row>
    <row r="1398" spans="1:8" ht="15" customHeight="1">
      <c r="A1398" s="199">
        <v>45688</v>
      </c>
      <c r="B1398" s="202" t="s">
        <v>1427</v>
      </c>
      <c r="C1398" s="200" t="s">
        <v>136</v>
      </c>
      <c r="D1398" s="658">
        <v>-704489</v>
      </c>
      <c r="E1398" s="201">
        <v>45658</v>
      </c>
      <c r="F1398" s="200" t="s">
        <v>296</v>
      </c>
      <c r="G1398" s="200" t="s">
        <v>522</v>
      </c>
      <c r="H1398" s="200" t="s">
        <v>1213</v>
      </c>
    </row>
    <row r="1399" spans="1:8" ht="15" customHeight="1">
      <c r="A1399" s="199">
        <v>45688</v>
      </c>
      <c r="B1399" s="202" t="s">
        <v>1428</v>
      </c>
      <c r="C1399" s="200" t="s">
        <v>136</v>
      </c>
      <c r="D1399" s="658">
        <v>-553527</v>
      </c>
      <c r="E1399" s="201">
        <v>45658</v>
      </c>
      <c r="F1399" s="200" t="s">
        <v>256</v>
      </c>
      <c r="G1399" s="200" t="s">
        <v>256</v>
      </c>
      <c r="H1399" s="200" t="s">
        <v>121</v>
      </c>
    </row>
    <row r="1400" spans="1:8" ht="15" customHeight="1">
      <c r="A1400" s="199">
        <v>45688</v>
      </c>
      <c r="B1400" s="202" t="s">
        <v>1429</v>
      </c>
      <c r="C1400" s="200" t="s">
        <v>136</v>
      </c>
      <c r="D1400" s="658">
        <v>-1012000</v>
      </c>
      <c r="E1400" s="201">
        <v>45658</v>
      </c>
      <c r="F1400" s="200" t="s">
        <v>296</v>
      </c>
      <c r="G1400" s="200" t="s">
        <v>44</v>
      </c>
      <c r="H1400" s="200" t="s">
        <v>338</v>
      </c>
    </row>
    <row r="1401" spans="1:8" ht="15" customHeight="1">
      <c r="A1401" s="199">
        <v>45688</v>
      </c>
      <c r="B1401" s="202" t="s">
        <v>1430</v>
      </c>
      <c r="C1401" s="200" t="s">
        <v>136</v>
      </c>
      <c r="D1401" s="658">
        <v>-1012000</v>
      </c>
      <c r="E1401" s="201">
        <v>45658</v>
      </c>
      <c r="F1401" s="200" t="s">
        <v>296</v>
      </c>
      <c r="G1401" s="200" t="s">
        <v>522</v>
      </c>
      <c r="H1401" s="200" t="s">
        <v>338</v>
      </c>
    </row>
    <row r="1402" spans="1:8" ht="15" customHeight="1">
      <c r="A1402" s="199">
        <v>45688</v>
      </c>
      <c r="B1402" s="202" t="s">
        <v>1431</v>
      </c>
      <c r="C1402" s="200" t="s">
        <v>136</v>
      </c>
      <c r="D1402" s="658">
        <v>-852133</v>
      </c>
      <c r="E1402" s="201">
        <v>45658</v>
      </c>
      <c r="F1402" s="200" t="s">
        <v>256</v>
      </c>
      <c r="G1402" s="200" t="s">
        <v>107</v>
      </c>
      <c r="H1402" s="200" t="s">
        <v>121</v>
      </c>
    </row>
    <row r="1403" spans="1:8" ht="15" customHeight="1">
      <c r="A1403" s="199">
        <v>45688</v>
      </c>
      <c r="B1403" s="202" t="s">
        <v>1432</v>
      </c>
      <c r="C1403" s="200" t="s">
        <v>136</v>
      </c>
      <c r="D1403" s="658">
        <v>-704489</v>
      </c>
      <c r="E1403" s="201">
        <v>45658</v>
      </c>
      <c r="F1403" s="200" t="s">
        <v>296</v>
      </c>
      <c r="G1403" s="200" t="s">
        <v>522</v>
      </c>
      <c r="H1403" s="200" t="s">
        <v>1213</v>
      </c>
    </row>
    <row r="1404" spans="1:8" ht="15" customHeight="1">
      <c r="A1404" s="199">
        <v>45688</v>
      </c>
      <c r="B1404" s="202" t="s">
        <v>1433</v>
      </c>
      <c r="C1404" s="200" t="s">
        <v>136</v>
      </c>
      <c r="D1404" s="658">
        <v>-704489</v>
      </c>
      <c r="E1404" s="201">
        <v>45658</v>
      </c>
      <c r="F1404" s="200" t="s">
        <v>296</v>
      </c>
      <c r="G1404" s="200" t="s">
        <v>337</v>
      </c>
      <c r="H1404" s="200" t="s">
        <v>429</v>
      </c>
    </row>
    <row r="1405" spans="1:8" ht="15" customHeight="1">
      <c r="A1405" s="199">
        <v>45688</v>
      </c>
      <c r="B1405" s="202" t="s">
        <v>1434</v>
      </c>
      <c r="C1405" s="200" t="s">
        <v>136</v>
      </c>
      <c r="D1405" s="658">
        <v>-704489</v>
      </c>
      <c r="E1405" s="201">
        <v>45658</v>
      </c>
      <c r="F1405" s="200" t="s">
        <v>296</v>
      </c>
      <c r="G1405" s="200" t="s">
        <v>522</v>
      </c>
      <c r="H1405" s="200" t="s">
        <v>1213</v>
      </c>
    </row>
    <row r="1406" spans="1:8" ht="15" customHeight="1">
      <c r="A1406" s="199">
        <v>45688</v>
      </c>
      <c r="B1406" s="202" t="s">
        <v>1435</v>
      </c>
      <c r="C1406" s="200" t="s">
        <v>136</v>
      </c>
      <c r="D1406" s="658">
        <v>-704489</v>
      </c>
      <c r="E1406" s="201">
        <v>45658</v>
      </c>
      <c r="F1406" s="200" t="s">
        <v>296</v>
      </c>
      <c r="G1406" s="200" t="s">
        <v>522</v>
      </c>
      <c r="H1406" s="200" t="s">
        <v>1213</v>
      </c>
    </row>
    <row r="1407" spans="1:8" ht="15" customHeight="1">
      <c r="A1407" s="199">
        <v>45688</v>
      </c>
      <c r="B1407" s="202" t="s">
        <v>1436</v>
      </c>
      <c r="C1407" s="200" t="s">
        <v>136</v>
      </c>
      <c r="D1407" s="658">
        <v>-704489</v>
      </c>
      <c r="E1407" s="201">
        <v>45658</v>
      </c>
      <c r="F1407" s="200" t="s">
        <v>296</v>
      </c>
      <c r="G1407" s="200" t="s">
        <v>522</v>
      </c>
      <c r="H1407" s="200" t="s">
        <v>1213</v>
      </c>
    </row>
    <row r="1408" spans="1:8" ht="15" customHeight="1">
      <c r="A1408" s="199">
        <v>45688</v>
      </c>
      <c r="B1408" s="202" t="s">
        <v>1437</v>
      </c>
      <c r="C1408" s="200" t="s">
        <v>136</v>
      </c>
      <c r="D1408" s="658">
        <v>-704489</v>
      </c>
      <c r="E1408" s="201">
        <v>45658</v>
      </c>
      <c r="F1408" s="200" t="s">
        <v>296</v>
      </c>
      <c r="G1408" s="200" t="s">
        <v>337</v>
      </c>
      <c r="H1408" s="200" t="s">
        <v>429</v>
      </c>
    </row>
    <row r="1409" spans="1:9" ht="15" customHeight="1">
      <c r="A1409" s="199">
        <v>45688</v>
      </c>
      <c r="B1409" s="202" t="s">
        <v>1438</v>
      </c>
      <c r="C1409" s="200" t="s">
        <v>136</v>
      </c>
      <c r="D1409" s="658">
        <v>-704489</v>
      </c>
      <c r="E1409" s="201">
        <v>45658</v>
      </c>
      <c r="F1409" s="200" t="s">
        <v>296</v>
      </c>
      <c r="G1409" s="200" t="s">
        <v>44</v>
      </c>
      <c r="H1409" s="200" t="s">
        <v>429</v>
      </c>
    </row>
    <row r="1410" spans="1:9" ht="15" customHeight="1">
      <c r="A1410" s="199">
        <v>45688</v>
      </c>
      <c r="B1410" s="202" t="s">
        <v>1439</v>
      </c>
      <c r="C1410" s="200" t="s">
        <v>136</v>
      </c>
      <c r="D1410" s="658">
        <v>-704489</v>
      </c>
      <c r="E1410" s="201">
        <v>45658</v>
      </c>
      <c r="F1410" s="200" t="s">
        <v>296</v>
      </c>
      <c r="G1410" s="200" t="s">
        <v>522</v>
      </c>
      <c r="H1410" s="200" t="s">
        <v>1213</v>
      </c>
    </row>
    <row r="1411" spans="1:9" ht="15" customHeight="1">
      <c r="A1411" s="199">
        <v>45688</v>
      </c>
      <c r="B1411" s="202" t="s">
        <v>1440</v>
      </c>
      <c r="C1411" s="200" t="s">
        <v>136</v>
      </c>
      <c r="D1411" s="658">
        <v>-704489</v>
      </c>
      <c r="E1411" s="201">
        <v>45658</v>
      </c>
      <c r="F1411" s="200" t="s">
        <v>296</v>
      </c>
      <c r="G1411" s="200" t="s">
        <v>337</v>
      </c>
      <c r="H1411" s="200" t="s">
        <v>429</v>
      </c>
    </row>
    <row r="1412" spans="1:9" ht="15" customHeight="1">
      <c r="A1412" s="199">
        <v>45688</v>
      </c>
      <c r="B1412" s="202" t="s">
        <v>1441</v>
      </c>
      <c r="C1412" s="200" t="s">
        <v>136</v>
      </c>
      <c r="D1412" s="658">
        <v>-704489</v>
      </c>
      <c r="E1412" s="201">
        <v>45658</v>
      </c>
      <c r="F1412" s="200" t="s">
        <v>296</v>
      </c>
      <c r="G1412" s="200" t="s">
        <v>522</v>
      </c>
      <c r="H1412" s="200" t="s">
        <v>1213</v>
      </c>
    </row>
    <row r="1413" spans="1:9" ht="15" customHeight="1">
      <c r="A1413" s="199">
        <v>45688</v>
      </c>
      <c r="B1413" s="202" t="s">
        <v>1442</v>
      </c>
      <c r="C1413" s="200" t="s">
        <v>136</v>
      </c>
      <c r="D1413" s="658">
        <v>-704489</v>
      </c>
      <c r="E1413" s="201">
        <v>45658</v>
      </c>
      <c r="F1413" s="200" t="s">
        <v>296</v>
      </c>
      <c r="G1413" s="200" t="s">
        <v>522</v>
      </c>
      <c r="H1413" s="200" t="s">
        <v>1213</v>
      </c>
    </row>
    <row r="1414" spans="1:9" ht="15" customHeight="1">
      <c r="A1414" s="199">
        <v>45688</v>
      </c>
      <c r="B1414" s="202" t="s">
        <v>1443</v>
      </c>
      <c r="C1414" s="200" t="s">
        <v>136</v>
      </c>
      <c r="D1414" s="658">
        <v>-704489</v>
      </c>
      <c r="E1414" s="201">
        <v>45658</v>
      </c>
      <c r="F1414" s="200" t="s">
        <v>296</v>
      </c>
      <c r="G1414" s="200" t="s">
        <v>337</v>
      </c>
      <c r="H1414" s="200" t="s">
        <v>429</v>
      </c>
    </row>
    <row r="1415" spans="1:9" ht="15" customHeight="1">
      <c r="A1415" s="199">
        <v>45688</v>
      </c>
      <c r="B1415" s="202" t="s">
        <v>1444</v>
      </c>
      <c r="C1415" s="200" t="s">
        <v>136</v>
      </c>
      <c r="D1415" s="658">
        <v>-704489</v>
      </c>
      <c r="E1415" s="201">
        <v>45658</v>
      </c>
      <c r="F1415" s="200" t="s">
        <v>296</v>
      </c>
      <c r="G1415" s="200" t="s">
        <v>337</v>
      </c>
      <c r="H1415" s="200" t="s">
        <v>429</v>
      </c>
    </row>
    <row r="1416" spans="1:9" ht="15" customHeight="1">
      <c r="A1416" s="199">
        <v>45688</v>
      </c>
      <c r="B1416" s="202" t="s">
        <v>1445</v>
      </c>
      <c r="C1416" s="200" t="s">
        <v>136</v>
      </c>
      <c r="D1416" s="658">
        <v>-704489</v>
      </c>
      <c r="E1416" s="201">
        <v>45658</v>
      </c>
      <c r="F1416" s="200" t="s">
        <v>296</v>
      </c>
      <c r="G1416" s="200" t="s">
        <v>522</v>
      </c>
      <c r="H1416" s="200" t="s">
        <v>1213</v>
      </c>
    </row>
    <row r="1417" spans="1:9" ht="15" customHeight="1">
      <c r="A1417" s="199">
        <v>45688</v>
      </c>
      <c r="B1417" s="202" t="s">
        <v>1446</v>
      </c>
      <c r="C1417" s="200" t="s">
        <v>136</v>
      </c>
      <c r="D1417" s="658">
        <v>-704489</v>
      </c>
      <c r="E1417" s="201">
        <v>45658</v>
      </c>
      <c r="F1417" s="200" t="s">
        <v>296</v>
      </c>
      <c r="G1417" s="200" t="s">
        <v>44</v>
      </c>
      <c r="H1417" s="200" t="s">
        <v>429</v>
      </c>
    </row>
    <row r="1418" spans="1:9" ht="15" customHeight="1">
      <c r="A1418" s="199">
        <v>45688</v>
      </c>
      <c r="B1418" s="202" t="s">
        <v>1447</v>
      </c>
      <c r="C1418" s="200" t="s">
        <v>136</v>
      </c>
      <c r="D1418" s="658">
        <v>-704489</v>
      </c>
      <c r="E1418" s="201">
        <v>45658</v>
      </c>
      <c r="F1418" s="200" t="s">
        <v>296</v>
      </c>
      <c r="G1418" s="200" t="s">
        <v>44</v>
      </c>
      <c r="H1418" s="200" t="s">
        <v>429</v>
      </c>
    </row>
    <row r="1419" spans="1:9" ht="15" customHeight="1">
      <c r="A1419" s="199">
        <v>45688</v>
      </c>
      <c r="B1419" s="202" t="s">
        <v>1448</v>
      </c>
      <c r="C1419" s="200" t="s">
        <v>136</v>
      </c>
      <c r="D1419" s="658">
        <v>-704489</v>
      </c>
      <c r="E1419" s="201">
        <v>45658</v>
      </c>
      <c r="F1419" s="200" t="s">
        <v>296</v>
      </c>
      <c r="G1419" s="200" t="s">
        <v>44</v>
      </c>
      <c r="H1419" s="200" t="s">
        <v>429</v>
      </c>
    </row>
    <row r="1420" spans="1:9" ht="15" customHeight="1">
      <c r="A1420" s="199">
        <v>45688</v>
      </c>
      <c r="B1420" s="202" t="s">
        <v>1449</v>
      </c>
      <c r="C1420" s="200" t="s">
        <v>136</v>
      </c>
      <c r="D1420" s="658">
        <v>-994933</v>
      </c>
      <c r="E1420" s="201">
        <v>45658</v>
      </c>
      <c r="F1420" s="200" t="s">
        <v>296</v>
      </c>
      <c r="G1420" s="200" t="s">
        <v>44</v>
      </c>
      <c r="H1420" s="200" t="s">
        <v>429</v>
      </c>
    </row>
    <row r="1421" spans="1:9" ht="15" customHeight="1">
      <c r="A1421" s="199">
        <v>45688</v>
      </c>
      <c r="B1421" s="202" t="s">
        <v>1450</v>
      </c>
      <c r="C1421" s="200" t="s">
        <v>136</v>
      </c>
      <c r="D1421" s="658">
        <v>-754810</v>
      </c>
      <c r="E1421" s="201">
        <v>45658</v>
      </c>
      <c r="F1421" s="200" t="s">
        <v>296</v>
      </c>
      <c r="G1421" s="200" t="s">
        <v>44</v>
      </c>
      <c r="H1421" s="200" t="s">
        <v>429</v>
      </c>
      <c r="I1421" s="648" t="s">
        <v>329</v>
      </c>
    </row>
    <row r="1422" spans="1:9" ht="15" customHeight="1">
      <c r="A1422" s="199">
        <v>45688</v>
      </c>
      <c r="B1422" s="202" t="s">
        <v>1451</v>
      </c>
      <c r="C1422" s="200" t="s">
        <v>136</v>
      </c>
      <c r="D1422" s="658">
        <v>-1107055</v>
      </c>
      <c r="E1422" s="201">
        <v>45658</v>
      </c>
      <c r="F1422" s="200" t="s">
        <v>296</v>
      </c>
      <c r="G1422" s="200" t="s">
        <v>522</v>
      </c>
      <c r="H1422" s="200" t="s">
        <v>1213</v>
      </c>
    </row>
    <row r="1423" spans="1:9" ht="15" customHeight="1">
      <c r="A1423" s="199">
        <v>45688</v>
      </c>
      <c r="B1423" s="202" t="s">
        <v>1452</v>
      </c>
      <c r="C1423" s="200" t="s">
        <v>136</v>
      </c>
      <c r="D1423" s="658">
        <v>-754810</v>
      </c>
      <c r="E1423" s="201">
        <v>45658</v>
      </c>
      <c r="F1423" s="200" t="s">
        <v>296</v>
      </c>
      <c r="G1423" s="200" t="s">
        <v>522</v>
      </c>
      <c r="H1423" s="200" t="s">
        <v>1213</v>
      </c>
    </row>
    <row r="1424" spans="1:9" ht="15" customHeight="1">
      <c r="A1424" s="199">
        <v>45688</v>
      </c>
      <c r="B1424" s="202" t="s">
        <v>1453</v>
      </c>
      <c r="C1424" s="200" t="s">
        <v>136</v>
      </c>
      <c r="D1424" s="658">
        <v>-276000</v>
      </c>
      <c r="E1424" s="201">
        <v>45658</v>
      </c>
      <c r="F1424" s="200" t="s">
        <v>296</v>
      </c>
      <c r="G1424" s="200" t="s">
        <v>1362</v>
      </c>
      <c r="H1424" s="200" t="s">
        <v>567</v>
      </c>
    </row>
    <row r="1425" spans="1:9" ht="15" customHeight="1">
      <c r="A1425" s="199">
        <v>45688</v>
      </c>
      <c r="B1425" s="202" t="s">
        <v>1454</v>
      </c>
      <c r="C1425" s="200" t="s">
        <v>136</v>
      </c>
      <c r="D1425" s="658">
        <v>-308800</v>
      </c>
      <c r="E1425" s="201">
        <v>45658</v>
      </c>
      <c r="F1425" s="200" t="s">
        <v>256</v>
      </c>
      <c r="G1425" s="200" t="s">
        <v>256</v>
      </c>
      <c r="H1425" s="200" t="s">
        <v>121</v>
      </c>
    </row>
    <row r="1426" spans="1:9" ht="15" customHeight="1">
      <c r="A1426" s="199">
        <v>45688</v>
      </c>
      <c r="B1426" s="202" t="s">
        <v>1455</v>
      </c>
      <c r="C1426" s="200" t="s">
        <v>136</v>
      </c>
      <c r="D1426" s="658">
        <v>-552000</v>
      </c>
      <c r="E1426" s="201">
        <v>45658</v>
      </c>
      <c r="F1426" s="200" t="s">
        <v>296</v>
      </c>
      <c r="G1426" s="200" t="s">
        <v>1362</v>
      </c>
      <c r="H1426" s="200" t="s">
        <v>567</v>
      </c>
      <c r="I1426" s="648" t="s">
        <v>329</v>
      </c>
    </row>
    <row r="1427" spans="1:9" ht="15" customHeight="1">
      <c r="A1427" s="199">
        <v>45688</v>
      </c>
      <c r="B1427" s="202" t="s">
        <v>1456</v>
      </c>
      <c r="C1427" s="200" t="s">
        <v>136</v>
      </c>
      <c r="D1427" s="204">
        <v>-456000</v>
      </c>
      <c r="E1427" s="201">
        <v>45658</v>
      </c>
      <c r="F1427" s="200" t="s">
        <v>256</v>
      </c>
      <c r="G1427" s="200" t="s">
        <v>256</v>
      </c>
      <c r="H1427" s="200" t="s">
        <v>121</v>
      </c>
    </row>
    <row r="1428" spans="1:9" ht="15" customHeight="1">
      <c r="A1428" s="199">
        <v>45688</v>
      </c>
      <c r="B1428" s="202" t="s">
        <v>1457</v>
      </c>
      <c r="C1428" s="531" t="s">
        <v>204</v>
      </c>
      <c r="D1428" s="649">
        <v>-1340250</v>
      </c>
      <c r="E1428" s="532">
        <v>45658</v>
      </c>
      <c r="F1428" s="200" t="s">
        <v>315</v>
      </c>
    </row>
    <row r="1429" spans="1:9" ht="15" customHeight="1">
      <c r="A1429" s="199">
        <v>45688</v>
      </c>
      <c r="B1429" s="202" t="s">
        <v>1457</v>
      </c>
      <c r="C1429" s="200" t="s">
        <v>204</v>
      </c>
      <c r="D1429" s="204">
        <f>-3658733-75922</f>
        <v>-3734655</v>
      </c>
      <c r="E1429" s="532">
        <v>45658</v>
      </c>
      <c r="F1429" s="200" t="s">
        <v>298</v>
      </c>
    </row>
    <row r="1430" spans="1:9" ht="15" customHeight="1">
      <c r="A1430" s="199">
        <v>45688</v>
      </c>
      <c r="B1430" s="202" t="s">
        <v>1458</v>
      </c>
      <c r="C1430" s="531" t="s">
        <v>398</v>
      </c>
      <c r="D1430" s="204">
        <v>-153120</v>
      </c>
      <c r="E1430" s="532">
        <v>45658</v>
      </c>
      <c r="F1430" s="200" t="s">
        <v>256</v>
      </c>
      <c r="G1430" s="200" t="s">
        <v>107</v>
      </c>
      <c r="H1430" s="200" t="s">
        <v>277</v>
      </c>
    </row>
    <row r="1431" spans="1:9" ht="15" customHeight="1">
      <c r="A1431" s="199">
        <v>45688</v>
      </c>
      <c r="B1431" s="202" t="s">
        <v>1459</v>
      </c>
      <c r="C1431" s="531" t="s">
        <v>398</v>
      </c>
      <c r="D1431" s="204">
        <v>-39300</v>
      </c>
      <c r="E1431" s="532">
        <v>45658</v>
      </c>
      <c r="F1431" s="200" t="s">
        <v>256</v>
      </c>
      <c r="G1431" s="200" t="s">
        <v>107</v>
      </c>
      <c r="H1431" s="200" t="s">
        <v>277</v>
      </c>
    </row>
    <row r="1432" spans="1:9" ht="15" customHeight="1">
      <c r="A1432" s="199">
        <v>45688</v>
      </c>
      <c r="B1432" s="202" t="s">
        <v>1460</v>
      </c>
      <c r="C1432" s="200" t="s">
        <v>314</v>
      </c>
      <c r="D1432" s="204">
        <v>1584375</v>
      </c>
      <c r="E1432" s="201">
        <v>45658</v>
      </c>
      <c r="F1432" s="200" t="s">
        <v>256</v>
      </c>
      <c r="G1432" s="200" t="s">
        <v>256</v>
      </c>
    </row>
    <row r="1433" spans="1:9" ht="15" customHeight="1">
      <c r="A1433" s="199">
        <v>45688</v>
      </c>
      <c r="B1433" s="202" t="s">
        <v>1461</v>
      </c>
      <c r="C1433" s="200" t="s">
        <v>314</v>
      </c>
      <c r="D1433" s="204">
        <v>2978625</v>
      </c>
      <c r="E1433" s="201">
        <v>45658</v>
      </c>
      <c r="F1433" s="200" t="s">
        <v>256</v>
      </c>
      <c r="G1433" s="200" t="s">
        <v>256</v>
      </c>
    </row>
    <row r="1434" spans="1:9" ht="15" customHeight="1">
      <c r="A1434" s="199">
        <v>45688</v>
      </c>
      <c r="B1434" s="202" t="s">
        <v>1462</v>
      </c>
      <c r="C1434" s="200" t="s">
        <v>314</v>
      </c>
      <c r="D1434" s="204">
        <v>5006625</v>
      </c>
      <c r="E1434" s="201">
        <v>45658</v>
      </c>
      <c r="F1434" s="200" t="s">
        <v>256</v>
      </c>
      <c r="G1434" s="200" t="s">
        <v>256</v>
      </c>
    </row>
    <row r="1435" spans="1:9" s="643" customFormat="1" ht="15" customHeight="1">
      <c r="A1435" s="640">
        <v>45678</v>
      </c>
      <c r="B1435" s="641" t="s">
        <v>501</v>
      </c>
      <c r="C1435" s="641" t="s">
        <v>136</v>
      </c>
      <c r="D1435" s="642">
        <v>-40000</v>
      </c>
      <c r="E1435" s="644">
        <v>45689</v>
      </c>
      <c r="F1435" s="641" t="s">
        <v>296</v>
      </c>
      <c r="G1435" s="641" t="s">
        <v>341</v>
      </c>
      <c r="H1435" s="641" t="s">
        <v>342</v>
      </c>
      <c r="I1435" s="641" t="s">
        <v>1463</v>
      </c>
    </row>
    <row r="1436" spans="1:9" ht="15" customHeight="1">
      <c r="A1436" s="199">
        <v>45678</v>
      </c>
      <c r="B1436" s="202" t="s">
        <v>1464</v>
      </c>
      <c r="C1436" s="200" t="s">
        <v>136</v>
      </c>
      <c r="D1436" s="642">
        <v>-218500</v>
      </c>
      <c r="E1436" s="201">
        <v>45689</v>
      </c>
      <c r="F1436" s="200" t="s">
        <v>296</v>
      </c>
      <c r="G1436" s="200" t="s">
        <v>341</v>
      </c>
      <c r="H1436" s="200" t="s">
        <v>350</v>
      </c>
      <c r="I1436" s="200" t="s">
        <v>1463</v>
      </c>
    </row>
    <row r="1437" spans="1:9" ht="15" customHeight="1">
      <c r="A1437" s="199">
        <v>45678</v>
      </c>
      <c r="B1437" s="202" t="s">
        <v>1465</v>
      </c>
      <c r="C1437" s="200" t="s">
        <v>136</v>
      </c>
      <c r="D1437" s="642">
        <v>-40000</v>
      </c>
      <c r="E1437" s="201">
        <v>45689</v>
      </c>
      <c r="F1437" s="200" t="s">
        <v>296</v>
      </c>
      <c r="G1437" s="200" t="s">
        <v>341</v>
      </c>
      <c r="H1437" s="200" t="s">
        <v>342</v>
      </c>
      <c r="I1437" s="200" t="s">
        <v>1463</v>
      </c>
    </row>
    <row r="1438" spans="1:9" ht="15" customHeight="1">
      <c r="A1438" s="199">
        <v>45678</v>
      </c>
      <c r="B1438" s="202" t="s">
        <v>1466</v>
      </c>
      <c r="C1438" s="200" t="s">
        <v>136</v>
      </c>
      <c r="D1438" s="642">
        <v>-15000</v>
      </c>
      <c r="E1438" s="201">
        <v>45689</v>
      </c>
      <c r="F1438" s="200" t="s">
        <v>296</v>
      </c>
      <c r="G1438" s="200" t="s">
        <v>341</v>
      </c>
      <c r="H1438" s="200" t="s">
        <v>342</v>
      </c>
      <c r="I1438" s="200" t="s">
        <v>1463</v>
      </c>
    </row>
    <row r="1439" spans="1:9" ht="15" customHeight="1">
      <c r="A1439" s="199">
        <v>45678</v>
      </c>
      <c r="B1439" s="202" t="s">
        <v>1467</v>
      </c>
      <c r="C1439" s="200" t="s">
        <v>136</v>
      </c>
      <c r="D1439" s="642">
        <v>-13390</v>
      </c>
      <c r="E1439" s="201">
        <v>45689</v>
      </c>
      <c r="F1439" s="200" t="s">
        <v>296</v>
      </c>
      <c r="G1439" s="200" t="s">
        <v>341</v>
      </c>
      <c r="H1439" s="200" t="s">
        <v>342</v>
      </c>
      <c r="I1439" s="200" t="s">
        <v>1463</v>
      </c>
    </row>
    <row r="1440" spans="1:9" ht="15" customHeight="1">
      <c r="A1440" s="199">
        <v>45678</v>
      </c>
      <c r="B1440" s="202" t="s">
        <v>1468</v>
      </c>
      <c r="C1440" s="200" t="s">
        <v>136</v>
      </c>
      <c r="D1440" s="642">
        <v>-80000</v>
      </c>
      <c r="E1440" s="201">
        <v>45689</v>
      </c>
      <c r="F1440" s="200" t="s">
        <v>296</v>
      </c>
      <c r="G1440" s="200" t="s">
        <v>341</v>
      </c>
      <c r="H1440" s="200" t="s">
        <v>346</v>
      </c>
      <c r="I1440" s="200" t="s">
        <v>1463</v>
      </c>
    </row>
    <row r="1441" spans="1:9" ht="15" customHeight="1">
      <c r="A1441" s="199">
        <v>45678</v>
      </c>
      <c r="B1441" s="202" t="s">
        <v>1469</v>
      </c>
      <c r="C1441" s="200" t="s">
        <v>136</v>
      </c>
      <c r="D1441" s="642">
        <v>-48000</v>
      </c>
      <c r="E1441" s="201">
        <v>45689</v>
      </c>
      <c r="F1441" s="200" t="s">
        <v>296</v>
      </c>
      <c r="G1441" s="200" t="s">
        <v>341</v>
      </c>
      <c r="H1441" s="200" t="s">
        <v>342</v>
      </c>
      <c r="I1441" s="200" t="s">
        <v>1463</v>
      </c>
    </row>
    <row r="1442" spans="1:9" ht="15" customHeight="1">
      <c r="A1442" s="199">
        <v>45678</v>
      </c>
      <c r="B1442" s="202" t="s">
        <v>1470</v>
      </c>
      <c r="C1442" s="200" t="s">
        <v>136</v>
      </c>
      <c r="D1442" s="642">
        <v>-29900</v>
      </c>
      <c r="E1442" s="201">
        <v>45689</v>
      </c>
      <c r="F1442" s="200" t="s">
        <v>296</v>
      </c>
      <c r="G1442" s="200" t="s">
        <v>341</v>
      </c>
      <c r="H1442" s="200" t="s">
        <v>342</v>
      </c>
      <c r="I1442" s="200" t="s">
        <v>1463</v>
      </c>
    </row>
    <row r="1443" spans="1:9" ht="15" customHeight="1">
      <c r="A1443" s="199">
        <v>45679</v>
      </c>
      <c r="B1443" s="202" t="s">
        <v>501</v>
      </c>
      <c r="C1443" s="200" t="s">
        <v>136</v>
      </c>
      <c r="D1443" s="642">
        <v>-46000</v>
      </c>
      <c r="E1443" s="201">
        <v>45689</v>
      </c>
      <c r="F1443" s="200" t="s">
        <v>296</v>
      </c>
      <c r="G1443" s="200" t="s">
        <v>341</v>
      </c>
      <c r="H1443" s="200" t="s">
        <v>342</v>
      </c>
      <c r="I1443" s="200" t="s">
        <v>1463</v>
      </c>
    </row>
    <row r="1444" spans="1:9" ht="15" customHeight="1">
      <c r="A1444" s="199">
        <v>45679</v>
      </c>
      <c r="B1444" s="202" t="s">
        <v>1471</v>
      </c>
      <c r="C1444" s="200" t="s">
        <v>136</v>
      </c>
      <c r="D1444" s="642">
        <v>-144000</v>
      </c>
      <c r="E1444" s="201">
        <v>45689</v>
      </c>
      <c r="F1444" s="200" t="s">
        <v>296</v>
      </c>
      <c r="G1444" s="200" t="s">
        <v>341</v>
      </c>
      <c r="H1444" s="200" t="s">
        <v>350</v>
      </c>
      <c r="I1444" s="200" t="s">
        <v>1463</v>
      </c>
    </row>
    <row r="1445" spans="1:9" ht="15" customHeight="1">
      <c r="A1445" s="199">
        <v>45679</v>
      </c>
      <c r="B1445" s="202" t="s">
        <v>1472</v>
      </c>
      <c r="C1445" s="200" t="s">
        <v>136</v>
      </c>
      <c r="D1445" s="642">
        <v>-11500</v>
      </c>
      <c r="E1445" s="201">
        <v>45689</v>
      </c>
      <c r="F1445" s="200" t="s">
        <v>296</v>
      </c>
      <c r="G1445" s="200" t="s">
        <v>341</v>
      </c>
      <c r="H1445" s="200" t="s">
        <v>350</v>
      </c>
      <c r="I1445" s="200" t="s">
        <v>1463</v>
      </c>
    </row>
    <row r="1446" spans="1:9" ht="15" customHeight="1">
      <c r="A1446" s="199">
        <v>45679</v>
      </c>
      <c r="B1446" s="202" t="s">
        <v>1473</v>
      </c>
      <c r="C1446" s="200" t="s">
        <v>136</v>
      </c>
      <c r="D1446" s="642">
        <v>-50000</v>
      </c>
      <c r="E1446" s="201">
        <v>45689</v>
      </c>
      <c r="F1446" s="200" t="s">
        <v>296</v>
      </c>
      <c r="G1446" s="200" t="s">
        <v>341</v>
      </c>
      <c r="H1446" s="200" t="s">
        <v>342</v>
      </c>
      <c r="I1446" s="200" t="s">
        <v>1463</v>
      </c>
    </row>
    <row r="1447" spans="1:9" ht="15" customHeight="1">
      <c r="A1447" s="199">
        <v>45679</v>
      </c>
      <c r="B1447" s="202" t="s">
        <v>356</v>
      </c>
      <c r="C1447" s="200" t="s">
        <v>136</v>
      </c>
      <c r="D1447" s="642">
        <v>-31900</v>
      </c>
      <c r="E1447" s="201">
        <v>45689</v>
      </c>
      <c r="F1447" s="200" t="s">
        <v>296</v>
      </c>
      <c r="G1447" s="200" t="s">
        <v>341</v>
      </c>
      <c r="H1447" s="200" t="s">
        <v>268</v>
      </c>
      <c r="I1447" s="200" t="s">
        <v>1463</v>
      </c>
    </row>
    <row r="1448" spans="1:9" ht="15" customHeight="1">
      <c r="A1448" s="199">
        <v>45679</v>
      </c>
      <c r="B1448" s="202" t="s">
        <v>503</v>
      </c>
      <c r="C1448" s="200" t="s">
        <v>136</v>
      </c>
      <c r="D1448" s="642">
        <v>-31900</v>
      </c>
      <c r="E1448" s="201">
        <v>45689</v>
      </c>
      <c r="F1448" s="200" t="s">
        <v>296</v>
      </c>
      <c r="G1448" s="200" t="s">
        <v>341</v>
      </c>
      <c r="H1448" s="200" t="s">
        <v>268</v>
      </c>
      <c r="I1448" s="200" t="s">
        <v>1463</v>
      </c>
    </row>
    <row r="1449" spans="1:9" ht="15" customHeight="1">
      <c r="A1449" s="199">
        <v>45679</v>
      </c>
      <c r="B1449" s="202" t="s">
        <v>1474</v>
      </c>
      <c r="C1449" s="200" t="s">
        <v>136</v>
      </c>
      <c r="D1449" s="642">
        <v>-32000</v>
      </c>
      <c r="E1449" s="201">
        <v>45689</v>
      </c>
      <c r="F1449" s="200" t="s">
        <v>296</v>
      </c>
      <c r="G1449" s="200" t="s">
        <v>341</v>
      </c>
      <c r="H1449" s="200" t="s">
        <v>342</v>
      </c>
      <c r="I1449" s="200" t="s">
        <v>1463</v>
      </c>
    </row>
    <row r="1450" spans="1:9" ht="15" customHeight="1">
      <c r="A1450" s="199">
        <v>45679</v>
      </c>
      <c r="B1450" s="202" t="s">
        <v>1475</v>
      </c>
      <c r="C1450" s="200" t="s">
        <v>136</v>
      </c>
      <c r="D1450" s="642">
        <v>-45002</v>
      </c>
      <c r="E1450" s="201">
        <v>45689</v>
      </c>
      <c r="F1450" s="200" t="s">
        <v>296</v>
      </c>
      <c r="G1450" s="200" t="s">
        <v>341</v>
      </c>
      <c r="H1450" s="200" t="s">
        <v>342</v>
      </c>
      <c r="I1450" s="200" t="s">
        <v>1463</v>
      </c>
    </row>
    <row r="1451" spans="1:9" ht="15" customHeight="1">
      <c r="A1451" s="199">
        <v>45680</v>
      </c>
      <c r="B1451" s="202" t="s">
        <v>501</v>
      </c>
      <c r="C1451" s="200" t="s">
        <v>136</v>
      </c>
      <c r="D1451" s="642">
        <v>-40000</v>
      </c>
      <c r="E1451" s="201">
        <v>45689</v>
      </c>
      <c r="F1451" s="200" t="s">
        <v>296</v>
      </c>
      <c r="G1451" s="200" t="s">
        <v>341</v>
      </c>
      <c r="H1451" s="200" t="s">
        <v>342</v>
      </c>
      <c r="I1451" s="200" t="s">
        <v>1463</v>
      </c>
    </row>
    <row r="1452" spans="1:9" ht="15" customHeight="1">
      <c r="A1452" s="199">
        <v>45680</v>
      </c>
      <c r="B1452" s="202" t="s">
        <v>1476</v>
      </c>
      <c r="C1452" s="200" t="s">
        <v>136</v>
      </c>
      <c r="D1452" s="642">
        <v>-36000</v>
      </c>
      <c r="E1452" s="201">
        <v>45689</v>
      </c>
      <c r="F1452" s="200" t="s">
        <v>296</v>
      </c>
      <c r="G1452" s="200" t="s">
        <v>341</v>
      </c>
      <c r="H1452" s="200" t="s">
        <v>342</v>
      </c>
      <c r="I1452" s="200" t="s">
        <v>1463</v>
      </c>
    </row>
    <row r="1453" spans="1:9" ht="15" customHeight="1">
      <c r="A1453" s="199">
        <v>45680</v>
      </c>
      <c r="B1453" s="202" t="s">
        <v>1477</v>
      </c>
      <c r="C1453" s="200" t="s">
        <v>136</v>
      </c>
      <c r="D1453" s="642">
        <v>-18300</v>
      </c>
      <c r="E1453" s="201">
        <v>45689</v>
      </c>
      <c r="F1453" s="200" t="s">
        <v>296</v>
      </c>
      <c r="G1453" s="200" t="s">
        <v>341</v>
      </c>
      <c r="H1453" s="200" t="s">
        <v>342</v>
      </c>
      <c r="I1453" s="200" t="s">
        <v>1463</v>
      </c>
    </row>
    <row r="1454" spans="1:9" ht="15" customHeight="1">
      <c r="A1454" s="199">
        <v>45680</v>
      </c>
      <c r="B1454" s="202" t="s">
        <v>340</v>
      </c>
      <c r="C1454" s="200" t="s">
        <v>136</v>
      </c>
      <c r="D1454" s="642">
        <v>-30000</v>
      </c>
      <c r="E1454" s="201">
        <v>45689</v>
      </c>
      <c r="F1454" s="200" t="s">
        <v>296</v>
      </c>
      <c r="G1454" s="200" t="s">
        <v>341</v>
      </c>
      <c r="H1454" s="200" t="s">
        <v>342</v>
      </c>
      <c r="I1454" s="200" t="s">
        <v>1463</v>
      </c>
    </row>
    <row r="1455" spans="1:9" ht="15" customHeight="1">
      <c r="A1455" s="199">
        <v>45680</v>
      </c>
      <c r="B1455" s="202" t="s">
        <v>1478</v>
      </c>
      <c r="C1455" s="200" t="s">
        <v>136</v>
      </c>
      <c r="D1455" s="642">
        <v>-34000</v>
      </c>
      <c r="E1455" s="201">
        <v>45689</v>
      </c>
      <c r="F1455" s="200" t="s">
        <v>296</v>
      </c>
      <c r="G1455" s="200" t="s">
        <v>341</v>
      </c>
      <c r="H1455" s="200" t="s">
        <v>342</v>
      </c>
      <c r="I1455" s="200" t="s">
        <v>1463</v>
      </c>
    </row>
    <row r="1456" spans="1:9" ht="15" customHeight="1">
      <c r="A1456" s="199">
        <v>45680</v>
      </c>
      <c r="B1456" s="202" t="s">
        <v>1475</v>
      </c>
      <c r="C1456" s="200" t="s">
        <v>136</v>
      </c>
      <c r="D1456" s="642">
        <v>-45176</v>
      </c>
      <c r="E1456" s="201">
        <v>45689</v>
      </c>
      <c r="F1456" s="200" t="s">
        <v>296</v>
      </c>
      <c r="G1456" s="200" t="s">
        <v>341</v>
      </c>
      <c r="H1456" s="200" t="s">
        <v>342</v>
      </c>
      <c r="I1456" s="200" t="s">
        <v>1463</v>
      </c>
    </row>
    <row r="1457" spans="1:9" ht="15" customHeight="1">
      <c r="A1457" s="199">
        <v>45680</v>
      </c>
      <c r="B1457" s="202" t="s">
        <v>1474</v>
      </c>
      <c r="C1457" s="200" t="s">
        <v>136</v>
      </c>
      <c r="D1457" s="642">
        <v>-36000</v>
      </c>
      <c r="E1457" s="201">
        <v>45689</v>
      </c>
      <c r="F1457" s="200" t="s">
        <v>296</v>
      </c>
      <c r="G1457" s="200" t="s">
        <v>341</v>
      </c>
      <c r="H1457" s="200" t="s">
        <v>342</v>
      </c>
      <c r="I1457" s="200" t="s">
        <v>1463</v>
      </c>
    </row>
    <row r="1458" spans="1:9" ht="15" customHeight="1">
      <c r="A1458" s="199">
        <v>45680</v>
      </c>
      <c r="B1458" s="202" t="s">
        <v>1479</v>
      </c>
      <c r="C1458" s="200" t="s">
        <v>136</v>
      </c>
      <c r="D1458" s="642">
        <v>-31900</v>
      </c>
      <c r="E1458" s="201">
        <v>45689</v>
      </c>
      <c r="F1458" s="200" t="s">
        <v>296</v>
      </c>
      <c r="G1458" s="200" t="s">
        <v>341</v>
      </c>
      <c r="H1458" s="200" t="s">
        <v>268</v>
      </c>
      <c r="I1458" s="200" t="s">
        <v>1463</v>
      </c>
    </row>
    <row r="1459" spans="1:9" ht="15" customHeight="1">
      <c r="A1459" s="199">
        <v>45681</v>
      </c>
      <c r="B1459" s="202" t="s">
        <v>501</v>
      </c>
      <c r="C1459" s="200" t="s">
        <v>136</v>
      </c>
      <c r="D1459" s="642">
        <v>-40000</v>
      </c>
      <c r="E1459" s="201">
        <v>45689</v>
      </c>
      <c r="F1459" s="200" t="s">
        <v>296</v>
      </c>
      <c r="G1459" s="200" t="s">
        <v>341</v>
      </c>
      <c r="H1459" s="200" t="s">
        <v>342</v>
      </c>
      <c r="I1459" s="200" t="s">
        <v>1463</v>
      </c>
    </row>
    <row r="1460" spans="1:9" ht="15" customHeight="1">
      <c r="A1460" s="199">
        <v>45681</v>
      </c>
      <c r="B1460" s="202" t="s">
        <v>1480</v>
      </c>
      <c r="C1460" s="200" t="s">
        <v>136</v>
      </c>
      <c r="D1460" s="642">
        <v>-51001</v>
      </c>
      <c r="E1460" s="201">
        <v>45689</v>
      </c>
      <c r="F1460" s="200" t="s">
        <v>296</v>
      </c>
      <c r="G1460" s="200" t="s">
        <v>341</v>
      </c>
      <c r="H1460" s="200" t="s">
        <v>350</v>
      </c>
      <c r="I1460" s="200" t="s">
        <v>1463</v>
      </c>
    </row>
    <row r="1461" spans="1:9" ht="15" customHeight="1">
      <c r="A1461" s="199">
        <v>45681</v>
      </c>
      <c r="B1461" s="202" t="s">
        <v>1481</v>
      </c>
      <c r="C1461" s="200" t="s">
        <v>136</v>
      </c>
      <c r="D1461" s="642">
        <v>-13500</v>
      </c>
      <c r="E1461" s="201">
        <v>45689</v>
      </c>
      <c r="F1461" s="200" t="s">
        <v>296</v>
      </c>
      <c r="G1461" s="200" t="s">
        <v>341</v>
      </c>
      <c r="H1461" s="200" t="s">
        <v>350</v>
      </c>
      <c r="I1461" s="200" t="s">
        <v>1463</v>
      </c>
    </row>
    <row r="1462" spans="1:9" ht="15" customHeight="1">
      <c r="A1462" s="199">
        <v>45681</v>
      </c>
      <c r="B1462" s="202" t="s">
        <v>1468</v>
      </c>
      <c r="C1462" s="200" t="s">
        <v>136</v>
      </c>
      <c r="D1462" s="642">
        <v>-80000</v>
      </c>
      <c r="E1462" s="201">
        <v>45689</v>
      </c>
      <c r="F1462" s="200" t="s">
        <v>296</v>
      </c>
      <c r="G1462" s="200" t="s">
        <v>341</v>
      </c>
      <c r="H1462" s="200" t="s">
        <v>346</v>
      </c>
      <c r="I1462" s="200" t="s">
        <v>1463</v>
      </c>
    </row>
    <row r="1463" spans="1:9" ht="15" customHeight="1">
      <c r="A1463" s="199">
        <v>45681</v>
      </c>
      <c r="B1463" s="202" t="s">
        <v>1473</v>
      </c>
      <c r="C1463" s="200" t="s">
        <v>136</v>
      </c>
      <c r="D1463" s="642">
        <v>-50000</v>
      </c>
      <c r="E1463" s="201">
        <v>45689</v>
      </c>
      <c r="F1463" s="200" t="s">
        <v>296</v>
      </c>
      <c r="G1463" s="200" t="s">
        <v>341</v>
      </c>
      <c r="H1463" s="200" t="s">
        <v>342</v>
      </c>
      <c r="I1463" s="200" t="s">
        <v>1463</v>
      </c>
    </row>
    <row r="1464" spans="1:9" ht="15" customHeight="1">
      <c r="A1464" s="199">
        <v>45681</v>
      </c>
      <c r="B1464" s="202" t="s">
        <v>1482</v>
      </c>
      <c r="C1464" s="200" t="s">
        <v>136</v>
      </c>
      <c r="D1464" s="642">
        <v>-41200</v>
      </c>
      <c r="E1464" s="201">
        <v>45689</v>
      </c>
      <c r="F1464" s="200" t="s">
        <v>296</v>
      </c>
      <c r="G1464" s="200" t="s">
        <v>341</v>
      </c>
      <c r="H1464" s="200" t="s">
        <v>350</v>
      </c>
      <c r="I1464" s="200" t="s">
        <v>1463</v>
      </c>
    </row>
    <row r="1465" spans="1:9" ht="15" customHeight="1">
      <c r="A1465" s="199">
        <v>45681</v>
      </c>
      <c r="B1465" s="202" t="s">
        <v>1479</v>
      </c>
      <c r="C1465" s="200" t="s">
        <v>136</v>
      </c>
      <c r="D1465" s="642">
        <v>-24977</v>
      </c>
      <c r="E1465" s="201">
        <v>45689</v>
      </c>
      <c r="F1465" s="200" t="s">
        <v>296</v>
      </c>
      <c r="G1465" s="200" t="s">
        <v>341</v>
      </c>
      <c r="H1465" s="200" t="s">
        <v>268</v>
      </c>
      <c r="I1465" s="200" t="s">
        <v>1463</v>
      </c>
    </row>
    <row r="1466" spans="1:9" ht="15" customHeight="1">
      <c r="A1466" s="199">
        <v>45681</v>
      </c>
      <c r="B1466" s="202" t="s">
        <v>356</v>
      </c>
      <c r="C1466" s="200" t="s">
        <v>136</v>
      </c>
      <c r="D1466" s="642">
        <v>-31974</v>
      </c>
      <c r="E1466" s="201">
        <v>45689</v>
      </c>
      <c r="F1466" s="200" t="s">
        <v>296</v>
      </c>
      <c r="G1466" s="200" t="s">
        <v>341</v>
      </c>
      <c r="H1466" s="200" t="s">
        <v>268</v>
      </c>
      <c r="I1466" s="200" t="s">
        <v>1463</v>
      </c>
    </row>
    <row r="1467" spans="1:9" ht="15" customHeight="1">
      <c r="A1467" s="199">
        <v>45681</v>
      </c>
      <c r="B1467" s="202" t="s">
        <v>1483</v>
      </c>
      <c r="C1467" s="200" t="s">
        <v>136</v>
      </c>
      <c r="D1467" s="642">
        <v>-19177</v>
      </c>
      <c r="E1467" s="201">
        <v>45689</v>
      </c>
      <c r="F1467" s="200" t="s">
        <v>296</v>
      </c>
      <c r="G1467" s="200" t="s">
        <v>341</v>
      </c>
      <c r="H1467" s="200" t="s">
        <v>342</v>
      </c>
      <c r="I1467" s="200" t="s">
        <v>1463</v>
      </c>
    </row>
    <row r="1468" spans="1:9" ht="15" customHeight="1">
      <c r="A1468" s="199">
        <v>45681</v>
      </c>
      <c r="B1468" s="202" t="s">
        <v>1484</v>
      </c>
      <c r="C1468" s="200" t="s">
        <v>136</v>
      </c>
      <c r="D1468" s="642">
        <v>-14990</v>
      </c>
      <c r="E1468" s="201">
        <v>45689</v>
      </c>
      <c r="F1468" s="200" t="s">
        <v>296</v>
      </c>
      <c r="G1468" s="200" t="s">
        <v>341</v>
      </c>
      <c r="H1468" s="200" t="s">
        <v>342</v>
      </c>
      <c r="I1468" s="200" t="s">
        <v>1463</v>
      </c>
    </row>
    <row r="1469" spans="1:9" ht="15" customHeight="1">
      <c r="A1469" s="199">
        <v>45681</v>
      </c>
      <c r="B1469" s="202" t="s">
        <v>1485</v>
      </c>
      <c r="C1469" s="200" t="s">
        <v>136</v>
      </c>
      <c r="D1469" s="642">
        <v>-28500</v>
      </c>
      <c r="E1469" s="201">
        <v>45689</v>
      </c>
      <c r="F1469" s="200" t="s">
        <v>296</v>
      </c>
      <c r="G1469" s="200" t="s">
        <v>341</v>
      </c>
      <c r="H1469" s="200" t="s">
        <v>342</v>
      </c>
      <c r="I1469" s="200" t="s">
        <v>1463</v>
      </c>
    </row>
    <row r="1470" spans="1:9" ht="15" customHeight="1">
      <c r="A1470" s="199">
        <v>45681</v>
      </c>
      <c r="B1470" s="202" t="s">
        <v>802</v>
      </c>
      <c r="C1470" s="200" t="s">
        <v>136</v>
      </c>
      <c r="D1470" s="642">
        <v>-20000</v>
      </c>
      <c r="E1470" s="201">
        <v>45689</v>
      </c>
      <c r="F1470" s="200" t="s">
        <v>296</v>
      </c>
      <c r="G1470" s="200" t="s">
        <v>341</v>
      </c>
      <c r="H1470" s="200" t="s">
        <v>268</v>
      </c>
      <c r="I1470" s="200" t="s">
        <v>1463</v>
      </c>
    </row>
    <row r="1471" spans="1:9" ht="15" customHeight="1">
      <c r="A1471" s="199">
        <v>45681</v>
      </c>
      <c r="B1471" s="202" t="s">
        <v>493</v>
      </c>
      <c r="C1471" s="200" t="s">
        <v>136</v>
      </c>
      <c r="D1471" s="642">
        <v>-20000</v>
      </c>
      <c r="E1471" s="201">
        <v>45689</v>
      </c>
      <c r="F1471" s="200" t="s">
        <v>296</v>
      </c>
      <c r="G1471" s="200" t="s">
        <v>341</v>
      </c>
      <c r="H1471" s="200" t="s">
        <v>268</v>
      </c>
      <c r="I1471" s="200" t="s">
        <v>1463</v>
      </c>
    </row>
    <row r="1472" spans="1:9" ht="15" customHeight="1">
      <c r="A1472" s="199">
        <v>45682</v>
      </c>
      <c r="B1472" s="202" t="s">
        <v>1486</v>
      </c>
      <c r="C1472" s="200" t="s">
        <v>136</v>
      </c>
      <c r="D1472" s="642">
        <v>-27250</v>
      </c>
      <c r="E1472" s="201">
        <v>45689</v>
      </c>
      <c r="F1472" s="200" t="s">
        <v>296</v>
      </c>
      <c r="G1472" s="200" t="s">
        <v>341</v>
      </c>
      <c r="H1472" s="200" t="s">
        <v>350</v>
      </c>
      <c r="I1472" s="200" t="s">
        <v>1463</v>
      </c>
    </row>
    <row r="1473" spans="1:9" ht="15" customHeight="1">
      <c r="A1473" s="199">
        <v>45670</v>
      </c>
      <c r="B1473" s="202" t="s">
        <v>1487</v>
      </c>
      <c r="C1473" s="200" t="s">
        <v>136</v>
      </c>
      <c r="D1473" s="642">
        <v>-20000</v>
      </c>
      <c r="E1473" s="201">
        <v>45689</v>
      </c>
      <c r="F1473" s="200" t="s">
        <v>296</v>
      </c>
      <c r="G1473" s="200" t="s">
        <v>1488</v>
      </c>
      <c r="H1473" s="200" t="s">
        <v>268</v>
      </c>
      <c r="I1473" s="200" t="s">
        <v>1489</v>
      </c>
    </row>
    <row r="1474" spans="1:9" ht="15" customHeight="1">
      <c r="A1474" s="199">
        <v>45670</v>
      </c>
      <c r="B1474" s="202" t="s">
        <v>1490</v>
      </c>
      <c r="C1474" s="200" t="s">
        <v>136</v>
      </c>
      <c r="D1474" s="642">
        <v>-20000</v>
      </c>
      <c r="E1474" s="201">
        <v>45689</v>
      </c>
      <c r="F1474" s="200" t="s">
        <v>296</v>
      </c>
      <c r="G1474" s="200" t="s">
        <v>1488</v>
      </c>
      <c r="H1474" s="200" t="s">
        <v>268</v>
      </c>
      <c r="I1474" s="200" t="s">
        <v>1489</v>
      </c>
    </row>
    <row r="1475" spans="1:9" ht="15" customHeight="1">
      <c r="A1475" s="199">
        <v>45673</v>
      </c>
      <c r="B1475" s="202" t="s">
        <v>1491</v>
      </c>
      <c r="C1475" s="200" t="s">
        <v>136</v>
      </c>
      <c r="D1475" s="642">
        <v>-297500</v>
      </c>
      <c r="E1475" s="201">
        <v>45689</v>
      </c>
      <c r="F1475" s="200" t="s">
        <v>256</v>
      </c>
      <c r="G1475" s="200" t="s">
        <v>107</v>
      </c>
      <c r="H1475" s="200" t="s">
        <v>9</v>
      </c>
      <c r="I1475" s="200" t="s">
        <v>1489</v>
      </c>
    </row>
    <row r="1476" spans="1:9" ht="15" customHeight="1">
      <c r="A1476" s="199">
        <v>45677</v>
      </c>
      <c r="B1476" s="202" t="s">
        <v>1492</v>
      </c>
      <c r="C1476" s="200" t="s">
        <v>136</v>
      </c>
      <c r="D1476" s="642">
        <v>-12500</v>
      </c>
      <c r="E1476" s="201">
        <v>45689</v>
      </c>
      <c r="F1476" s="200" t="s">
        <v>256</v>
      </c>
      <c r="G1476" s="200" t="s">
        <v>107</v>
      </c>
      <c r="H1476" s="200" t="s">
        <v>275</v>
      </c>
      <c r="I1476" s="200" t="s">
        <v>1489</v>
      </c>
    </row>
    <row r="1477" spans="1:9" ht="15" customHeight="1">
      <c r="A1477" s="199">
        <v>45677</v>
      </c>
      <c r="B1477" s="202" t="s">
        <v>1493</v>
      </c>
      <c r="C1477" s="200" t="s">
        <v>136</v>
      </c>
      <c r="D1477" s="642">
        <v>-40000</v>
      </c>
      <c r="E1477" s="201">
        <v>45689</v>
      </c>
      <c r="F1477" s="200" t="s">
        <v>256</v>
      </c>
      <c r="G1477" s="200" t="s">
        <v>107</v>
      </c>
      <c r="H1477" s="200" t="s">
        <v>275</v>
      </c>
      <c r="I1477" s="200" t="s">
        <v>1489</v>
      </c>
    </row>
    <row r="1478" spans="1:9" ht="15" customHeight="1">
      <c r="A1478" s="199">
        <v>45678</v>
      </c>
      <c r="B1478" s="202" t="s">
        <v>1494</v>
      </c>
      <c r="C1478" s="200" t="s">
        <v>136</v>
      </c>
      <c r="D1478" s="642">
        <v>-9500</v>
      </c>
      <c r="E1478" s="201">
        <v>45689</v>
      </c>
      <c r="F1478" s="200" t="s">
        <v>256</v>
      </c>
      <c r="G1478" s="200" t="s">
        <v>107</v>
      </c>
      <c r="H1478" s="200" t="s">
        <v>275</v>
      </c>
      <c r="I1478" s="200" t="s">
        <v>1489</v>
      </c>
    </row>
    <row r="1479" spans="1:9" ht="15" customHeight="1">
      <c r="A1479" s="199">
        <v>45678</v>
      </c>
      <c r="B1479" s="202" t="s">
        <v>1495</v>
      </c>
      <c r="C1479" s="200" t="s">
        <v>136</v>
      </c>
      <c r="D1479" s="642">
        <v>-22500</v>
      </c>
      <c r="E1479" s="201">
        <v>45689</v>
      </c>
      <c r="F1479" s="200" t="s">
        <v>256</v>
      </c>
      <c r="G1479" s="200" t="s">
        <v>107</v>
      </c>
      <c r="H1479" s="200" t="s">
        <v>275</v>
      </c>
      <c r="I1479" s="200" t="s">
        <v>1489</v>
      </c>
    </row>
    <row r="1480" spans="1:9" ht="15" customHeight="1">
      <c r="A1480" s="199">
        <v>45678</v>
      </c>
      <c r="B1480" s="202" t="s">
        <v>1496</v>
      </c>
      <c r="C1480" s="200" t="s">
        <v>136</v>
      </c>
      <c r="D1480" s="642">
        <v>-12500</v>
      </c>
      <c r="E1480" s="201">
        <v>45689</v>
      </c>
      <c r="F1480" s="200" t="s">
        <v>256</v>
      </c>
      <c r="G1480" s="200" t="s">
        <v>107</v>
      </c>
      <c r="H1480" s="200" t="s">
        <v>275</v>
      </c>
      <c r="I1480" s="200" t="s">
        <v>1489</v>
      </c>
    </row>
    <row r="1481" spans="1:9" ht="15" customHeight="1">
      <c r="A1481" s="199">
        <v>45678</v>
      </c>
      <c r="B1481" s="202" t="s">
        <v>1497</v>
      </c>
      <c r="C1481" s="200" t="s">
        <v>136</v>
      </c>
      <c r="D1481" s="642">
        <v>-8100</v>
      </c>
      <c r="E1481" s="201">
        <v>45689</v>
      </c>
      <c r="F1481" s="200" t="s">
        <v>256</v>
      </c>
      <c r="G1481" s="200" t="s">
        <v>107</v>
      </c>
      <c r="H1481" s="200" t="s">
        <v>275</v>
      </c>
      <c r="I1481" s="200" t="s">
        <v>1489</v>
      </c>
    </row>
    <row r="1482" spans="1:9" ht="15" customHeight="1">
      <c r="A1482" s="199">
        <v>45679</v>
      </c>
      <c r="B1482" s="202" t="s">
        <v>1498</v>
      </c>
      <c r="C1482" s="200" t="s">
        <v>136</v>
      </c>
      <c r="D1482" s="642">
        <v>-155100</v>
      </c>
      <c r="E1482" s="201">
        <v>45689</v>
      </c>
      <c r="F1482" s="200" t="s">
        <v>256</v>
      </c>
      <c r="G1482" s="200" t="s">
        <v>107</v>
      </c>
      <c r="H1482" s="200" t="s">
        <v>275</v>
      </c>
      <c r="I1482" s="200" t="s">
        <v>1489</v>
      </c>
    </row>
    <row r="1483" spans="1:9" ht="15" customHeight="1">
      <c r="A1483" s="199">
        <v>45679</v>
      </c>
      <c r="B1483" s="202" t="s">
        <v>1499</v>
      </c>
      <c r="C1483" s="200" t="s">
        <v>136</v>
      </c>
      <c r="D1483" s="642">
        <v>-40000</v>
      </c>
      <c r="E1483" s="201">
        <v>45689</v>
      </c>
      <c r="F1483" s="200" t="s">
        <v>256</v>
      </c>
      <c r="G1483" s="200" t="s">
        <v>107</v>
      </c>
      <c r="H1483" s="200" t="s">
        <v>275</v>
      </c>
      <c r="I1483" s="200" t="s">
        <v>1489</v>
      </c>
    </row>
    <row r="1484" spans="1:9" ht="15" customHeight="1">
      <c r="A1484" s="199">
        <v>45679</v>
      </c>
      <c r="B1484" s="202" t="s">
        <v>1500</v>
      </c>
      <c r="C1484" s="200" t="s">
        <v>136</v>
      </c>
      <c r="D1484" s="642">
        <v>-14900</v>
      </c>
      <c r="E1484" s="201">
        <v>45689</v>
      </c>
      <c r="F1484" s="200" t="s">
        <v>256</v>
      </c>
      <c r="G1484" s="200" t="s">
        <v>107</v>
      </c>
      <c r="H1484" s="200" t="s">
        <v>275</v>
      </c>
      <c r="I1484" s="200" t="s">
        <v>1489</v>
      </c>
    </row>
    <row r="1485" spans="1:9" ht="15" customHeight="1">
      <c r="A1485" s="199">
        <v>45680</v>
      </c>
      <c r="B1485" s="202" t="s">
        <v>1501</v>
      </c>
      <c r="C1485" s="200" t="s">
        <v>136</v>
      </c>
      <c r="D1485" s="642">
        <v>-52000</v>
      </c>
      <c r="E1485" s="201">
        <v>45689</v>
      </c>
      <c r="F1485" s="200" t="s">
        <v>256</v>
      </c>
      <c r="G1485" s="200" t="s">
        <v>107</v>
      </c>
      <c r="H1485" s="200" t="s">
        <v>275</v>
      </c>
      <c r="I1485" s="200" t="s">
        <v>1489</v>
      </c>
    </row>
    <row r="1486" spans="1:9" ht="15" customHeight="1">
      <c r="A1486" s="199">
        <v>45684</v>
      </c>
      <c r="B1486" s="202" t="s">
        <v>1502</v>
      </c>
      <c r="C1486" s="200" t="s">
        <v>136</v>
      </c>
      <c r="D1486" s="642">
        <v>-20000</v>
      </c>
      <c r="E1486" s="201">
        <v>45689</v>
      </c>
      <c r="F1486" s="200" t="s">
        <v>297</v>
      </c>
      <c r="G1486" s="200" t="s">
        <v>388</v>
      </c>
      <c r="H1486" s="200" t="s">
        <v>268</v>
      </c>
      <c r="I1486" s="200" t="s">
        <v>1489</v>
      </c>
    </row>
    <row r="1487" spans="1:9" ht="15" customHeight="1">
      <c r="A1487" s="199">
        <v>45684</v>
      </c>
      <c r="B1487" s="202" t="s">
        <v>1503</v>
      </c>
      <c r="C1487" s="200" t="s">
        <v>136</v>
      </c>
      <c r="D1487" s="642">
        <v>-8100</v>
      </c>
      <c r="E1487" s="201">
        <v>45689</v>
      </c>
      <c r="F1487" s="200" t="s">
        <v>297</v>
      </c>
      <c r="G1487" s="200" t="s">
        <v>388</v>
      </c>
      <c r="H1487" s="200" t="s">
        <v>268</v>
      </c>
      <c r="I1487" s="200" t="s">
        <v>1489</v>
      </c>
    </row>
    <row r="1488" spans="1:9" ht="15" customHeight="1">
      <c r="A1488" s="199">
        <v>45684</v>
      </c>
      <c r="B1488" s="202" t="s">
        <v>1504</v>
      </c>
      <c r="C1488" s="200" t="s">
        <v>136</v>
      </c>
      <c r="D1488" s="642">
        <v>-21500</v>
      </c>
      <c r="E1488" s="201">
        <v>45689</v>
      </c>
      <c r="F1488" s="200" t="s">
        <v>297</v>
      </c>
      <c r="G1488" s="200" t="s">
        <v>388</v>
      </c>
      <c r="H1488" s="200" t="s">
        <v>350</v>
      </c>
      <c r="I1488" s="200" t="s">
        <v>1489</v>
      </c>
    </row>
    <row r="1489" spans="1:9" ht="15" customHeight="1">
      <c r="A1489" s="199">
        <v>45684</v>
      </c>
      <c r="B1489" s="202" t="s">
        <v>1505</v>
      </c>
      <c r="C1489" s="200" t="s">
        <v>136</v>
      </c>
      <c r="D1489" s="642">
        <v>-12000</v>
      </c>
      <c r="E1489" s="201">
        <v>45689</v>
      </c>
      <c r="F1489" s="200" t="s">
        <v>297</v>
      </c>
      <c r="G1489" s="200" t="s">
        <v>388</v>
      </c>
      <c r="H1489" s="200" t="s">
        <v>342</v>
      </c>
      <c r="I1489" s="200" t="s">
        <v>1489</v>
      </c>
    </row>
    <row r="1490" spans="1:9" ht="15" customHeight="1">
      <c r="A1490" s="199">
        <v>45684</v>
      </c>
      <c r="B1490" s="202" t="s">
        <v>1506</v>
      </c>
      <c r="C1490" s="200" t="s">
        <v>136</v>
      </c>
      <c r="D1490" s="642">
        <v>-26000</v>
      </c>
      <c r="E1490" s="201">
        <v>45689</v>
      </c>
      <c r="F1490" s="200" t="s">
        <v>297</v>
      </c>
      <c r="G1490" s="200" t="s">
        <v>388</v>
      </c>
      <c r="H1490" s="200" t="s">
        <v>342</v>
      </c>
      <c r="I1490" s="200" t="s">
        <v>1489</v>
      </c>
    </row>
    <row r="1491" spans="1:9" ht="15" customHeight="1">
      <c r="A1491" s="199">
        <v>45684</v>
      </c>
      <c r="B1491" s="202" t="s">
        <v>1507</v>
      </c>
      <c r="C1491" s="200" t="s">
        <v>136</v>
      </c>
      <c r="D1491" s="642">
        <v>-14200</v>
      </c>
      <c r="E1491" s="201">
        <v>45689</v>
      </c>
      <c r="F1491" s="200" t="s">
        <v>297</v>
      </c>
      <c r="G1491" s="200" t="s">
        <v>388</v>
      </c>
      <c r="H1491" s="200" t="s">
        <v>268</v>
      </c>
      <c r="I1491" s="200" t="s">
        <v>1489</v>
      </c>
    </row>
    <row r="1492" spans="1:9" ht="15" customHeight="1">
      <c r="A1492" s="199">
        <v>45684</v>
      </c>
      <c r="B1492" s="202" t="s">
        <v>1508</v>
      </c>
      <c r="C1492" s="200" t="s">
        <v>136</v>
      </c>
      <c r="D1492" s="642">
        <v>-20000</v>
      </c>
      <c r="E1492" s="201">
        <v>45689</v>
      </c>
      <c r="F1492" s="200" t="s">
        <v>297</v>
      </c>
      <c r="G1492" s="200" t="s">
        <v>388</v>
      </c>
      <c r="H1492" s="200" t="s">
        <v>268</v>
      </c>
      <c r="I1492" s="200" t="s">
        <v>1489</v>
      </c>
    </row>
    <row r="1493" spans="1:9" ht="15" customHeight="1">
      <c r="A1493" s="199">
        <v>45684</v>
      </c>
      <c r="B1493" s="202" t="s">
        <v>1509</v>
      </c>
      <c r="C1493" s="200" t="s">
        <v>136</v>
      </c>
      <c r="D1493" s="642">
        <v>-10000</v>
      </c>
      <c r="E1493" s="201">
        <v>45689</v>
      </c>
      <c r="F1493" s="200" t="s">
        <v>297</v>
      </c>
      <c r="G1493" s="200" t="s">
        <v>388</v>
      </c>
      <c r="H1493" s="200" t="s">
        <v>268</v>
      </c>
      <c r="I1493" s="200" t="s">
        <v>1489</v>
      </c>
    </row>
    <row r="1494" spans="1:9" ht="15" customHeight="1">
      <c r="A1494" s="199">
        <v>45684</v>
      </c>
      <c r="B1494" s="202" t="s">
        <v>1510</v>
      </c>
      <c r="C1494" s="200" t="s">
        <v>136</v>
      </c>
      <c r="D1494" s="642">
        <v>-31900</v>
      </c>
      <c r="E1494" s="201">
        <v>45689</v>
      </c>
      <c r="F1494" s="200" t="s">
        <v>297</v>
      </c>
      <c r="G1494" s="200" t="s">
        <v>388</v>
      </c>
      <c r="H1494" s="200" t="s">
        <v>268</v>
      </c>
      <c r="I1494" s="648" t="s">
        <v>329</v>
      </c>
    </row>
    <row r="1495" spans="1:9" ht="15" customHeight="1">
      <c r="A1495" s="199">
        <v>45691</v>
      </c>
      <c r="B1495" s="202" t="s">
        <v>1511</v>
      </c>
      <c r="C1495" s="200" t="s">
        <v>136</v>
      </c>
      <c r="D1495" s="642">
        <v>-434450</v>
      </c>
      <c r="E1495" s="201">
        <v>45689</v>
      </c>
      <c r="F1495" s="200" t="s">
        <v>256</v>
      </c>
      <c r="G1495" s="200" t="s">
        <v>107</v>
      </c>
      <c r="H1495" s="200" t="s">
        <v>275</v>
      </c>
    </row>
    <row r="1496" spans="1:9" ht="15" customHeight="1">
      <c r="A1496" s="199">
        <v>45691</v>
      </c>
      <c r="B1496" s="202" t="s">
        <v>1512</v>
      </c>
      <c r="C1496" s="200" t="s">
        <v>136</v>
      </c>
      <c r="D1496" s="642">
        <v>-3550000</v>
      </c>
      <c r="E1496" s="201">
        <v>45689</v>
      </c>
      <c r="F1496" s="200" t="s">
        <v>296</v>
      </c>
      <c r="G1496" s="200" t="s">
        <v>337</v>
      </c>
      <c r="H1496" s="200" t="s">
        <v>446</v>
      </c>
    </row>
    <row r="1497" spans="1:9" ht="15" customHeight="1">
      <c r="A1497" s="199">
        <v>45691</v>
      </c>
      <c r="B1497" s="202" t="s">
        <v>1513</v>
      </c>
      <c r="C1497" s="200" t="s">
        <v>372</v>
      </c>
      <c r="D1497" s="204">
        <v>-128756</v>
      </c>
      <c r="E1497" s="201">
        <v>45689</v>
      </c>
      <c r="F1497" s="200" t="s">
        <v>296</v>
      </c>
      <c r="G1497" s="200" t="s">
        <v>337</v>
      </c>
      <c r="H1497" s="200" t="s">
        <v>446</v>
      </c>
    </row>
    <row r="1498" spans="1:9" ht="15" customHeight="1">
      <c r="A1498" s="199">
        <v>45680</v>
      </c>
      <c r="B1498" s="202" t="s">
        <v>1514</v>
      </c>
      <c r="C1498" s="200" t="s">
        <v>136</v>
      </c>
      <c r="D1498" s="642">
        <v>-12500</v>
      </c>
      <c r="E1498" s="201">
        <v>45689</v>
      </c>
      <c r="F1498" s="200" t="s">
        <v>256</v>
      </c>
      <c r="G1498" s="200" t="s">
        <v>107</v>
      </c>
      <c r="H1498" s="200" t="s">
        <v>275</v>
      </c>
      <c r="I1498" s="200" t="s">
        <v>1515</v>
      </c>
    </row>
    <row r="1499" spans="1:9" ht="15" customHeight="1">
      <c r="A1499" s="199">
        <v>45680</v>
      </c>
      <c r="B1499" s="202" t="s">
        <v>1516</v>
      </c>
      <c r="C1499" s="200" t="s">
        <v>136</v>
      </c>
      <c r="D1499" s="642">
        <v>-12400</v>
      </c>
      <c r="E1499" s="201">
        <v>45689</v>
      </c>
      <c r="F1499" s="200" t="s">
        <v>256</v>
      </c>
      <c r="G1499" s="200" t="s">
        <v>107</v>
      </c>
      <c r="H1499" s="200" t="s">
        <v>275</v>
      </c>
      <c r="I1499" s="200" t="s">
        <v>1515</v>
      </c>
    </row>
    <row r="1500" spans="1:9" ht="15" customHeight="1">
      <c r="A1500" s="199">
        <v>45680</v>
      </c>
      <c r="B1500" s="202" t="s">
        <v>1517</v>
      </c>
      <c r="C1500" s="200" t="s">
        <v>136</v>
      </c>
      <c r="D1500" s="642">
        <v>-12800</v>
      </c>
      <c r="E1500" s="201">
        <v>45689</v>
      </c>
      <c r="F1500" s="200" t="s">
        <v>256</v>
      </c>
      <c r="G1500" s="200" t="s">
        <v>107</v>
      </c>
      <c r="H1500" s="200" t="s">
        <v>275</v>
      </c>
      <c r="I1500" s="200" t="s">
        <v>1515</v>
      </c>
    </row>
    <row r="1501" spans="1:9" ht="15" customHeight="1">
      <c r="A1501" s="199">
        <v>45680</v>
      </c>
      <c r="B1501" s="202" t="s">
        <v>1518</v>
      </c>
      <c r="C1501" s="200" t="s">
        <v>136</v>
      </c>
      <c r="D1501" s="642">
        <v>-12800</v>
      </c>
      <c r="E1501" s="201">
        <v>45689</v>
      </c>
      <c r="F1501" s="200" t="s">
        <v>256</v>
      </c>
      <c r="G1501" s="200" t="s">
        <v>107</v>
      </c>
      <c r="H1501" s="200" t="s">
        <v>275</v>
      </c>
      <c r="I1501" s="200" t="s">
        <v>1515</v>
      </c>
    </row>
    <row r="1502" spans="1:9" ht="15" customHeight="1">
      <c r="A1502" s="199">
        <v>45680</v>
      </c>
      <c r="B1502" s="202" t="s">
        <v>1519</v>
      </c>
      <c r="C1502" s="200" t="s">
        <v>136</v>
      </c>
      <c r="D1502" s="642">
        <v>-12400</v>
      </c>
      <c r="E1502" s="201">
        <v>45689</v>
      </c>
      <c r="F1502" s="200" t="s">
        <v>256</v>
      </c>
      <c r="G1502" s="200" t="s">
        <v>107</v>
      </c>
      <c r="H1502" s="200" t="s">
        <v>275</v>
      </c>
      <c r="I1502" s="200" t="s">
        <v>1515</v>
      </c>
    </row>
    <row r="1503" spans="1:9" ht="15" customHeight="1">
      <c r="A1503" s="199">
        <v>45680</v>
      </c>
      <c r="B1503" s="202" t="s">
        <v>1520</v>
      </c>
      <c r="C1503" s="200" t="s">
        <v>136</v>
      </c>
      <c r="D1503" s="642">
        <v>-12400</v>
      </c>
      <c r="E1503" s="201">
        <v>45689</v>
      </c>
      <c r="F1503" s="200" t="s">
        <v>256</v>
      </c>
      <c r="G1503" s="200" t="s">
        <v>107</v>
      </c>
      <c r="H1503" s="200" t="s">
        <v>275</v>
      </c>
      <c r="I1503" s="200" t="s">
        <v>1515</v>
      </c>
    </row>
    <row r="1504" spans="1:9" ht="15" customHeight="1">
      <c r="A1504" s="199">
        <v>45680</v>
      </c>
      <c r="B1504" s="202" t="s">
        <v>1521</v>
      </c>
      <c r="C1504" s="200" t="s">
        <v>136</v>
      </c>
      <c r="D1504" s="642">
        <v>-81092</v>
      </c>
      <c r="E1504" s="201">
        <v>45689</v>
      </c>
      <c r="F1504" s="200" t="s">
        <v>256</v>
      </c>
      <c r="G1504" s="200" t="s">
        <v>107</v>
      </c>
      <c r="H1504" s="200" t="s">
        <v>275</v>
      </c>
      <c r="I1504" s="200" t="s">
        <v>1515</v>
      </c>
    </row>
    <row r="1505" spans="1:9" ht="15" customHeight="1">
      <c r="A1505" s="199">
        <v>45685</v>
      </c>
      <c r="B1505" s="202" t="s">
        <v>1514</v>
      </c>
      <c r="C1505" s="200" t="s">
        <v>136</v>
      </c>
      <c r="D1505" s="642">
        <v>-12500</v>
      </c>
      <c r="E1505" s="201">
        <v>45689</v>
      </c>
      <c r="F1505" s="200" t="s">
        <v>256</v>
      </c>
      <c r="G1505" s="200" t="s">
        <v>107</v>
      </c>
      <c r="H1505" s="200" t="s">
        <v>275</v>
      </c>
      <c r="I1505" s="200" t="s">
        <v>1515</v>
      </c>
    </row>
    <row r="1506" spans="1:9" ht="15" customHeight="1">
      <c r="A1506" s="199">
        <v>45685</v>
      </c>
      <c r="B1506" s="202" t="s">
        <v>1516</v>
      </c>
      <c r="C1506" s="200" t="s">
        <v>136</v>
      </c>
      <c r="D1506" s="642">
        <v>-12400</v>
      </c>
      <c r="E1506" s="201">
        <v>45689</v>
      </c>
      <c r="F1506" s="200" t="s">
        <v>256</v>
      </c>
      <c r="G1506" s="200" t="s">
        <v>107</v>
      </c>
      <c r="H1506" s="200" t="s">
        <v>275</v>
      </c>
      <c r="I1506" s="200" t="s">
        <v>1515</v>
      </c>
    </row>
    <row r="1507" spans="1:9" ht="15" customHeight="1">
      <c r="A1507" s="199">
        <v>45685</v>
      </c>
      <c r="B1507" s="202" t="s">
        <v>1517</v>
      </c>
      <c r="C1507" s="200" t="s">
        <v>136</v>
      </c>
      <c r="D1507" s="642">
        <v>-12800</v>
      </c>
      <c r="E1507" s="201">
        <v>45689</v>
      </c>
      <c r="F1507" s="200" t="s">
        <v>256</v>
      </c>
      <c r="G1507" s="200" t="s">
        <v>107</v>
      </c>
      <c r="H1507" s="200" t="s">
        <v>275</v>
      </c>
      <c r="I1507" s="200" t="s">
        <v>1515</v>
      </c>
    </row>
    <row r="1508" spans="1:9" ht="15" customHeight="1">
      <c r="A1508" s="199">
        <v>45685</v>
      </c>
      <c r="B1508" s="202" t="s">
        <v>1518</v>
      </c>
      <c r="C1508" s="200" t="s">
        <v>136</v>
      </c>
      <c r="D1508" s="642">
        <v>-12800</v>
      </c>
      <c r="E1508" s="201">
        <v>45689</v>
      </c>
      <c r="F1508" s="200" t="s">
        <v>256</v>
      </c>
      <c r="G1508" s="200" t="s">
        <v>107</v>
      </c>
      <c r="H1508" s="200" t="s">
        <v>275</v>
      </c>
      <c r="I1508" s="200" t="s">
        <v>1515</v>
      </c>
    </row>
    <row r="1509" spans="1:9" ht="15" customHeight="1">
      <c r="A1509" s="199">
        <v>45685</v>
      </c>
      <c r="B1509" s="202" t="s">
        <v>1519</v>
      </c>
      <c r="C1509" s="200" t="s">
        <v>136</v>
      </c>
      <c r="D1509" s="642">
        <v>-12400</v>
      </c>
      <c r="E1509" s="201">
        <v>45689</v>
      </c>
      <c r="F1509" s="200" t="s">
        <v>256</v>
      </c>
      <c r="G1509" s="200" t="s">
        <v>107</v>
      </c>
      <c r="H1509" s="200" t="s">
        <v>275</v>
      </c>
      <c r="I1509" s="200" t="s">
        <v>1515</v>
      </c>
    </row>
    <row r="1510" spans="1:9" ht="15" customHeight="1">
      <c r="A1510" s="199">
        <v>45685</v>
      </c>
      <c r="B1510" s="202" t="s">
        <v>1520</v>
      </c>
      <c r="C1510" s="200" t="s">
        <v>136</v>
      </c>
      <c r="D1510" s="642">
        <v>-12400</v>
      </c>
      <c r="E1510" s="201">
        <v>45689</v>
      </c>
      <c r="F1510" s="200" t="s">
        <v>256</v>
      </c>
      <c r="G1510" s="200" t="s">
        <v>107</v>
      </c>
      <c r="H1510" s="200" t="s">
        <v>275</v>
      </c>
      <c r="I1510" s="200" t="s">
        <v>1515</v>
      </c>
    </row>
    <row r="1511" spans="1:9" ht="15" customHeight="1">
      <c r="A1511" s="199">
        <v>45685</v>
      </c>
      <c r="B1511" s="202" t="s">
        <v>1521</v>
      </c>
      <c r="C1511" s="200" t="s">
        <v>136</v>
      </c>
      <c r="D1511" s="642">
        <v>-81161</v>
      </c>
      <c r="E1511" s="201">
        <v>45689</v>
      </c>
      <c r="F1511" s="200" t="s">
        <v>256</v>
      </c>
      <c r="G1511" s="200" t="s">
        <v>107</v>
      </c>
      <c r="H1511" s="200" t="s">
        <v>275</v>
      </c>
      <c r="I1511" s="200" t="s">
        <v>1515</v>
      </c>
    </row>
    <row r="1512" spans="1:9" ht="15" customHeight="1">
      <c r="A1512" s="199">
        <v>45685</v>
      </c>
      <c r="B1512" s="202" t="s">
        <v>1522</v>
      </c>
      <c r="C1512" s="200" t="s">
        <v>136</v>
      </c>
      <c r="D1512" s="642">
        <v>-4000</v>
      </c>
      <c r="E1512" s="201">
        <v>45689</v>
      </c>
      <c r="F1512" s="200" t="s">
        <v>256</v>
      </c>
      <c r="G1512" s="200" t="s">
        <v>107</v>
      </c>
      <c r="H1512" s="200" t="s">
        <v>275</v>
      </c>
      <c r="I1512" s="200" t="s">
        <v>1515</v>
      </c>
    </row>
    <row r="1513" spans="1:9" ht="15" customHeight="1">
      <c r="A1513" s="199">
        <v>45685</v>
      </c>
      <c r="B1513" s="202" t="s">
        <v>1523</v>
      </c>
      <c r="C1513" s="200" t="s">
        <v>136</v>
      </c>
      <c r="D1513" s="642">
        <v>-13800</v>
      </c>
      <c r="E1513" s="201">
        <v>45689</v>
      </c>
      <c r="F1513" s="200" t="s">
        <v>256</v>
      </c>
      <c r="G1513" s="200" t="s">
        <v>107</v>
      </c>
      <c r="H1513" s="200" t="s">
        <v>275</v>
      </c>
      <c r="I1513" s="200" t="s">
        <v>1515</v>
      </c>
    </row>
    <row r="1514" spans="1:9" ht="15" customHeight="1">
      <c r="A1514" s="199">
        <v>45691</v>
      </c>
      <c r="B1514" s="202" t="s">
        <v>1524</v>
      </c>
      <c r="C1514" s="200" t="s">
        <v>136</v>
      </c>
      <c r="D1514" s="642">
        <v>-33406</v>
      </c>
      <c r="E1514" s="201">
        <v>45689</v>
      </c>
      <c r="F1514" s="200" t="s">
        <v>296</v>
      </c>
      <c r="G1514" s="200" t="s">
        <v>44</v>
      </c>
      <c r="H1514" s="200" t="s">
        <v>811</v>
      </c>
    </row>
    <row r="1515" spans="1:9" ht="15" customHeight="1">
      <c r="A1515" s="199">
        <v>45691</v>
      </c>
      <c r="B1515" s="202" t="s">
        <v>1525</v>
      </c>
      <c r="C1515" s="200" t="s">
        <v>136</v>
      </c>
      <c r="D1515" s="642">
        <v>-35238</v>
      </c>
      <c r="E1515" s="201">
        <v>45689</v>
      </c>
      <c r="F1515" s="200" t="s">
        <v>296</v>
      </c>
      <c r="G1515" s="531" t="s">
        <v>392</v>
      </c>
      <c r="H1515" s="531" t="s">
        <v>386</v>
      </c>
    </row>
    <row r="1516" spans="1:9" ht="15" customHeight="1">
      <c r="A1516" s="199">
        <v>45691</v>
      </c>
      <c r="B1516" s="202" t="s">
        <v>1525</v>
      </c>
      <c r="C1516" s="200" t="s">
        <v>136</v>
      </c>
      <c r="D1516" s="642">
        <v>-58065</v>
      </c>
      <c r="E1516" s="201">
        <v>45689</v>
      </c>
      <c r="F1516" s="200" t="s">
        <v>296</v>
      </c>
      <c r="G1516" s="531" t="s">
        <v>392</v>
      </c>
      <c r="H1516" s="531" t="s">
        <v>386</v>
      </c>
    </row>
    <row r="1517" spans="1:9" ht="15" customHeight="1">
      <c r="A1517" s="199">
        <v>45691</v>
      </c>
      <c r="B1517" s="202" t="s">
        <v>1525</v>
      </c>
      <c r="C1517" s="200" t="s">
        <v>136</v>
      </c>
      <c r="D1517" s="642">
        <v>-674603</v>
      </c>
      <c r="E1517" s="201">
        <v>45689</v>
      </c>
      <c r="F1517" s="200" t="s">
        <v>296</v>
      </c>
      <c r="G1517" s="200" t="s">
        <v>1124</v>
      </c>
      <c r="H1517" s="531" t="s">
        <v>386</v>
      </c>
    </row>
    <row r="1518" spans="1:9" ht="15" customHeight="1">
      <c r="A1518" s="199">
        <v>45691</v>
      </c>
      <c r="B1518" s="202" t="s">
        <v>1525</v>
      </c>
      <c r="C1518" s="200" t="s">
        <v>136</v>
      </c>
      <c r="D1518" s="642">
        <v>-63582</v>
      </c>
      <c r="E1518" s="201">
        <v>45689</v>
      </c>
      <c r="F1518" s="200" t="s">
        <v>296</v>
      </c>
      <c r="G1518" s="200" t="s">
        <v>1124</v>
      </c>
      <c r="H1518" s="531" t="s">
        <v>386</v>
      </c>
    </row>
    <row r="1519" spans="1:9" ht="15" customHeight="1">
      <c r="A1519" s="199">
        <v>45691</v>
      </c>
      <c r="B1519" s="202" t="s">
        <v>1525</v>
      </c>
      <c r="C1519" s="200" t="s">
        <v>136</v>
      </c>
      <c r="D1519" s="642">
        <v>-100707</v>
      </c>
      <c r="E1519" s="201">
        <v>45689</v>
      </c>
      <c r="F1519" s="200" t="s">
        <v>296</v>
      </c>
      <c r="G1519" s="200" t="s">
        <v>411</v>
      </c>
      <c r="H1519" s="531" t="s">
        <v>386</v>
      </c>
    </row>
    <row r="1520" spans="1:9" ht="15" customHeight="1">
      <c r="A1520" s="199">
        <v>45691</v>
      </c>
      <c r="B1520" s="202" t="s">
        <v>1525</v>
      </c>
      <c r="C1520" s="200" t="s">
        <v>136</v>
      </c>
      <c r="D1520" s="642">
        <v>-41650</v>
      </c>
      <c r="E1520" s="201">
        <v>45689</v>
      </c>
      <c r="F1520" s="200" t="s">
        <v>296</v>
      </c>
      <c r="G1520" s="200" t="s">
        <v>411</v>
      </c>
      <c r="H1520" s="531" t="s">
        <v>386</v>
      </c>
    </row>
    <row r="1521" spans="1:9" ht="15" customHeight="1">
      <c r="A1521" s="199">
        <v>45691</v>
      </c>
      <c r="B1521" s="202" t="s">
        <v>1525</v>
      </c>
      <c r="C1521" s="200" t="s">
        <v>136</v>
      </c>
      <c r="D1521" s="642">
        <v>-674603</v>
      </c>
      <c r="E1521" s="201">
        <v>45689</v>
      </c>
      <c r="F1521" s="200" t="s">
        <v>296</v>
      </c>
      <c r="G1521" s="200" t="s">
        <v>1124</v>
      </c>
      <c r="H1521" s="531" t="s">
        <v>386</v>
      </c>
    </row>
    <row r="1522" spans="1:9" ht="15" customHeight="1">
      <c r="A1522" s="199">
        <v>45691</v>
      </c>
      <c r="B1522" s="202" t="s">
        <v>1525</v>
      </c>
      <c r="C1522" s="200" t="s">
        <v>136</v>
      </c>
      <c r="D1522" s="642">
        <v>-378254</v>
      </c>
      <c r="E1522" s="201">
        <v>45689</v>
      </c>
      <c r="F1522" s="200" t="s">
        <v>296</v>
      </c>
      <c r="G1522" s="200" t="s">
        <v>984</v>
      </c>
      <c r="H1522" s="531" t="s">
        <v>386</v>
      </c>
    </row>
    <row r="1523" spans="1:9" ht="15" customHeight="1">
      <c r="A1523" s="199">
        <v>45691</v>
      </c>
      <c r="B1523" s="202" t="s">
        <v>1525</v>
      </c>
      <c r="C1523" s="200" t="s">
        <v>136</v>
      </c>
      <c r="D1523" s="642">
        <v>-65450</v>
      </c>
      <c r="E1523" s="201">
        <v>45689</v>
      </c>
      <c r="F1523" s="200" t="s">
        <v>296</v>
      </c>
      <c r="G1523" s="200" t="s">
        <v>984</v>
      </c>
      <c r="H1523" s="531" t="s">
        <v>386</v>
      </c>
      <c r="I1523" s="648" t="s">
        <v>329</v>
      </c>
    </row>
    <row r="1524" spans="1:9" ht="15" customHeight="1">
      <c r="A1524" s="199">
        <v>45691</v>
      </c>
      <c r="B1524" s="202" t="s">
        <v>1526</v>
      </c>
      <c r="C1524" s="200" t="s">
        <v>136</v>
      </c>
      <c r="D1524" s="642">
        <v>-661260</v>
      </c>
      <c r="E1524" s="201">
        <v>45689</v>
      </c>
      <c r="F1524" s="200" t="s">
        <v>256</v>
      </c>
      <c r="G1524" s="200" t="s">
        <v>256</v>
      </c>
      <c r="H1524" s="200" t="s">
        <v>269</v>
      </c>
    </row>
    <row r="1525" spans="1:9" ht="15" customHeight="1">
      <c r="A1525" s="199">
        <v>45693</v>
      </c>
      <c r="B1525" s="202" t="s">
        <v>1527</v>
      </c>
      <c r="C1525" s="200" t="s">
        <v>136</v>
      </c>
      <c r="D1525" s="642">
        <v>-318240</v>
      </c>
      <c r="E1525" s="201">
        <v>45689</v>
      </c>
      <c r="F1525" s="200" t="s">
        <v>256</v>
      </c>
      <c r="G1525" s="200" t="s">
        <v>256</v>
      </c>
      <c r="H1525" s="200" t="s">
        <v>267</v>
      </c>
    </row>
    <row r="1526" spans="1:9" ht="15" customHeight="1">
      <c r="A1526" s="199">
        <v>45693</v>
      </c>
      <c r="B1526" s="202" t="s">
        <v>1528</v>
      </c>
      <c r="C1526" s="200" t="s">
        <v>372</v>
      </c>
      <c r="D1526" s="204">
        <v>-39600</v>
      </c>
      <c r="E1526" s="201">
        <v>45689</v>
      </c>
      <c r="F1526" s="200" t="s">
        <v>256</v>
      </c>
      <c r="G1526" s="200" t="s">
        <v>256</v>
      </c>
      <c r="H1526" s="200" t="s">
        <v>267</v>
      </c>
    </row>
    <row r="1527" spans="1:9" ht="15" customHeight="1">
      <c r="A1527" s="199">
        <v>45693</v>
      </c>
      <c r="B1527" s="202" t="s">
        <v>1529</v>
      </c>
      <c r="C1527" s="200" t="s">
        <v>372</v>
      </c>
      <c r="D1527" s="204">
        <v>-2160</v>
      </c>
      <c r="E1527" s="201">
        <v>45689</v>
      </c>
      <c r="F1527" s="200" t="s">
        <v>256</v>
      </c>
      <c r="G1527" s="200" t="s">
        <v>256</v>
      </c>
      <c r="H1527" s="200" t="s">
        <v>267</v>
      </c>
    </row>
    <row r="1528" spans="1:9" ht="15" customHeight="1">
      <c r="A1528" s="199">
        <v>45693</v>
      </c>
      <c r="B1528" s="202" t="s">
        <v>1530</v>
      </c>
      <c r="C1528" s="200" t="s">
        <v>136</v>
      </c>
      <c r="D1528" s="642">
        <v>-431927</v>
      </c>
      <c r="E1528" s="201">
        <v>45689</v>
      </c>
      <c r="F1528" s="200" t="s">
        <v>297</v>
      </c>
      <c r="G1528" s="200" t="s">
        <v>67</v>
      </c>
      <c r="H1528" s="200" t="s">
        <v>567</v>
      </c>
      <c r="I1528" s="648" t="s">
        <v>329</v>
      </c>
    </row>
    <row r="1529" spans="1:9" ht="15" customHeight="1">
      <c r="A1529" s="199">
        <v>45693</v>
      </c>
      <c r="B1529" s="202" t="s">
        <v>1530</v>
      </c>
      <c r="C1529" s="200" t="s">
        <v>136</v>
      </c>
      <c r="D1529" s="642">
        <v>-215963</v>
      </c>
      <c r="E1529" s="201">
        <v>45689</v>
      </c>
      <c r="F1529" s="200" t="s">
        <v>296</v>
      </c>
      <c r="G1529" s="200" t="s">
        <v>411</v>
      </c>
      <c r="H1529" s="200" t="s">
        <v>567</v>
      </c>
    </row>
    <row r="1530" spans="1:9" ht="15" customHeight="1">
      <c r="A1530" s="199">
        <v>45693</v>
      </c>
      <c r="B1530" s="202" t="s">
        <v>1531</v>
      </c>
      <c r="C1530" s="200" t="s">
        <v>136</v>
      </c>
      <c r="D1530" s="642">
        <v>-220000</v>
      </c>
      <c r="E1530" s="201">
        <v>45689</v>
      </c>
      <c r="F1530" s="200" t="s">
        <v>296</v>
      </c>
      <c r="G1530" s="200" t="s">
        <v>522</v>
      </c>
      <c r="H1530" s="200" t="s">
        <v>322</v>
      </c>
    </row>
    <row r="1531" spans="1:9" ht="15" customHeight="1">
      <c r="A1531" s="199">
        <v>45693</v>
      </c>
      <c r="B1531" s="202" t="s">
        <v>1532</v>
      </c>
      <c r="C1531" s="200" t="s">
        <v>136</v>
      </c>
      <c r="D1531" s="642">
        <v>-405000</v>
      </c>
      <c r="E1531" s="201">
        <v>45689</v>
      </c>
      <c r="F1531" s="200" t="s">
        <v>296</v>
      </c>
      <c r="G1531" s="200" t="s">
        <v>482</v>
      </c>
      <c r="H1531" s="200" t="s">
        <v>857</v>
      </c>
    </row>
    <row r="1532" spans="1:9" ht="15" customHeight="1">
      <c r="A1532" s="199">
        <v>45693</v>
      </c>
      <c r="B1532" s="202" t="s">
        <v>1533</v>
      </c>
      <c r="C1532" s="200" t="s">
        <v>136</v>
      </c>
      <c r="D1532" s="642">
        <v>-2287410</v>
      </c>
      <c r="E1532" s="201">
        <v>45689</v>
      </c>
      <c r="F1532" s="200" t="s">
        <v>296</v>
      </c>
      <c r="G1532" s="531" t="s">
        <v>392</v>
      </c>
      <c r="H1532" s="200" t="s">
        <v>342</v>
      </c>
    </row>
    <row r="1533" spans="1:9" ht="15" customHeight="1">
      <c r="A1533" s="199">
        <v>45693</v>
      </c>
      <c r="B1533" s="202" t="s">
        <v>1534</v>
      </c>
      <c r="C1533" s="200" t="s">
        <v>136</v>
      </c>
      <c r="D1533" s="642">
        <v>-245293</v>
      </c>
      <c r="E1533" s="201">
        <v>45689</v>
      </c>
      <c r="F1533" s="200" t="s">
        <v>296</v>
      </c>
      <c r="G1533" s="200" t="s">
        <v>337</v>
      </c>
      <c r="H1533" s="200" t="s">
        <v>429</v>
      </c>
    </row>
    <row r="1534" spans="1:9" ht="15" customHeight="1">
      <c r="A1534" s="199">
        <v>45693</v>
      </c>
      <c r="B1534" s="202" t="s">
        <v>1535</v>
      </c>
      <c r="C1534" s="200" t="s">
        <v>136</v>
      </c>
      <c r="D1534" s="642">
        <v>-6382500</v>
      </c>
      <c r="E1534" s="201">
        <v>45689</v>
      </c>
      <c r="F1534" s="200" t="s">
        <v>296</v>
      </c>
      <c r="G1534" s="200" t="s">
        <v>453</v>
      </c>
      <c r="H1534" s="200" t="s">
        <v>101</v>
      </c>
    </row>
    <row r="1535" spans="1:9" ht="15" customHeight="1">
      <c r="A1535" s="199">
        <v>45693</v>
      </c>
      <c r="B1535" s="202" t="s">
        <v>1536</v>
      </c>
      <c r="C1535" s="200" t="s">
        <v>136</v>
      </c>
      <c r="D1535" s="642">
        <v>-721159</v>
      </c>
      <c r="E1535" s="201">
        <v>45689</v>
      </c>
      <c r="F1535" s="200" t="s">
        <v>256</v>
      </c>
      <c r="G1535" s="200" t="s">
        <v>256</v>
      </c>
      <c r="H1535" s="200" t="s">
        <v>263</v>
      </c>
    </row>
    <row r="1536" spans="1:9" ht="15" customHeight="1">
      <c r="A1536" s="199">
        <v>45693</v>
      </c>
      <c r="B1536" s="202" t="s">
        <v>1537</v>
      </c>
      <c r="C1536" s="200" t="s">
        <v>372</v>
      </c>
      <c r="D1536" s="204">
        <v>-140484</v>
      </c>
      <c r="E1536" s="201">
        <v>45689</v>
      </c>
      <c r="F1536" s="200" t="s">
        <v>256</v>
      </c>
      <c r="G1536" s="200" t="s">
        <v>256</v>
      </c>
      <c r="H1536" s="200" t="s">
        <v>257</v>
      </c>
    </row>
    <row r="1537" spans="1:8" ht="15" customHeight="1">
      <c r="A1537" s="199">
        <v>45693</v>
      </c>
      <c r="B1537" s="202" t="s">
        <v>1538</v>
      </c>
      <c r="C1537" s="200" t="s">
        <v>136</v>
      </c>
      <c r="D1537" s="642">
        <v>-540540</v>
      </c>
      <c r="E1537" s="201">
        <v>45689</v>
      </c>
      <c r="F1537" s="200" t="s">
        <v>296</v>
      </c>
      <c r="G1537" s="200" t="s">
        <v>328</v>
      </c>
      <c r="H1537" s="200" t="s">
        <v>342</v>
      </c>
    </row>
    <row r="1538" spans="1:8" ht="15" customHeight="1">
      <c r="A1538" s="199">
        <v>45693</v>
      </c>
      <c r="B1538" s="202" t="s">
        <v>1539</v>
      </c>
      <c r="C1538" s="200" t="s">
        <v>136</v>
      </c>
      <c r="D1538" s="642">
        <v>-89092</v>
      </c>
      <c r="E1538" s="201">
        <v>45689</v>
      </c>
      <c r="F1538" s="200" t="s">
        <v>296</v>
      </c>
      <c r="G1538" s="200" t="s">
        <v>337</v>
      </c>
      <c r="H1538" s="200" t="s">
        <v>429</v>
      </c>
    </row>
    <row r="1539" spans="1:8" ht="15" customHeight="1">
      <c r="A1539" s="199">
        <v>45693</v>
      </c>
      <c r="B1539" s="202" t="s">
        <v>1540</v>
      </c>
      <c r="C1539" s="200" t="s">
        <v>136</v>
      </c>
      <c r="D1539" s="642">
        <v>-13807538</v>
      </c>
      <c r="E1539" s="201">
        <v>45689</v>
      </c>
      <c r="F1539" s="200" t="s">
        <v>296</v>
      </c>
      <c r="G1539" s="200" t="s">
        <v>328</v>
      </c>
      <c r="H1539" s="200" t="s">
        <v>364</v>
      </c>
    </row>
    <row r="1540" spans="1:8" ht="15" customHeight="1">
      <c r="A1540" s="199">
        <v>45693</v>
      </c>
      <c r="B1540" s="202" t="s">
        <v>1540</v>
      </c>
      <c r="C1540" s="200" t="s">
        <v>136</v>
      </c>
      <c r="D1540" s="642">
        <v>-16023509</v>
      </c>
      <c r="E1540" s="201">
        <v>45689</v>
      </c>
      <c r="F1540" s="200" t="s">
        <v>296</v>
      </c>
      <c r="G1540" s="200" t="s">
        <v>328</v>
      </c>
      <c r="H1540" s="200" t="s">
        <v>364</v>
      </c>
    </row>
    <row r="1541" spans="1:8" ht="15" customHeight="1">
      <c r="A1541" s="199">
        <v>45692</v>
      </c>
      <c r="B1541" s="202" t="s">
        <v>1541</v>
      </c>
      <c r="C1541" s="200" t="s">
        <v>204</v>
      </c>
      <c r="D1541" s="649">
        <v>-2955500</v>
      </c>
      <c r="E1541" s="201">
        <v>45689</v>
      </c>
      <c r="F1541" s="200" t="s">
        <v>296</v>
      </c>
      <c r="G1541" s="200" t="s">
        <v>337</v>
      </c>
      <c r="H1541" s="200" t="s">
        <v>421</v>
      </c>
    </row>
    <row r="1542" spans="1:8" ht="15" customHeight="1">
      <c r="A1542" s="199">
        <v>45692</v>
      </c>
      <c r="B1542" s="202" t="s">
        <v>1542</v>
      </c>
      <c r="C1542" s="200" t="s">
        <v>372</v>
      </c>
      <c r="D1542" s="204">
        <v>-115000</v>
      </c>
      <c r="E1542" s="201">
        <v>45689</v>
      </c>
      <c r="F1542" s="200" t="s">
        <v>296</v>
      </c>
      <c r="G1542" s="200" t="s">
        <v>337</v>
      </c>
      <c r="H1542" s="200" t="s">
        <v>421</v>
      </c>
    </row>
    <row r="1543" spans="1:8" ht="15" customHeight="1">
      <c r="A1543" s="199">
        <v>45692</v>
      </c>
      <c r="B1543" s="202" t="s">
        <v>1543</v>
      </c>
      <c r="C1543" s="200" t="s">
        <v>372</v>
      </c>
      <c r="D1543" s="204">
        <v>-34500</v>
      </c>
      <c r="E1543" s="201">
        <v>45689</v>
      </c>
      <c r="F1543" s="200" t="s">
        <v>296</v>
      </c>
      <c r="G1543" s="200" t="s">
        <v>337</v>
      </c>
      <c r="H1543" s="200" t="s">
        <v>421</v>
      </c>
    </row>
    <row r="1544" spans="1:8" ht="15" customHeight="1">
      <c r="A1544" s="199">
        <v>45692</v>
      </c>
      <c r="B1544" s="693" t="s">
        <v>1544</v>
      </c>
      <c r="C1544" s="200" t="s">
        <v>204</v>
      </c>
      <c r="D1544" s="649">
        <v>-383940</v>
      </c>
      <c r="E1544" s="201">
        <v>45689</v>
      </c>
      <c r="F1544" s="200" t="s">
        <v>296</v>
      </c>
      <c r="G1544" s="200" t="s">
        <v>482</v>
      </c>
      <c r="H1544" s="200" t="s">
        <v>857</v>
      </c>
    </row>
    <row r="1545" spans="1:8" ht="15" customHeight="1">
      <c r="A1545" s="199">
        <v>45692</v>
      </c>
      <c r="B1545" s="202" t="s">
        <v>1542</v>
      </c>
      <c r="C1545" s="200" t="s">
        <v>372</v>
      </c>
      <c r="D1545" s="204">
        <v>-16200</v>
      </c>
      <c r="E1545" s="201">
        <v>45689</v>
      </c>
      <c r="F1545" s="200" t="s">
        <v>296</v>
      </c>
      <c r="G1545" s="200" t="s">
        <v>482</v>
      </c>
      <c r="H1545" s="200" t="s">
        <v>857</v>
      </c>
    </row>
    <row r="1546" spans="1:8" ht="15" customHeight="1">
      <c r="A1546" s="199">
        <v>45692</v>
      </c>
      <c r="B1546" s="202" t="s">
        <v>1543</v>
      </c>
      <c r="C1546" s="200" t="s">
        <v>372</v>
      </c>
      <c r="D1546" s="204">
        <v>-4860</v>
      </c>
      <c r="E1546" s="201">
        <v>45689</v>
      </c>
      <c r="F1546" s="200" t="s">
        <v>296</v>
      </c>
      <c r="G1546" s="200" t="s">
        <v>482</v>
      </c>
      <c r="H1546" s="200" t="s">
        <v>857</v>
      </c>
    </row>
    <row r="1547" spans="1:8" ht="15" customHeight="1">
      <c r="A1547" s="199">
        <v>45692</v>
      </c>
      <c r="B1547" s="202" t="s">
        <v>1545</v>
      </c>
      <c r="C1547" s="200" t="s">
        <v>204</v>
      </c>
      <c r="D1547" s="649">
        <v>-769460</v>
      </c>
      <c r="E1547" s="201">
        <v>45689</v>
      </c>
      <c r="F1547" s="200" t="s">
        <v>296</v>
      </c>
      <c r="G1547" s="200" t="s">
        <v>482</v>
      </c>
      <c r="H1547" s="200" t="s">
        <v>857</v>
      </c>
    </row>
    <row r="1548" spans="1:8" ht="15" customHeight="1">
      <c r="A1548" s="199">
        <v>45692</v>
      </c>
      <c r="B1548" s="202" t="s">
        <v>1546</v>
      </c>
      <c r="C1548" s="200" t="s">
        <v>372</v>
      </c>
      <c r="D1548" s="204">
        <v>-15800</v>
      </c>
      <c r="E1548" s="201">
        <v>45689</v>
      </c>
      <c r="F1548" s="200" t="s">
        <v>296</v>
      </c>
      <c r="G1548" s="200" t="s">
        <v>482</v>
      </c>
      <c r="H1548" s="200" t="s">
        <v>857</v>
      </c>
    </row>
    <row r="1549" spans="1:8" ht="15" customHeight="1">
      <c r="A1549" s="199">
        <v>45692</v>
      </c>
      <c r="B1549" s="202" t="s">
        <v>1547</v>
      </c>
      <c r="C1549" s="200" t="s">
        <v>372</v>
      </c>
      <c r="D1549" s="204">
        <v>-4740</v>
      </c>
      <c r="E1549" s="201">
        <v>45689</v>
      </c>
      <c r="F1549" s="200" t="s">
        <v>296</v>
      </c>
      <c r="G1549" s="200" t="s">
        <v>482</v>
      </c>
      <c r="H1549" s="200" t="s">
        <v>857</v>
      </c>
    </row>
    <row r="1550" spans="1:8" ht="15" customHeight="1">
      <c r="A1550" s="199">
        <v>45692</v>
      </c>
      <c r="B1550" s="202" t="s">
        <v>1548</v>
      </c>
      <c r="C1550" s="200" t="s">
        <v>204</v>
      </c>
      <c r="D1550" s="649">
        <v>-7733191</v>
      </c>
      <c r="E1550" s="201">
        <v>45689</v>
      </c>
      <c r="F1550" s="200" t="s">
        <v>296</v>
      </c>
      <c r="G1550" s="200" t="s">
        <v>44</v>
      </c>
      <c r="H1550" s="200" t="s">
        <v>488</v>
      </c>
    </row>
    <row r="1551" spans="1:8" ht="15" customHeight="1">
      <c r="A1551" s="199">
        <v>45692</v>
      </c>
      <c r="B1551" s="202" t="s">
        <v>1549</v>
      </c>
      <c r="C1551" s="200" t="s">
        <v>372</v>
      </c>
      <c r="D1551" s="204">
        <v>-471113</v>
      </c>
      <c r="E1551" s="201">
        <v>45689</v>
      </c>
      <c r="F1551" s="200" t="s">
        <v>296</v>
      </c>
      <c r="G1551" s="200" t="s">
        <v>44</v>
      </c>
      <c r="H1551" s="200" t="s">
        <v>488</v>
      </c>
    </row>
    <row r="1552" spans="1:8" ht="15" customHeight="1">
      <c r="A1552" s="199">
        <v>45692</v>
      </c>
      <c r="B1552" s="202" t="s">
        <v>1550</v>
      </c>
      <c r="C1552" s="200" t="s">
        <v>372</v>
      </c>
      <c r="D1552" s="204">
        <v>-141334</v>
      </c>
      <c r="E1552" s="201">
        <v>45689</v>
      </c>
      <c r="F1552" s="200" t="s">
        <v>296</v>
      </c>
      <c r="G1552" s="200" t="s">
        <v>44</v>
      </c>
      <c r="H1552" s="200" t="s">
        <v>488</v>
      </c>
    </row>
    <row r="1553" spans="1:8" ht="15" customHeight="1">
      <c r="A1553" s="199">
        <v>45692</v>
      </c>
      <c r="B1553" s="694" t="s">
        <v>1551</v>
      </c>
      <c r="C1553" s="200" t="s">
        <v>204</v>
      </c>
      <c r="D1553" s="649">
        <v>-1966000</v>
      </c>
      <c r="E1553" s="201">
        <v>45689</v>
      </c>
      <c r="F1553" s="200" t="s">
        <v>296</v>
      </c>
      <c r="G1553" s="200" t="s">
        <v>1124</v>
      </c>
      <c r="H1553" s="200" t="s">
        <v>857</v>
      </c>
    </row>
    <row r="1554" spans="1:8" ht="15" customHeight="1">
      <c r="A1554" s="199">
        <v>45692</v>
      </c>
      <c r="B1554" s="202" t="s">
        <v>1552</v>
      </c>
      <c r="C1554" s="200" t="s">
        <v>204</v>
      </c>
      <c r="D1554" s="649">
        <v>-150000</v>
      </c>
      <c r="E1554" s="201">
        <v>45689</v>
      </c>
      <c r="F1554" s="200" t="s">
        <v>296</v>
      </c>
      <c r="G1554" s="200" t="s">
        <v>415</v>
      </c>
      <c r="H1554" s="200" t="s">
        <v>346</v>
      </c>
    </row>
    <row r="1555" spans="1:8" ht="15" customHeight="1">
      <c r="A1555" s="199">
        <v>45692</v>
      </c>
      <c r="B1555" s="202" t="s">
        <v>1553</v>
      </c>
      <c r="C1555" s="200" t="s">
        <v>204</v>
      </c>
      <c r="D1555" s="649">
        <v>-235000</v>
      </c>
      <c r="E1555" s="201">
        <v>45689</v>
      </c>
      <c r="F1555" s="200" t="s">
        <v>296</v>
      </c>
      <c r="G1555" s="200" t="s">
        <v>337</v>
      </c>
      <c r="H1555" s="200" t="s">
        <v>366</v>
      </c>
    </row>
    <row r="1556" spans="1:8" ht="15" customHeight="1">
      <c r="A1556" s="199">
        <v>45692</v>
      </c>
      <c r="B1556" s="202" t="s">
        <v>1554</v>
      </c>
      <c r="C1556" s="200" t="s">
        <v>204</v>
      </c>
      <c r="D1556" s="649">
        <v>-338100</v>
      </c>
      <c r="E1556" s="201">
        <v>45689</v>
      </c>
      <c r="F1556" s="200" t="s">
        <v>296</v>
      </c>
      <c r="G1556" s="200" t="s">
        <v>482</v>
      </c>
      <c r="H1556" s="200" t="s">
        <v>350</v>
      </c>
    </row>
    <row r="1557" spans="1:8" ht="15" customHeight="1">
      <c r="A1557" s="199">
        <v>45692</v>
      </c>
      <c r="B1557" s="202" t="s">
        <v>1554</v>
      </c>
      <c r="C1557" s="200" t="s">
        <v>204</v>
      </c>
      <c r="D1557" s="649">
        <v>-28980</v>
      </c>
      <c r="E1557" s="201">
        <v>45689</v>
      </c>
      <c r="F1557" s="200" t="s">
        <v>256</v>
      </c>
      <c r="G1557" s="200" t="s">
        <v>256</v>
      </c>
      <c r="H1557" s="200" t="s">
        <v>263</v>
      </c>
    </row>
    <row r="1558" spans="1:8" ht="15" customHeight="1">
      <c r="A1558" s="199">
        <v>45693</v>
      </c>
      <c r="B1558" s="202" t="s">
        <v>1555</v>
      </c>
      <c r="C1558" s="200" t="s">
        <v>204</v>
      </c>
      <c r="D1558" s="649">
        <v>-8190646</v>
      </c>
      <c r="E1558" s="201">
        <v>45689</v>
      </c>
      <c r="F1558" s="200" t="s">
        <v>297</v>
      </c>
      <c r="G1558" s="200" t="s">
        <v>1313</v>
      </c>
      <c r="H1558" s="200" t="s">
        <v>375</v>
      </c>
    </row>
    <row r="1559" spans="1:8" ht="15" customHeight="1">
      <c r="A1559" s="199">
        <v>45693</v>
      </c>
      <c r="B1559" s="202" t="s">
        <v>1556</v>
      </c>
      <c r="C1559" s="200" t="s">
        <v>204</v>
      </c>
      <c r="D1559" s="649">
        <v>-162387391</v>
      </c>
      <c r="E1559" s="201">
        <v>45689</v>
      </c>
      <c r="F1559" s="200" t="s">
        <v>296</v>
      </c>
      <c r="G1559" s="200" t="s">
        <v>337</v>
      </c>
      <c r="H1559" s="200" t="s">
        <v>655</v>
      </c>
    </row>
    <row r="1560" spans="1:8" ht="15" customHeight="1">
      <c r="A1560" s="199">
        <v>45693</v>
      </c>
      <c r="B1560" s="202" t="s">
        <v>1557</v>
      </c>
      <c r="C1560" s="200" t="s">
        <v>204</v>
      </c>
      <c r="D1560" s="649">
        <v>-192300</v>
      </c>
      <c r="E1560" s="201">
        <v>45689</v>
      </c>
      <c r="F1560" s="200" t="s">
        <v>296</v>
      </c>
      <c r="G1560" s="200" t="s">
        <v>341</v>
      </c>
      <c r="H1560" s="200" t="s">
        <v>839</v>
      </c>
    </row>
    <row r="1561" spans="1:8" ht="15" customHeight="1">
      <c r="A1561" s="199">
        <v>45693</v>
      </c>
      <c r="B1561" s="202" t="s">
        <v>1558</v>
      </c>
      <c r="C1561" s="200" t="s">
        <v>204</v>
      </c>
      <c r="D1561" s="649">
        <v>-1326588</v>
      </c>
      <c r="E1561" s="201">
        <v>45689</v>
      </c>
      <c r="F1561" s="200" t="s">
        <v>256</v>
      </c>
      <c r="G1561" s="200" t="s">
        <v>256</v>
      </c>
      <c r="H1561" s="200" t="s">
        <v>267</v>
      </c>
    </row>
    <row r="1562" spans="1:8" ht="15" customHeight="1">
      <c r="A1562" s="199">
        <v>45692</v>
      </c>
      <c r="B1562" s="202" t="s">
        <v>1559</v>
      </c>
      <c r="C1562" s="200" t="s">
        <v>204</v>
      </c>
      <c r="D1562" s="649">
        <v>-1650000</v>
      </c>
      <c r="E1562" s="201">
        <v>45689</v>
      </c>
      <c r="F1562" s="200" t="s">
        <v>296</v>
      </c>
      <c r="G1562" s="200" t="s">
        <v>1087</v>
      </c>
      <c r="H1562" s="200" t="s">
        <v>1560</v>
      </c>
    </row>
    <row r="1563" spans="1:8" ht="15" customHeight="1">
      <c r="A1563" s="199">
        <v>45692</v>
      </c>
      <c r="B1563" s="202" t="s">
        <v>1559</v>
      </c>
      <c r="C1563" s="200" t="s">
        <v>204</v>
      </c>
      <c r="D1563" s="649">
        <v>-2300000</v>
      </c>
      <c r="E1563" s="201">
        <v>45689</v>
      </c>
      <c r="F1563" s="200" t="s">
        <v>296</v>
      </c>
      <c r="G1563" s="200" t="s">
        <v>1561</v>
      </c>
      <c r="H1563" s="200" t="s">
        <v>1560</v>
      </c>
    </row>
    <row r="1564" spans="1:8" ht="15" customHeight="1">
      <c r="A1564" s="199">
        <v>45693</v>
      </c>
      <c r="B1564" s="202" t="s">
        <v>1562</v>
      </c>
      <c r="C1564" s="200" t="s">
        <v>204</v>
      </c>
      <c r="D1564" s="649">
        <v>-2393138</v>
      </c>
      <c r="E1564" s="201">
        <v>45689</v>
      </c>
      <c r="F1564" s="200" t="s">
        <v>296</v>
      </c>
      <c r="G1564" s="200" t="s">
        <v>522</v>
      </c>
      <c r="H1564" s="200" t="s">
        <v>322</v>
      </c>
    </row>
    <row r="1565" spans="1:8" ht="15" customHeight="1">
      <c r="A1565" s="199">
        <v>45693</v>
      </c>
      <c r="B1565" s="202" t="s">
        <v>1563</v>
      </c>
      <c r="C1565" s="200" t="s">
        <v>204</v>
      </c>
      <c r="D1565" s="649">
        <v>-12534160</v>
      </c>
      <c r="E1565" s="201">
        <v>45689</v>
      </c>
      <c r="F1565" s="200" t="s">
        <v>296</v>
      </c>
      <c r="G1565" s="200" t="s">
        <v>1124</v>
      </c>
      <c r="H1565" s="200" t="s">
        <v>364</v>
      </c>
    </row>
    <row r="1566" spans="1:8" ht="15" customHeight="1">
      <c r="A1566" s="199">
        <v>45693</v>
      </c>
      <c r="B1566" s="202" t="s">
        <v>1564</v>
      </c>
      <c r="C1566" s="200" t="s">
        <v>204</v>
      </c>
      <c r="D1566" s="649">
        <v>-6561000</v>
      </c>
      <c r="E1566" s="201">
        <v>45689</v>
      </c>
      <c r="F1566" s="200" t="s">
        <v>296</v>
      </c>
      <c r="G1566" s="200" t="s">
        <v>1124</v>
      </c>
      <c r="H1566" s="200" t="s">
        <v>377</v>
      </c>
    </row>
    <row r="1567" spans="1:8" ht="15" customHeight="1">
      <c r="A1567" s="199">
        <v>45693</v>
      </c>
      <c r="B1567" s="202" t="s">
        <v>1565</v>
      </c>
      <c r="C1567" s="200" t="s">
        <v>204</v>
      </c>
      <c r="D1567" s="649">
        <v>-181200</v>
      </c>
      <c r="E1567" s="201">
        <v>45689</v>
      </c>
      <c r="F1567" s="200" t="s">
        <v>296</v>
      </c>
      <c r="G1567" s="200" t="s">
        <v>337</v>
      </c>
      <c r="H1567" s="200" t="s">
        <v>322</v>
      </c>
    </row>
    <row r="1568" spans="1:8" ht="15" customHeight="1">
      <c r="A1568" s="199">
        <v>45693</v>
      </c>
      <c r="B1568" s="202" t="s">
        <v>1565</v>
      </c>
      <c r="C1568" s="200" t="s">
        <v>204</v>
      </c>
      <c r="D1568" s="649">
        <v>-181200</v>
      </c>
      <c r="E1568" s="201">
        <v>45689</v>
      </c>
      <c r="F1568" s="200" t="s">
        <v>296</v>
      </c>
      <c r="G1568" s="200" t="s">
        <v>44</v>
      </c>
      <c r="H1568" s="200" t="s">
        <v>322</v>
      </c>
    </row>
    <row r="1569" spans="1:9" ht="15" customHeight="1">
      <c r="A1569" s="199">
        <v>45693</v>
      </c>
      <c r="B1569" s="202" t="s">
        <v>1565</v>
      </c>
      <c r="C1569" s="200" t="s">
        <v>204</v>
      </c>
      <c r="D1569" s="649">
        <v>-181200</v>
      </c>
      <c r="E1569" s="201">
        <v>45689</v>
      </c>
      <c r="F1569" s="200" t="s">
        <v>296</v>
      </c>
      <c r="G1569" s="200" t="s">
        <v>522</v>
      </c>
      <c r="H1569" s="200" t="s">
        <v>322</v>
      </c>
    </row>
    <row r="1570" spans="1:9" ht="15" customHeight="1">
      <c r="A1570" s="199">
        <v>45693</v>
      </c>
      <c r="B1570" s="202" t="s">
        <v>1566</v>
      </c>
      <c r="C1570" s="200" t="s">
        <v>204</v>
      </c>
      <c r="D1570" s="649">
        <v>-332263</v>
      </c>
      <c r="E1570" s="201">
        <v>45689</v>
      </c>
      <c r="F1570" s="200" t="s">
        <v>256</v>
      </c>
      <c r="G1570" s="200" t="s">
        <v>256</v>
      </c>
      <c r="H1570" s="200" t="s">
        <v>267</v>
      </c>
    </row>
    <row r="1571" spans="1:9" ht="15" customHeight="1">
      <c r="A1571" s="199">
        <v>45693</v>
      </c>
      <c r="B1571" s="202" t="s">
        <v>1566</v>
      </c>
      <c r="C1571" s="200" t="s">
        <v>204</v>
      </c>
      <c r="D1571" s="649">
        <v>-736260</v>
      </c>
      <c r="E1571" s="201">
        <v>45689</v>
      </c>
      <c r="F1571" s="200" t="s">
        <v>296</v>
      </c>
      <c r="G1571" s="200" t="s">
        <v>522</v>
      </c>
      <c r="H1571" s="200" t="s">
        <v>322</v>
      </c>
    </row>
    <row r="1572" spans="1:9" ht="15" customHeight="1">
      <c r="A1572" s="199">
        <v>45693</v>
      </c>
      <c r="B1572" s="202" t="s">
        <v>1566</v>
      </c>
      <c r="C1572" s="200" t="s">
        <v>204</v>
      </c>
      <c r="D1572" s="649">
        <v>-549200</v>
      </c>
      <c r="E1572" s="201">
        <v>45689</v>
      </c>
      <c r="F1572" s="200" t="s">
        <v>296</v>
      </c>
      <c r="G1572" s="200" t="s">
        <v>337</v>
      </c>
      <c r="H1572" s="200" t="s">
        <v>366</v>
      </c>
    </row>
    <row r="1573" spans="1:9" ht="15" customHeight="1">
      <c r="A1573" s="199">
        <v>45693</v>
      </c>
      <c r="B1573" s="202" t="s">
        <v>1567</v>
      </c>
      <c r="C1573" s="200" t="s">
        <v>372</v>
      </c>
      <c r="D1573" s="204">
        <v>-2006</v>
      </c>
      <c r="E1573" s="201">
        <v>45689</v>
      </c>
      <c r="F1573" s="200" t="s">
        <v>256</v>
      </c>
      <c r="G1573" s="200" t="s">
        <v>256</v>
      </c>
      <c r="H1573" s="200" t="s">
        <v>267</v>
      </c>
    </row>
    <row r="1574" spans="1:9" ht="15" customHeight="1">
      <c r="A1574" s="199">
        <v>45693</v>
      </c>
      <c r="B1574" s="202" t="s">
        <v>1568</v>
      </c>
      <c r="C1574" s="200" t="s">
        <v>372</v>
      </c>
      <c r="D1574" s="204">
        <v>-3971</v>
      </c>
      <c r="E1574" s="201">
        <v>45689</v>
      </c>
      <c r="F1574" s="200" t="s">
        <v>296</v>
      </c>
      <c r="G1574" s="200" t="s">
        <v>522</v>
      </c>
      <c r="H1574" s="200" t="s">
        <v>322</v>
      </c>
    </row>
    <row r="1575" spans="1:9" ht="15" customHeight="1">
      <c r="A1575" s="199">
        <v>45693</v>
      </c>
      <c r="B1575" s="202" t="s">
        <v>1569</v>
      </c>
      <c r="C1575" s="200" t="s">
        <v>204</v>
      </c>
      <c r="D1575" s="649">
        <v>-258230</v>
      </c>
      <c r="E1575" s="201">
        <v>45689</v>
      </c>
      <c r="F1575" s="200" t="s">
        <v>296</v>
      </c>
      <c r="G1575" s="200" t="s">
        <v>44</v>
      </c>
      <c r="H1575" s="200" t="s">
        <v>322</v>
      </c>
    </row>
    <row r="1576" spans="1:9" ht="15" customHeight="1">
      <c r="A1576" s="199">
        <v>45693</v>
      </c>
      <c r="B1576" s="694" t="s">
        <v>1570</v>
      </c>
      <c r="C1576" s="200" t="s">
        <v>204</v>
      </c>
      <c r="D1576" s="649">
        <v>-1050000</v>
      </c>
      <c r="E1576" s="201">
        <v>45689</v>
      </c>
      <c r="F1576" s="200" t="s">
        <v>296</v>
      </c>
      <c r="G1576" s="200" t="s">
        <v>453</v>
      </c>
      <c r="H1576" s="200" t="s">
        <v>923</v>
      </c>
    </row>
    <row r="1577" spans="1:9" ht="15" customHeight="1">
      <c r="A1577" s="199">
        <v>45693</v>
      </c>
      <c r="B1577" s="202" t="s">
        <v>1571</v>
      </c>
      <c r="C1577" s="200" t="s">
        <v>204</v>
      </c>
      <c r="D1577" s="649">
        <v>-180913</v>
      </c>
      <c r="E1577" s="201">
        <v>45689</v>
      </c>
      <c r="F1577" s="200" t="s">
        <v>296</v>
      </c>
      <c r="G1577" s="200" t="s">
        <v>337</v>
      </c>
      <c r="H1577" s="200" t="s">
        <v>429</v>
      </c>
    </row>
    <row r="1578" spans="1:9" ht="15" customHeight="1">
      <c r="A1578" s="199">
        <v>45694</v>
      </c>
      <c r="B1578" s="202" t="s">
        <v>1572</v>
      </c>
      <c r="C1578" s="200" t="s">
        <v>204</v>
      </c>
      <c r="D1578" s="649">
        <v>-93323</v>
      </c>
      <c r="E1578" s="201">
        <v>45689</v>
      </c>
      <c r="F1578" s="200" t="s">
        <v>296</v>
      </c>
      <c r="G1578" s="200" t="s">
        <v>1488</v>
      </c>
      <c r="H1578" s="531" t="s">
        <v>386</v>
      </c>
    </row>
    <row r="1579" spans="1:9" ht="15" customHeight="1">
      <c r="A1579" s="199">
        <v>45694</v>
      </c>
      <c r="B1579" s="202" t="s">
        <v>1573</v>
      </c>
      <c r="C1579" s="200" t="s">
        <v>204</v>
      </c>
      <c r="D1579" s="649">
        <v>-153314</v>
      </c>
      <c r="E1579" s="201">
        <v>45689</v>
      </c>
      <c r="F1579" s="200" t="s">
        <v>296</v>
      </c>
      <c r="G1579" s="200" t="s">
        <v>1574</v>
      </c>
      <c r="H1579" s="531" t="s">
        <v>386</v>
      </c>
    </row>
    <row r="1580" spans="1:9" ht="15" customHeight="1">
      <c r="A1580" s="199">
        <v>45694</v>
      </c>
      <c r="B1580" s="202" t="s">
        <v>1575</v>
      </c>
      <c r="C1580" s="200" t="s">
        <v>204</v>
      </c>
      <c r="D1580" s="649">
        <v>-862750</v>
      </c>
      <c r="E1580" s="201">
        <v>45689</v>
      </c>
      <c r="F1580" s="200" t="s">
        <v>297</v>
      </c>
      <c r="G1580" s="200" t="s">
        <v>1313</v>
      </c>
      <c r="H1580" s="200" t="s">
        <v>377</v>
      </c>
      <c r="I1580" s="648" t="s">
        <v>329</v>
      </c>
    </row>
    <row r="1581" spans="1:9" ht="15" customHeight="1">
      <c r="A1581" s="199">
        <v>45694</v>
      </c>
      <c r="B1581" s="202" t="s">
        <v>1576</v>
      </c>
      <c r="C1581" s="200" t="s">
        <v>204</v>
      </c>
      <c r="D1581" s="649">
        <v>-550000</v>
      </c>
      <c r="E1581" s="201">
        <v>45689</v>
      </c>
      <c r="F1581" s="200" t="s">
        <v>296</v>
      </c>
      <c r="G1581" s="200" t="s">
        <v>341</v>
      </c>
      <c r="H1581" s="200" t="s">
        <v>342</v>
      </c>
    </row>
    <row r="1582" spans="1:9" ht="15" customHeight="1">
      <c r="A1582" s="199">
        <v>45694</v>
      </c>
      <c r="B1582" s="202" t="s">
        <v>409</v>
      </c>
      <c r="C1582" s="200" t="s">
        <v>372</v>
      </c>
      <c r="D1582" s="204">
        <v>-19948</v>
      </c>
      <c r="E1582" s="201">
        <v>45689</v>
      </c>
      <c r="F1582" s="200" t="s">
        <v>296</v>
      </c>
      <c r="G1582" s="200" t="s">
        <v>341</v>
      </c>
      <c r="H1582" s="200" t="s">
        <v>342</v>
      </c>
    </row>
    <row r="1583" spans="1:9" ht="15" customHeight="1">
      <c r="A1583" s="199">
        <v>45694</v>
      </c>
      <c r="B1583" s="202" t="s">
        <v>1577</v>
      </c>
      <c r="C1583" s="200" t="s">
        <v>204</v>
      </c>
      <c r="D1583" s="649">
        <v>-667307</v>
      </c>
      <c r="E1583" s="201">
        <v>45689</v>
      </c>
      <c r="F1583" s="200" t="s">
        <v>297</v>
      </c>
      <c r="G1583" s="200" t="s">
        <v>1578</v>
      </c>
      <c r="H1583" s="200" t="s">
        <v>518</v>
      </c>
      <c r="I1583" s="648" t="s">
        <v>329</v>
      </c>
    </row>
    <row r="1584" spans="1:9" ht="15" customHeight="1">
      <c r="A1584" s="199">
        <v>45694</v>
      </c>
      <c r="B1584" s="202" t="s">
        <v>1579</v>
      </c>
      <c r="C1584" s="200" t="s">
        <v>204</v>
      </c>
      <c r="D1584" s="649">
        <v>-21900</v>
      </c>
      <c r="E1584" s="201">
        <v>45689</v>
      </c>
      <c r="F1584" s="200" t="s">
        <v>296</v>
      </c>
      <c r="G1584" s="200" t="s">
        <v>453</v>
      </c>
      <c r="H1584" s="200" t="s">
        <v>98</v>
      </c>
    </row>
    <row r="1585" spans="1:9" ht="15" customHeight="1">
      <c r="A1585" s="199">
        <v>45694</v>
      </c>
      <c r="B1585" s="202" t="s">
        <v>1580</v>
      </c>
      <c r="C1585" s="200" t="s">
        <v>204</v>
      </c>
      <c r="D1585" s="649">
        <v>-21900</v>
      </c>
      <c r="E1585" s="201">
        <v>45689</v>
      </c>
      <c r="F1585" s="200" t="s">
        <v>296</v>
      </c>
      <c r="G1585" s="200" t="s">
        <v>453</v>
      </c>
      <c r="H1585" s="200" t="s">
        <v>98</v>
      </c>
    </row>
    <row r="1586" spans="1:9" ht="15" customHeight="1">
      <c r="A1586" s="199">
        <v>45694</v>
      </c>
      <c r="B1586" s="202" t="s">
        <v>1581</v>
      </c>
      <c r="C1586" s="200" t="s">
        <v>204</v>
      </c>
      <c r="D1586" s="649">
        <v>-21900</v>
      </c>
      <c r="E1586" s="201">
        <v>45689</v>
      </c>
      <c r="F1586" s="200" t="s">
        <v>296</v>
      </c>
      <c r="G1586" s="200" t="s">
        <v>453</v>
      </c>
      <c r="H1586" s="200" t="s">
        <v>98</v>
      </c>
    </row>
    <row r="1587" spans="1:9" ht="15" customHeight="1">
      <c r="A1587" s="199">
        <v>45694</v>
      </c>
      <c r="B1587" s="202" t="s">
        <v>1582</v>
      </c>
      <c r="C1587" s="200" t="s">
        <v>204</v>
      </c>
      <c r="D1587" s="649">
        <v>-21900</v>
      </c>
      <c r="E1587" s="201">
        <v>45689</v>
      </c>
      <c r="F1587" s="200" t="s">
        <v>296</v>
      </c>
      <c r="G1587" s="200" t="s">
        <v>453</v>
      </c>
      <c r="H1587" s="200" t="s">
        <v>98</v>
      </c>
    </row>
    <row r="1588" spans="1:9" ht="15" customHeight="1">
      <c r="A1588" s="199">
        <v>45694</v>
      </c>
      <c r="B1588" s="202" t="s">
        <v>1583</v>
      </c>
      <c r="C1588" s="200" t="s">
        <v>204</v>
      </c>
      <c r="D1588" s="649">
        <v>-138040</v>
      </c>
      <c r="E1588" s="201">
        <v>45689</v>
      </c>
      <c r="F1588" s="200" t="s">
        <v>296</v>
      </c>
      <c r="G1588" s="200" t="s">
        <v>337</v>
      </c>
      <c r="H1588" s="200" t="s">
        <v>366</v>
      </c>
    </row>
    <row r="1589" spans="1:9" ht="15" customHeight="1">
      <c r="A1589" s="199">
        <v>45694</v>
      </c>
      <c r="B1589" s="202" t="s">
        <v>1583</v>
      </c>
      <c r="C1589" s="200" t="s">
        <v>204</v>
      </c>
      <c r="D1589" s="649">
        <v>-131000</v>
      </c>
      <c r="E1589" s="201">
        <v>45689</v>
      </c>
      <c r="F1589" s="200" t="s">
        <v>256</v>
      </c>
      <c r="G1589" s="200" t="s">
        <v>256</v>
      </c>
      <c r="H1589" s="200" t="s">
        <v>265</v>
      </c>
    </row>
    <row r="1590" spans="1:9" ht="15" customHeight="1">
      <c r="A1590" s="199">
        <v>45694</v>
      </c>
      <c r="B1590" s="202" t="s">
        <v>1584</v>
      </c>
      <c r="C1590" s="200" t="s">
        <v>204</v>
      </c>
      <c r="D1590" s="649">
        <v>-1180000</v>
      </c>
      <c r="E1590" s="201">
        <v>45689</v>
      </c>
      <c r="F1590" s="200" t="s">
        <v>256</v>
      </c>
      <c r="G1590" s="200" t="s">
        <v>256</v>
      </c>
      <c r="H1590" s="200" t="s">
        <v>267</v>
      </c>
    </row>
    <row r="1591" spans="1:9" ht="15" customHeight="1">
      <c r="A1591" s="199">
        <v>45693</v>
      </c>
      <c r="B1591" s="530" t="s">
        <v>371</v>
      </c>
      <c r="C1591" s="200" t="s">
        <v>372</v>
      </c>
      <c r="D1591" s="649">
        <v>166606.54</v>
      </c>
      <c r="E1591" s="201">
        <v>45689</v>
      </c>
      <c r="F1591" s="200" t="s">
        <v>256</v>
      </c>
    </row>
    <row r="1592" spans="1:9" ht="15" customHeight="1">
      <c r="A1592" s="199">
        <v>45693</v>
      </c>
      <c r="B1592" s="202" t="s">
        <v>1585</v>
      </c>
      <c r="C1592" s="200" t="s">
        <v>204</v>
      </c>
      <c r="D1592" s="649">
        <f>-6171648-1185.54</f>
        <v>-6172833.54</v>
      </c>
      <c r="E1592" s="201">
        <v>45689</v>
      </c>
      <c r="F1592" s="200" t="s">
        <v>298</v>
      </c>
    </row>
    <row r="1593" spans="1:9" ht="15" customHeight="1">
      <c r="A1593" s="199">
        <v>45693</v>
      </c>
      <c r="B1593" s="202" t="s">
        <v>1585</v>
      </c>
      <c r="C1593" s="200" t="s">
        <v>204</v>
      </c>
      <c r="D1593" s="649">
        <v>-2380093.4</v>
      </c>
      <c r="E1593" s="201">
        <v>45689</v>
      </c>
      <c r="F1593" s="200" t="s">
        <v>315</v>
      </c>
    </row>
    <row r="1594" spans="1:9" ht="15" customHeight="1">
      <c r="A1594" s="199">
        <v>45694</v>
      </c>
      <c r="B1594" s="202" t="s">
        <v>1586</v>
      </c>
      <c r="C1594" s="200" t="s">
        <v>204</v>
      </c>
      <c r="D1594" s="649">
        <v>-128229</v>
      </c>
      <c r="E1594" s="201">
        <v>45689</v>
      </c>
      <c r="F1594" s="200" t="s">
        <v>296</v>
      </c>
      <c r="G1594" s="200" t="s">
        <v>341</v>
      </c>
      <c r="H1594" s="531" t="s">
        <v>386</v>
      </c>
    </row>
    <row r="1595" spans="1:9" ht="15" customHeight="1">
      <c r="A1595" s="199">
        <v>45694</v>
      </c>
      <c r="B1595" s="202" t="s">
        <v>1586</v>
      </c>
      <c r="C1595" s="200" t="s">
        <v>204</v>
      </c>
      <c r="D1595" s="649">
        <v>-65450</v>
      </c>
      <c r="E1595" s="201">
        <v>45689</v>
      </c>
      <c r="F1595" s="200" t="s">
        <v>296</v>
      </c>
      <c r="G1595" s="200" t="s">
        <v>341</v>
      </c>
      <c r="H1595" s="531" t="s">
        <v>386</v>
      </c>
    </row>
    <row r="1596" spans="1:9" ht="15" customHeight="1">
      <c r="A1596" s="199">
        <v>45694</v>
      </c>
      <c r="B1596" s="202" t="s">
        <v>1587</v>
      </c>
      <c r="C1596" s="200" t="s">
        <v>204</v>
      </c>
      <c r="D1596" s="649">
        <v>-652256</v>
      </c>
      <c r="E1596" s="201">
        <v>45689</v>
      </c>
      <c r="F1596" s="200" t="s">
        <v>296</v>
      </c>
      <c r="G1596" s="200" t="s">
        <v>415</v>
      </c>
      <c r="H1596" s="531" t="s">
        <v>386</v>
      </c>
    </row>
    <row r="1597" spans="1:9" ht="15" customHeight="1">
      <c r="A1597" s="199">
        <v>45694</v>
      </c>
      <c r="B1597" s="202" t="s">
        <v>1587</v>
      </c>
      <c r="C1597" s="200" t="s">
        <v>204</v>
      </c>
      <c r="D1597" s="649">
        <v>-65450</v>
      </c>
      <c r="E1597" s="201">
        <v>45689</v>
      </c>
      <c r="F1597" s="200" t="s">
        <v>296</v>
      </c>
      <c r="G1597" s="200" t="s">
        <v>415</v>
      </c>
      <c r="H1597" s="531" t="s">
        <v>386</v>
      </c>
      <c r="I1597" s="648" t="s">
        <v>329</v>
      </c>
    </row>
    <row r="1598" spans="1:9" ht="15" customHeight="1">
      <c r="A1598" s="199">
        <v>45694</v>
      </c>
      <c r="B1598" s="202" t="s">
        <v>1573</v>
      </c>
      <c r="C1598" s="200" t="s">
        <v>204</v>
      </c>
      <c r="D1598" s="649">
        <v>-1869227</v>
      </c>
      <c r="E1598" s="201">
        <v>45689</v>
      </c>
      <c r="F1598" s="200" t="s">
        <v>296</v>
      </c>
      <c r="G1598" s="200" t="s">
        <v>1574</v>
      </c>
      <c r="H1598" s="531" t="s">
        <v>386</v>
      </c>
      <c r="I1598" s="648" t="s">
        <v>329</v>
      </c>
    </row>
    <row r="1599" spans="1:9" ht="15" customHeight="1">
      <c r="A1599" s="199">
        <v>45694</v>
      </c>
      <c r="B1599" s="202" t="s">
        <v>1588</v>
      </c>
      <c r="C1599" s="200" t="s">
        <v>204</v>
      </c>
      <c r="D1599" s="649">
        <v>-606900</v>
      </c>
      <c r="E1599" s="201">
        <v>45689</v>
      </c>
      <c r="F1599" s="200" t="s">
        <v>296</v>
      </c>
      <c r="G1599" s="200" t="s">
        <v>482</v>
      </c>
      <c r="H1599" s="531" t="s">
        <v>386</v>
      </c>
    </row>
    <row r="1600" spans="1:9" ht="15" customHeight="1">
      <c r="A1600" s="199">
        <v>45694</v>
      </c>
      <c r="B1600" s="202" t="s">
        <v>1572</v>
      </c>
      <c r="C1600" s="200" t="s">
        <v>204</v>
      </c>
      <c r="D1600" s="649">
        <v>-866693</v>
      </c>
      <c r="E1600" s="201">
        <v>45689</v>
      </c>
      <c r="F1600" s="200" t="s">
        <v>296</v>
      </c>
      <c r="G1600" s="200" t="s">
        <v>1488</v>
      </c>
      <c r="H1600" s="531" t="s">
        <v>386</v>
      </c>
      <c r="I1600" s="648" t="s">
        <v>329</v>
      </c>
    </row>
    <row r="1601" spans="1:8" ht="15" customHeight="1">
      <c r="A1601" s="199">
        <v>45694</v>
      </c>
      <c r="B1601" s="694" t="s">
        <v>1589</v>
      </c>
      <c r="C1601" s="200" t="s">
        <v>204</v>
      </c>
      <c r="D1601" s="649">
        <v>-983000</v>
      </c>
      <c r="E1601" s="201">
        <v>45689</v>
      </c>
      <c r="F1601" s="200" t="s">
        <v>296</v>
      </c>
      <c r="G1601" s="200" t="s">
        <v>1124</v>
      </c>
      <c r="H1601" s="200" t="s">
        <v>857</v>
      </c>
    </row>
    <row r="1602" spans="1:8" ht="15" customHeight="1">
      <c r="A1602" s="199">
        <v>45694</v>
      </c>
      <c r="B1602" s="202" t="s">
        <v>1590</v>
      </c>
      <c r="C1602" s="200" t="s">
        <v>204</v>
      </c>
      <c r="D1602" s="649">
        <v>-273700</v>
      </c>
      <c r="E1602" s="201">
        <v>45689</v>
      </c>
      <c r="F1602" s="200" t="s">
        <v>256</v>
      </c>
      <c r="G1602" s="200" t="s">
        <v>107</v>
      </c>
      <c r="H1602" s="200" t="s">
        <v>777</v>
      </c>
    </row>
    <row r="1603" spans="1:8" ht="15" customHeight="1">
      <c r="A1603" s="199">
        <v>45694</v>
      </c>
      <c r="B1603" s="202" t="s">
        <v>1591</v>
      </c>
      <c r="C1603" s="200" t="s">
        <v>204</v>
      </c>
      <c r="D1603" s="649">
        <v>-27621000</v>
      </c>
      <c r="E1603" s="201">
        <v>45689</v>
      </c>
      <c r="F1603" s="200" t="s">
        <v>296</v>
      </c>
      <c r="G1603" s="200" t="s">
        <v>44</v>
      </c>
      <c r="H1603" s="200" t="s">
        <v>442</v>
      </c>
    </row>
    <row r="1604" spans="1:8" ht="15" customHeight="1">
      <c r="A1604" s="199">
        <v>45694</v>
      </c>
      <c r="B1604" s="202" t="s">
        <v>1592</v>
      </c>
      <c r="C1604" s="200" t="s">
        <v>372</v>
      </c>
      <c r="D1604" s="204">
        <v>-279000</v>
      </c>
      <c r="E1604" s="201">
        <v>45689</v>
      </c>
      <c r="F1604" s="200" t="s">
        <v>296</v>
      </c>
      <c r="G1604" s="200" t="s">
        <v>44</v>
      </c>
      <c r="H1604" s="200" t="s">
        <v>442</v>
      </c>
    </row>
    <row r="1605" spans="1:8" ht="15" customHeight="1">
      <c r="A1605" s="199">
        <v>45694</v>
      </c>
      <c r="B1605" s="202" t="s">
        <v>1593</v>
      </c>
      <c r="C1605" s="200" t="s">
        <v>204</v>
      </c>
      <c r="D1605" s="649">
        <v>-108500000</v>
      </c>
      <c r="E1605" s="201">
        <v>45689</v>
      </c>
      <c r="F1605" s="200" t="s">
        <v>1594</v>
      </c>
      <c r="G1605" s="200" t="s">
        <v>1595</v>
      </c>
    </row>
    <row r="1606" spans="1:8" ht="15" customHeight="1">
      <c r="A1606" s="199">
        <v>45694</v>
      </c>
      <c r="B1606" s="202" t="s">
        <v>1596</v>
      </c>
      <c r="C1606" s="200" t="s">
        <v>204</v>
      </c>
      <c r="D1606" s="649">
        <v>-1863529</v>
      </c>
      <c r="E1606" s="201">
        <v>45689</v>
      </c>
      <c r="F1606" s="200" t="s">
        <v>296</v>
      </c>
      <c r="G1606" s="200" t="s">
        <v>1124</v>
      </c>
      <c r="H1606" s="200" t="s">
        <v>342</v>
      </c>
    </row>
    <row r="1607" spans="1:8" ht="15" customHeight="1">
      <c r="A1607" s="199">
        <v>45694</v>
      </c>
      <c r="B1607" s="202" t="s">
        <v>1597</v>
      </c>
      <c r="C1607" s="200" t="s">
        <v>372</v>
      </c>
      <c r="D1607" s="204">
        <v>-56471</v>
      </c>
      <c r="E1607" s="201">
        <v>45689</v>
      </c>
      <c r="F1607" s="200" t="s">
        <v>296</v>
      </c>
      <c r="G1607" s="200" t="s">
        <v>1124</v>
      </c>
      <c r="H1607" s="200" t="s">
        <v>342</v>
      </c>
    </row>
    <row r="1608" spans="1:8" ht="15" customHeight="1">
      <c r="A1608" s="199">
        <v>45694</v>
      </c>
      <c r="B1608" s="202" t="s">
        <v>1598</v>
      </c>
      <c r="C1608" s="200" t="s">
        <v>204</v>
      </c>
      <c r="D1608" s="649">
        <v>-4991664</v>
      </c>
      <c r="E1608" s="201">
        <v>45689</v>
      </c>
      <c r="F1608" s="200" t="s">
        <v>256</v>
      </c>
      <c r="G1608" s="200" t="s">
        <v>256</v>
      </c>
      <c r="H1608" s="200" t="s">
        <v>9</v>
      </c>
    </row>
    <row r="1609" spans="1:8" ht="15" customHeight="1">
      <c r="A1609" s="199">
        <v>45694</v>
      </c>
      <c r="B1609" s="202" t="s">
        <v>1599</v>
      </c>
      <c r="C1609" s="200" t="s">
        <v>372</v>
      </c>
      <c r="D1609" s="204">
        <v>-107117</v>
      </c>
      <c r="E1609" s="201">
        <v>45689</v>
      </c>
      <c r="F1609" s="200" t="s">
        <v>256</v>
      </c>
      <c r="G1609" s="200" t="s">
        <v>256</v>
      </c>
      <c r="H1609" s="200" t="s">
        <v>9</v>
      </c>
    </row>
    <row r="1610" spans="1:8" ht="15" customHeight="1">
      <c r="A1610" s="199">
        <v>45694</v>
      </c>
      <c r="B1610" s="202" t="s">
        <v>1600</v>
      </c>
      <c r="C1610" s="200" t="s">
        <v>204</v>
      </c>
      <c r="D1610" s="649">
        <v>-1934880</v>
      </c>
      <c r="E1610" s="201">
        <v>45689</v>
      </c>
      <c r="F1610" s="200" t="s">
        <v>296</v>
      </c>
      <c r="G1610" s="200" t="s">
        <v>411</v>
      </c>
      <c r="H1610" s="200" t="s">
        <v>377</v>
      </c>
    </row>
    <row r="1611" spans="1:8" ht="15" customHeight="1">
      <c r="A1611" s="199">
        <v>45694</v>
      </c>
      <c r="B1611" s="202" t="s">
        <v>1601</v>
      </c>
      <c r="C1611" s="200" t="s">
        <v>372</v>
      </c>
      <c r="D1611" s="204">
        <v>-41700</v>
      </c>
      <c r="E1611" s="201">
        <v>45689</v>
      </c>
      <c r="F1611" s="200" t="s">
        <v>296</v>
      </c>
      <c r="G1611" s="200" t="s">
        <v>411</v>
      </c>
      <c r="H1611" s="200" t="s">
        <v>377</v>
      </c>
    </row>
    <row r="1612" spans="1:8" ht="15" customHeight="1">
      <c r="A1612" s="199">
        <v>45694</v>
      </c>
      <c r="B1612" s="202" t="s">
        <v>1602</v>
      </c>
      <c r="C1612" s="200" t="s">
        <v>372</v>
      </c>
      <c r="D1612" s="204">
        <v>-8340</v>
      </c>
      <c r="E1612" s="201">
        <v>45689</v>
      </c>
      <c r="F1612" s="200" t="s">
        <v>296</v>
      </c>
      <c r="G1612" s="200" t="s">
        <v>411</v>
      </c>
      <c r="H1612" s="200" t="s">
        <v>377</v>
      </c>
    </row>
    <row r="1613" spans="1:8" ht="15" customHeight="1">
      <c r="A1613" s="199">
        <v>45694</v>
      </c>
      <c r="B1613" s="202" t="s">
        <v>1603</v>
      </c>
      <c r="C1613" s="200" t="s">
        <v>204</v>
      </c>
      <c r="D1613" s="649">
        <v>-95700</v>
      </c>
      <c r="E1613" s="201">
        <v>45689</v>
      </c>
      <c r="F1613" s="200" t="s">
        <v>256</v>
      </c>
      <c r="G1613" s="200" t="s">
        <v>256</v>
      </c>
      <c r="H1613" s="200" t="s">
        <v>267</v>
      </c>
    </row>
    <row r="1614" spans="1:8" ht="15" customHeight="1">
      <c r="A1614" s="199">
        <v>45694</v>
      </c>
      <c r="B1614" s="202" t="s">
        <v>1604</v>
      </c>
      <c r="C1614" s="200" t="s">
        <v>204</v>
      </c>
      <c r="D1614" s="649">
        <v>-2288000</v>
      </c>
      <c r="E1614" s="201">
        <v>45689</v>
      </c>
      <c r="F1614" s="200" t="s">
        <v>256</v>
      </c>
      <c r="G1614" s="200" t="s">
        <v>107</v>
      </c>
      <c r="H1614" s="200" t="s">
        <v>777</v>
      </c>
    </row>
    <row r="1615" spans="1:8" ht="15" customHeight="1">
      <c r="A1615" s="199">
        <v>45694</v>
      </c>
      <c r="B1615" s="202" t="s">
        <v>1605</v>
      </c>
      <c r="C1615" s="200" t="s">
        <v>372</v>
      </c>
      <c r="D1615" s="204">
        <v>-80000</v>
      </c>
      <c r="E1615" s="201">
        <v>45689</v>
      </c>
      <c r="F1615" s="200" t="s">
        <v>256</v>
      </c>
      <c r="G1615" s="200" t="s">
        <v>107</v>
      </c>
      <c r="H1615" s="200" t="s">
        <v>777</v>
      </c>
    </row>
    <row r="1616" spans="1:8" ht="15" customHeight="1">
      <c r="A1616" s="199">
        <v>45694</v>
      </c>
      <c r="B1616" s="202" t="s">
        <v>1606</v>
      </c>
      <c r="C1616" s="200" t="s">
        <v>372</v>
      </c>
      <c r="D1616" s="204">
        <v>-12000</v>
      </c>
      <c r="E1616" s="201">
        <v>45689</v>
      </c>
      <c r="F1616" s="200" t="s">
        <v>256</v>
      </c>
      <c r="G1616" s="200" t="s">
        <v>107</v>
      </c>
      <c r="H1616" s="200" t="s">
        <v>777</v>
      </c>
    </row>
    <row r="1617" spans="1:9" ht="15" customHeight="1">
      <c r="A1617" s="199">
        <v>45694</v>
      </c>
      <c r="B1617" s="202" t="s">
        <v>1607</v>
      </c>
      <c r="C1617" s="200" t="s">
        <v>204</v>
      </c>
      <c r="D1617" s="649">
        <v>-2288000</v>
      </c>
      <c r="E1617" s="201">
        <v>45689</v>
      </c>
      <c r="F1617" s="200" t="s">
        <v>256</v>
      </c>
      <c r="G1617" s="200" t="s">
        <v>107</v>
      </c>
      <c r="H1617" s="200" t="s">
        <v>777</v>
      </c>
    </row>
    <row r="1618" spans="1:9" ht="15" customHeight="1">
      <c r="A1618" s="199">
        <v>45694</v>
      </c>
      <c r="B1618" s="202" t="s">
        <v>1608</v>
      </c>
      <c r="C1618" s="200" t="s">
        <v>372</v>
      </c>
      <c r="D1618" s="204">
        <v>-80000</v>
      </c>
      <c r="E1618" s="201">
        <v>45689</v>
      </c>
      <c r="F1618" s="200" t="s">
        <v>256</v>
      </c>
      <c r="G1618" s="200" t="s">
        <v>107</v>
      </c>
      <c r="H1618" s="200" t="s">
        <v>777</v>
      </c>
    </row>
    <row r="1619" spans="1:9" ht="15" customHeight="1">
      <c r="A1619" s="199">
        <v>45694</v>
      </c>
      <c r="B1619" s="202" t="s">
        <v>1609</v>
      </c>
      <c r="C1619" s="200" t="s">
        <v>372</v>
      </c>
      <c r="D1619" s="204">
        <v>-12000</v>
      </c>
      <c r="E1619" s="201">
        <v>45689</v>
      </c>
      <c r="F1619" s="200" t="s">
        <v>256</v>
      </c>
      <c r="G1619" s="200" t="s">
        <v>107</v>
      </c>
      <c r="H1619" s="200" t="s">
        <v>777</v>
      </c>
    </row>
    <row r="1620" spans="1:9" ht="15" customHeight="1">
      <c r="A1620" s="199">
        <v>45694</v>
      </c>
      <c r="B1620" s="202" t="s">
        <v>1610</v>
      </c>
      <c r="C1620" s="200" t="s">
        <v>204</v>
      </c>
      <c r="D1620" s="649">
        <v>-1372800</v>
      </c>
      <c r="E1620" s="201">
        <v>45689</v>
      </c>
      <c r="F1620" s="200" t="s">
        <v>296</v>
      </c>
      <c r="G1620" s="200" t="s">
        <v>522</v>
      </c>
      <c r="H1620" s="200" t="s">
        <v>381</v>
      </c>
    </row>
    <row r="1621" spans="1:9" ht="15" customHeight="1">
      <c r="A1621" s="199">
        <v>45694</v>
      </c>
      <c r="B1621" s="202" t="s">
        <v>1611</v>
      </c>
      <c r="C1621" s="200" t="s">
        <v>372</v>
      </c>
      <c r="D1621" s="204">
        <v>-48000</v>
      </c>
      <c r="E1621" s="201">
        <v>45689</v>
      </c>
      <c r="F1621" s="200" t="s">
        <v>296</v>
      </c>
      <c r="G1621" s="200" t="s">
        <v>522</v>
      </c>
      <c r="H1621" s="200" t="s">
        <v>381</v>
      </c>
    </row>
    <row r="1622" spans="1:9" ht="15" customHeight="1">
      <c r="A1622" s="199">
        <v>45694</v>
      </c>
      <c r="B1622" s="202" t="s">
        <v>1612</v>
      </c>
      <c r="C1622" s="200" t="s">
        <v>372</v>
      </c>
      <c r="D1622" s="204">
        <v>-7200</v>
      </c>
      <c r="E1622" s="201">
        <v>45689</v>
      </c>
      <c r="F1622" s="200" t="s">
        <v>296</v>
      </c>
      <c r="G1622" s="200" t="s">
        <v>522</v>
      </c>
      <c r="H1622" s="200" t="s">
        <v>381</v>
      </c>
    </row>
    <row r="1623" spans="1:9" ht="15" customHeight="1">
      <c r="A1623" s="199">
        <v>45694</v>
      </c>
      <c r="B1623" s="202" t="s">
        <v>1610</v>
      </c>
      <c r="C1623" s="200" t="s">
        <v>204</v>
      </c>
      <c r="D1623" s="649">
        <v>-393600</v>
      </c>
      <c r="E1623" s="201">
        <v>45689</v>
      </c>
      <c r="F1623" s="200" t="s">
        <v>296</v>
      </c>
      <c r="G1623" s="200" t="s">
        <v>522</v>
      </c>
      <c r="H1623" s="200" t="s">
        <v>381</v>
      </c>
    </row>
    <row r="1624" spans="1:9" ht="15" customHeight="1">
      <c r="A1624" s="199">
        <v>45694</v>
      </c>
      <c r="B1624" s="202" t="s">
        <v>1613</v>
      </c>
      <c r="C1624" s="200" t="s">
        <v>372</v>
      </c>
      <c r="D1624" s="204">
        <v>-4000</v>
      </c>
      <c r="E1624" s="201">
        <v>45689</v>
      </c>
      <c r="F1624" s="200" t="s">
        <v>296</v>
      </c>
      <c r="G1624" s="200" t="s">
        <v>522</v>
      </c>
      <c r="H1624" s="200" t="s">
        <v>381</v>
      </c>
    </row>
    <row r="1625" spans="1:9" ht="15" customHeight="1">
      <c r="A1625" s="199">
        <v>45694</v>
      </c>
      <c r="B1625" s="202" t="s">
        <v>1612</v>
      </c>
      <c r="C1625" s="200" t="s">
        <v>372</v>
      </c>
      <c r="D1625" s="204">
        <v>-2400</v>
      </c>
      <c r="E1625" s="201">
        <v>45689</v>
      </c>
      <c r="F1625" s="200" t="s">
        <v>296</v>
      </c>
      <c r="G1625" s="200" t="s">
        <v>522</v>
      </c>
      <c r="H1625" s="200" t="s">
        <v>381</v>
      </c>
    </row>
    <row r="1626" spans="1:9" ht="15" customHeight="1">
      <c r="A1626" s="199">
        <v>45694</v>
      </c>
      <c r="B1626" s="202" t="s">
        <v>1614</v>
      </c>
      <c r="C1626" s="200" t="s">
        <v>204</v>
      </c>
      <c r="D1626" s="649">
        <v>-300000</v>
      </c>
      <c r="E1626" s="201">
        <v>45689</v>
      </c>
      <c r="F1626" s="200" t="s">
        <v>296</v>
      </c>
      <c r="G1626" s="200" t="s">
        <v>45</v>
      </c>
      <c r="H1626" s="200" t="s">
        <v>777</v>
      </c>
      <c r="I1626" s="648" t="s">
        <v>329</v>
      </c>
    </row>
    <row r="1627" spans="1:9" ht="15" customHeight="1">
      <c r="A1627" s="199">
        <v>45694</v>
      </c>
      <c r="B1627" s="202" t="s">
        <v>1615</v>
      </c>
      <c r="C1627" s="200" t="s">
        <v>204</v>
      </c>
      <c r="D1627" s="649">
        <v>-3151092</v>
      </c>
      <c r="E1627" s="201">
        <v>45689</v>
      </c>
      <c r="F1627" s="200" t="s">
        <v>296</v>
      </c>
      <c r="G1627" s="200" t="s">
        <v>337</v>
      </c>
      <c r="H1627" s="200" t="s">
        <v>366</v>
      </c>
    </row>
    <row r="1628" spans="1:9" ht="15" customHeight="1">
      <c r="A1628" s="199">
        <v>45694</v>
      </c>
      <c r="B1628" s="202" t="s">
        <v>1616</v>
      </c>
      <c r="C1628" s="200" t="s">
        <v>372</v>
      </c>
      <c r="D1628" s="204">
        <v>-67020</v>
      </c>
      <c r="E1628" s="201">
        <v>45689</v>
      </c>
      <c r="F1628" s="200" t="s">
        <v>296</v>
      </c>
      <c r="G1628" s="200" t="s">
        <v>337</v>
      </c>
      <c r="H1628" s="200" t="s">
        <v>366</v>
      </c>
    </row>
    <row r="1629" spans="1:9" ht="15" customHeight="1">
      <c r="A1629" s="199">
        <v>45694</v>
      </c>
      <c r="B1629" s="202" t="s">
        <v>1617</v>
      </c>
      <c r="C1629" s="200" t="s">
        <v>204</v>
      </c>
      <c r="D1629" s="649">
        <v>-110000</v>
      </c>
      <c r="E1629" s="201">
        <v>45689</v>
      </c>
      <c r="F1629" s="200" t="s">
        <v>256</v>
      </c>
      <c r="G1629" s="200" t="s">
        <v>256</v>
      </c>
      <c r="H1629" s="200" t="s">
        <v>263</v>
      </c>
    </row>
    <row r="1630" spans="1:9" ht="15" customHeight="1">
      <c r="A1630" s="199">
        <v>45694</v>
      </c>
      <c r="B1630" s="202" t="s">
        <v>1618</v>
      </c>
      <c r="C1630" s="200" t="s">
        <v>204</v>
      </c>
      <c r="D1630" s="649">
        <v>-1023393</v>
      </c>
      <c r="E1630" s="201">
        <v>45689</v>
      </c>
      <c r="F1630" s="200" t="s">
        <v>296</v>
      </c>
      <c r="G1630" s="200" t="s">
        <v>328</v>
      </c>
      <c r="H1630" s="200" t="s">
        <v>364</v>
      </c>
    </row>
    <row r="1631" spans="1:9" ht="15" customHeight="1">
      <c r="A1631" s="199">
        <v>45694</v>
      </c>
      <c r="B1631" s="202" t="s">
        <v>1619</v>
      </c>
      <c r="C1631" s="200" t="s">
        <v>372</v>
      </c>
      <c r="D1631" s="204">
        <v>-2587</v>
      </c>
      <c r="E1631" s="201">
        <v>45689</v>
      </c>
      <c r="F1631" s="200" t="s">
        <v>296</v>
      </c>
      <c r="G1631" s="200" t="s">
        <v>328</v>
      </c>
      <c r="H1631" s="200" t="s">
        <v>364</v>
      </c>
    </row>
    <row r="1632" spans="1:9" ht="15" customHeight="1">
      <c r="A1632" s="199">
        <v>45694</v>
      </c>
      <c r="B1632" s="202" t="s">
        <v>1620</v>
      </c>
      <c r="C1632" s="200" t="s">
        <v>204</v>
      </c>
      <c r="D1632" s="649">
        <v>-622020</v>
      </c>
      <c r="E1632" s="201">
        <v>45689</v>
      </c>
      <c r="F1632" s="200" t="s">
        <v>296</v>
      </c>
      <c r="G1632" s="200" t="s">
        <v>482</v>
      </c>
      <c r="H1632" s="200" t="s">
        <v>350</v>
      </c>
    </row>
    <row r="1633" spans="1:9" ht="15" customHeight="1">
      <c r="A1633" s="199">
        <v>45684</v>
      </c>
      <c r="B1633" s="202" t="s">
        <v>503</v>
      </c>
      <c r="C1633" s="200" t="s">
        <v>204</v>
      </c>
      <c r="D1633" s="649">
        <v>-31900</v>
      </c>
      <c r="E1633" s="201">
        <v>45689</v>
      </c>
      <c r="F1633" s="200" t="s">
        <v>296</v>
      </c>
      <c r="G1633" s="200" t="s">
        <v>341</v>
      </c>
      <c r="H1633" s="200" t="s">
        <v>268</v>
      </c>
      <c r="I1633" s="200" t="s">
        <v>1621</v>
      </c>
    </row>
    <row r="1634" spans="1:9" ht="15" customHeight="1">
      <c r="A1634" s="199">
        <v>45684</v>
      </c>
      <c r="B1634" s="202" t="s">
        <v>1622</v>
      </c>
      <c r="C1634" s="200" t="s">
        <v>204</v>
      </c>
      <c r="D1634" s="649">
        <v>-14000</v>
      </c>
      <c r="E1634" s="201">
        <v>45689</v>
      </c>
      <c r="F1634" s="200" t="s">
        <v>296</v>
      </c>
      <c r="G1634" s="200" t="s">
        <v>341</v>
      </c>
      <c r="H1634" s="200" t="s">
        <v>342</v>
      </c>
      <c r="I1634" s="200" t="s">
        <v>1621</v>
      </c>
    </row>
    <row r="1635" spans="1:9" ht="15" customHeight="1">
      <c r="A1635" s="199">
        <v>45684</v>
      </c>
      <c r="B1635" s="202" t="s">
        <v>1623</v>
      </c>
      <c r="C1635" s="200" t="s">
        <v>204</v>
      </c>
      <c r="D1635" s="649">
        <v>-20000</v>
      </c>
      <c r="E1635" s="201">
        <v>45689</v>
      </c>
      <c r="F1635" s="200" t="s">
        <v>296</v>
      </c>
      <c r="G1635" s="200" t="s">
        <v>341</v>
      </c>
      <c r="H1635" s="200" t="s">
        <v>342</v>
      </c>
      <c r="I1635" s="200" t="s">
        <v>1621</v>
      </c>
    </row>
    <row r="1636" spans="1:9" ht="15" customHeight="1">
      <c r="A1636" s="199">
        <v>45684</v>
      </c>
      <c r="B1636" s="202" t="s">
        <v>1624</v>
      </c>
      <c r="C1636" s="200" t="s">
        <v>204</v>
      </c>
      <c r="D1636" s="649">
        <v>-44000</v>
      </c>
      <c r="E1636" s="201">
        <v>45689</v>
      </c>
      <c r="F1636" s="200" t="s">
        <v>296</v>
      </c>
      <c r="G1636" s="200" t="s">
        <v>341</v>
      </c>
      <c r="H1636" s="200" t="s">
        <v>342</v>
      </c>
      <c r="I1636" s="200" t="s">
        <v>1621</v>
      </c>
    </row>
    <row r="1637" spans="1:9" ht="15" customHeight="1">
      <c r="A1637" s="199">
        <v>45685</v>
      </c>
      <c r="B1637" s="202" t="s">
        <v>348</v>
      </c>
      <c r="C1637" s="200" t="s">
        <v>204</v>
      </c>
      <c r="D1637" s="649">
        <v>-28000</v>
      </c>
      <c r="E1637" s="201">
        <v>45689</v>
      </c>
      <c r="F1637" s="200" t="s">
        <v>296</v>
      </c>
      <c r="G1637" s="200" t="s">
        <v>341</v>
      </c>
      <c r="H1637" s="200" t="s">
        <v>342</v>
      </c>
      <c r="I1637" s="200" t="s">
        <v>1621</v>
      </c>
    </row>
    <row r="1638" spans="1:9" ht="15" customHeight="1">
      <c r="A1638" s="199">
        <v>45685</v>
      </c>
      <c r="B1638" s="202" t="s">
        <v>1625</v>
      </c>
      <c r="C1638" s="200" t="s">
        <v>204</v>
      </c>
      <c r="D1638" s="649">
        <v>-31900</v>
      </c>
      <c r="E1638" s="201">
        <v>45689</v>
      </c>
      <c r="F1638" s="200" t="s">
        <v>296</v>
      </c>
      <c r="G1638" s="200" t="s">
        <v>341</v>
      </c>
      <c r="H1638" s="200" t="s">
        <v>268</v>
      </c>
      <c r="I1638" s="200" t="s">
        <v>1621</v>
      </c>
    </row>
    <row r="1639" spans="1:9" ht="15" customHeight="1">
      <c r="A1639" s="199">
        <v>45685</v>
      </c>
      <c r="B1639" s="202" t="s">
        <v>507</v>
      </c>
      <c r="C1639" s="200" t="s">
        <v>204</v>
      </c>
      <c r="D1639" s="649">
        <v>-40000</v>
      </c>
      <c r="E1639" s="201">
        <v>45689</v>
      </c>
      <c r="F1639" s="200" t="s">
        <v>296</v>
      </c>
      <c r="G1639" s="200" t="s">
        <v>341</v>
      </c>
      <c r="H1639" s="200" t="s">
        <v>342</v>
      </c>
      <c r="I1639" s="200" t="s">
        <v>1621</v>
      </c>
    </row>
    <row r="1640" spans="1:9" ht="15" customHeight="1">
      <c r="A1640" s="199">
        <v>45685</v>
      </c>
      <c r="B1640" s="202" t="s">
        <v>1626</v>
      </c>
      <c r="C1640" s="200" t="s">
        <v>204</v>
      </c>
      <c r="D1640" s="649">
        <v>-10400</v>
      </c>
      <c r="E1640" s="201">
        <v>45689</v>
      </c>
      <c r="F1640" s="200" t="s">
        <v>296</v>
      </c>
      <c r="G1640" s="200" t="s">
        <v>341</v>
      </c>
      <c r="H1640" s="200" t="s">
        <v>350</v>
      </c>
      <c r="I1640" s="200" t="s">
        <v>1621</v>
      </c>
    </row>
    <row r="1641" spans="1:9" ht="15" customHeight="1">
      <c r="A1641" s="199">
        <v>45686</v>
      </c>
      <c r="B1641" s="202" t="s">
        <v>348</v>
      </c>
      <c r="C1641" s="200" t="s">
        <v>204</v>
      </c>
      <c r="D1641" s="649">
        <v>-32000</v>
      </c>
      <c r="E1641" s="201">
        <v>45689</v>
      </c>
      <c r="F1641" s="200" t="s">
        <v>296</v>
      </c>
      <c r="G1641" s="200" t="s">
        <v>341</v>
      </c>
      <c r="H1641" s="200" t="s">
        <v>342</v>
      </c>
      <c r="I1641" s="200" t="s">
        <v>1621</v>
      </c>
    </row>
    <row r="1642" spans="1:9" ht="15" customHeight="1">
      <c r="A1642" s="199">
        <v>45686</v>
      </c>
      <c r="B1642" s="202" t="s">
        <v>1627</v>
      </c>
      <c r="C1642" s="200" t="s">
        <v>204</v>
      </c>
      <c r="D1642" s="649">
        <v>-36150</v>
      </c>
      <c r="E1642" s="201">
        <v>45689</v>
      </c>
      <c r="F1642" s="200" t="s">
        <v>296</v>
      </c>
      <c r="G1642" s="200" t="s">
        <v>341</v>
      </c>
      <c r="H1642" s="200" t="s">
        <v>350</v>
      </c>
      <c r="I1642" s="200" t="s">
        <v>1621</v>
      </c>
    </row>
    <row r="1643" spans="1:9" ht="15" customHeight="1">
      <c r="A1643" s="199">
        <v>45686</v>
      </c>
      <c r="B1643" s="202" t="s">
        <v>1628</v>
      </c>
      <c r="C1643" s="200" t="s">
        <v>204</v>
      </c>
      <c r="D1643" s="649">
        <v>-16500</v>
      </c>
      <c r="E1643" s="201">
        <v>45689</v>
      </c>
      <c r="F1643" s="200" t="s">
        <v>296</v>
      </c>
      <c r="G1643" s="200" t="s">
        <v>341</v>
      </c>
      <c r="H1643" s="200" t="s">
        <v>350</v>
      </c>
      <c r="I1643" s="200" t="s">
        <v>1621</v>
      </c>
    </row>
    <row r="1644" spans="1:9" ht="15" customHeight="1">
      <c r="A1644" s="199">
        <v>45686</v>
      </c>
      <c r="B1644" s="202" t="s">
        <v>1629</v>
      </c>
      <c r="C1644" s="200" t="s">
        <v>204</v>
      </c>
      <c r="D1644" s="649">
        <v>-11900</v>
      </c>
      <c r="E1644" s="201">
        <v>45689</v>
      </c>
      <c r="F1644" s="200" t="s">
        <v>296</v>
      </c>
      <c r="G1644" s="200" t="s">
        <v>341</v>
      </c>
      <c r="H1644" s="200" t="s">
        <v>350</v>
      </c>
      <c r="I1644" s="200" t="s">
        <v>1621</v>
      </c>
    </row>
    <row r="1645" spans="1:9" ht="15" customHeight="1">
      <c r="A1645" s="199">
        <v>45686</v>
      </c>
      <c r="B1645" s="202" t="s">
        <v>507</v>
      </c>
      <c r="C1645" s="200" t="s">
        <v>204</v>
      </c>
      <c r="D1645" s="649">
        <v>-40000</v>
      </c>
      <c r="E1645" s="201">
        <v>45689</v>
      </c>
      <c r="F1645" s="200" t="s">
        <v>296</v>
      </c>
      <c r="G1645" s="200" t="s">
        <v>341</v>
      </c>
      <c r="H1645" s="200" t="s">
        <v>342</v>
      </c>
      <c r="I1645" s="200" t="s">
        <v>1621</v>
      </c>
    </row>
    <row r="1646" spans="1:9" ht="15" customHeight="1">
      <c r="A1646" s="199">
        <v>45686</v>
      </c>
      <c r="B1646" s="202" t="s">
        <v>1630</v>
      </c>
      <c r="C1646" s="200" t="s">
        <v>204</v>
      </c>
      <c r="D1646" s="649">
        <v>-44500</v>
      </c>
      <c r="E1646" s="201">
        <v>45689</v>
      </c>
      <c r="F1646" s="200" t="s">
        <v>296</v>
      </c>
      <c r="G1646" s="200" t="s">
        <v>341</v>
      </c>
      <c r="H1646" s="200" t="s">
        <v>350</v>
      </c>
      <c r="I1646" s="200" t="s">
        <v>1621</v>
      </c>
    </row>
    <row r="1647" spans="1:9" ht="15" customHeight="1">
      <c r="A1647" s="199">
        <v>45686</v>
      </c>
      <c r="B1647" s="202" t="s">
        <v>1631</v>
      </c>
      <c r="C1647" s="200" t="s">
        <v>204</v>
      </c>
      <c r="D1647" s="649">
        <v>-43829</v>
      </c>
      <c r="E1647" s="201">
        <v>45689</v>
      </c>
      <c r="F1647" s="200" t="s">
        <v>296</v>
      </c>
      <c r="G1647" s="200" t="s">
        <v>341</v>
      </c>
      <c r="H1647" s="200" t="s">
        <v>342</v>
      </c>
      <c r="I1647" s="200" t="s">
        <v>1621</v>
      </c>
    </row>
    <row r="1648" spans="1:9" ht="15" customHeight="1">
      <c r="A1648" s="199">
        <v>45686</v>
      </c>
      <c r="B1648" s="202" t="s">
        <v>1632</v>
      </c>
      <c r="C1648" s="200" t="s">
        <v>204</v>
      </c>
      <c r="D1648" s="649">
        <v>-16000</v>
      </c>
      <c r="E1648" s="201">
        <v>45689</v>
      </c>
      <c r="F1648" s="200" t="s">
        <v>296</v>
      </c>
      <c r="G1648" s="200" t="s">
        <v>341</v>
      </c>
      <c r="H1648" s="200" t="s">
        <v>342</v>
      </c>
      <c r="I1648" s="200" t="s">
        <v>1621</v>
      </c>
    </row>
    <row r="1649" spans="1:9" ht="15" customHeight="1">
      <c r="A1649" s="199">
        <v>45687</v>
      </c>
      <c r="B1649" s="202" t="s">
        <v>348</v>
      </c>
      <c r="C1649" s="200" t="s">
        <v>204</v>
      </c>
      <c r="D1649" s="649">
        <v>-32000</v>
      </c>
      <c r="E1649" s="201">
        <v>45689</v>
      </c>
      <c r="F1649" s="200" t="s">
        <v>296</v>
      </c>
      <c r="G1649" s="200" t="s">
        <v>341</v>
      </c>
      <c r="H1649" s="200" t="s">
        <v>342</v>
      </c>
      <c r="I1649" s="200" t="s">
        <v>1621</v>
      </c>
    </row>
    <row r="1650" spans="1:9" ht="15" customHeight="1">
      <c r="A1650" s="199">
        <v>45687</v>
      </c>
      <c r="B1650" s="202" t="s">
        <v>1633</v>
      </c>
      <c r="C1650" s="200" t="s">
        <v>204</v>
      </c>
      <c r="D1650" s="649">
        <v>-506785</v>
      </c>
      <c r="E1650" s="201">
        <v>45689</v>
      </c>
      <c r="F1650" s="200" t="s">
        <v>296</v>
      </c>
      <c r="G1650" s="200" t="s">
        <v>341</v>
      </c>
      <c r="H1650" s="200" t="s">
        <v>350</v>
      </c>
      <c r="I1650" s="200" t="s">
        <v>1621</v>
      </c>
    </row>
    <row r="1651" spans="1:9" ht="15" customHeight="1">
      <c r="A1651" s="199">
        <v>45687</v>
      </c>
      <c r="B1651" s="202" t="s">
        <v>1634</v>
      </c>
      <c r="C1651" s="200" t="s">
        <v>204</v>
      </c>
      <c r="D1651" s="649">
        <v>-20000</v>
      </c>
      <c r="E1651" s="201">
        <v>45689</v>
      </c>
      <c r="F1651" s="200" t="s">
        <v>296</v>
      </c>
      <c r="G1651" s="200" t="s">
        <v>341</v>
      </c>
      <c r="H1651" s="200" t="s">
        <v>350</v>
      </c>
      <c r="I1651" s="200" t="s">
        <v>1621</v>
      </c>
    </row>
    <row r="1652" spans="1:9" ht="15" customHeight="1">
      <c r="A1652" s="199">
        <v>45687</v>
      </c>
      <c r="B1652" s="202" t="s">
        <v>1635</v>
      </c>
      <c r="C1652" s="200" t="s">
        <v>204</v>
      </c>
      <c r="D1652" s="649">
        <v>-3700</v>
      </c>
      <c r="E1652" s="201">
        <v>45689</v>
      </c>
      <c r="F1652" s="200" t="s">
        <v>296</v>
      </c>
      <c r="G1652" s="200" t="s">
        <v>341</v>
      </c>
      <c r="H1652" s="200" t="s">
        <v>350</v>
      </c>
      <c r="I1652" s="200" t="s">
        <v>1621</v>
      </c>
    </row>
    <row r="1653" spans="1:9" ht="15" customHeight="1">
      <c r="A1653" s="199">
        <v>45687</v>
      </c>
      <c r="B1653" s="202" t="s">
        <v>507</v>
      </c>
      <c r="C1653" s="200" t="s">
        <v>204</v>
      </c>
      <c r="D1653" s="649">
        <v>-40000</v>
      </c>
      <c r="E1653" s="201">
        <v>45689</v>
      </c>
      <c r="F1653" s="200" t="s">
        <v>296</v>
      </c>
      <c r="G1653" s="200" t="s">
        <v>341</v>
      </c>
      <c r="H1653" s="200" t="s">
        <v>342</v>
      </c>
      <c r="I1653" s="200" t="s">
        <v>1621</v>
      </c>
    </row>
    <row r="1654" spans="1:9" ht="15" customHeight="1">
      <c r="A1654" s="199">
        <v>45687</v>
      </c>
      <c r="B1654" s="202" t="s">
        <v>1636</v>
      </c>
      <c r="C1654" s="200" t="s">
        <v>204</v>
      </c>
      <c r="D1654" s="649">
        <v>-80000</v>
      </c>
      <c r="E1654" s="201">
        <v>45689</v>
      </c>
      <c r="F1654" s="200" t="s">
        <v>296</v>
      </c>
      <c r="G1654" s="200" t="s">
        <v>341</v>
      </c>
      <c r="H1654" s="200" t="s">
        <v>350</v>
      </c>
      <c r="I1654" s="200" t="s">
        <v>1621</v>
      </c>
    </row>
    <row r="1655" spans="1:9" ht="15" customHeight="1">
      <c r="A1655" s="199">
        <v>45687</v>
      </c>
      <c r="B1655" s="202" t="s">
        <v>1637</v>
      </c>
      <c r="C1655" s="200" t="s">
        <v>204</v>
      </c>
      <c r="D1655" s="649">
        <v>-15000</v>
      </c>
      <c r="E1655" s="201">
        <v>45689</v>
      </c>
      <c r="F1655" s="200" t="s">
        <v>296</v>
      </c>
      <c r="G1655" s="200" t="s">
        <v>341</v>
      </c>
      <c r="H1655" s="200" t="s">
        <v>350</v>
      </c>
      <c r="I1655" s="200" t="s">
        <v>1621</v>
      </c>
    </row>
    <row r="1656" spans="1:9" ht="15" customHeight="1">
      <c r="A1656" s="199">
        <v>45687</v>
      </c>
      <c r="B1656" s="202" t="s">
        <v>1638</v>
      </c>
      <c r="C1656" s="200" t="s">
        <v>204</v>
      </c>
      <c r="D1656" s="649">
        <v>-16500</v>
      </c>
      <c r="E1656" s="201">
        <v>45689</v>
      </c>
      <c r="F1656" s="200" t="s">
        <v>296</v>
      </c>
      <c r="G1656" s="200" t="s">
        <v>341</v>
      </c>
      <c r="H1656" s="200" t="s">
        <v>342</v>
      </c>
      <c r="I1656" s="200" t="s">
        <v>1621</v>
      </c>
    </row>
    <row r="1657" spans="1:9" ht="15" customHeight="1">
      <c r="A1657" s="199">
        <v>45687</v>
      </c>
      <c r="B1657" s="202" t="s">
        <v>1639</v>
      </c>
      <c r="C1657" s="200" t="s">
        <v>204</v>
      </c>
      <c r="D1657" s="649">
        <v>-47600</v>
      </c>
      <c r="E1657" s="201">
        <v>45689</v>
      </c>
      <c r="F1657" s="200" t="s">
        <v>296</v>
      </c>
      <c r="G1657" s="200" t="s">
        <v>341</v>
      </c>
      <c r="H1657" s="200" t="s">
        <v>342</v>
      </c>
      <c r="I1657" s="200" t="s">
        <v>1621</v>
      </c>
    </row>
    <row r="1658" spans="1:9" ht="15" customHeight="1">
      <c r="A1658" s="199">
        <v>45688</v>
      </c>
      <c r="B1658" s="202" t="s">
        <v>348</v>
      </c>
      <c r="C1658" s="200" t="s">
        <v>204</v>
      </c>
      <c r="D1658" s="649">
        <v>-32000</v>
      </c>
      <c r="E1658" s="201">
        <v>45689</v>
      </c>
      <c r="F1658" s="200" t="s">
        <v>296</v>
      </c>
      <c r="G1658" s="200" t="s">
        <v>341</v>
      </c>
      <c r="H1658" s="200" t="s">
        <v>342</v>
      </c>
      <c r="I1658" s="200" t="s">
        <v>1621</v>
      </c>
    </row>
    <row r="1659" spans="1:9" ht="15" customHeight="1">
      <c r="A1659" s="199">
        <v>45688</v>
      </c>
      <c r="B1659" s="202" t="s">
        <v>1640</v>
      </c>
      <c r="C1659" s="200" t="s">
        <v>204</v>
      </c>
      <c r="D1659" s="649">
        <v>-42285</v>
      </c>
      <c r="E1659" s="201">
        <v>45689</v>
      </c>
      <c r="F1659" s="200" t="s">
        <v>296</v>
      </c>
      <c r="G1659" s="200" t="s">
        <v>341</v>
      </c>
      <c r="H1659" s="200" t="s">
        <v>350</v>
      </c>
      <c r="I1659" s="200" t="s">
        <v>1621</v>
      </c>
    </row>
    <row r="1660" spans="1:9" ht="15" customHeight="1">
      <c r="A1660" s="199">
        <v>45688</v>
      </c>
      <c r="B1660" s="202" t="s">
        <v>1634</v>
      </c>
      <c r="C1660" s="200" t="s">
        <v>204</v>
      </c>
      <c r="D1660" s="649">
        <v>-16000</v>
      </c>
      <c r="E1660" s="201">
        <v>45689</v>
      </c>
      <c r="F1660" s="200" t="s">
        <v>296</v>
      </c>
      <c r="G1660" s="200" t="s">
        <v>341</v>
      </c>
      <c r="H1660" s="200" t="s">
        <v>350</v>
      </c>
      <c r="I1660" s="200" t="s">
        <v>1621</v>
      </c>
    </row>
    <row r="1661" spans="1:9" ht="15" customHeight="1">
      <c r="A1661" s="199">
        <v>45688</v>
      </c>
      <c r="B1661" s="202" t="s">
        <v>1641</v>
      </c>
      <c r="C1661" s="200" t="s">
        <v>204</v>
      </c>
      <c r="D1661" s="649">
        <v>-2200</v>
      </c>
      <c r="E1661" s="201">
        <v>45689</v>
      </c>
      <c r="F1661" s="200" t="s">
        <v>296</v>
      </c>
      <c r="G1661" s="200" t="s">
        <v>341</v>
      </c>
      <c r="H1661" s="200" t="s">
        <v>350</v>
      </c>
      <c r="I1661" s="200" t="s">
        <v>1621</v>
      </c>
    </row>
    <row r="1662" spans="1:9" ht="15" customHeight="1">
      <c r="A1662" s="199">
        <v>45688</v>
      </c>
      <c r="B1662" s="202" t="s">
        <v>507</v>
      </c>
      <c r="C1662" s="200" t="s">
        <v>204</v>
      </c>
      <c r="D1662" s="649">
        <v>-40000</v>
      </c>
      <c r="E1662" s="201">
        <v>45689</v>
      </c>
      <c r="F1662" s="200" t="s">
        <v>296</v>
      </c>
      <c r="G1662" s="200" t="s">
        <v>341</v>
      </c>
      <c r="H1662" s="200" t="s">
        <v>342</v>
      </c>
      <c r="I1662" s="200" t="s">
        <v>1621</v>
      </c>
    </row>
    <row r="1663" spans="1:9" ht="15" customHeight="1">
      <c r="A1663" s="199">
        <v>45688</v>
      </c>
      <c r="B1663" s="202" t="s">
        <v>503</v>
      </c>
      <c r="C1663" s="200" t="s">
        <v>204</v>
      </c>
      <c r="D1663" s="649">
        <v>-31780</v>
      </c>
      <c r="E1663" s="201">
        <v>45689</v>
      </c>
      <c r="F1663" s="200" t="s">
        <v>296</v>
      </c>
      <c r="G1663" s="200" t="s">
        <v>341</v>
      </c>
      <c r="H1663" s="200" t="s">
        <v>268</v>
      </c>
      <c r="I1663" s="200" t="s">
        <v>1621</v>
      </c>
    </row>
    <row r="1664" spans="1:9" ht="15" customHeight="1">
      <c r="A1664" s="199">
        <v>45688</v>
      </c>
      <c r="B1664" s="202" t="s">
        <v>1479</v>
      </c>
      <c r="C1664" s="200" t="s">
        <v>204</v>
      </c>
      <c r="D1664" s="649">
        <v>-40037</v>
      </c>
      <c r="E1664" s="201">
        <v>45689</v>
      </c>
      <c r="F1664" s="200" t="s">
        <v>296</v>
      </c>
      <c r="G1664" s="200" t="s">
        <v>341</v>
      </c>
      <c r="H1664" s="200" t="s">
        <v>268</v>
      </c>
      <c r="I1664" s="200" t="s">
        <v>1621</v>
      </c>
    </row>
    <row r="1665" spans="1:9" ht="15" customHeight="1">
      <c r="A1665" s="199">
        <v>45688</v>
      </c>
      <c r="B1665" s="202" t="s">
        <v>1642</v>
      </c>
      <c r="C1665" s="200" t="s">
        <v>204</v>
      </c>
      <c r="D1665" s="649">
        <f>-14239-79</f>
        <v>-14318</v>
      </c>
      <c r="E1665" s="201">
        <v>45689</v>
      </c>
      <c r="F1665" s="200" t="s">
        <v>296</v>
      </c>
      <c r="G1665" s="200" t="s">
        <v>341</v>
      </c>
      <c r="H1665" s="200" t="s">
        <v>342</v>
      </c>
      <c r="I1665" s="200" t="s">
        <v>1621</v>
      </c>
    </row>
    <row r="1666" spans="1:9" ht="15" customHeight="1">
      <c r="A1666" s="199">
        <v>45688</v>
      </c>
      <c r="B1666" s="202" t="s">
        <v>356</v>
      </c>
      <c r="C1666" s="200" t="s">
        <v>204</v>
      </c>
      <c r="D1666" s="649">
        <v>-31560</v>
      </c>
      <c r="E1666" s="201">
        <v>45689</v>
      </c>
      <c r="F1666" s="200" t="s">
        <v>296</v>
      </c>
      <c r="G1666" s="200" t="s">
        <v>341</v>
      </c>
      <c r="H1666" s="200" t="s">
        <v>268</v>
      </c>
      <c r="I1666" s="200" t="s">
        <v>1621</v>
      </c>
    </row>
    <row r="1667" spans="1:9" ht="15" customHeight="1">
      <c r="A1667" s="199">
        <v>45694</v>
      </c>
      <c r="B1667" s="202" t="s">
        <v>1643</v>
      </c>
      <c r="C1667" s="200" t="s">
        <v>204</v>
      </c>
      <c r="D1667" s="649">
        <v>-2643278</v>
      </c>
      <c r="E1667" s="201">
        <v>45689</v>
      </c>
      <c r="F1667" s="200" t="s">
        <v>256</v>
      </c>
      <c r="G1667" s="200" t="s">
        <v>107</v>
      </c>
      <c r="H1667" s="200" t="s">
        <v>777</v>
      </c>
    </row>
    <row r="1668" spans="1:9" ht="15" customHeight="1">
      <c r="A1668" s="199">
        <v>45694</v>
      </c>
      <c r="B1668" s="202" t="s">
        <v>1644</v>
      </c>
      <c r="C1668" s="200" t="s">
        <v>372</v>
      </c>
      <c r="D1668" s="204">
        <v>-56723</v>
      </c>
      <c r="E1668" s="201">
        <v>45689</v>
      </c>
      <c r="F1668" s="200" t="s">
        <v>256</v>
      </c>
      <c r="G1668" s="200" t="s">
        <v>107</v>
      </c>
      <c r="H1668" s="200" t="s">
        <v>777</v>
      </c>
    </row>
    <row r="1669" spans="1:9" ht="15" customHeight="1">
      <c r="A1669" s="199">
        <v>45694</v>
      </c>
      <c r="B1669" s="202" t="s">
        <v>1645</v>
      </c>
      <c r="C1669" s="200" t="s">
        <v>204</v>
      </c>
      <c r="D1669" s="649">
        <v>-708288</v>
      </c>
      <c r="E1669" s="201">
        <v>45689</v>
      </c>
      <c r="F1669" s="200" t="s">
        <v>296</v>
      </c>
      <c r="G1669" s="200" t="s">
        <v>337</v>
      </c>
      <c r="H1669" s="200" t="s">
        <v>366</v>
      </c>
    </row>
    <row r="1670" spans="1:9" ht="15" customHeight="1">
      <c r="A1670" s="199">
        <v>45694</v>
      </c>
      <c r="B1670" s="202" t="s">
        <v>1645</v>
      </c>
      <c r="C1670" s="200" t="s">
        <v>204</v>
      </c>
      <c r="D1670" s="649">
        <v>-1279134</v>
      </c>
      <c r="E1670" s="201">
        <v>45689</v>
      </c>
      <c r="F1670" s="200" t="s">
        <v>296</v>
      </c>
      <c r="G1670" s="200" t="s">
        <v>337</v>
      </c>
      <c r="H1670" s="200" t="s">
        <v>366</v>
      </c>
    </row>
    <row r="1671" spans="1:9" ht="15" customHeight="1">
      <c r="A1671" s="199">
        <v>45694</v>
      </c>
      <c r="B1671" s="202" t="s">
        <v>1646</v>
      </c>
      <c r="C1671" s="200" t="s">
        <v>372</v>
      </c>
      <c r="D1671" s="204">
        <v>-5397</v>
      </c>
      <c r="E1671" s="201">
        <v>45689</v>
      </c>
      <c r="F1671" s="200" t="s">
        <v>296</v>
      </c>
      <c r="G1671" s="200" t="s">
        <v>337</v>
      </c>
      <c r="H1671" s="200" t="s">
        <v>366</v>
      </c>
    </row>
    <row r="1672" spans="1:9" ht="15" customHeight="1">
      <c r="A1672" s="199">
        <v>45694</v>
      </c>
      <c r="B1672" s="202" t="s">
        <v>1647</v>
      </c>
      <c r="C1672" s="200" t="s">
        <v>204</v>
      </c>
      <c r="D1672" s="649">
        <v>-521334</v>
      </c>
      <c r="E1672" s="201">
        <v>45689</v>
      </c>
      <c r="F1672" s="200" t="s">
        <v>296</v>
      </c>
      <c r="G1672" s="200" t="s">
        <v>328</v>
      </c>
      <c r="H1672" s="200" t="s">
        <v>377</v>
      </c>
    </row>
    <row r="1673" spans="1:9" ht="15" customHeight="1">
      <c r="A1673" s="199">
        <v>45694</v>
      </c>
      <c r="B1673" s="202" t="s">
        <v>1648</v>
      </c>
      <c r="C1673" s="200" t="s">
        <v>204</v>
      </c>
      <c r="D1673" s="649">
        <v>-9296</v>
      </c>
      <c r="E1673" s="201">
        <v>45689</v>
      </c>
      <c r="F1673" s="200" t="s">
        <v>296</v>
      </c>
      <c r="G1673" s="200" t="s">
        <v>390</v>
      </c>
      <c r="H1673" s="200" t="s">
        <v>518</v>
      </c>
    </row>
    <row r="1674" spans="1:9" ht="15" customHeight="1">
      <c r="A1674" s="199">
        <v>45694</v>
      </c>
      <c r="B1674" s="202" t="s">
        <v>1649</v>
      </c>
      <c r="C1674" s="200" t="s">
        <v>204</v>
      </c>
      <c r="D1674" s="649">
        <v>-1144800</v>
      </c>
      <c r="E1674" s="201">
        <v>45689</v>
      </c>
      <c r="F1674" s="200" t="s">
        <v>256</v>
      </c>
      <c r="G1674" s="200" t="s">
        <v>107</v>
      </c>
      <c r="H1674" s="200" t="s">
        <v>777</v>
      </c>
    </row>
    <row r="1675" spans="1:9" ht="15" customHeight="1">
      <c r="A1675" s="199">
        <v>45694</v>
      </c>
      <c r="B1675" s="202" t="s">
        <v>1650</v>
      </c>
      <c r="C1675" s="200" t="s">
        <v>204</v>
      </c>
      <c r="D1675" s="649">
        <v>-29321808</v>
      </c>
      <c r="E1675" s="201">
        <v>45689</v>
      </c>
      <c r="F1675" s="200" t="s">
        <v>296</v>
      </c>
      <c r="G1675" s="200" t="s">
        <v>321</v>
      </c>
      <c r="H1675" s="200" t="s">
        <v>1651</v>
      </c>
    </row>
    <row r="1676" spans="1:9" ht="15" customHeight="1">
      <c r="A1676" s="199">
        <v>45694</v>
      </c>
      <c r="B1676" s="202" t="s">
        <v>1650</v>
      </c>
      <c r="C1676" s="200" t="s">
        <v>204</v>
      </c>
      <c r="D1676" s="649">
        <v>-29321808</v>
      </c>
      <c r="E1676" s="201">
        <v>45689</v>
      </c>
      <c r="F1676" s="200" t="s">
        <v>296</v>
      </c>
      <c r="G1676" s="200" t="s">
        <v>337</v>
      </c>
      <c r="H1676" s="200" t="s">
        <v>1651</v>
      </c>
    </row>
    <row r="1677" spans="1:9" ht="15" customHeight="1">
      <c r="A1677" s="199">
        <v>45694</v>
      </c>
      <c r="B1677" s="202" t="s">
        <v>1652</v>
      </c>
      <c r="C1677" s="200" t="s">
        <v>204</v>
      </c>
      <c r="D1677" s="649">
        <v>-1416000</v>
      </c>
      <c r="E1677" s="201">
        <v>45689</v>
      </c>
      <c r="F1677" s="200" t="s">
        <v>296</v>
      </c>
      <c r="G1677" s="200" t="s">
        <v>321</v>
      </c>
      <c r="H1677" s="200" t="s">
        <v>370</v>
      </c>
    </row>
    <row r="1678" spans="1:9" ht="15" customHeight="1">
      <c r="A1678" s="199">
        <v>45694</v>
      </c>
      <c r="B1678" s="202" t="s">
        <v>1652</v>
      </c>
      <c r="C1678" s="200" t="s">
        <v>204</v>
      </c>
      <c r="D1678" s="649">
        <v>-1416000</v>
      </c>
      <c r="E1678" s="201">
        <v>45689</v>
      </c>
      <c r="F1678" s="200" t="s">
        <v>296</v>
      </c>
      <c r="G1678" s="200" t="s">
        <v>337</v>
      </c>
      <c r="H1678" s="200" t="s">
        <v>370</v>
      </c>
    </row>
    <row r="1679" spans="1:9" ht="15" customHeight="1">
      <c r="A1679" s="199">
        <v>45694</v>
      </c>
      <c r="B1679" s="202" t="s">
        <v>1653</v>
      </c>
      <c r="C1679" s="200" t="s">
        <v>372</v>
      </c>
      <c r="D1679" s="204">
        <v>-24000</v>
      </c>
      <c r="E1679" s="201">
        <v>45689</v>
      </c>
      <c r="F1679" s="200" t="s">
        <v>296</v>
      </c>
      <c r="G1679" s="200" t="s">
        <v>337</v>
      </c>
      <c r="H1679" s="200" t="s">
        <v>370</v>
      </c>
    </row>
    <row r="1680" spans="1:9" ht="15" customHeight="1">
      <c r="A1680" s="199">
        <v>45694</v>
      </c>
      <c r="B1680" s="202" t="s">
        <v>1654</v>
      </c>
      <c r="C1680" s="200" t="s">
        <v>204</v>
      </c>
      <c r="D1680" s="649">
        <v>-850000</v>
      </c>
      <c r="E1680" s="201">
        <v>45689</v>
      </c>
      <c r="F1680" s="200" t="s">
        <v>256</v>
      </c>
      <c r="G1680" s="200" t="s">
        <v>107</v>
      </c>
      <c r="H1680" s="200" t="s">
        <v>121</v>
      </c>
    </row>
    <row r="1681" spans="1:9" ht="15" customHeight="1">
      <c r="A1681" s="199">
        <v>45694</v>
      </c>
      <c r="B1681" s="202" t="s">
        <v>1655</v>
      </c>
      <c r="C1681" s="200" t="s">
        <v>204</v>
      </c>
      <c r="D1681" s="649">
        <v>-1107055</v>
      </c>
      <c r="E1681" s="201">
        <v>45689</v>
      </c>
      <c r="F1681" s="200" t="s">
        <v>296</v>
      </c>
      <c r="G1681" s="200" t="s">
        <v>522</v>
      </c>
      <c r="H1681" s="200" t="s">
        <v>1213</v>
      </c>
    </row>
    <row r="1682" spans="1:9" ht="15" customHeight="1">
      <c r="A1682" s="199">
        <v>45694</v>
      </c>
      <c r="B1682" s="202" t="s">
        <v>1656</v>
      </c>
      <c r="C1682" s="200" t="s">
        <v>204</v>
      </c>
      <c r="D1682" s="649">
        <v>-790000</v>
      </c>
      <c r="E1682" s="201">
        <v>45689</v>
      </c>
      <c r="F1682" s="200" t="s">
        <v>296</v>
      </c>
      <c r="G1682" s="200" t="s">
        <v>44</v>
      </c>
      <c r="H1682" s="200" t="s">
        <v>488</v>
      </c>
    </row>
    <row r="1683" spans="1:9" ht="15" customHeight="1">
      <c r="A1683" s="199">
        <v>45694</v>
      </c>
      <c r="B1683" s="202" t="s">
        <v>1657</v>
      </c>
      <c r="C1683" s="200" t="s">
        <v>204</v>
      </c>
      <c r="D1683" s="649">
        <v>-1940000</v>
      </c>
      <c r="E1683" s="201">
        <v>45689</v>
      </c>
      <c r="F1683" s="200" t="s">
        <v>296</v>
      </c>
      <c r="G1683" s="200" t="s">
        <v>337</v>
      </c>
      <c r="H1683" s="200" t="s">
        <v>488</v>
      </c>
    </row>
    <row r="1684" spans="1:9" ht="15" customHeight="1">
      <c r="A1684" s="199">
        <v>45695</v>
      </c>
      <c r="B1684" s="202" t="s">
        <v>1658</v>
      </c>
      <c r="C1684" s="200" t="s">
        <v>204</v>
      </c>
      <c r="D1684" s="649">
        <v>-713020</v>
      </c>
      <c r="E1684" s="201">
        <v>45689</v>
      </c>
      <c r="F1684" s="200" t="s">
        <v>296</v>
      </c>
      <c r="G1684" s="200" t="s">
        <v>453</v>
      </c>
      <c r="H1684" s="200" t="s">
        <v>97</v>
      </c>
    </row>
    <row r="1685" spans="1:9" ht="15" customHeight="1">
      <c r="A1685" s="199">
        <v>45695</v>
      </c>
      <c r="B1685" s="202" t="s">
        <v>1659</v>
      </c>
      <c r="C1685" s="200" t="s">
        <v>204</v>
      </c>
      <c r="D1685" s="649">
        <v>-704489</v>
      </c>
      <c r="E1685" s="201">
        <v>45689</v>
      </c>
      <c r="F1685" s="200" t="s">
        <v>296</v>
      </c>
      <c r="G1685" s="200" t="s">
        <v>522</v>
      </c>
      <c r="H1685" s="200" t="s">
        <v>1213</v>
      </c>
    </row>
    <row r="1686" spans="1:9" ht="15" customHeight="1">
      <c r="A1686" s="199">
        <v>45692</v>
      </c>
      <c r="B1686" s="202" t="s">
        <v>1660</v>
      </c>
      <c r="C1686" s="200" t="s">
        <v>307</v>
      </c>
      <c r="D1686" s="204">
        <v>-13200</v>
      </c>
      <c r="E1686" s="201">
        <v>45689</v>
      </c>
      <c r="F1686" s="200" t="s">
        <v>296</v>
      </c>
      <c r="G1686" s="200" t="s">
        <v>390</v>
      </c>
      <c r="H1686" s="200" t="s">
        <v>268</v>
      </c>
    </row>
    <row r="1687" spans="1:9" ht="15" customHeight="1">
      <c r="A1687" s="199">
        <v>45688</v>
      </c>
      <c r="B1687" s="202" t="s">
        <v>1014</v>
      </c>
      <c r="C1687" s="200" t="s">
        <v>307</v>
      </c>
      <c r="D1687" s="204">
        <v>-2333.3333333333335</v>
      </c>
      <c r="E1687" s="201">
        <v>45689</v>
      </c>
      <c r="F1687" s="200" t="s">
        <v>296</v>
      </c>
      <c r="G1687" s="200" t="s">
        <v>337</v>
      </c>
      <c r="H1687" s="200" t="s">
        <v>326</v>
      </c>
      <c r="I1687" s="200" t="s">
        <v>1661</v>
      </c>
    </row>
    <row r="1688" spans="1:9" ht="15" customHeight="1">
      <c r="A1688" s="199">
        <v>45688</v>
      </c>
      <c r="B1688" s="202" t="s">
        <v>1014</v>
      </c>
      <c r="C1688" s="200" t="s">
        <v>307</v>
      </c>
      <c r="D1688" s="204">
        <v>-2333.3333333333335</v>
      </c>
      <c r="E1688" s="201">
        <v>45689</v>
      </c>
      <c r="F1688" s="200" t="s">
        <v>296</v>
      </c>
      <c r="G1688" s="200" t="s">
        <v>44</v>
      </c>
      <c r="H1688" s="200" t="s">
        <v>326</v>
      </c>
      <c r="I1688" s="200" t="s">
        <v>1661</v>
      </c>
    </row>
    <row r="1689" spans="1:9" ht="15" customHeight="1">
      <c r="A1689" s="199">
        <v>45688</v>
      </c>
      <c r="B1689" s="202" t="s">
        <v>1014</v>
      </c>
      <c r="C1689" s="200" t="s">
        <v>307</v>
      </c>
      <c r="D1689" s="204">
        <v>-2333.3333333333335</v>
      </c>
      <c r="E1689" s="201">
        <v>45689</v>
      </c>
      <c r="F1689" s="200" t="s">
        <v>296</v>
      </c>
      <c r="G1689" s="200" t="s">
        <v>522</v>
      </c>
      <c r="H1689" s="200" t="s">
        <v>326</v>
      </c>
      <c r="I1689" s="200" t="s">
        <v>1661</v>
      </c>
    </row>
    <row r="1690" spans="1:9" ht="15" customHeight="1">
      <c r="A1690" s="199">
        <v>45688</v>
      </c>
      <c r="B1690" s="202" t="s">
        <v>1015</v>
      </c>
      <c r="C1690" s="200" t="s">
        <v>307</v>
      </c>
      <c r="D1690" s="204">
        <v>-6666.666666666667</v>
      </c>
      <c r="E1690" s="201">
        <v>45689</v>
      </c>
      <c r="F1690" s="200" t="s">
        <v>296</v>
      </c>
      <c r="G1690" s="200" t="s">
        <v>337</v>
      </c>
      <c r="H1690" s="200" t="s">
        <v>326</v>
      </c>
      <c r="I1690" s="200" t="s">
        <v>1661</v>
      </c>
    </row>
    <row r="1691" spans="1:9" ht="15" customHeight="1">
      <c r="A1691" s="199">
        <v>45688</v>
      </c>
      <c r="B1691" s="202" t="s">
        <v>1015</v>
      </c>
      <c r="C1691" s="200" t="s">
        <v>307</v>
      </c>
      <c r="D1691" s="204">
        <v>-6666.666666666667</v>
      </c>
      <c r="E1691" s="201">
        <v>45689</v>
      </c>
      <c r="F1691" s="200" t="s">
        <v>296</v>
      </c>
      <c r="G1691" s="200" t="s">
        <v>44</v>
      </c>
      <c r="H1691" s="200" t="s">
        <v>326</v>
      </c>
      <c r="I1691" s="200" t="s">
        <v>1661</v>
      </c>
    </row>
    <row r="1692" spans="1:9" ht="15" customHeight="1">
      <c r="A1692" s="199">
        <v>45688</v>
      </c>
      <c r="B1692" s="202" t="s">
        <v>1015</v>
      </c>
      <c r="C1692" s="200" t="s">
        <v>307</v>
      </c>
      <c r="D1692" s="204">
        <v>-6666.666666666667</v>
      </c>
      <c r="E1692" s="201">
        <v>45689</v>
      </c>
      <c r="F1692" s="200" t="s">
        <v>296</v>
      </c>
      <c r="G1692" s="200" t="s">
        <v>522</v>
      </c>
      <c r="H1692" s="200" t="s">
        <v>326</v>
      </c>
      <c r="I1692" s="200" t="s">
        <v>1661</v>
      </c>
    </row>
    <row r="1693" spans="1:9" ht="15" customHeight="1">
      <c r="A1693" s="199">
        <v>45688</v>
      </c>
      <c r="B1693" s="202" t="s">
        <v>1662</v>
      </c>
      <c r="C1693" s="200" t="s">
        <v>307</v>
      </c>
      <c r="D1693" s="204">
        <v>-4000</v>
      </c>
      <c r="E1693" s="201">
        <v>45689</v>
      </c>
      <c r="F1693" s="200" t="s">
        <v>296</v>
      </c>
      <c r="G1693" s="200" t="s">
        <v>337</v>
      </c>
      <c r="H1693" s="200" t="s">
        <v>326</v>
      </c>
      <c r="I1693" s="200" t="s">
        <v>1661</v>
      </c>
    </row>
    <row r="1694" spans="1:9" ht="15" customHeight="1">
      <c r="A1694" s="199">
        <v>45688</v>
      </c>
      <c r="B1694" s="202" t="s">
        <v>1662</v>
      </c>
      <c r="C1694" s="200" t="s">
        <v>307</v>
      </c>
      <c r="D1694" s="204">
        <v>-4000</v>
      </c>
      <c r="E1694" s="201">
        <v>45689</v>
      </c>
      <c r="F1694" s="200" t="s">
        <v>296</v>
      </c>
      <c r="G1694" s="200" t="s">
        <v>44</v>
      </c>
      <c r="H1694" s="200" t="s">
        <v>326</v>
      </c>
      <c r="I1694" s="200" t="s">
        <v>1661</v>
      </c>
    </row>
    <row r="1695" spans="1:9" ht="15" customHeight="1">
      <c r="A1695" s="199">
        <v>45688</v>
      </c>
      <c r="B1695" s="202" t="s">
        <v>1662</v>
      </c>
      <c r="C1695" s="200" t="s">
        <v>307</v>
      </c>
      <c r="D1695" s="204">
        <v>-4000</v>
      </c>
      <c r="E1695" s="201">
        <v>45689</v>
      </c>
      <c r="F1695" s="200" t="s">
        <v>296</v>
      </c>
      <c r="G1695" s="200" t="s">
        <v>522</v>
      </c>
      <c r="H1695" s="200" t="s">
        <v>326</v>
      </c>
      <c r="I1695" s="200" t="s">
        <v>1661</v>
      </c>
    </row>
    <row r="1696" spans="1:9" ht="15" customHeight="1">
      <c r="A1696" s="199">
        <v>45688</v>
      </c>
      <c r="B1696" s="202" t="s">
        <v>1018</v>
      </c>
      <c r="C1696" s="200" t="s">
        <v>307</v>
      </c>
      <c r="D1696" s="204">
        <v>-3333.3333333333335</v>
      </c>
      <c r="E1696" s="201">
        <v>45689</v>
      </c>
      <c r="F1696" s="200" t="s">
        <v>296</v>
      </c>
      <c r="G1696" s="200" t="s">
        <v>337</v>
      </c>
      <c r="H1696" s="200" t="s">
        <v>326</v>
      </c>
      <c r="I1696" s="200" t="s">
        <v>1661</v>
      </c>
    </row>
    <row r="1697" spans="1:9" ht="15" customHeight="1">
      <c r="A1697" s="199">
        <v>45688</v>
      </c>
      <c r="B1697" s="202" t="s">
        <v>1018</v>
      </c>
      <c r="C1697" s="200" t="s">
        <v>307</v>
      </c>
      <c r="D1697" s="204">
        <v>-3333.3333333333335</v>
      </c>
      <c r="E1697" s="201">
        <v>45689</v>
      </c>
      <c r="F1697" s="200" t="s">
        <v>296</v>
      </c>
      <c r="G1697" s="200" t="s">
        <v>44</v>
      </c>
      <c r="H1697" s="200" t="s">
        <v>326</v>
      </c>
      <c r="I1697" s="200" t="s">
        <v>1661</v>
      </c>
    </row>
    <row r="1698" spans="1:9" ht="15" customHeight="1">
      <c r="A1698" s="199">
        <v>45688</v>
      </c>
      <c r="B1698" s="202" t="s">
        <v>1018</v>
      </c>
      <c r="C1698" s="200" t="s">
        <v>307</v>
      </c>
      <c r="D1698" s="204">
        <v>-3333.3333333333335</v>
      </c>
      <c r="E1698" s="201">
        <v>45689</v>
      </c>
      <c r="F1698" s="200" t="s">
        <v>296</v>
      </c>
      <c r="G1698" s="200" t="s">
        <v>522</v>
      </c>
      <c r="H1698" s="200" t="s">
        <v>326</v>
      </c>
      <c r="I1698" s="200" t="s">
        <v>1661</v>
      </c>
    </row>
    <row r="1699" spans="1:9" ht="15" customHeight="1">
      <c r="A1699" s="199">
        <v>45688</v>
      </c>
      <c r="B1699" s="202" t="s">
        <v>1663</v>
      </c>
      <c r="C1699" s="200" t="s">
        <v>307</v>
      </c>
      <c r="D1699" s="204">
        <v>-6666.666666666667</v>
      </c>
      <c r="E1699" s="201">
        <v>45689</v>
      </c>
      <c r="F1699" s="200" t="s">
        <v>296</v>
      </c>
      <c r="G1699" s="200" t="s">
        <v>337</v>
      </c>
      <c r="H1699" s="200" t="s">
        <v>326</v>
      </c>
      <c r="I1699" s="200" t="s">
        <v>1661</v>
      </c>
    </row>
    <row r="1700" spans="1:9" ht="15" customHeight="1">
      <c r="A1700" s="199">
        <v>45689</v>
      </c>
      <c r="B1700" s="202" t="s">
        <v>1663</v>
      </c>
      <c r="C1700" s="200" t="s">
        <v>307</v>
      </c>
      <c r="D1700" s="204">
        <v>-6666.666666666667</v>
      </c>
      <c r="E1700" s="201">
        <v>45689</v>
      </c>
      <c r="F1700" s="200" t="s">
        <v>296</v>
      </c>
      <c r="G1700" s="200" t="s">
        <v>44</v>
      </c>
      <c r="H1700" s="200" t="s">
        <v>326</v>
      </c>
      <c r="I1700" s="200" t="s">
        <v>1661</v>
      </c>
    </row>
    <row r="1701" spans="1:9" ht="15" customHeight="1">
      <c r="A1701" s="199">
        <v>45689</v>
      </c>
      <c r="B1701" s="202" t="s">
        <v>1663</v>
      </c>
      <c r="C1701" s="200" t="s">
        <v>307</v>
      </c>
      <c r="D1701" s="204">
        <v>-6666.666666666667</v>
      </c>
      <c r="E1701" s="201">
        <v>45689</v>
      </c>
      <c r="F1701" s="200" t="s">
        <v>296</v>
      </c>
      <c r="G1701" s="200" t="s">
        <v>522</v>
      </c>
      <c r="H1701" s="200" t="s">
        <v>326</v>
      </c>
      <c r="I1701" s="200" t="s">
        <v>1661</v>
      </c>
    </row>
    <row r="1702" spans="1:9" ht="15" customHeight="1">
      <c r="A1702" s="199">
        <v>45691</v>
      </c>
      <c r="B1702" s="202" t="s">
        <v>1664</v>
      </c>
      <c r="C1702" s="200" t="s">
        <v>307</v>
      </c>
      <c r="D1702" s="204">
        <v>-55400</v>
      </c>
      <c r="E1702" s="201">
        <v>45689</v>
      </c>
      <c r="F1702" s="200" t="s">
        <v>296</v>
      </c>
      <c r="G1702" s="200" t="s">
        <v>337</v>
      </c>
      <c r="H1702" s="200" t="s">
        <v>366</v>
      </c>
      <c r="I1702" s="200" t="s">
        <v>685</v>
      </c>
    </row>
    <row r="1703" spans="1:9" ht="15" customHeight="1">
      <c r="A1703" s="199">
        <v>45692</v>
      </c>
      <c r="B1703" s="202" t="s">
        <v>1665</v>
      </c>
      <c r="C1703" s="200" t="s">
        <v>307</v>
      </c>
      <c r="D1703" s="204">
        <v>-22000</v>
      </c>
      <c r="E1703" s="201">
        <v>45689</v>
      </c>
      <c r="F1703" s="200" t="s">
        <v>296</v>
      </c>
      <c r="G1703" s="200" t="s">
        <v>337</v>
      </c>
      <c r="H1703" s="200" t="s">
        <v>326</v>
      </c>
      <c r="I1703" s="200" t="s">
        <v>685</v>
      </c>
    </row>
    <row r="1704" spans="1:9" ht="15" customHeight="1">
      <c r="A1704" s="199">
        <v>45692</v>
      </c>
      <c r="B1704" s="202" t="s">
        <v>1666</v>
      </c>
      <c r="C1704" s="200" t="s">
        <v>307</v>
      </c>
      <c r="D1704" s="204">
        <v>-30000</v>
      </c>
      <c r="E1704" s="201">
        <v>45689</v>
      </c>
      <c r="F1704" s="200" t="s">
        <v>296</v>
      </c>
      <c r="G1704" s="200" t="s">
        <v>337</v>
      </c>
      <c r="H1704" s="200" t="s">
        <v>326</v>
      </c>
      <c r="I1704" s="200" t="s">
        <v>685</v>
      </c>
    </row>
    <row r="1705" spans="1:9" ht="15" customHeight="1">
      <c r="A1705" s="199">
        <v>45694</v>
      </c>
      <c r="B1705" s="202" t="s">
        <v>1667</v>
      </c>
      <c r="C1705" s="200" t="s">
        <v>307</v>
      </c>
      <c r="D1705" s="204">
        <v>-250920</v>
      </c>
      <c r="E1705" s="201">
        <v>45689</v>
      </c>
      <c r="F1705" s="200" t="s">
        <v>296</v>
      </c>
      <c r="G1705" s="200" t="s">
        <v>482</v>
      </c>
      <c r="H1705" s="200" t="s">
        <v>268</v>
      </c>
    </row>
    <row r="1706" spans="1:9" ht="15" customHeight="1">
      <c r="A1706" s="199">
        <v>45694</v>
      </c>
      <c r="B1706" s="202" t="s">
        <v>1668</v>
      </c>
      <c r="C1706" s="200" t="s">
        <v>372</v>
      </c>
      <c r="D1706" s="204">
        <v>-1530</v>
      </c>
      <c r="E1706" s="201">
        <v>45689</v>
      </c>
      <c r="F1706" s="200" t="s">
        <v>296</v>
      </c>
      <c r="G1706" s="200" t="s">
        <v>482</v>
      </c>
      <c r="H1706" s="200" t="s">
        <v>268</v>
      </c>
    </row>
    <row r="1707" spans="1:9" ht="15" customHeight="1">
      <c r="A1707" s="199">
        <v>45694</v>
      </c>
      <c r="B1707" s="202" t="s">
        <v>1669</v>
      </c>
      <c r="C1707" s="200" t="s">
        <v>372</v>
      </c>
      <c r="D1707" s="204">
        <v>-2550</v>
      </c>
      <c r="E1707" s="201">
        <v>45689</v>
      </c>
      <c r="F1707" s="200" t="s">
        <v>296</v>
      </c>
      <c r="G1707" s="200" t="s">
        <v>482</v>
      </c>
      <c r="H1707" s="200" t="s">
        <v>268</v>
      </c>
    </row>
    <row r="1708" spans="1:9" ht="15" customHeight="1">
      <c r="A1708" s="199">
        <v>45692</v>
      </c>
      <c r="B1708" s="202" t="s">
        <v>1670</v>
      </c>
      <c r="C1708" s="200" t="s">
        <v>307</v>
      </c>
      <c r="D1708" s="204">
        <v>-32200</v>
      </c>
      <c r="E1708" s="201">
        <v>45689</v>
      </c>
      <c r="F1708" s="200" t="s">
        <v>256</v>
      </c>
      <c r="G1708" s="200" t="s">
        <v>256</v>
      </c>
      <c r="H1708" s="200" t="s">
        <v>263</v>
      </c>
    </row>
    <row r="1709" spans="1:9" ht="15" customHeight="1">
      <c r="A1709" s="199">
        <v>45692</v>
      </c>
      <c r="B1709" s="202" t="s">
        <v>1671</v>
      </c>
      <c r="C1709" s="200" t="s">
        <v>307</v>
      </c>
      <c r="D1709" s="204">
        <v>-12000</v>
      </c>
      <c r="E1709" s="201">
        <v>45689</v>
      </c>
      <c r="F1709" s="200" t="s">
        <v>256</v>
      </c>
      <c r="G1709" s="200" t="s">
        <v>256</v>
      </c>
      <c r="H1709" s="200" t="s">
        <v>263</v>
      </c>
    </row>
    <row r="1710" spans="1:9" ht="15" customHeight="1">
      <c r="A1710" s="199">
        <v>45678</v>
      </c>
      <c r="B1710" s="202" t="s">
        <v>1672</v>
      </c>
      <c r="C1710" s="200" t="s">
        <v>307</v>
      </c>
      <c r="D1710" s="204">
        <v>-61000</v>
      </c>
      <c r="E1710" s="201">
        <v>45689</v>
      </c>
      <c r="F1710" s="200" t="s">
        <v>256</v>
      </c>
      <c r="G1710" s="200" t="s">
        <v>256</v>
      </c>
      <c r="H1710" s="200" t="s">
        <v>267</v>
      </c>
    </row>
    <row r="1711" spans="1:9" ht="15" customHeight="1">
      <c r="A1711" s="199">
        <v>45679</v>
      </c>
      <c r="B1711" s="202" t="s">
        <v>1673</v>
      </c>
      <c r="C1711" s="200" t="s">
        <v>307</v>
      </c>
      <c r="D1711" s="204">
        <v>-5000</v>
      </c>
      <c r="E1711" s="201">
        <v>45689</v>
      </c>
      <c r="F1711" s="200" t="s">
        <v>256</v>
      </c>
      <c r="G1711" s="200" t="s">
        <v>256</v>
      </c>
      <c r="H1711" s="200" t="s">
        <v>267</v>
      </c>
    </row>
    <row r="1712" spans="1:9" ht="15" customHeight="1">
      <c r="A1712" s="199">
        <v>45693</v>
      </c>
      <c r="B1712" s="202" t="s">
        <v>1674</v>
      </c>
      <c r="C1712" s="200" t="s">
        <v>307</v>
      </c>
      <c r="D1712" s="204">
        <v>-33600</v>
      </c>
      <c r="E1712" s="201">
        <v>45689</v>
      </c>
      <c r="F1712" s="200" t="s">
        <v>256</v>
      </c>
      <c r="G1712" s="200" t="s">
        <v>256</v>
      </c>
      <c r="H1712" s="200" t="s">
        <v>263</v>
      </c>
    </row>
    <row r="1713" spans="1:9" ht="15" customHeight="1">
      <c r="A1713" s="199">
        <v>45686</v>
      </c>
      <c r="B1713" s="202" t="s">
        <v>1666</v>
      </c>
      <c r="C1713" s="200" t="s">
        <v>307</v>
      </c>
      <c r="D1713" s="204">
        <v>-40000</v>
      </c>
      <c r="E1713" s="201">
        <v>45689</v>
      </c>
      <c r="F1713" s="200" t="s">
        <v>296</v>
      </c>
      <c r="G1713" s="200" t="s">
        <v>337</v>
      </c>
      <c r="H1713" s="200" t="s">
        <v>326</v>
      </c>
      <c r="I1713" s="200" t="s">
        <v>685</v>
      </c>
    </row>
    <row r="1714" spans="1:9" ht="15" customHeight="1">
      <c r="A1714" s="199">
        <v>45686</v>
      </c>
      <c r="B1714" s="202" t="s">
        <v>1666</v>
      </c>
      <c r="C1714" s="200" t="s">
        <v>307</v>
      </c>
      <c r="D1714" s="204">
        <v>-10000</v>
      </c>
      <c r="E1714" s="201">
        <v>45689</v>
      </c>
      <c r="F1714" s="200" t="s">
        <v>296</v>
      </c>
      <c r="G1714" s="200" t="s">
        <v>522</v>
      </c>
      <c r="H1714" s="200" t="s">
        <v>326</v>
      </c>
      <c r="I1714" s="200" t="s">
        <v>685</v>
      </c>
    </row>
    <row r="1715" spans="1:9" ht="15" customHeight="1">
      <c r="A1715" s="199">
        <v>45686</v>
      </c>
      <c r="B1715" s="202" t="s">
        <v>1675</v>
      </c>
      <c r="C1715" s="200" t="s">
        <v>307</v>
      </c>
      <c r="D1715" s="204">
        <v>-22000</v>
      </c>
      <c r="E1715" s="201">
        <v>45689</v>
      </c>
      <c r="F1715" s="200" t="s">
        <v>296</v>
      </c>
      <c r="G1715" s="200" t="s">
        <v>337</v>
      </c>
      <c r="H1715" s="200" t="s">
        <v>326</v>
      </c>
      <c r="I1715" s="200" t="s">
        <v>685</v>
      </c>
    </row>
    <row r="1716" spans="1:9" ht="15" customHeight="1">
      <c r="A1716" s="199">
        <v>45686</v>
      </c>
      <c r="B1716" s="202" t="s">
        <v>1676</v>
      </c>
      <c r="C1716" s="200" t="s">
        <v>307</v>
      </c>
      <c r="D1716" s="204">
        <v>-70000</v>
      </c>
      <c r="E1716" s="201">
        <v>45689</v>
      </c>
      <c r="F1716" s="200" t="s">
        <v>296</v>
      </c>
      <c r="G1716" s="200" t="s">
        <v>522</v>
      </c>
      <c r="H1716" s="200" t="s">
        <v>366</v>
      </c>
      <c r="I1716" s="200" t="s">
        <v>685</v>
      </c>
    </row>
    <row r="1717" spans="1:9" ht="15" customHeight="1">
      <c r="A1717" s="199">
        <v>45687</v>
      </c>
      <c r="B1717" s="202" t="s">
        <v>1021</v>
      </c>
      <c r="C1717" s="200" t="s">
        <v>307</v>
      </c>
      <c r="D1717" s="204">
        <v>-10000</v>
      </c>
      <c r="E1717" s="201">
        <v>45689</v>
      </c>
      <c r="F1717" s="200" t="s">
        <v>296</v>
      </c>
      <c r="G1717" s="200" t="s">
        <v>44</v>
      </c>
      <c r="H1717" s="200" t="s">
        <v>442</v>
      </c>
      <c r="I1717" s="200" t="s">
        <v>685</v>
      </c>
    </row>
    <row r="1718" spans="1:9" ht="15" customHeight="1">
      <c r="A1718" s="199">
        <v>45687</v>
      </c>
      <c r="B1718" s="202" t="s">
        <v>1677</v>
      </c>
      <c r="C1718" s="200" t="s">
        <v>307</v>
      </c>
      <c r="D1718" s="204">
        <v>-60000</v>
      </c>
      <c r="E1718" s="201">
        <v>45689</v>
      </c>
      <c r="F1718" s="200" t="s">
        <v>296</v>
      </c>
      <c r="G1718" s="200" t="s">
        <v>522</v>
      </c>
      <c r="H1718" s="200" t="s">
        <v>326</v>
      </c>
      <c r="I1718" s="200" t="s">
        <v>685</v>
      </c>
    </row>
    <row r="1719" spans="1:9" ht="15" customHeight="1">
      <c r="A1719" s="199">
        <v>45687</v>
      </c>
      <c r="B1719" s="202" t="s">
        <v>1678</v>
      </c>
      <c r="C1719" s="200" t="s">
        <v>307</v>
      </c>
      <c r="D1719" s="204">
        <v>-175999.16</v>
      </c>
      <c r="E1719" s="201">
        <v>45689</v>
      </c>
      <c r="F1719" s="200" t="s">
        <v>296</v>
      </c>
      <c r="G1719" s="200" t="s">
        <v>44</v>
      </c>
      <c r="H1719" s="200" t="s">
        <v>429</v>
      </c>
      <c r="I1719" s="200" t="s">
        <v>685</v>
      </c>
    </row>
    <row r="1720" spans="1:9" ht="15" customHeight="1">
      <c r="A1720" s="199">
        <v>45687</v>
      </c>
      <c r="B1720" s="202" t="s">
        <v>1679</v>
      </c>
      <c r="C1720" s="200" t="s">
        <v>307</v>
      </c>
      <c r="D1720" s="204">
        <v>-180000</v>
      </c>
      <c r="E1720" s="201">
        <v>45689</v>
      </c>
      <c r="F1720" s="200" t="s">
        <v>296</v>
      </c>
      <c r="G1720" s="200" t="s">
        <v>337</v>
      </c>
      <c r="H1720" s="200" t="s">
        <v>429</v>
      </c>
      <c r="I1720" s="200" t="s">
        <v>685</v>
      </c>
    </row>
    <row r="1721" spans="1:9" ht="15" customHeight="1">
      <c r="A1721" s="199">
        <v>45688</v>
      </c>
      <c r="B1721" s="202" t="s">
        <v>1680</v>
      </c>
      <c r="C1721" s="200" t="s">
        <v>307</v>
      </c>
      <c r="D1721" s="204">
        <v>-10000</v>
      </c>
      <c r="E1721" s="201">
        <v>45689</v>
      </c>
      <c r="F1721" s="200" t="s">
        <v>296</v>
      </c>
      <c r="G1721" s="200" t="s">
        <v>337</v>
      </c>
      <c r="H1721" s="200" t="s">
        <v>326</v>
      </c>
      <c r="I1721" s="200" t="s">
        <v>685</v>
      </c>
    </row>
    <row r="1722" spans="1:9" ht="15" customHeight="1">
      <c r="A1722" s="199">
        <v>45692</v>
      </c>
      <c r="B1722" s="202" t="s">
        <v>1681</v>
      </c>
      <c r="C1722" s="200" t="s">
        <v>307</v>
      </c>
      <c r="D1722" s="204">
        <v>-54000</v>
      </c>
      <c r="E1722" s="201">
        <v>45689</v>
      </c>
      <c r="F1722" s="200" t="s">
        <v>297</v>
      </c>
      <c r="G1722" s="200" t="s">
        <v>311</v>
      </c>
      <c r="H1722" s="200" t="s">
        <v>268</v>
      </c>
    </row>
    <row r="1723" spans="1:9" ht="15" customHeight="1">
      <c r="A1723" s="199">
        <v>45692</v>
      </c>
      <c r="B1723" s="202" t="s">
        <v>1681</v>
      </c>
      <c r="C1723" s="200" t="s">
        <v>307</v>
      </c>
      <c r="D1723" s="204">
        <v>-85000</v>
      </c>
      <c r="E1723" s="201">
        <v>45689</v>
      </c>
      <c r="F1723" s="200" t="s">
        <v>296</v>
      </c>
      <c r="G1723" s="200" t="s">
        <v>337</v>
      </c>
      <c r="H1723" s="200" t="s">
        <v>326</v>
      </c>
    </row>
    <row r="1724" spans="1:9" ht="15" customHeight="1">
      <c r="A1724" s="199">
        <v>45692</v>
      </c>
      <c r="B1724" s="202" t="s">
        <v>1681</v>
      </c>
      <c r="C1724" s="200" t="s">
        <v>307</v>
      </c>
      <c r="D1724" s="204">
        <v>-255112</v>
      </c>
      <c r="E1724" s="201">
        <v>45689</v>
      </c>
      <c r="F1724" s="200" t="s">
        <v>296</v>
      </c>
      <c r="G1724" s="200" t="s">
        <v>482</v>
      </c>
      <c r="H1724" s="200" t="s">
        <v>268</v>
      </c>
    </row>
    <row r="1725" spans="1:9" ht="15" customHeight="1">
      <c r="A1725" s="199">
        <v>45692</v>
      </c>
      <c r="B1725" s="202" t="s">
        <v>1681</v>
      </c>
      <c r="C1725" s="200" t="s">
        <v>307</v>
      </c>
      <c r="D1725" s="204">
        <v>-58000</v>
      </c>
      <c r="E1725" s="201">
        <v>45689</v>
      </c>
      <c r="F1725" s="200" t="s">
        <v>296</v>
      </c>
      <c r="G1725" s="531" t="s">
        <v>392</v>
      </c>
      <c r="H1725" s="200" t="s">
        <v>268</v>
      </c>
    </row>
    <row r="1726" spans="1:9" ht="15" customHeight="1">
      <c r="A1726" s="199">
        <v>45692</v>
      </c>
      <c r="B1726" s="202" t="s">
        <v>1681</v>
      </c>
      <c r="C1726" s="200" t="s">
        <v>307</v>
      </c>
      <c r="D1726" s="204">
        <v>-14000</v>
      </c>
      <c r="E1726" s="201">
        <v>45689</v>
      </c>
      <c r="F1726" s="200" t="s">
        <v>296</v>
      </c>
      <c r="G1726" s="200" t="s">
        <v>44</v>
      </c>
      <c r="H1726" s="200" t="s">
        <v>442</v>
      </c>
    </row>
    <row r="1727" spans="1:9" ht="15" customHeight="1">
      <c r="A1727" s="199">
        <v>45692</v>
      </c>
      <c r="B1727" s="202" t="s">
        <v>1681</v>
      </c>
      <c r="C1727" s="200" t="s">
        <v>307</v>
      </c>
      <c r="D1727" s="204">
        <v>-87000</v>
      </c>
      <c r="E1727" s="201">
        <v>45689</v>
      </c>
      <c r="F1727" s="200" t="s">
        <v>296</v>
      </c>
      <c r="G1727" s="200" t="s">
        <v>328</v>
      </c>
      <c r="H1727" s="200" t="s">
        <v>268</v>
      </c>
    </row>
    <row r="1728" spans="1:9" ht="15" customHeight="1">
      <c r="A1728" s="199">
        <v>45692</v>
      </c>
      <c r="B1728" s="202" t="s">
        <v>1681</v>
      </c>
      <c r="C1728" s="200" t="s">
        <v>307</v>
      </c>
      <c r="D1728" s="204">
        <v>-28000</v>
      </c>
      <c r="E1728" s="201">
        <v>45689</v>
      </c>
      <c r="F1728" s="200" t="s">
        <v>296</v>
      </c>
      <c r="G1728" s="200" t="s">
        <v>522</v>
      </c>
      <c r="H1728" s="200" t="s">
        <v>326</v>
      </c>
    </row>
    <row r="1729" spans="1:9" ht="15" customHeight="1">
      <c r="A1729" s="199">
        <v>45692</v>
      </c>
      <c r="B1729" s="202" t="s">
        <v>1681</v>
      </c>
      <c r="C1729" s="200" t="s">
        <v>307</v>
      </c>
      <c r="D1729" s="204">
        <v>-64000</v>
      </c>
      <c r="E1729" s="201">
        <v>45689</v>
      </c>
      <c r="F1729" s="200" t="s">
        <v>297</v>
      </c>
      <c r="G1729" s="200" t="s">
        <v>75</v>
      </c>
      <c r="H1729" s="200" t="s">
        <v>268</v>
      </c>
    </row>
    <row r="1730" spans="1:9" ht="15" customHeight="1">
      <c r="A1730" s="199">
        <v>45692</v>
      </c>
      <c r="B1730" s="202" t="s">
        <v>1681</v>
      </c>
      <c r="C1730" s="200" t="s">
        <v>307</v>
      </c>
      <c r="D1730" s="204">
        <v>-14000</v>
      </c>
      <c r="E1730" s="201">
        <v>45689</v>
      </c>
      <c r="F1730" s="200" t="s">
        <v>296</v>
      </c>
      <c r="G1730" s="200" t="s">
        <v>341</v>
      </c>
      <c r="H1730" s="200" t="s">
        <v>268</v>
      </c>
    </row>
    <row r="1731" spans="1:9" ht="15" customHeight="1">
      <c r="A1731" s="199">
        <v>45692</v>
      </c>
      <c r="B1731" s="202" t="s">
        <v>1681</v>
      </c>
      <c r="C1731" s="200" t="s">
        <v>307</v>
      </c>
      <c r="D1731" s="204">
        <v>-28000</v>
      </c>
      <c r="E1731" s="201">
        <v>45689</v>
      </c>
      <c r="F1731" s="200" t="s">
        <v>296</v>
      </c>
      <c r="G1731" s="200" t="s">
        <v>411</v>
      </c>
      <c r="H1731" s="200" t="s">
        <v>268</v>
      </c>
      <c r="I1731" s="648" t="s">
        <v>329</v>
      </c>
    </row>
    <row r="1732" spans="1:9" ht="15" customHeight="1">
      <c r="A1732" s="199">
        <v>45692</v>
      </c>
      <c r="B1732" s="202" t="s">
        <v>1681</v>
      </c>
      <c r="C1732" s="200" t="s">
        <v>307</v>
      </c>
      <c r="D1732" s="204">
        <v>-14000</v>
      </c>
      <c r="E1732" s="201">
        <v>45689</v>
      </c>
      <c r="F1732" s="200" t="s">
        <v>256</v>
      </c>
      <c r="G1732" s="200" t="s">
        <v>256</v>
      </c>
      <c r="H1732" s="200" t="s">
        <v>268</v>
      </c>
    </row>
    <row r="1733" spans="1:9" ht="15" customHeight="1">
      <c r="A1733" s="199">
        <v>45692</v>
      </c>
      <c r="B1733" s="202" t="s">
        <v>1681</v>
      </c>
      <c r="C1733" s="200" t="s">
        <v>307</v>
      </c>
      <c r="D1733" s="204">
        <v>-30000</v>
      </c>
      <c r="E1733" s="201">
        <v>45689</v>
      </c>
      <c r="F1733" s="655" t="s">
        <v>395</v>
      </c>
      <c r="G1733" s="531" t="s">
        <v>395</v>
      </c>
      <c r="H1733" s="200" t="s">
        <v>268</v>
      </c>
    </row>
    <row r="1734" spans="1:9" ht="15" customHeight="1">
      <c r="A1734" s="199">
        <v>45692</v>
      </c>
      <c r="B1734" s="202" t="s">
        <v>1681</v>
      </c>
      <c r="C1734" s="200" t="s">
        <v>372</v>
      </c>
      <c r="D1734" s="204">
        <v>-7430</v>
      </c>
      <c r="E1734" s="201">
        <v>45689</v>
      </c>
      <c r="F1734" s="655" t="s">
        <v>395</v>
      </c>
      <c r="G1734" s="531" t="s">
        <v>395</v>
      </c>
      <c r="H1734" s="200" t="s">
        <v>268</v>
      </c>
    </row>
    <row r="1735" spans="1:9" ht="15" customHeight="1">
      <c r="A1735" s="199">
        <v>45692</v>
      </c>
      <c r="B1735" s="202" t="s">
        <v>1681</v>
      </c>
      <c r="C1735" s="200" t="s">
        <v>372</v>
      </c>
      <c r="D1735" s="204">
        <v>-4458</v>
      </c>
      <c r="E1735" s="201">
        <v>45689</v>
      </c>
      <c r="F1735" s="200" t="s">
        <v>296</v>
      </c>
      <c r="G1735" s="200" t="s">
        <v>482</v>
      </c>
      <c r="H1735" s="200" t="s">
        <v>268</v>
      </c>
    </row>
    <row r="1736" spans="1:9" ht="15" customHeight="1">
      <c r="A1736" s="199">
        <v>45687</v>
      </c>
      <c r="B1736" s="202" t="s">
        <v>1682</v>
      </c>
      <c r="C1736" s="200" t="s">
        <v>307</v>
      </c>
      <c r="D1736" s="204">
        <v>-20000</v>
      </c>
      <c r="E1736" s="201">
        <v>45689</v>
      </c>
      <c r="F1736" s="200" t="s">
        <v>296</v>
      </c>
      <c r="G1736" s="200" t="s">
        <v>321</v>
      </c>
      <c r="H1736" s="200" t="s">
        <v>326</v>
      </c>
      <c r="I1736" s="200" t="s">
        <v>1000</v>
      </c>
    </row>
    <row r="1737" spans="1:9" ht="15" customHeight="1">
      <c r="A1737" s="199">
        <v>45687</v>
      </c>
      <c r="B1737" s="202" t="s">
        <v>1683</v>
      </c>
      <c r="C1737" s="200" t="s">
        <v>307</v>
      </c>
      <c r="D1737" s="204">
        <v>-7000</v>
      </c>
      <c r="E1737" s="201">
        <v>45689</v>
      </c>
      <c r="F1737" s="200" t="s">
        <v>296</v>
      </c>
      <c r="G1737" s="200" t="s">
        <v>321</v>
      </c>
      <c r="H1737" s="200" t="s">
        <v>326</v>
      </c>
      <c r="I1737" s="200" t="s">
        <v>1000</v>
      </c>
    </row>
    <row r="1738" spans="1:9" ht="15" customHeight="1">
      <c r="A1738" s="199">
        <v>45688</v>
      </c>
      <c r="B1738" s="202" t="s">
        <v>1684</v>
      </c>
      <c r="C1738" s="200" t="s">
        <v>307</v>
      </c>
      <c r="D1738" s="204">
        <v>-25000</v>
      </c>
      <c r="E1738" s="201">
        <v>45689</v>
      </c>
      <c r="F1738" s="200" t="s">
        <v>296</v>
      </c>
      <c r="G1738" s="200" t="s">
        <v>321</v>
      </c>
      <c r="H1738" s="200" t="s">
        <v>326</v>
      </c>
      <c r="I1738" s="200" t="s">
        <v>1000</v>
      </c>
    </row>
    <row r="1739" spans="1:9" ht="15" customHeight="1">
      <c r="A1739" s="199">
        <v>45688</v>
      </c>
      <c r="B1739" s="199" t="s">
        <v>1683</v>
      </c>
      <c r="C1739" s="200" t="s">
        <v>307</v>
      </c>
      <c r="D1739" s="204">
        <v>-8000</v>
      </c>
      <c r="E1739" s="201">
        <v>45689</v>
      </c>
      <c r="F1739" s="200" t="s">
        <v>296</v>
      </c>
      <c r="G1739" s="200" t="s">
        <v>321</v>
      </c>
      <c r="H1739" s="200" t="s">
        <v>326</v>
      </c>
      <c r="I1739" s="200" t="s">
        <v>1000</v>
      </c>
    </row>
    <row r="1740" spans="1:9" ht="15" customHeight="1">
      <c r="A1740" s="199">
        <v>45686</v>
      </c>
      <c r="B1740" s="202" t="s">
        <v>1685</v>
      </c>
      <c r="C1740" s="200" t="s">
        <v>307</v>
      </c>
      <c r="D1740" s="204">
        <v>-30000</v>
      </c>
      <c r="E1740" s="201">
        <v>45689</v>
      </c>
      <c r="F1740" s="200" t="s">
        <v>296</v>
      </c>
      <c r="G1740" s="200" t="s">
        <v>43</v>
      </c>
      <c r="H1740" s="200" t="s">
        <v>346</v>
      </c>
    </row>
    <row r="1741" spans="1:9" ht="15" customHeight="1">
      <c r="A1741" s="199">
        <v>45686</v>
      </c>
      <c r="B1741" s="199" t="s">
        <v>1686</v>
      </c>
      <c r="C1741" s="200" t="s">
        <v>307</v>
      </c>
      <c r="D1741" s="204">
        <v>-30000</v>
      </c>
      <c r="E1741" s="201">
        <v>45689</v>
      </c>
      <c r="F1741" s="200" t="s">
        <v>296</v>
      </c>
      <c r="G1741" s="200" t="s">
        <v>43</v>
      </c>
      <c r="H1741" s="200" t="s">
        <v>346</v>
      </c>
      <c r="I1741" s="648" t="s">
        <v>329</v>
      </c>
    </row>
    <row r="1742" spans="1:9" ht="15" customHeight="1">
      <c r="A1742" s="199">
        <v>45686</v>
      </c>
      <c r="B1742" s="202" t="s">
        <v>1687</v>
      </c>
      <c r="C1742" s="200" t="s">
        <v>307</v>
      </c>
      <c r="D1742" s="204">
        <v>-94100</v>
      </c>
      <c r="E1742" s="201">
        <v>45689</v>
      </c>
      <c r="F1742" s="200" t="s">
        <v>296</v>
      </c>
      <c r="G1742" s="531" t="s">
        <v>392</v>
      </c>
      <c r="H1742" s="200" t="s">
        <v>350</v>
      </c>
    </row>
    <row r="1743" spans="1:9" ht="15" customHeight="1">
      <c r="A1743" s="199">
        <v>45686</v>
      </c>
      <c r="B1743" s="202" t="s">
        <v>1688</v>
      </c>
      <c r="C1743" s="200" t="s">
        <v>307</v>
      </c>
      <c r="D1743" s="204">
        <v>-34800</v>
      </c>
      <c r="E1743" s="201">
        <v>45689</v>
      </c>
      <c r="F1743" s="200" t="s">
        <v>256</v>
      </c>
      <c r="G1743" s="200" t="s">
        <v>256</v>
      </c>
      <c r="H1743" s="200" t="s">
        <v>263</v>
      </c>
    </row>
    <row r="1744" spans="1:9" ht="15" customHeight="1">
      <c r="A1744" s="199">
        <v>45686</v>
      </c>
      <c r="B1744" s="202" t="s">
        <v>1689</v>
      </c>
      <c r="C1744" s="200" t="s">
        <v>307</v>
      </c>
      <c r="D1744" s="204">
        <v>-31999</v>
      </c>
      <c r="E1744" s="201">
        <v>45689</v>
      </c>
      <c r="F1744" s="200" t="s">
        <v>296</v>
      </c>
      <c r="G1744" s="531" t="s">
        <v>392</v>
      </c>
      <c r="H1744" s="200" t="s">
        <v>350</v>
      </c>
    </row>
    <row r="1745" spans="1:9" ht="15" customHeight="1">
      <c r="A1745" s="199">
        <v>45686</v>
      </c>
      <c r="B1745" s="202" t="s">
        <v>1690</v>
      </c>
      <c r="C1745" s="200" t="s">
        <v>307</v>
      </c>
      <c r="D1745" s="204">
        <v>-5000</v>
      </c>
      <c r="E1745" s="201">
        <v>45689</v>
      </c>
      <c r="F1745" s="200" t="s">
        <v>256</v>
      </c>
      <c r="G1745" s="200" t="s">
        <v>256</v>
      </c>
      <c r="H1745" s="200" t="s">
        <v>9</v>
      </c>
    </row>
    <row r="1746" spans="1:9" ht="15" customHeight="1">
      <c r="A1746" s="199">
        <v>45686</v>
      </c>
      <c r="B1746" s="202" t="s">
        <v>1691</v>
      </c>
      <c r="C1746" s="200" t="s">
        <v>307</v>
      </c>
      <c r="D1746" s="204">
        <v>-40000</v>
      </c>
      <c r="E1746" s="201">
        <v>45689</v>
      </c>
      <c r="F1746" s="200" t="s">
        <v>297</v>
      </c>
      <c r="G1746" s="200" t="s">
        <v>311</v>
      </c>
      <c r="H1746" s="200" t="s">
        <v>350</v>
      </c>
      <c r="I1746" s="648" t="s">
        <v>329</v>
      </c>
    </row>
    <row r="1747" spans="1:9" ht="15" customHeight="1">
      <c r="A1747" s="199">
        <v>45687</v>
      </c>
      <c r="B1747" s="202" t="s">
        <v>1692</v>
      </c>
      <c r="C1747" s="200" t="s">
        <v>307</v>
      </c>
      <c r="D1747" s="204">
        <v>-98595</v>
      </c>
      <c r="E1747" s="201">
        <v>45689</v>
      </c>
      <c r="F1747" s="200" t="s">
        <v>297</v>
      </c>
      <c r="G1747" s="200" t="s">
        <v>75</v>
      </c>
      <c r="H1747" s="200" t="s">
        <v>350</v>
      </c>
    </row>
    <row r="1748" spans="1:9" ht="15" customHeight="1">
      <c r="A1748" s="199">
        <v>45687</v>
      </c>
      <c r="B1748" s="202" t="s">
        <v>1693</v>
      </c>
      <c r="C1748" s="200" t="s">
        <v>307</v>
      </c>
      <c r="D1748" s="204">
        <v>-27000</v>
      </c>
      <c r="E1748" s="201">
        <v>45689</v>
      </c>
      <c r="F1748" s="200" t="s">
        <v>296</v>
      </c>
      <c r="G1748" s="200" t="s">
        <v>482</v>
      </c>
      <c r="H1748" s="200" t="s">
        <v>350</v>
      </c>
    </row>
    <row r="1749" spans="1:9" ht="15" customHeight="1">
      <c r="A1749" s="199">
        <v>45687</v>
      </c>
      <c r="B1749" s="202" t="s">
        <v>1694</v>
      </c>
      <c r="C1749" s="200" t="s">
        <v>307</v>
      </c>
      <c r="D1749" s="204">
        <v>-160000</v>
      </c>
      <c r="E1749" s="201">
        <v>45689</v>
      </c>
      <c r="F1749" s="200" t="s">
        <v>296</v>
      </c>
      <c r="G1749" s="200" t="s">
        <v>482</v>
      </c>
      <c r="H1749" s="200" t="s">
        <v>350</v>
      </c>
    </row>
    <row r="1750" spans="1:9" ht="15" customHeight="1">
      <c r="A1750" s="199">
        <v>45687</v>
      </c>
      <c r="B1750" s="202" t="s">
        <v>1695</v>
      </c>
      <c r="C1750" s="200" t="s">
        <v>307</v>
      </c>
      <c r="D1750" s="204">
        <v>-80000</v>
      </c>
      <c r="E1750" s="201">
        <v>45689</v>
      </c>
      <c r="F1750" s="200" t="s">
        <v>296</v>
      </c>
      <c r="G1750" s="200" t="s">
        <v>482</v>
      </c>
      <c r="H1750" s="200" t="s">
        <v>350</v>
      </c>
    </row>
    <row r="1751" spans="1:9" ht="15" customHeight="1">
      <c r="A1751" s="199">
        <v>45688</v>
      </c>
      <c r="B1751" s="202" t="s">
        <v>1696</v>
      </c>
      <c r="C1751" s="200" t="s">
        <v>307</v>
      </c>
      <c r="D1751" s="204">
        <v>-116700</v>
      </c>
      <c r="E1751" s="201">
        <v>45689</v>
      </c>
      <c r="F1751" s="200" t="s">
        <v>296</v>
      </c>
      <c r="G1751" s="200" t="s">
        <v>341</v>
      </c>
      <c r="H1751" s="200" t="s">
        <v>377</v>
      </c>
    </row>
    <row r="1752" spans="1:9" ht="15" customHeight="1">
      <c r="A1752" s="199">
        <v>45688</v>
      </c>
      <c r="B1752" s="202" t="s">
        <v>1697</v>
      </c>
      <c r="C1752" s="200" t="s">
        <v>307</v>
      </c>
      <c r="D1752" s="204">
        <v>-148500</v>
      </c>
      <c r="E1752" s="201">
        <v>45689</v>
      </c>
      <c r="F1752" s="200" t="s">
        <v>297</v>
      </c>
      <c r="G1752" s="200" t="s">
        <v>75</v>
      </c>
      <c r="H1752" s="200" t="s">
        <v>350</v>
      </c>
    </row>
    <row r="1753" spans="1:9" ht="15" customHeight="1">
      <c r="A1753" s="199">
        <v>45688</v>
      </c>
      <c r="B1753" s="202" t="s">
        <v>1698</v>
      </c>
      <c r="C1753" s="200" t="s">
        <v>307</v>
      </c>
      <c r="D1753" s="204">
        <v>-55000</v>
      </c>
      <c r="E1753" s="201">
        <v>45689</v>
      </c>
      <c r="F1753" s="200" t="s">
        <v>256</v>
      </c>
      <c r="G1753" s="200" t="s">
        <v>256</v>
      </c>
      <c r="H1753" s="200" t="s">
        <v>9</v>
      </c>
    </row>
    <row r="1754" spans="1:9" ht="15" customHeight="1">
      <c r="A1754" s="199">
        <v>45685</v>
      </c>
      <c r="B1754" s="202" t="s">
        <v>1699</v>
      </c>
      <c r="C1754" s="200" t="s">
        <v>307</v>
      </c>
      <c r="D1754" s="204">
        <v>-40000</v>
      </c>
      <c r="E1754" s="201">
        <v>45689</v>
      </c>
      <c r="F1754" s="200" t="s">
        <v>256</v>
      </c>
      <c r="G1754" s="200" t="s">
        <v>107</v>
      </c>
      <c r="H1754" s="200" t="s">
        <v>275</v>
      </c>
      <c r="I1754" s="200" t="s">
        <v>1700</v>
      </c>
    </row>
    <row r="1755" spans="1:9" ht="15" customHeight="1">
      <c r="A1755" s="199">
        <v>45685</v>
      </c>
      <c r="B1755" s="202" t="s">
        <v>1701</v>
      </c>
      <c r="C1755" s="200" t="s">
        <v>307</v>
      </c>
      <c r="D1755" s="204">
        <v>-27000</v>
      </c>
      <c r="E1755" s="201">
        <v>45689</v>
      </c>
      <c r="F1755" s="200" t="s">
        <v>256</v>
      </c>
      <c r="G1755" s="200" t="s">
        <v>107</v>
      </c>
      <c r="H1755" s="200" t="s">
        <v>275</v>
      </c>
      <c r="I1755" s="200" t="s">
        <v>1700</v>
      </c>
    </row>
    <row r="1756" spans="1:9" ht="15" customHeight="1">
      <c r="A1756" s="199">
        <v>45685</v>
      </c>
      <c r="B1756" s="202" t="s">
        <v>1702</v>
      </c>
      <c r="C1756" s="200" t="s">
        <v>307</v>
      </c>
      <c r="D1756" s="204">
        <v>-28000</v>
      </c>
      <c r="E1756" s="201">
        <v>45689</v>
      </c>
      <c r="F1756" s="200" t="s">
        <v>256</v>
      </c>
      <c r="G1756" s="200" t="s">
        <v>107</v>
      </c>
      <c r="H1756" s="200" t="s">
        <v>275</v>
      </c>
      <c r="I1756" s="200" t="s">
        <v>1700</v>
      </c>
    </row>
    <row r="1757" spans="1:9" ht="15" customHeight="1">
      <c r="A1757" s="199">
        <v>45685</v>
      </c>
      <c r="B1757" s="202" t="s">
        <v>1703</v>
      </c>
      <c r="C1757" s="200" t="s">
        <v>307</v>
      </c>
      <c r="D1757" s="204">
        <v>-6000</v>
      </c>
      <c r="E1757" s="201">
        <v>45689</v>
      </c>
      <c r="F1757" s="200" t="s">
        <v>256</v>
      </c>
      <c r="G1757" s="200" t="s">
        <v>107</v>
      </c>
      <c r="H1757" s="200" t="s">
        <v>275</v>
      </c>
      <c r="I1757" s="200" t="s">
        <v>1700</v>
      </c>
    </row>
    <row r="1758" spans="1:9" ht="15" customHeight="1">
      <c r="A1758" s="199">
        <v>45685</v>
      </c>
      <c r="B1758" s="202" t="s">
        <v>1704</v>
      </c>
      <c r="C1758" s="200" t="s">
        <v>307</v>
      </c>
      <c r="D1758" s="204">
        <v>-6000</v>
      </c>
      <c r="E1758" s="201">
        <v>45689</v>
      </c>
      <c r="F1758" s="200" t="s">
        <v>256</v>
      </c>
      <c r="G1758" s="200" t="s">
        <v>107</v>
      </c>
      <c r="H1758" s="200" t="s">
        <v>275</v>
      </c>
      <c r="I1758" s="200" t="s">
        <v>1700</v>
      </c>
    </row>
    <row r="1759" spans="1:9" ht="15" customHeight="1">
      <c r="A1759" s="199">
        <v>45686</v>
      </c>
      <c r="B1759" s="202" t="s">
        <v>1705</v>
      </c>
      <c r="C1759" s="200" t="s">
        <v>307</v>
      </c>
      <c r="D1759" s="204">
        <v>-14500</v>
      </c>
      <c r="E1759" s="201">
        <v>45689</v>
      </c>
      <c r="F1759" s="200" t="s">
        <v>256</v>
      </c>
      <c r="G1759" s="200" t="s">
        <v>107</v>
      </c>
      <c r="H1759" s="200" t="s">
        <v>275</v>
      </c>
      <c r="I1759" s="200" t="s">
        <v>1700</v>
      </c>
    </row>
    <row r="1760" spans="1:9" ht="15" customHeight="1">
      <c r="A1760" s="199">
        <v>45686</v>
      </c>
      <c r="B1760" s="202" t="s">
        <v>1701</v>
      </c>
      <c r="C1760" s="200" t="s">
        <v>307</v>
      </c>
      <c r="D1760" s="204">
        <v>-28000</v>
      </c>
      <c r="E1760" s="201">
        <v>45689</v>
      </c>
      <c r="F1760" s="200" t="s">
        <v>256</v>
      </c>
      <c r="G1760" s="200" t="s">
        <v>107</v>
      </c>
      <c r="H1760" s="200" t="s">
        <v>275</v>
      </c>
      <c r="I1760" s="200" t="s">
        <v>1700</v>
      </c>
    </row>
    <row r="1761" spans="1:9" ht="15" customHeight="1">
      <c r="A1761" s="199">
        <v>45686</v>
      </c>
      <c r="B1761" s="202" t="s">
        <v>1702</v>
      </c>
      <c r="C1761" s="200" t="s">
        <v>307</v>
      </c>
      <c r="D1761" s="204">
        <v>-30000</v>
      </c>
      <c r="E1761" s="201">
        <v>45689</v>
      </c>
      <c r="F1761" s="200" t="s">
        <v>256</v>
      </c>
      <c r="G1761" s="200" t="s">
        <v>107</v>
      </c>
      <c r="H1761" s="200" t="s">
        <v>275</v>
      </c>
      <c r="I1761" s="200" t="s">
        <v>1700</v>
      </c>
    </row>
    <row r="1762" spans="1:9" ht="15" customHeight="1">
      <c r="A1762" s="199">
        <v>45686</v>
      </c>
      <c r="B1762" s="202" t="s">
        <v>1704</v>
      </c>
      <c r="C1762" s="200" t="s">
        <v>307</v>
      </c>
      <c r="D1762" s="204">
        <v>-12000</v>
      </c>
      <c r="E1762" s="201">
        <v>45689</v>
      </c>
      <c r="F1762" s="200" t="s">
        <v>256</v>
      </c>
      <c r="G1762" s="200" t="s">
        <v>107</v>
      </c>
      <c r="H1762" s="200" t="s">
        <v>275</v>
      </c>
      <c r="I1762" s="200" t="s">
        <v>1700</v>
      </c>
    </row>
    <row r="1763" spans="1:9" ht="15" customHeight="1">
      <c r="A1763" s="199">
        <v>45687</v>
      </c>
      <c r="B1763" s="202" t="s">
        <v>1705</v>
      </c>
      <c r="C1763" s="200" t="s">
        <v>307</v>
      </c>
      <c r="D1763" s="204">
        <v>-12000</v>
      </c>
      <c r="E1763" s="201">
        <v>45689</v>
      </c>
      <c r="F1763" s="200" t="s">
        <v>256</v>
      </c>
      <c r="G1763" s="200" t="s">
        <v>107</v>
      </c>
      <c r="H1763" s="200" t="s">
        <v>275</v>
      </c>
      <c r="I1763" s="200" t="s">
        <v>1700</v>
      </c>
    </row>
    <row r="1764" spans="1:9" ht="15" customHeight="1">
      <c r="A1764" s="199">
        <v>45687</v>
      </c>
      <c r="B1764" s="202" t="s">
        <v>1701</v>
      </c>
      <c r="C1764" s="200" t="s">
        <v>307</v>
      </c>
      <c r="D1764" s="204">
        <v>-28000</v>
      </c>
      <c r="E1764" s="201">
        <v>45689</v>
      </c>
      <c r="F1764" s="200" t="s">
        <v>256</v>
      </c>
      <c r="G1764" s="200" t="s">
        <v>107</v>
      </c>
      <c r="H1764" s="200" t="s">
        <v>275</v>
      </c>
      <c r="I1764" s="200" t="s">
        <v>1700</v>
      </c>
    </row>
    <row r="1765" spans="1:9" ht="15" customHeight="1">
      <c r="A1765" s="199">
        <v>45687</v>
      </c>
      <c r="B1765" s="202" t="s">
        <v>1702</v>
      </c>
      <c r="C1765" s="200" t="s">
        <v>307</v>
      </c>
      <c r="D1765" s="204">
        <v>-31000</v>
      </c>
      <c r="E1765" s="201">
        <v>45689</v>
      </c>
      <c r="F1765" s="200" t="s">
        <v>256</v>
      </c>
      <c r="G1765" s="200" t="s">
        <v>107</v>
      </c>
      <c r="H1765" s="200" t="s">
        <v>275</v>
      </c>
      <c r="I1765" s="200" t="s">
        <v>1700</v>
      </c>
    </row>
    <row r="1766" spans="1:9" ht="15" customHeight="1">
      <c r="A1766" s="199">
        <v>45687</v>
      </c>
      <c r="B1766" s="202" t="s">
        <v>1704</v>
      </c>
      <c r="C1766" s="200" t="s">
        <v>307</v>
      </c>
      <c r="D1766" s="204">
        <v>-12000</v>
      </c>
      <c r="E1766" s="201">
        <v>45689</v>
      </c>
      <c r="F1766" s="200" t="s">
        <v>256</v>
      </c>
      <c r="G1766" s="200" t="s">
        <v>107</v>
      </c>
      <c r="H1766" s="200" t="s">
        <v>275</v>
      </c>
      <c r="I1766" s="200" t="s">
        <v>1700</v>
      </c>
    </row>
    <row r="1767" spans="1:9" ht="15" customHeight="1">
      <c r="A1767" s="199">
        <v>45688</v>
      </c>
      <c r="B1767" s="202" t="s">
        <v>1705</v>
      </c>
      <c r="C1767" s="200" t="s">
        <v>307</v>
      </c>
      <c r="D1767" s="204">
        <v>-15500</v>
      </c>
      <c r="E1767" s="201">
        <v>45689</v>
      </c>
      <c r="F1767" s="200" t="s">
        <v>256</v>
      </c>
      <c r="G1767" s="200" t="s">
        <v>107</v>
      </c>
      <c r="H1767" s="200" t="s">
        <v>275</v>
      </c>
      <c r="I1767" s="200" t="s">
        <v>1700</v>
      </c>
    </row>
    <row r="1768" spans="1:9" ht="15" customHeight="1">
      <c r="A1768" s="199">
        <v>45688</v>
      </c>
      <c r="B1768" s="202" t="s">
        <v>1701</v>
      </c>
      <c r="C1768" s="200" t="s">
        <v>307</v>
      </c>
      <c r="D1768" s="204">
        <v>-28000</v>
      </c>
      <c r="E1768" s="201">
        <v>45689</v>
      </c>
      <c r="F1768" s="200" t="s">
        <v>256</v>
      </c>
      <c r="G1768" s="200" t="s">
        <v>107</v>
      </c>
      <c r="H1768" s="200" t="s">
        <v>275</v>
      </c>
      <c r="I1768" s="200" t="s">
        <v>1700</v>
      </c>
    </row>
    <row r="1769" spans="1:9" ht="15" customHeight="1">
      <c r="A1769" s="199">
        <v>45688</v>
      </c>
      <c r="B1769" s="202" t="s">
        <v>1706</v>
      </c>
      <c r="C1769" s="200" t="s">
        <v>307</v>
      </c>
      <c r="D1769" s="204">
        <v>-40000</v>
      </c>
      <c r="E1769" s="201">
        <v>45689</v>
      </c>
      <c r="F1769" s="200" t="s">
        <v>256</v>
      </c>
      <c r="G1769" s="200" t="s">
        <v>107</v>
      </c>
      <c r="H1769" s="200" t="s">
        <v>275</v>
      </c>
      <c r="I1769" s="200" t="s">
        <v>1700</v>
      </c>
    </row>
    <row r="1770" spans="1:9" ht="15" customHeight="1">
      <c r="A1770" s="199">
        <v>45688</v>
      </c>
      <c r="B1770" s="202" t="s">
        <v>1704</v>
      </c>
      <c r="C1770" s="200" t="s">
        <v>307</v>
      </c>
      <c r="D1770" s="204">
        <v>-20000</v>
      </c>
      <c r="E1770" s="201">
        <v>45689</v>
      </c>
      <c r="F1770" s="200" t="s">
        <v>256</v>
      </c>
      <c r="G1770" s="200" t="s">
        <v>107</v>
      </c>
      <c r="H1770" s="200" t="s">
        <v>275</v>
      </c>
      <c r="I1770" s="200" t="s">
        <v>1700</v>
      </c>
    </row>
    <row r="1771" spans="1:9" ht="15" customHeight="1">
      <c r="A1771" s="199">
        <v>45688</v>
      </c>
      <c r="B1771" s="202" t="s">
        <v>1707</v>
      </c>
      <c r="C1771" s="200" t="s">
        <v>307</v>
      </c>
      <c r="D1771" s="204">
        <v>-14000</v>
      </c>
      <c r="E1771" s="201">
        <v>45689</v>
      </c>
      <c r="F1771" s="200" t="s">
        <v>256</v>
      </c>
      <c r="G1771" s="200" t="s">
        <v>107</v>
      </c>
      <c r="H1771" s="200" t="s">
        <v>275</v>
      </c>
      <c r="I1771" s="200" t="s">
        <v>1700</v>
      </c>
    </row>
    <row r="1772" spans="1:9" ht="15" customHeight="1">
      <c r="A1772" s="199">
        <v>45688</v>
      </c>
      <c r="B1772" s="202" t="s">
        <v>1708</v>
      </c>
      <c r="C1772" s="200" t="s">
        <v>307</v>
      </c>
      <c r="D1772" s="204">
        <v>-286200</v>
      </c>
      <c r="E1772" s="201">
        <v>45689</v>
      </c>
      <c r="F1772" s="200" t="s">
        <v>256</v>
      </c>
      <c r="G1772" s="200" t="s">
        <v>107</v>
      </c>
      <c r="H1772" s="200" t="s">
        <v>275</v>
      </c>
      <c r="I1772" s="200" t="s">
        <v>1700</v>
      </c>
    </row>
    <row r="1773" spans="1:9" ht="15" customHeight="1">
      <c r="A1773" s="199">
        <v>45684</v>
      </c>
      <c r="B1773" s="202" t="s">
        <v>1709</v>
      </c>
      <c r="C1773" s="200" t="s">
        <v>307</v>
      </c>
      <c r="D1773" s="204">
        <v>-50000</v>
      </c>
      <c r="E1773" s="201">
        <v>45689</v>
      </c>
      <c r="F1773" s="200" t="s">
        <v>296</v>
      </c>
      <c r="G1773" s="200" t="s">
        <v>522</v>
      </c>
      <c r="H1773" s="200" t="s">
        <v>1079</v>
      </c>
      <c r="I1773" s="200" t="s">
        <v>1080</v>
      </c>
    </row>
    <row r="1774" spans="1:9" ht="15" customHeight="1">
      <c r="A1774" s="199">
        <v>45684</v>
      </c>
      <c r="B1774" s="202" t="s">
        <v>1710</v>
      </c>
      <c r="C1774" s="200" t="s">
        <v>307</v>
      </c>
      <c r="D1774" s="204">
        <v>-120000</v>
      </c>
      <c r="E1774" s="201">
        <v>45689</v>
      </c>
      <c r="F1774" s="200" t="s">
        <v>296</v>
      </c>
      <c r="G1774" s="200" t="s">
        <v>522</v>
      </c>
      <c r="H1774" s="200" t="s">
        <v>1079</v>
      </c>
      <c r="I1774" s="200" t="s">
        <v>1080</v>
      </c>
    </row>
    <row r="1775" spans="1:9" ht="15" customHeight="1">
      <c r="A1775" s="199">
        <v>45684</v>
      </c>
      <c r="B1775" s="202" t="s">
        <v>1711</v>
      </c>
      <c r="C1775" s="200" t="s">
        <v>307</v>
      </c>
      <c r="D1775" s="204">
        <v>-160000</v>
      </c>
      <c r="E1775" s="201">
        <v>45689</v>
      </c>
      <c r="F1775" s="200" t="s">
        <v>296</v>
      </c>
      <c r="G1775" s="200" t="s">
        <v>522</v>
      </c>
      <c r="H1775" s="200" t="s">
        <v>326</v>
      </c>
      <c r="I1775" s="200" t="s">
        <v>1080</v>
      </c>
    </row>
    <row r="1776" spans="1:9" ht="15" customHeight="1">
      <c r="A1776" s="199">
        <v>45685</v>
      </c>
      <c r="B1776" s="202" t="s">
        <v>1712</v>
      </c>
      <c r="C1776" s="200" t="s">
        <v>307</v>
      </c>
      <c r="D1776" s="204">
        <v>-160000</v>
      </c>
      <c r="E1776" s="201">
        <v>45689</v>
      </c>
      <c r="F1776" s="200" t="s">
        <v>296</v>
      </c>
      <c r="G1776" s="200" t="s">
        <v>522</v>
      </c>
      <c r="H1776" s="200" t="s">
        <v>326</v>
      </c>
      <c r="I1776" s="200" t="s">
        <v>1080</v>
      </c>
    </row>
    <row r="1777" spans="1:9" ht="15" customHeight="1">
      <c r="A1777" s="199">
        <v>45686</v>
      </c>
      <c r="B1777" s="202" t="s">
        <v>1084</v>
      </c>
      <c r="C1777" s="200" t="s">
        <v>307</v>
      </c>
      <c r="D1777" s="204">
        <v>-10000</v>
      </c>
      <c r="E1777" s="201">
        <v>45689</v>
      </c>
      <c r="F1777" s="200" t="s">
        <v>296</v>
      </c>
      <c r="G1777" s="200" t="s">
        <v>522</v>
      </c>
      <c r="H1777" s="200" t="s">
        <v>490</v>
      </c>
      <c r="I1777" s="648" t="s">
        <v>329</v>
      </c>
    </row>
    <row r="1778" spans="1:9" ht="15" customHeight="1">
      <c r="A1778" s="199">
        <v>45671</v>
      </c>
      <c r="B1778" s="202" t="s">
        <v>1713</v>
      </c>
      <c r="C1778" s="200" t="s">
        <v>307</v>
      </c>
      <c r="D1778" s="204">
        <v>-125500</v>
      </c>
      <c r="E1778" s="201">
        <v>45689</v>
      </c>
      <c r="F1778" s="200" t="s">
        <v>296</v>
      </c>
      <c r="G1778" s="200" t="s">
        <v>44</v>
      </c>
      <c r="H1778" s="200" t="s">
        <v>429</v>
      </c>
    </row>
    <row r="1779" spans="1:9" ht="15" customHeight="1">
      <c r="A1779" s="199">
        <v>45677</v>
      </c>
      <c r="B1779" s="202" t="s">
        <v>980</v>
      </c>
      <c r="C1779" s="200" t="s">
        <v>307</v>
      </c>
      <c r="D1779" s="204">
        <v>-100000</v>
      </c>
      <c r="E1779" s="201">
        <v>45689</v>
      </c>
      <c r="F1779" s="200" t="s">
        <v>296</v>
      </c>
      <c r="G1779" s="200" t="s">
        <v>44</v>
      </c>
      <c r="H1779" s="200" t="s">
        <v>326</v>
      </c>
    </row>
    <row r="1780" spans="1:9" ht="15" customHeight="1">
      <c r="A1780" s="199">
        <v>45677</v>
      </c>
      <c r="B1780" s="202" t="s">
        <v>1714</v>
      </c>
      <c r="C1780" s="200" t="s">
        <v>307</v>
      </c>
      <c r="D1780" s="204">
        <v>-220000</v>
      </c>
      <c r="E1780" s="201">
        <v>45689</v>
      </c>
      <c r="F1780" s="200" t="s">
        <v>296</v>
      </c>
      <c r="G1780" s="200" t="s">
        <v>44</v>
      </c>
      <c r="H1780" s="200" t="s">
        <v>429</v>
      </c>
    </row>
    <row r="1781" spans="1:9" ht="15" customHeight="1">
      <c r="A1781" s="199">
        <v>45677</v>
      </c>
      <c r="B1781" s="202" t="s">
        <v>1715</v>
      </c>
      <c r="C1781" s="200" t="s">
        <v>307</v>
      </c>
      <c r="D1781" s="204">
        <v>-80000</v>
      </c>
      <c r="E1781" s="201">
        <v>45689</v>
      </c>
      <c r="F1781" s="200" t="s">
        <v>296</v>
      </c>
      <c r="G1781" s="200" t="s">
        <v>44</v>
      </c>
      <c r="H1781" s="200" t="s">
        <v>429</v>
      </c>
    </row>
    <row r="1782" spans="1:9" ht="15" customHeight="1">
      <c r="A1782" s="199">
        <v>45678</v>
      </c>
      <c r="B1782" s="202" t="s">
        <v>1716</v>
      </c>
      <c r="C1782" s="200" t="s">
        <v>307</v>
      </c>
      <c r="D1782" s="204">
        <v>-10000</v>
      </c>
      <c r="E1782" s="201">
        <v>45689</v>
      </c>
      <c r="F1782" s="200" t="s">
        <v>296</v>
      </c>
      <c r="G1782" s="200" t="s">
        <v>44</v>
      </c>
      <c r="H1782" s="200" t="s">
        <v>322</v>
      </c>
    </row>
    <row r="1783" spans="1:9" ht="15" customHeight="1">
      <c r="A1783" s="199">
        <v>45680</v>
      </c>
      <c r="B1783" s="202" t="s">
        <v>977</v>
      </c>
      <c r="C1783" s="200" t="s">
        <v>307</v>
      </c>
      <c r="D1783" s="204">
        <v>-27500</v>
      </c>
      <c r="E1783" s="201">
        <v>45689</v>
      </c>
      <c r="F1783" s="200" t="s">
        <v>296</v>
      </c>
      <c r="G1783" s="200" t="s">
        <v>44</v>
      </c>
      <c r="H1783" s="200" t="s">
        <v>326</v>
      </c>
    </row>
    <row r="1784" spans="1:9" ht="15" customHeight="1">
      <c r="A1784" s="199">
        <v>45681</v>
      </c>
      <c r="B1784" s="202" t="s">
        <v>980</v>
      </c>
      <c r="C1784" s="200" t="s">
        <v>307</v>
      </c>
      <c r="D1784" s="204">
        <v>-50000</v>
      </c>
      <c r="E1784" s="201">
        <v>45689</v>
      </c>
      <c r="F1784" s="200" t="s">
        <v>296</v>
      </c>
      <c r="G1784" s="200" t="s">
        <v>44</v>
      </c>
      <c r="H1784" s="200" t="s">
        <v>326</v>
      </c>
    </row>
    <row r="1785" spans="1:9" ht="15" customHeight="1">
      <c r="A1785" s="199">
        <v>45682</v>
      </c>
      <c r="B1785" s="202" t="s">
        <v>1717</v>
      </c>
      <c r="C1785" s="200" t="s">
        <v>307</v>
      </c>
      <c r="D1785" s="204">
        <v>-11500</v>
      </c>
      <c r="E1785" s="201">
        <v>45689</v>
      </c>
      <c r="F1785" s="200" t="s">
        <v>296</v>
      </c>
      <c r="G1785" s="200" t="s">
        <v>44</v>
      </c>
      <c r="H1785" s="200" t="s">
        <v>326</v>
      </c>
    </row>
    <row r="1786" spans="1:9" ht="15" customHeight="1">
      <c r="A1786" s="199">
        <v>45685</v>
      </c>
      <c r="B1786" s="202" t="s">
        <v>1718</v>
      </c>
      <c r="C1786" s="200" t="s">
        <v>307</v>
      </c>
      <c r="D1786" s="204">
        <v>-99000</v>
      </c>
      <c r="E1786" s="201">
        <v>45689</v>
      </c>
      <c r="F1786" s="200" t="s">
        <v>296</v>
      </c>
      <c r="G1786" s="200" t="s">
        <v>44</v>
      </c>
      <c r="H1786" s="200" t="s">
        <v>429</v>
      </c>
    </row>
    <row r="1787" spans="1:9" ht="15" customHeight="1">
      <c r="A1787" s="199">
        <v>45685</v>
      </c>
      <c r="B1787" s="202" t="s">
        <v>1716</v>
      </c>
      <c r="C1787" s="200" t="s">
        <v>307</v>
      </c>
      <c r="D1787" s="204">
        <v>-18000</v>
      </c>
      <c r="E1787" s="201">
        <v>45689</v>
      </c>
      <c r="F1787" s="200" t="s">
        <v>296</v>
      </c>
      <c r="G1787" s="200" t="s">
        <v>44</v>
      </c>
      <c r="H1787" s="200" t="s">
        <v>322</v>
      </c>
    </row>
    <row r="1788" spans="1:9" ht="15" customHeight="1">
      <c r="A1788" s="199">
        <v>45686</v>
      </c>
      <c r="B1788" s="202" t="s">
        <v>1719</v>
      </c>
      <c r="C1788" s="200" t="s">
        <v>307</v>
      </c>
      <c r="D1788" s="204">
        <v>-196000</v>
      </c>
      <c r="E1788" s="201">
        <v>45689</v>
      </c>
      <c r="F1788" s="200" t="s">
        <v>296</v>
      </c>
      <c r="G1788" s="200" t="s">
        <v>44</v>
      </c>
      <c r="H1788" s="200" t="s">
        <v>488</v>
      </c>
    </row>
    <row r="1789" spans="1:9" ht="15" customHeight="1">
      <c r="A1789" s="199">
        <v>45686</v>
      </c>
      <c r="B1789" s="202" t="s">
        <v>1720</v>
      </c>
      <c r="C1789" s="200" t="s">
        <v>307</v>
      </c>
      <c r="D1789" s="204">
        <v>-235000</v>
      </c>
      <c r="E1789" s="201">
        <v>45689</v>
      </c>
      <c r="F1789" s="200" t="s">
        <v>296</v>
      </c>
      <c r="G1789" s="200" t="s">
        <v>44</v>
      </c>
      <c r="H1789" s="200" t="s">
        <v>429</v>
      </c>
      <c r="I1789" s="704"/>
    </row>
    <row r="1790" spans="1:9" ht="15" customHeight="1">
      <c r="A1790" s="199">
        <v>45686</v>
      </c>
      <c r="B1790" s="202" t="s">
        <v>1721</v>
      </c>
      <c r="C1790" s="200" t="s">
        <v>307</v>
      </c>
      <c r="D1790" s="204">
        <v>-64000</v>
      </c>
      <c r="E1790" s="201">
        <v>45689</v>
      </c>
      <c r="F1790" s="200" t="s">
        <v>296</v>
      </c>
      <c r="G1790" s="200" t="s">
        <v>44</v>
      </c>
      <c r="H1790" s="200" t="s">
        <v>429</v>
      </c>
    </row>
    <row r="1791" spans="1:9" ht="15" customHeight="1">
      <c r="A1791" s="199">
        <v>45686</v>
      </c>
      <c r="B1791" s="202" t="s">
        <v>980</v>
      </c>
      <c r="C1791" s="200" t="s">
        <v>307</v>
      </c>
      <c r="D1791" s="204">
        <v>-150000</v>
      </c>
      <c r="E1791" s="201">
        <v>45689</v>
      </c>
      <c r="F1791" s="200" t="s">
        <v>296</v>
      </c>
      <c r="G1791" s="200" t="s">
        <v>44</v>
      </c>
      <c r="H1791" s="200" t="s">
        <v>326</v>
      </c>
      <c r="I1791" s="648" t="s">
        <v>329</v>
      </c>
    </row>
    <row r="1792" spans="1:9" ht="15" customHeight="1">
      <c r="A1792" s="199">
        <v>45695</v>
      </c>
      <c r="B1792" s="202" t="s">
        <v>1722</v>
      </c>
      <c r="C1792" s="200" t="s">
        <v>307</v>
      </c>
      <c r="D1792" s="204">
        <v>-49000</v>
      </c>
      <c r="E1792" s="201">
        <v>45689</v>
      </c>
      <c r="F1792" s="200" t="s">
        <v>297</v>
      </c>
      <c r="G1792" s="200" t="s">
        <v>75</v>
      </c>
      <c r="H1792" s="200" t="s">
        <v>268</v>
      </c>
      <c r="I1792" s="706" t="s">
        <v>329</v>
      </c>
    </row>
    <row r="1793" spans="1:9" ht="15" customHeight="1">
      <c r="A1793" s="199">
        <v>45695</v>
      </c>
      <c r="B1793" s="202" t="s">
        <v>1722</v>
      </c>
      <c r="C1793" s="200" t="s">
        <v>307</v>
      </c>
      <c r="D1793" s="204">
        <v>-14000</v>
      </c>
      <c r="E1793" s="201">
        <v>45689</v>
      </c>
      <c r="F1793" s="200" t="s">
        <v>297</v>
      </c>
      <c r="G1793" s="200" t="s">
        <v>69</v>
      </c>
      <c r="H1793" s="200" t="s">
        <v>268</v>
      </c>
    </row>
    <row r="1794" spans="1:9" ht="15" customHeight="1">
      <c r="A1794" s="199">
        <v>45695</v>
      </c>
      <c r="B1794" s="202" t="s">
        <v>1722</v>
      </c>
      <c r="C1794" s="200" t="s">
        <v>307</v>
      </c>
      <c r="D1794" s="204">
        <v>-21000</v>
      </c>
      <c r="E1794" s="201">
        <v>45689</v>
      </c>
      <c r="F1794" s="200" t="s">
        <v>296</v>
      </c>
      <c r="G1794" s="200" t="s">
        <v>328</v>
      </c>
      <c r="H1794" s="200" t="s">
        <v>268</v>
      </c>
    </row>
    <row r="1795" spans="1:9" ht="15" customHeight="1">
      <c r="A1795" s="199">
        <v>45695</v>
      </c>
      <c r="B1795" s="202" t="s">
        <v>1722</v>
      </c>
      <c r="C1795" s="200" t="s">
        <v>307</v>
      </c>
      <c r="D1795" s="204">
        <v>-41000</v>
      </c>
      <c r="E1795" s="201">
        <v>45689</v>
      </c>
      <c r="F1795" s="200" t="s">
        <v>256</v>
      </c>
      <c r="G1795" s="200" t="s">
        <v>256</v>
      </c>
      <c r="H1795" s="200" t="s">
        <v>268</v>
      </c>
    </row>
    <row r="1796" spans="1:9" ht="15" customHeight="1">
      <c r="A1796" s="199">
        <v>45695</v>
      </c>
      <c r="B1796" s="202" t="s">
        <v>1722</v>
      </c>
      <c r="C1796" s="200" t="s">
        <v>307</v>
      </c>
      <c r="D1796" s="204">
        <v>-63928</v>
      </c>
      <c r="E1796" s="201">
        <v>45689</v>
      </c>
      <c r="F1796" s="200" t="s">
        <v>296</v>
      </c>
      <c r="G1796" s="200" t="s">
        <v>482</v>
      </c>
      <c r="H1796" s="200" t="s">
        <v>268</v>
      </c>
    </row>
    <row r="1797" spans="1:9" ht="15" customHeight="1">
      <c r="A1797" s="199">
        <v>45695</v>
      </c>
      <c r="B1797" s="202" t="s">
        <v>1722</v>
      </c>
      <c r="C1797" s="200" t="s">
        <v>372</v>
      </c>
      <c r="D1797" s="204">
        <v>-1920</v>
      </c>
      <c r="E1797" s="201">
        <v>45689</v>
      </c>
      <c r="F1797" s="200" t="s">
        <v>296</v>
      </c>
      <c r="G1797" s="200" t="s">
        <v>482</v>
      </c>
      <c r="H1797" s="200" t="s">
        <v>268</v>
      </c>
    </row>
    <row r="1798" spans="1:9" ht="15" customHeight="1">
      <c r="A1798" s="199">
        <v>45695</v>
      </c>
      <c r="B1798" s="202" t="s">
        <v>1722</v>
      </c>
      <c r="C1798" s="200" t="s">
        <v>372</v>
      </c>
      <c r="D1798" s="204">
        <v>-1152</v>
      </c>
      <c r="E1798" s="201">
        <v>45689</v>
      </c>
      <c r="F1798" s="200" t="s">
        <v>296</v>
      </c>
      <c r="G1798" s="200" t="s">
        <v>482</v>
      </c>
      <c r="H1798" s="200" t="s">
        <v>268</v>
      </c>
    </row>
    <row r="1799" spans="1:9" ht="15" customHeight="1">
      <c r="A1799" s="199">
        <v>45693</v>
      </c>
      <c r="B1799" s="202" t="s">
        <v>1723</v>
      </c>
      <c r="C1799" s="200" t="s">
        <v>204</v>
      </c>
      <c r="D1799" s="649">
        <v>-310000</v>
      </c>
      <c r="E1799" s="201">
        <v>45689</v>
      </c>
      <c r="F1799" s="200" t="s">
        <v>256</v>
      </c>
      <c r="G1799" s="200" t="s">
        <v>107</v>
      </c>
      <c r="H1799" s="200" t="s">
        <v>777</v>
      </c>
    </row>
    <row r="1800" spans="1:9" ht="15" customHeight="1">
      <c r="A1800" s="199">
        <v>45694</v>
      </c>
      <c r="B1800" s="202" t="s">
        <v>1724</v>
      </c>
      <c r="C1800" s="200" t="s">
        <v>204</v>
      </c>
      <c r="D1800" s="649">
        <v>-332000</v>
      </c>
      <c r="E1800" s="201">
        <v>45689</v>
      </c>
      <c r="F1800" s="200" t="s">
        <v>296</v>
      </c>
      <c r="G1800" s="200" t="s">
        <v>513</v>
      </c>
      <c r="H1800" s="200" t="s">
        <v>322</v>
      </c>
    </row>
    <row r="1801" spans="1:9" ht="15" customHeight="1">
      <c r="A1801" s="199">
        <v>45694</v>
      </c>
      <c r="B1801" s="202" t="s">
        <v>1725</v>
      </c>
      <c r="C1801" s="200" t="s">
        <v>204</v>
      </c>
      <c r="D1801" s="649">
        <v>-2182722</v>
      </c>
      <c r="E1801" s="201">
        <v>45689</v>
      </c>
      <c r="F1801" s="200" t="s">
        <v>296</v>
      </c>
      <c r="G1801" s="200" t="s">
        <v>337</v>
      </c>
      <c r="H1801" s="200" t="s">
        <v>366</v>
      </c>
    </row>
    <row r="1802" spans="1:9" ht="15" customHeight="1">
      <c r="A1802" s="199">
        <v>45694</v>
      </c>
      <c r="B1802" s="202" t="s">
        <v>1726</v>
      </c>
      <c r="C1802" s="200" t="s">
        <v>372</v>
      </c>
      <c r="D1802" s="204">
        <v>-47041</v>
      </c>
      <c r="E1802" s="201">
        <v>45689</v>
      </c>
      <c r="F1802" s="200" t="s">
        <v>296</v>
      </c>
      <c r="G1802" s="200" t="s">
        <v>337</v>
      </c>
      <c r="H1802" s="200" t="s">
        <v>366</v>
      </c>
    </row>
    <row r="1803" spans="1:9" ht="15" customHeight="1">
      <c r="A1803" s="199">
        <v>45694</v>
      </c>
      <c r="B1803" s="202" t="s">
        <v>1727</v>
      </c>
      <c r="C1803" s="200" t="s">
        <v>372</v>
      </c>
      <c r="D1803" s="204">
        <v>-9048</v>
      </c>
      <c r="E1803" s="201">
        <v>45689</v>
      </c>
      <c r="F1803" s="200" t="s">
        <v>296</v>
      </c>
      <c r="G1803" s="200" t="s">
        <v>337</v>
      </c>
      <c r="H1803" s="200" t="s">
        <v>366</v>
      </c>
      <c r="I1803" s="648" t="s">
        <v>329</v>
      </c>
    </row>
    <row r="1804" spans="1:9" ht="15" customHeight="1">
      <c r="A1804" s="199">
        <v>45695</v>
      </c>
      <c r="B1804" s="202" t="s">
        <v>1728</v>
      </c>
      <c r="C1804" s="200" t="s">
        <v>204</v>
      </c>
      <c r="D1804" s="649">
        <v>-865000</v>
      </c>
      <c r="E1804" s="201">
        <v>45689</v>
      </c>
      <c r="F1804" s="200" t="s">
        <v>296</v>
      </c>
      <c r="G1804" s="200" t="s">
        <v>1124</v>
      </c>
      <c r="H1804" s="200" t="s">
        <v>857</v>
      </c>
      <c r="I1804" s="648" t="s">
        <v>329</v>
      </c>
    </row>
    <row r="1805" spans="1:9" ht="15" customHeight="1">
      <c r="A1805" s="199">
        <v>45695</v>
      </c>
      <c r="B1805" s="202" t="s">
        <v>1729</v>
      </c>
      <c r="C1805" s="200" t="s">
        <v>204</v>
      </c>
      <c r="D1805" s="649">
        <v>-2606994</v>
      </c>
      <c r="E1805" s="201">
        <v>45689</v>
      </c>
      <c r="F1805" s="200" t="s">
        <v>296</v>
      </c>
      <c r="G1805" s="200" t="s">
        <v>328</v>
      </c>
      <c r="H1805" s="200" t="s">
        <v>342</v>
      </c>
    </row>
    <row r="1806" spans="1:9" ht="15" customHeight="1">
      <c r="A1806" s="199">
        <v>45691</v>
      </c>
      <c r="B1806" s="202" t="s">
        <v>1730</v>
      </c>
      <c r="C1806" s="200" t="s">
        <v>204</v>
      </c>
      <c r="D1806" s="658">
        <v>38668000</v>
      </c>
      <c r="E1806" s="201">
        <v>45689</v>
      </c>
      <c r="F1806" s="200" t="s">
        <v>298</v>
      </c>
      <c r="G1806" s="200" t="s">
        <v>1731</v>
      </c>
    </row>
    <row r="1807" spans="1:9" ht="15" customHeight="1">
      <c r="A1807" s="199">
        <v>45692</v>
      </c>
      <c r="B1807" s="202" t="s">
        <v>658</v>
      </c>
      <c r="C1807" s="200" t="s">
        <v>204</v>
      </c>
      <c r="D1807" s="658">
        <v>100000000</v>
      </c>
      <c r="E1807" s="201">
        <v>45689</v>
      </c>
      <c r="F1807" s="200" t="s">
        <v>652</v>
      </c>
      <c r="G1807" s="200" t="s">
        <v>522</v>
      </c>
    </row>
    <row r="1808" spans="1:9" ht="15" customHeight="1">
      <c r="A1808" s="199">
        <v>45692</v>
      </c>
      <c r="B1808" s="202" t="s">
        <v>1732</v>
      </c>
      <c r="C1808" s="200" t="s">
        <v>204</v>
      </c>
      <c r="D1808" s="658">
        <v>100000000</v>
      </c>
      <c r="E1808" s="201">
        <v>45689</v>
      </c>
      <c r="F1808" s="200" t="s">
        <v>652</v>
      </c>
      <c r="G1808" s="200" t="s">
        <v>337</v>
      </c>
    </row>
    <row r="1809" spans="1:8" ht="15" customHeight="1">
      <c r="A1809" s="199">
        <v>45694</v>
      </c>
      <c r="B1809" s="202" t="s">
        <v>1733</v>
      </c>
      <c r="C1809" s="200" t="s">
        <v>204</v>
      </c>
      <c r="D1809" s="658">
        <v>50000000</v>
      </c>
      <c r="E1809" s="201">
        <v>45689</v>
      </c>
      <c r="F1809" s="200" t="s">
        <v>652</v>
      </c>
      <c r="G1809" s="200" t="s">
        <v>44</v>
      </c>
    </row>
    <row r="1810" spans="1:8" ht="15" customHeight="1">
      <c r="A1810" s="199">
        <v>45694</v>
      </c>
      <c r="B1810" s="202" t="s">
        <v>658</v>
      </c>
      <c r="C1810" s="200" t="s">
        <v>204</v>
      </c>
      <c r="D1810" s="658">
        <v>100000000</v>
      </c>
      <c r="E1810" s="201">
        <v>45689</v>
      </c>
      <c r="F1810" s="200" t="s">
        <v>652</v>
      </c>
      <c r="G1810" s="200" t="s">
        <v>522</v>
      </c>
    </row>
    <row r="1811" spans="1:8" ht="15" customHeight="1">
      <c r="A1811" s="199">
        <v>45694</v>
      </c>
      <c r="B1811" s="202" t="s">
        <v>1733</v>
      </c>
      <c r="C1811" s="200" t="s">
        <v>204</v>
      </c>
      <c r="D1811" s="658">
        <v>80000000</v>
      </c>
      <c r="E1811" s="201">
        <v>45689</v>
      </c>
      <c r="F1811" s="200" t="s">
        <v>652</v>
      </c>
      <c r="G1811" s="200" t="s">
        <v>44</v>
      </c>
    </row>
    <row r="1812" spans="1:8" ht="15" customHeight="1">
      <c r="A1812" s="199">
        <v>45692</v>
      </c>
      <c r="B1812" s="202" t="s">
        <v>1734</v>
      </c>
      <c r="C1812" s="200" t="s">
        <v>136</v>
      </c>
      <c r="D1812" s="649">
        <v>4000000</v>
      </c>
      <c r="E1812" s="201">
        <v>45689</v>
      </c>
      <c r="F1812" s="200" t="s">
        <v>983</v>
      </c>
      <c r="G1812" s="200" t="s">
        <v>1735</v>
      </c>
    </row>
    <row r="1813" spans="1:8" ht="15" customHeight="1">
      <c r="A1813" s="199">
        <v>45692</v>
      </c>
      <c r="B1813" s="202" t="s">
        <v>1734</v>
      </c>
      <c r="C1813" s="200" t="s">
        <v>136</v>
      </c>
      <c r="D1813" s="649">
        <v>1000000</v>
      </c>
      <c r="E1813" s="201">
        <v>45689</v>
      </c>
      <c r="F1813" s="200" t="s">
        <v>983</v>
      </c>
      <c r="G1813" s="200" t="s">
        <v>1735</v>
      </c>
    </row>
    <row r="1814" spans="1:8" ht="15" customHeight="1">
      <c r="A1814" s="199">
        <v>45692</v>
      </c>
      <c r="B1814" s="202" t="s">
        <v>1734</v>
      </c>
      <c r="C1814" s="200" t="s">
        <v>136</v>
      </c>
      <c r="D1814" s="649">
        <v>5000000</v>
      </c>
      <c r="E1814" s="201">
        <v>45689</v>
      </c>
      <c r="F1814" s="200" t="s">
        <v>983</v>
      </c>
      <c r="G1814" s="200" t="s">
        <v>1735</v>
      </c>
    </row>
    <row r="1815" spans="1:8" ht="15" customHeight="1">
      <c r="A1815" s="199">
        <v>45691</v>
      </c>
      <c r="B1815" s="202" t="s">
        <v>313</v>
      </c>
      <c r="C1815" s="200" t="s">
        <v>314</v>
      </c>
      <c r="D1815" s="642">
        <v>-11111111</v>
      </c>
      <c r="E1815" s="201">
        <v>45689</v>
      </c>
      <c r="F1815" s="200" t="s">
        <v>298</v>
      </c>
    </row>
    <row r="1816" spans="1:8" ht="15" customHeight="1">
      <c r="A1816" s="199">
        <v>45691</v>
      </c>
      <c r="B1816" s="202" t="s">
        <v>313</v>
      </c>
      <c r="C1816" s="200" t="s">
        <v>314</v>
      </c>
      <c r="D1816" s="642">
        <v>-3188636</v>
      </c>
      <c r="E1816" s="201">
        <v>45689</v>
      </c>
      <c r="F1816" s="200" t="s">
        <v>315</v>
      </c>
    </row>
    <row r="1817" spans="1:8" ht="15" customHeight="1">
      <c r="A1817" s="199">
        <v>45692</v>
      </c>
      <c r="B1817" s="202" t="s">
        <v>1736</v>
      </c>
      <c r="C1817" s="200" t="s">
        <v>314</v>
      </c>
      <c r="D1817" s="658">
        <v>2295577</v>
      </c>
      <c r="E1817" s="201">
        <v>45689</v>
      </c>
      <c r="F1817" s="200" t="s">
        <v>295</v>
      </c>
    </row>
    <row r="1818" spans="1:8" ht="15" customHeight="1">
      <c r="A1818" s="199">
        <v>45694</v>
      </c>
      <c r="B1818" s="202" t="s">
        <v>1737</v>
      </c>
      <c r="C1818" s="200" t="s">
        <v>314</v>
      </c>
      <c r="D1818" s="658">
        <v>1565714</v>
      </c>
      <c r="E1818" s="201">
        <v>45689</v>
      </c>
      <c r="F1818" s="200" t="s">
        <v>295</v>
      </c>
    </row>
    <row r="1819" spans="1:8" ht="15" customHeight="1">
      <c r="A1819" s="199">
        <v>45694</v>
      </c>
      <c r="B1819" s="202" t="s">
        <v>1737</v>
      </c>
      <c r="C1819" s="200" t="s">
        <v>314</v>
      </c>
      <c r="D1819" s="658">
        <v>1289397</v>
      </c>
      <c r="E1819" s="201">
        <v>45689</v>
      </c>
      <c r="F1819" s="200" t="s">
        <v>295</v>
      </c>
    </row>
    <row r="1820" spans="1:8" ht="15" customHeight="1">
      <c r="A1820" s="199">
        <v>45689</v>
      </c>
      <c r="B1820" s="202" t="s">
        <v>1738</v>
      </c>
      <c r="C1820" s="200" t="s">
        <v>398</v>
      </c>
      <c r="D1820" s="204">
        <v>-16000</v>
      </c>
      <c r="E1820" s="201">
        <v>45689</v>
      </c>
      <c r="F1820" s="200" t="s">
        <v>256</v>
      </c>
      <c r="G1820" s="200" t="s">
        <v>107</v>
      </c>
      <c r="H1820" s="200" t="s">
        <v>277</v>
      </c>
    </row>
    <row r="1821" spans="1:8" ht="15" customHeight="1">
      <c r="A1821" s="199">
        <v>45689</v>
      </c>
      <c r="B1821" s="202" t="s">
        <v>963</v>
      </c>
      <c r="C1821" s="531" t="s">
        <v>398</v>
      </c>
      <c r="D1821" s="204">
        <v>-41908.6</v>
      </c>
      <c r="E1821" s="201">
        <v>45689</v>
      </c>
      <c r="F1821" s="200" t="s">
        <v>256</v>
      </c>
      <c r="G1821" s="200" t="s">
        <v>256</v>
      </c>
      <c r="H1821" s="541" t="s">
        <v>266</v>
      </c>
    </row>
    <row r="1822" spans="1:8" ht="15" customHeight="1">
      <c r="A1822" s="199">
        <v>45692</v>
      </c>
      <c r="B1822" s="202" t="s">
        <v>397</v>
      </c>
      <c r="C1822" s="531" t="s">
        <v>398</v>
      </c>
      <c r="D1822" s="204">
        <v>-84351.07</v>
      </c>
      <c r="E1822" s="201">
        <v>45689</v>
      </c>
      <c r="F1822" s="200" t="s">
        <v>256</v>
      </c>
      <c r="G1822" s="200" t="s">
        <v>256</v>
      </c>
      <c r="H1822" s="541" t="s">
        <v>266</v>
      </c>
    </row>
    <row r="1823" spans="1:8" ht="15" customHeight="1">
      <c r="A1823" s="199">
        <v>45694</v>
      </c>
      <c r="B1823" s="202" t="s">
        <v>1738</v>
      </c>
      <c r="C1823" s="531" t="s">
        <v>398</v>
      </c>
      <c r="D1823" s="204">
        <v>-10294</v>
      </c>
      <c r="E1823" s="201">
        <v>45689</v>
      </c>
      <c r="F1823" s="200" t="s">
        <v>256</v>
      </c>
      <c r="G1823" s="200" t="s">
        <v>107</v>
      </c>
      <c r="H1823" s="200" t="s">
        <v>277</v>
      </c>
    </row>
    <row r="1824" spans="1:8" ht="15" customHeight="1">
      <c r="A1824" s="199">
        <v>45692</v>
      </c>
      <c r="B1824" s="202" t="s">
        <v>1739</v>
      </c>
      <c r="C1824" s="531" t="s">
        <v>398</v>
      </c>
      <c r="D1824" s="204">
        <v>6048657</v>
      </c>
      <c r="E1824" s="201">
        <v>45689</v>
      </c>
      <c r="F1824" s="200" t="s">
        <v>983</v>
      </c>
      <c r="G1824" s="200" t="s">
        <v>482</v>
      </c>
    </row>
    <row r="1825" spans="1:8" ht="15" customHeight="1">
      <c r="A1825" s="199">
        <v>45685</v>
      </c>
      <c r="B1825" s="202" t="s">
        <v>1419</v>
      </c>
      <c r="C1825" s="200" t="s">
        <v>307</v>
      </c>
      <c r="D1825" s="204">
        <v>-110000</v>
      </c>
      <c r="E1825" s="201">
        <v>45689</v>
      </c>
      <c r="F1825" s="200" t="s">
        <v>256</v>
      </c>
      <c r="G1825" s="200" t="s">
        <v>107</v>
      </c>
      <c r="H1825" s="200" t="s">
        <v>277</v>
      </c>
    </row>
    <row r="1826" spans="1:8" ht="15" customHeight="1">
      <c r="A1826" s="199">
        <v>45685</v>
      </c>
      <c r="B1826" s="202" t="s">
        <v>498</v>
      </c>
      <c r="C1826" s="200" t="s">
        <v>307</v>
      </c>
      <c r="D1826" s="204">
        <v>-20000</v>
      </c>
      <c r="E1826" s="201">
        <v>45689</v>
      </c>
      <c r="F1826" s="200" t="s">
        <v>256</v>
      </c>
      <c r="G1826" s="200" t="s">
        <v>107</v>
      </c>
      <c r="H1826" s="200" t="s">
        <v>277</v>
      </c>
    </row>
    <row r="1827" spans="1:8" ht="15" customHeight="1">
      <c r="A1827" s="199">
        <v>45685</v>
      </c>
      <c r="B1827" s="202" t="s">
        <v>1740</v>
      </c>
      <c r="C1827" s="200" t="s">
        <v>307</v>
      </c>
      <c r="D1827" s="204">
        <v>-60000</v>
      </c>
      <c r="E1827" s="201">
        <v>45689</v>
      </c>
      <c r="F1827" s="200" t="s">
        <v>256</v>
      </c>
      <c r="G1827" s="200" t="s">
        <v>107</v>
      </c>
      <c r="H1827" s="200" t="s">
        <v>277</v>
      </c>
    </row>
    <row r="1828" spans="1:8" ht="15" customHeight="1">
      <c r="A1828" s="199">
        <v>45686</v>
      </c>
      <c r="B1828" s="202" t="s">
        <v>1741</v>
      </c>
      <c r="C1828" s="200" t="s">
        <v>307</v>
      </c>
      <c r="D1828" s="204">
        <v>-38000</v>
      </c>
      <c r="E1828" s="201">
        <v>45689</v>
      </c>
      <c r="F1828" s="200" t="s">
        <v>256</v>
      </c>
      <c r="G1828" s="200" t="s">
        <v>107</v>
      </c>
      <c r="H1828" s="200" t="s">
        <v>277</v>
      </c>
    </row>
    <row r="1829" spans="1:8" ht="15" customHeight="1">
      <c r="A1829" s="199">
        <v>45686</v>
      </c>
      <c r="B1829" s="202" t="s">
        <v>498</v>
      </c>
      <c r="C1829" s="200" t="s">
        <v>307</v>
      </c>
      <c r="D1829" s="204">
        <v>-15000</v>
      </c>
      <c r="E1829" s="201">
        <v>45689</v>
      </c>
      <c r="F1829" s="200" t="s">
        <v>256</v>
      </c>
      <c r="G1829" s="200" t="s">
        <v>107</v>
      </c>
      <c r="H1829" s="200" t="s">
        <v>277</v>
      </c>
    </row>
    <row r="1830" spans="1:8" ht="15" customHeight="1">
      <c r="A1830" s="199">
        <v>45686</v>
      </c>
      <c r="B1830" s="202" t="s">
        <v>1740</v>
      </c>
      <c r="C1830" s="200" t="s">
        <v>307</v>
      </c>
      <c r="D1830" s="204">
        <v>-55000</v>
      </c>
      <c r="E1830" s="201">
        <v>45689</v>
      </c>
      <c r="F1830" s="200" t="s">
        <v>256</v>
      </c>
      <c r="G1830" s="200" t="s">
        <v>107</v>
      </c>
      <c r="H1830" s="200" t="s">
        <v>277</v>
      </c>
    </row>
    <row r="1831" spans="1:8" ht="15" customHeight="1">
      <c r="A1831" s="199">
        <v>45687</v>
      </c>
      <c r="B1831" s="202" t="s">
        <v>1523</v>
      </c>
      <c r="C1831" s="200" t="s">
        <v>307</v>
      </c>
      <c r="D1831" s="204">
        <v>-20000</v>
      </c>
      <c r="E1831" s="201">
        <v>45689</v>
      </c>
      <c r="F1831" s="200" t="s">
        <v>256</v>
      </c>
      <c r="G1831" s="200" t="s">
        <v>107</v>
      </c>
      <c r="H1831" s="200" t="s">
        <v>277</v>
      </c>
    </row>
    <row r="1832" spans="1:8" ht="15" customHeight="1">
      <c r="A1832" s="199">
        <v>45687</v>
      </c>
      <c r="B1832" s="202" t="s">
        <v>1742</v>
      </c>
      <c r="C1832" s="200" t="s">
        <v>307</v>
      </c>
      <c r="D1832" s="204">
        <v>-60000</v>
      </c>
      <c r="E1832" s="201">
        <v>45689</v>
      </c>
      <c r="F1832" s="200" t="s">
        <v>256</v>
      </c>
      <c r="G1832" s="200" t="s">
        <v>107</v>
      </c>
      <c r="H1832" s="200" t="s">
        <v>277</v>
      </c>
    </row>
    <row r="1833" spans="1:8" ht="15" customHeight="1">
      <c r="A1833" s="199">
        <v>45687</v>
      </c>
      <c r="B1833" s="202" t="s">
        <v>1743</v>
      </c>
      <c r="C1833" s="200" t="s">
        <v>307</v>
      </c>
      <c r="D1833" s="204">
        <v>-45000</v>
      </c>
      <c r="E1833" s="201">
        <v>45689</v>
      </c>
      <c r="F1833" s="200" t="s">
        <v>256</v>
      </c>
      <c r="G1833" s="200" t="s">
        <v>107</v>
      </c>
      <c r="H1833" s="200" t="s">
        <v>277</v>
      </c>
    </row>
    <row r="1834" spans="1:8" ht="15" customHeight="1">
      <c r="A1834" s="199">
        <v>45688</v>
      </c>
      <c r="B1834" s="202" t="s">
        <v>1523</v>
      </c>
      <c r="C1834" s="200" t="s">
        <v>307</v>
      </c>
      <c r="D1834" s="204">
        <v>-20000</v>
      </c>
      <c r="E1834" s="201">
        <v>45689</v>
      </c>
      <c r="F1834" s="200" t="s">
        <v>256</v>
      </c>
      <c r="G1834" s="200" t="s">
        <v>107</v>
      </c>
      <c r="H1834" s="200" t="s">
        <v>277</v>
      </c>
    </row>
    <row r="1835" spans="1:8" ht="15" customHeight="1">
      <c r="A1835" s="199">
        <v>45688</v>
      </c>
      <c r="B1835" s="202" t="s">
        <v>1744</v>
      </c>
      <c r="C1835" s="200" t="s">
        <v>307</v>
      </c>
      <c r="D1835" s="204">
        <v>-30000</v>
      </c>
      <c r="E1835" s="201">
        <v>45689</v>
      </c>
      <c r="F1835" s="200" t="s">
        <v>256</v>
      </c>
      <c r="G1835" s="200" t="s">
        <v>107</v>
      </c>
      <c r="H1835" s="200" t="s">
        <v>277</v>
      </c>
    </row>
    <row r="1836" spans="1:8" ht="15" customHeight="1">
      <c r="A1836" s="199">
        <v>45688</v>
      </c>
      <c r="B1836" s="202" t="s">
        <v>1745</v>
      </c>
      <c r="C1836" s="200" t="s">
        <v>307</v>
      </c>
      <c r="D1836" s="204">
        <v>-40000</v>
      </c>
      <c r="E1836" s="201">
        <v>45689</v>
      </c>
      <c r="F1836" s="200" t="s">
        <v>256</v>
      </c>
      <c r="G1836" s="200" t="s">
        <v>107</v>
      </c>
      <c r="H1836" s="200" t="s">
        <v>277</v>
      </c>
    </row>
    <row r="1837" spans="1:8" ht="15" customHeight="1">
      <c r="A1837" s="199">
        <v>45688</v>
      </c>
      <c r="B1837" s="202" t="s">
        <v>1743</v>
      </c>
      <c r="C1837" s="200" t="s">
        <v>307</v>
      </c>
      <c r="D1837" s="204">
        <v>-45000</v>
      </c>
      <c r="E1837" s="201">
        <v>45689</v>
      </c>
      <c r="F1837" s="200" t="s">
        <v>256</v>
      </c>
      <c r="G1837" s="200" t="s">
        <v>107</v>
      </c>
      <c r="H1837" s="200" t="s">
        <v>277</v>
      </c>
    </row>
    <row r="1838" spans="1:8" ht="15" customHeight="1">
      <c r="A1838" s="199">
        <v>45689</v>
      </c>
      <c r="B1838" s="202" t="s">
        <v>1746</v>
      </c>
      <c r="C1838" s="200" t="s">
        <v>307</v>
      </c>
      <c r="D1838" s="204">
        <v>-360000</v>
      </c>
      <c r="E1838" s="201">
        <v>45689</v>
      </c>
      <c r="F1838" s="200" t="s">
        <v>256</v>
      </c>
      <c r="G1838" s="200" t="s">
        <v>107</v>
      </c>
      <c r="H1838" s="200" t="s">
        <v>277</v>
      </c>
    </row>
    <row r="1839" spans="1:8" ht="15" customHeight="1">
      <c r="A1839" s="199">
        <v>45689</v>
      </c>
      <c r="B1839" s="202" t="s">
        <v>1523</v>
      </c>
      <c r="C1839" s="200" t="s">
        <v>307</v>
      </c>
      <c r="D1839" s="204">
        <v>-20000</v>
      </c>
      <c r="E1839" s="201">
        <v>45689</v>
      </c>
      <c r="F1839" s="200" t="s">
        <v>256</v>
      </c>
      <c r="G1839" s="200" t="s">
        <v>107</v>
      </c>
      <c r="H1839" s="200" t="s">
        <v>277</v>
      </c>
    </row>
    <row r="1840" spans="1:8" ht="15" customHeight="1">
      <c r="A1840" s="199">
        <v>45689</v>
      </c>
      <c r="B1840" s="202" t="s">
        <v>1747</v>
      </c>
      <c r="C1840" s="200" t="s">
        <v>307</v>
      </c>
      <c r="D1840" s="204">
        <v>-75000</v>
      </c>
      <c r="E1840" s="201">
        <v>45689</v>
      </c>
      <c r="F1840" s="200" t="s">
        <v>256</v>
      </c>
      <c r="G1840" s="200" t="s">
        <v>107</v>
      </c>
      <c r="H1840" s="200" t="s">
        <v>277</v>
      </c>
    </row>
    <row r="1841" spans="1:9" ht="15" customHeight="1">
      <c r="A1841" s="199">
        <v>45689</v>
      </c>
      <c r="B1841" s="202" t="s">
        <v>1419</v>
      </c>
      <c r="C1841" s="200" t="s">
        <v>307</v>
      </c>
      <c r="D1841" s="204">
        <v>-47500</v>
      </c>
      <c r="E1841" s="201">
        <v>45689</v>
      </c>
      <c r="F1841" s="200" t="s">
        <v>256</v>
      </c>
      <c r="G1841" s="200" t="s">
        <v>107</v>
      </c>
      <c r="H1841" s="200" t="s">
        <v>277</v>
      </c>
      <c r="I1841" s="648" t="s">
        <v>329</v>
      </c>
    </row>
    <row r="1842" spans="1:9" ht="15" customHeight="1">
      <c r="A1842" s="199">
        <v>45689</v>
      </c>
      <c r="B1842" s="202" t="s">
        <v>1748</v>
      </c>
      <c r="C1842" s="200" t="s">
        <v>307</v>
      </c>
      <c r="D1842" s="204">
        <v>-12000</v>
      </c>
      <c r="E1842" s="201">
        <v>45689</v>
      </c>
      <c r="F1842" s="200" t="s">
        <v>296</v>
      </c>
      <c r="G1842" s="200" t="s">
        <v>341</v>
      </c>
      <c r="H1842" s="200" t="s">
        <v>346</v>
      </c>
      <c r="I1842" s="648" t="s">
        <v>329</v>
      </c>
    </row>
    <row r="1843" spans="1:9" ht="15" customHeight="1">
      <c r="A1843" s="199">
        <v>45691</v>
      </c>
      <c r="B1843" s="202" t="s">
        <v>1749</v>
      </c>
      <c r="C1843" s="200" t="s">
        <v>307</v>
      </c>
      <c r="D1843" s="204">
        <v>-8475</v>
      </c>
      <c r="E1843" s="201">
        <v>45689</v>
      </c>
      <c r="F1843" s="200" t="s">
        <v>296</v>
      </c>
      <c r="G1843" s="200" t="s">
        <v>328</v>
      </c>
      <c r="H1843" s="200" t="s">
        <v>350</v>
      </c>
      <c r="I1843" s="200" t="s">
        <v>685</v>
      </c>
    </row>
    <row r="1844" spans="1:9" ht="15" customHeight="1">
      <c r="A1844" s="199">
        <v>45692</v>
      </c>
      <c r="B1844" s="202" t="s">
        <v>1750</v>
      </c>
      <c r="C1844" s="200" t="s">
        <v>307</v>
      </c>
      <c r="D1844" s="204">
        <v>-25000</v>
      </c>
      <c r="E1844" s="201">
        <v>45689</v>
      </c>
      <c r="F1844" s="200" t="s">
        <v>296</v>
      </c>
      <c r="G1844" s="200" t="s">
        <v>390</v>
      </c>
      <c r="H1844" s="200" t="s">
        <v>346</v>
      </c>
      <c r="I1844" s="200" t="s">
        <v>685</v>
      </c>
    </row>
    <row r="1845" spans="1:9" ht="15" customHeight="1">
      <c r="A1845" s="199">
        <v>45692</v>
      </c>
      <c r="B1845" s="202" t="s">
        <v>1751</v>
      </c>
      <c r="C1845" s="200" t="s">
        <v>307</v>
      </c>
      <c r="D1845" s="204">
        <v>-8700</v>
      </c>
      <c r="E1845" s="201">
        <v>45689</v>
      </c>
      <c r="F1845" s="200" t="s">
        <v>296</v>
      </c>
      <c r="G1845" s="200" t="s">
        <v>482</v>
      </c>
      <c r="H1845" s="200" t="s">
        <v>350</v>
      </c>
      <c r="I1845" s="200" t="s">
        <v>685</v>
      </c>
    </row>
    <row r="1846" spans="1:9" ht="15" customHeight="1">
      <c r="A1846" s="199">
        <v>45692</v>
      </c>
      <c r="B1846" s="202" t="s">
        <v>1752</v>
      </c>
      <c r="C1846" s="200" t="s">
        <v>307</v>
      </c>
      <c r="D1846" s="204">
        <v>-35600</v>
      </c>
      <c r="E1846" s="201">
        <v>45689</v>
      </c>
      <c r="F1846" s="200" t="s">
        <v>297</v>
      </c>
      <c r="G1846" s="200" t="s">
        <v>69</v>
      </c>
      <c r="H1846" s="200" t="s">
        <v>350</v>
      </c>
      <c r="I1846" s="200" t="s">
        <v>685</v>
      </c>
    </row>
    <row r="1847" spans="1:9" ht="15" customHeight="1">
      <c r="A1847" s="199">
        <v>45692</v>
      </c>
      <c r="B1847" s="202" t="s">
        <v>431</v>
      </c>
      <c r="C1847" s="200" t="s">
        <v>307</v>
      </c>
      <c r="D1847" s="204">
        <v>-15200</v>
      </c>
      <c r="E1847" s="201">
        <v>45689</v>
      </c>
      <c r="F1847" s="200" t="s">
        <v>256</v>
      </c>
      <c r="G1847" s="200" t="s">
        <v>256</v>
      </c>
      <c r="H1847" s="200" t="s">
        <v>263</v>
      </c>
      <c r="I1847" s="200" t="s">
        <v>685</v>
      </c>
    </row>
    <row r="1848" spans="1:9" ht="15" customHeight="1">
      <c r="A1848" s="199">
        <v>45692</v>
      </c>
      <c r="B1848" s="202" t="s">
        <v>1753</v>
      </c>
      <c r="C1848" s="200" t="s">
        <v>307</v>
      </c>
      <c r="D1848" s="204">
        <v>-125000</v>
      </c>
      <c r="E1848" s="201">
        <v>45689</v>
      </c>
      <c r="F1848" s="200" t="s">
        <v>297</v>
      </c>
      <c r="G1848" s="200" t="s">
        <v>69</v>
      </c>
      <c r="H1848" s="200" t="s">
        <v>364</v>
      </c>
      <c r="I1848" s="200" t="s">
        <v>685</v>
      </c>
    </row>
    <row r="1849" spans="1:9" ht="15" customHeight="1">
      <c r="A1849" s="199">
        <v>45692</v>
      </c>
      <c r="B1849" s="202" t="s">
        <v>1754</v>
      </c>
      <c r="C1849" s="200" t="s">
        <v>307</v>
      </c>
      <c r="D1849" s="204">
        <v>-62000</v>
      </c>
      <c r="E1849" s="201">
        <v>45689</v>
      </c>
      <c r="F1849" s="200" t="s">
        <v>256</v>
      </c>
      <c r="G1849" s="200" t="s">
        <v>256</v>
      </c>
      <c r="H1849" s="200" t="s">
        <v>9</v>
      </c>
      <c r="I1849" s="200" t="s">
        <v>685</v>
      </c>
    </row>
    <row r="1850" spans="1:9" ht="15" customHeight="1">
      <c r="A1850" s="199">
        <v>45692</v>
      </c>
      <c r="B1850" s="202" t="s">
        <v>1755</v>
      </c>
      <c r="C1850" s="200" t="s">
        <v>307</v>
      </c>
      <c r="D1850" s="204">
        <v>-175000</v>
      </c>
      <c r="E1850" s="201">
        <v>45689</v>
      </c>
      <c r="F1850" s="200" t="s">
        <v>297</v>
      </c>
      <c r="G1850" s="200" t="s">
        <v>69</v>
      </c>
      <c r="H1850" s="200" t="s">
        <v>350</v>
      </c>
      <c r="I1850" s="200" t="s">
        <v>685</v>
      </c>
    </row>
    <row r="1851" spans="1:9" ht="15" customHeight="1">
      <c r="A1851" s="199">
        <v>45692</v>
      </c>
      <c r="B1851" s="202" t="s">
        <v>1755</v>
      </c>
      <c r="C1851" s="200" t="s">
        <v>307</v>
      </c>
      <c r="D1851" s="204">
        <v>-72960</v>
      </c>
      <c r="E1851" s="201">
        <v>45689</v>
      </c>
      <c r="F1851" s="200" t="s">
        <v>297</v>
      </c>
      <c r="G1851" s="200" t="s">
        <v>69</v>
      </c>
      <c r="H1851" s="200" t="s">
        <v>350</v>
      </c>
      <c r="I1851" s="648" t="s">
        <v>329</v>
      </c>
    </row>
    <row r="1852" spans="1:9" ht="15" customHeight="1">
      <c r="A1852" s="199">
        <v>45692</v>
      </c>
      <c r="B1852" s="202" t="s">
        <v>1756</v>
      </c>
      <c r="C1852" s="200" t="s">
        <v>307</v>
      </c>
      <c r="D1852" s="204">
        <v>-6000</v>
      </c>
      <c r="E1852" s="201">
        <v>45689</v>
      </c>
      <c r="F1852" s="200" t="s">
        <v>296</v>
      </c>
      <c r="G1852" s="200" t="s">
        <v>328</v>
      </c>
      <c r="H1852" s="200" t="s">
        <v>346</v>
      </c>
      <c r="I1852" s="200" t="s">
        <v>685</v>
      </c>
    </row>
    <row r="1853" spans="1:9" ht="15" customHeight="1">
      <c r="A1853" s="199">
        <v>45693</v>
      </c>
      <c r="B1853" s="202" t="s">
        <v>1757</v>
      </c>
      <c r="C1853" s="200" t="s">
        <v>307</v>
      </c>
      <c r="D1853" s="204">
        <f>-18999.39-116.8</f>
        <v>-19116.189999999999</v>
      </c>
      <c r="E1853" s="201">
        <v>45689</v>
      </c>
      <c r="F1853" s="200" t="s">
        <v>296</v>
      </c>
      <c r="G1853" s="200" t="s">
        <v>390</v>
      </c>
      <c r="H1853" s="200" t="s">
        <v>350</v>
      </c>
      <c r="I1853" s="648" t="s">
        <v>329</v>
      </c>
    </row>
    <row r="1854" spans="1:9" ht="15" customHeight="1">
      <c r="A1854" s="199">
        <v>45693</v>
      </c>
      <c r="B1854" s="202" t="s">
        <v>1758</v>
      </c>
      <c r="C1854" s="200" t="s">
        <v>307</v>
      </c>
      <c r="D1854" s="204">
        <v>-21999.4</v>
      </c>
      <c r="E1854" s="201">
        <v>45689</v>
      </c>
      <c r="F1854" s="200" t="s">
        <v>256</v>
      </c>
      <c r="G1854" s="200" t="s">
        <v>256</v>
      </c>
      <c r="H1854" s="200" t="s">
        <v>9</v>
      </c>
      <c r="I1854" s="200" t="s">
        <v>685</v>
      </c>
    </row>
    <row r="1855" spans="1:9" ht="15" customHeight="1">
      <c r="A1855" s="199">
        <v>45693</v>
      </c>
      <c r="B1855" s="202" t="s">
        <v>1759</v>
      </c>
      <c r="C1855" s="200" t="s">
        <v>307</v>
      </c>
      <c r="D1855" s="204">
        <v>-27999.41</v>
      </c>
      <c r="E1855" s="201">
        <v>45689</v>
      </c>
      <c r="F1855" s="200" t="s">
        <v>296</v>
      </c>
      <c r="G1855" s="200" t="s">
        <v>482</v>
      </c>
      <c r="H1855" s="200" t="s">
        <v>350</v>
      </c>
      <c r="I1855" s="648" t="s">
        <v>329</v>
      </c>
    </row>
    <row r="1856" spans="1:9" ht="15" customHeight="1">
      <c r="A1856" s="199">
        <v>45693</v>
      </c>
      <c r="B1856" s="202" t="s">
        <v>1760</v>
      </c>
      <c r="C1856" s="200" t="s">
        <v>307</v>
      </c>
      <c r="D1856" s="204">
        <v>-24000</v>
      </c>
      <c r="E1856" s="201">
        <v>45689</v>
      </c>
      <c r="F1856" s="200" t="s">
        <v>296</v>
      </c>
      <c r="G1856" s="200" t="s">
        <v>328</v>
      </c>
      <c r="H1856" s="200" t="s">
        <v>346</v>
      </c>
      <c r="I1856" s="648" t="s">
        <v>329</v>
      </c>
    </row>
    <row r="1857" spans="1:9" ht="15" customHeight="1">
      <c r="A1857" s="199">
        <v>45693</v>
      </c>
      <c r="B1857" s="202" t="s">
        <v>1761</v>
      </c>
      <c r="C1857" s="200" t="s">
        <v>307</v>
      </c>
      <c r="D1857" s="204">
        <v>-32000</v>
      </c>
      <c r="E1857" s="201">
        <v>45689</v>
      </c>
      <c r="F1857" s="200" t="s">
        <v>296</v>
      </c>
      <c r="G1857" s="531" t="s">
        <v>392</v>
      </c>
      <c r="H1857" s="200" t="s">
        <v>377</v>
      </c>
      <c r="I1857" s="648" t="s">
        <v>329</v>
      </c>
    </row>
    <row r="1858" spans="1:9" ht="15" customHeight="1">
      <c r="A1858" s="199">
        <v>45693</v>
      </c>
      <c r="B1858" s="202" t="s">
        <v>1762</v>
      </c>
      <c r="C1858" s="200" t="s">
        <v>307</v>
      </c>
      <c r="D1858" s="204">
        <v>-16000</v>
      </c>
      <c r="E1858" s="201">
        <v>45689</v>
      </c>
      <c r="F1858" s="200" t="s">
        <v>256</v>
      </c>
      <c r="G1858" s="200" t="s">
        <v>256</v>
      </c>
      <c r="H1858" s="200" t="s">
        <v>267</v>
      </c>
      <c r="I1858" s="648" t="s">
        <v>329</v>
      </c>
    </row>
    <row r="1859" spans="1:9" s="664" customFormat="1" ht="15" customHeight="1">
      <c r="A1859" s="663">
        <v>45700</v>
      </c>
      <c r="B1859" s="648" t="s">
        <v>1763</v>
      </c>
      <c r="C1859" s="648" t="s">
        <v>314</v>
      </c>
      <c r="D1859" s="642">
        <v>-162520</v>
      </c>
      <c r="E1859" s="665">
        <v>45689</v>
      </c>
      <c r="F1859" s="648" t="s">
        <v>256</v>
      </c>
      <c r="G1859" s="648" t="s">
        <v>256</v>
      </c>
      <c r="H1859" s="648" t="s">
        <v>265</v>
      </c>
      <c r="I1859" s="648"/>
    </row>
    <row r="1860" spans="1:9" ht="15" customHeight="1">
      <c r="A1860" s="199">
        <v>45699</v>
      </c>
      <c r="B1860" s="202" t="s">
        <v>1764</v>
      </c>
      <c r="C1860" s="200" t="s">
        <v>136</v>
      </c>
      <c r="D1860" s="642">
        <v>-733221</v>
      </c>
      <c r="E1860" s="201">
        <v>45689</v>
      </c>
      <c r="F1860" s="200" t="s">
        <v>296</v>
      </c>
      <c r="G1860" s="200" t="s">
        <v>328</v>
      </c>
      <c r="H1860" s="200" t="s">
        <v>342</v>
      </c>
    </row>
    <row r="1861" spans="1:9" ht="15" customHeight="1">
      <c r="A1861" s="199">
        <v>45699</v>
      </c>
      <c r="B1861" s="202" t="s">
        <v>1765</v>
      </c>
      <c r="C1861" s="200" t="s">
        <v>136</v>
      </c>
      <c r="D1861" s="642">
        <v>-733221</v>
      </c>
      <c r="E1861" s="201">
        <v>45689</v>
      </c>
      <c r="F1861" s="200" t="s">
        <v>296</v>
      </c>
      <c r="G1861" s="200" t="s">
        <v>337</v>
      </c>
      <c r="H1861" s="200" t="s">
        <v>421</v>
      </c>
    </row>
    <row r="1862" spans="1:9" ht="15" customHeight="1">
      <c r="A1862" s="199">
        <v>45699</v>
      </c>
      <c r="B1862" s="202" t="s">
        <v>1766</v>
      </c>
      <c r="C1862" s="200" t="s">
        <v>136</v>
      </c>
      <c r="D1862" s="642">
        <v>-733221</v>
      </c>
      <c r="E1862" s="201">
        <v>45689</v>
      </c>
      <c r="F1862" s="200" t="s">
        <v>296</v>
      </c>
      <c r="G1862" s="200" t="s">
        <v>328</v>
      </c>
      <c r="H1862" s="200" t="s">
        <v>342</v>
      </c>
    </row>
    <row r="1863" spans="1:9" ht="15" customHeight="1">
      <c r="A1863" s="199">
        <v>45699</v>
      </c>
      <c r="B1863" s="202" t="s">
        <v>1767</v>
      </c>
      <c r="C1863" s="200" t="s">
        <v>136</v>
      </c>
      <c r="D1863" s="642">
        <v>-357000</v>
      </c>
      <c r="E1863" s="201">
        <v>45689</v>
      </c>
      <c r="F1863" s="200" t="s">
        <v>256</v>
      </c>
      <c r="G1863" s="200" t="s">
        <v>256</v>
      </c>
      <c r="H1863" s="200" t="s">
        <v>9</v>
      </c>
    </row>
    <row r="1864" spans="1:9" ht="15" customHeight="1">
      <c r="A1864" s="199">
        <v>45699</v>
      </c>
      <c r="B1864" s="202" t="s">
        <v>1768</v>
      </c>
      <c r="C1864" s="200" t="s">
        <v>136</v>
      </c>
      <c r="D1864" s="642">
        <v>-11600</v>
      </c>
      <c r="E1864" s="201">
        <v>45689</v>
      </c>
      <c r="F1864" s="200" t="s">
        <v>296</v>
      </c>
      <c r="G1864" s="200" t="s">
        <v>453</v>
      </c>
      <c r="H1864" s="200" t="s">
        <v>98</v>
      </c>
    </row>
    <row r="1865" spans="1:9" ht="15" customHeight="1">
      <c r="A1865" s="199">
        <v>45699</v>
      </c>
      <c r="B1865" s="202" t="s">
        <v>1769</v>
      </c>
      <c r="C1865" s="200" t="s">
        <v>136</v>
      </c>
      <c r="D1865" s="642">
        <v>-11600</v>
      </c>
      <c r="E1865" s="201">
        <v>45689</v>
      </c>
      <c r="F1865" s="200" t="s">
        <v>256</v>
      </c>
      <c r="G1865" s="200" t="s">
        <v>256</v>
      </c>
      <c r="H1865" s="200" t="s">
        <v>9</v>
      </c>
    </row>
    <row r="1866" spans="1:9" ht="15" customHeight="1">
      <c r="A1866" s="199">
        <v>45700</v>
      </c>
      <c r="B1866" s="202" t="s">
        <v>1770</v>
      </c>
      <c r="C1866" s="200" t="s">
        <v>136</v>
      </c>
      <c r="D1866" s="642">
        <v>-10000</v>
      </c>
      <c r="E1866" s="201">
        <v>45689</v>
      </c>
      <c r="F1866" s="200" t="s">
        <v>296</v>
      </c>
      <c r="G1866" s="200" t="s">
        <v>522</v>
      </c>
      <c r="H1866" s="200" t="s">
        <v>490</v>
      </c>
    </row>
    <row r="1867" spans="1:9" ht="15" customHeight="1">
      <c r="A1867" s="199">
        <v>45700</v>
      </c>
      <c r="B1867" s="202" t="s">
        <v>1771</v>
      </c>
      <c r="C1867" s="202" t="s">
        <v>136</v>
      </c>
      <c r="D1867" s="642">
        <v>-198000</v>
      </c>
      <c r="E1867" s="201">
        <v>45689</v>
      </c>
      <c r="F1867" s="200" t="s">
        <v>256</v>
      </c>
      <c r="G1867" s="200" t="s">
        <v>107</v>
      </c>
      <c r="H1867" s="200" t="s">
        <v>777</v>
      </c>
    </row>
    <row r="1868" spans="1:9" ht="15" customHeight="1">
      <c r="A1868" s="199">
        <v>45700</v>
      </c>
      <c r="B1868" s="202" t="s">
        <v>1772</v>
      </c>
      <c r="C1868" s="200" t="s">
        <v>136</v>
      </c>
      <c r="D1868" s="642">
        <v>-561010</v>
      </c>
      <c r="E1868" s="201">
        <v>45689</v>
      </c>
      <c r="F1868" s="200" t="s">
        <v>256</v>
      </c>
      <c r="G1868" s="200" t="s">
        <v>107</v>
      </c>
      <c r="H1868" s="200" t="s">
        <v>277</v>
      </c>
    </row>
    <row r="1869" spans="1:9" ht="15" customHeight="1">
      <c r="A1869" s="199">
        <v>45700</v>
      </c>
      <c r="B1869" s="202" t="s">
        <v>1773</v>
      </c>
      <c r="C1869" s="200" t="s">
        <v>136</v>
      </c>
      <c r="D1869" s="642">
        <v>-2500000</v>
      </c>
      <c r="E1869" s="201">
        <v>45689</v>
      </c>
      <c r="F1869" s="200" t="s">
        <v>256</v>
      </c>
      <c r="G1869" s="200" t="s">
        <v>256</v>
      </c>
      <c r="H1869" s="200" t="s">
        <v>258</v>
      </c>
    </row>
    <row r="1870" spans="1:9" ht="15" customHeight="1">
      <c r="A1870" s="199">
        <v>45700</v>
      </c>
      <c r="B1870" s="202" t="s">
        <v>1774</v>
      </c>
      <c r="C1870" s="200" t="s">
        <v>136</v>
      </c>
      <c r="D1870" s="642">
        <v>-1340000</v>
      </c>
      <c r="E1870" s="201">
        <v>45689</v>
      </c>
      <c r="F1870" s="200" t="s">
        <v>296</v>
      </c>
      <c r="G1870" s="200" t="s">
        <v>337</v>
      </c>
      <c r="H1870" s="200" t="s">
        <v>446</v>
      </c>
    </row>
    <row r="1871" spans="1:9" ht="15" customHeight="1">
      <c r="A1871" s="199">
        <v>45700</v>
      </c>
      <c r="B1871" s="202" t="s">
        <v>1775</v>
      </c>
      <c r="C1871" s="200" t="s">
        <v>372</v>
      </c>
      <c r="D1871" s="204">
        <v>-48601</v>
      </c>
      <c r="E1871" s="201">
        <v>45689</v>
      </c>
      <c r="F1871" s="200" t="s">
        <v>296</v>
      </c>
      <c r="G1871" s="200" t="s">
        <v>337</v>
      </c>
      <c r="H1871" s="200" t="s">
        <v>446</v>
      </c>
    </row>
    <row r="1872" spans="1:9" ht="15" customHeight="1">
      <c r="A1872" s="199">
        <v>45691</v>
      </c>
      <c r="B1872" s="202" t="s">
        <v>496</v>
      </c>
      <c r="C1872" s="200" t="s">
        <v>136</v>
      </c>
      <c r="D1872" s="642">
        <v>-24000</v>
      </c>
      <c r="E1872" s="201">
        <v>45689</v>
      </c>
      <c r="F1872" s="200" t="s">
        <v>296</v>
      </c>
      <c r="G1872" s="200" t="s">
        <v>341</v>
      </c>
      <c r="H1872" s="200" t="s">
        <v>342</v>
      </c>
      <c r="I1872" s="200" t="s">
        <v>1776</v>
      </c>
    </row>
    <row r="1873" spans="1:9" ht="15" customHeight="1">
      <c r="A1873" s="199">
        <v>45691</v>
      </c>
      <c r="B1873" s="202" t="s">
        <v>1777</v>
      </c>
      <c r="C1873" s="200" t="s">
        <v>136</v>
      </c>
      <c r="D1873" s="642">
        <v>-20000</v>
      </c>
      <c r="E1873" s="201">
        <v>45689</v>
      </c>
      <c r="F1873" s="200" t="s">
        <v>296</v>
      </c>
      <c r="G1873" s="200" t="s">
        <v>341</v>
      </c>
      <c r="H1873" s="200" t="s">
        <v>350</v>
      </c>
      <c r="I1873" s="200" t="s">
        <v>1776</v>
      </c>
    </row>
    <row r="1874" spans="1:9" ht="15" customHeight="1">
      <c r="A1874" s="199">
        <v>45691</v>
      </c>
      <c r="B1874" s="202" t="s">
        <v>1778</v>
      </c>
      <c r="C1874" s="200" t="s">
        <v>136</v>
      </c>
      <c r="D1874" s="642">
        <v>-22000</v>
      </c>
      <c r="E1874" s="201">
        <v>45689</v>
      </c>
      <c r="F1874" s="200" t="s">
        <v>296</v>
      </c>
      <c r="G1874" s="200" t="s">
        <v>341</v>
      </c>
      <c r="H1874" s="200" t="s">
        <v>350</v>
      </c>
      <c r="I1874" s="200" t="s">
        <v>1776</v>
      </c>
    </row>
    <row r="1875" spans="1:9" ht="15" customHeight="1">
      <c r="A1875" s="199">
        <v>45691</v>
      </c>
      <c r="B1875" s="202" t="s">
        <v>1779</v>
      </c>
      <c r="C1875" s="200" t="s">
        <v>136</v>
      </c>
      <c r="D1875" s="642">
        <v>-48000</v>
      </c>
      <c r="E1875" s="201">
        <v>45689</v>
      </c>
      <c r="F1875" s="200" t="s">
        <v>296</v>
      </c>
      <c r="G1875" s="200" t="s">
        <v>341</v>
      </c>
      <c r="H1875" s="200" t="s">
        <v>350</v>
      </c>
      <c r="I1875" s="200" t="s">
        <v>1776</v>
      </c>
    </row>
    <row r="1876" spans="1:9" ht="15" customHeight="1">
      <c r="A1876" s="199">
        <v>45691</v>
      </c>
      <c r="B1876" s="202" t="s">
        <v>1780</v>
      </c>
      <c r="C1876" s="200" t="s">
        <v>136</v>
      </c>
      <c r="D1876" s="642">
        <v>-30000</v>
      </c>
      <c r="E1876" s="201">
        <v>45689</v>
      </c>
      <c r="F1876" s="200" t="s">
        <v>296</v>
      </c>
      <c r="G1876" s="200" t="s">
        <v>341</v>
      </c>
      <c r="H1876" s="200" t="s">
        <v>342</v>
      </c>
      <c r="I1876" s="200" t="s">
        <v>1776</v>
      </c>
    </row>
    <row r="1877" spans="1:9" ht="15" customHeight="1">
      <c r="A1877" s="199">
        <v>45691</v>
      </c>
      <c r="B1877" s="202" t="s">
        <v>1781</v>
      </c>
      <c r="C1877" s="200" t="s">
        <v>136</v>
      </c>
      <c r="D1877" s="642">
        <v>-15000</v>
      </c>
      <c r="E1877" s="201">
        <v>45689</v>
      </c>
      <c r="F1877" s="200" t="s">
        <v>296</v>
      </c>
      <c r="G1877" s="200" t="s">
        <v>341</v>
      </c>
      <c r="H1877" s="200" t="s">
        <v>342</v>
      </c>
      <c r="I1877" s="200" t="s">
        <v>1776</v>
      </c>
    </row>
    <row r="1878" spans="1:9" ht="15" customHeight="1">
      <c r="A1878" s="199">
        <v>45691</v>
      </c>
      <c r="B1878" s="202" t="s">
        <v>1782</v>
      </c>
      <c r="C1878" s="200" t="s">
        <v>136</v>
      </c>
      <c r="D1878" s="642">
        <v>-32000</v>
      </c>
      <c r="E1878" s="201">
        <v>45689</v>
      </c>
      <c r="F1878" s="200" t="s">
        <v>296</v>
      </c>
      <c r="G1878" s="200" t="s">
        <v>341</v>
      </c>
      <c r="H1878" s="200" t="s">
        <v>268</v>
      </c>
      <c r="I1878" s="200" t="s">
        <v>1776</v>
      </c>
    </row>
    <row r="1879" spans="1:9" ht="15" customHeight="1">
      <c r="A1879" s="199">
        <v>45691</v>
      </c>
      <c r="B1879" s="202" t="s">
        <v>1783</v>
      </c>
      <c r="C1879" s="200" t="s">
        <v>136</v>
      </c>
      <c r="D1879" s="642">
        <v>-16090</v>
      </c>
      <c r="E1879" s="201">
        <v>45689</v>
      </c>
      <c r="F1879" s="200" t="s">
        <v>296</v>
      </c>
      <c r="G1879" s="200" t="s">
        <v>341</v>
      </c>
      <c r="H1879" s="200" t="s">
        <v>268</v>
      </c>
      <c r="I1879" s="200" t="s">
        <v>1776</v>
      </c>
    </row>
    <row r="1880" spans="1:9" ht="15" customHeight="1">
      <c r="A1880" s="199">
        <v>45691</v>
      </c>
      <c r="B1880" s="202" t="s">
        <v>1784</v>
      </c>
      <c r="C1880" s="200" t="s">
        <v>136</v>
      </c>
      <c r="D1880" s="642">
        <v>-61000</v>
      </c>
      <c r="E1880" s="201">
        <v>45689</v>
      </c>
      <c r="F1880" s="200" t="s">
        <v>296</v>
      </c>
      <c r="G1880" s="200" t="s">
        <v>341</v>
      </c>
      <c r="H1880" s="200" t="s">
        <v>342</v>
      </c>
      <c r="I1880" s="200" t="s">
        <v>1776</v>
      </c>
    </row>
    <row r="1881" spans="1:9" ht="15" customHeight="1">
      <c r="A1881" s="199">
        <v>45692</v>
      </c>
      <c r="B1881" s="202" t="s">
        <v>348</v>
      </c>
      <c r="C1881" s="200" t="s">
        <v>136</v>
      </c>
      <c r="D1881" s="642">
        <v>-32000</v>
      </c>
      <c r="E1881" s="201">
        <v>45689</v>
      </c>
      <c r="F1881" s="200" t="s">
        <v>296</v>
      </c>
      <c r="G1881" s="200" t="s">
        <v>341</v>
      </c>
      <c r="H1881" s="200" t="s">
        <v>342</v>
      </c>
      <c r="I1881" s="200" t="s">
        <v>1776</v>
      </c>
    </row>
    <row r="1882" spans="1:9" ht="15" customHeight="1">
      <c r="A1882" s="199">
        <v>45692</v>
      </c>
      <c r="B1882" s="202" t="s">
        <v>1785</v>
      </c>
      <c r="C1882" s="200" t="s">
        <v>136</v>
      </c>
      <c r="D1882" s="642">
        <v>-40000</v>
      </c>
      <c r="E1882" s="201">
        <v>45689</v>
      </c>
      <c r="F1882" s="200" t="s">
        <v>296</v>
      </c>
      <c r="G1882" s="200" t="s">
        <v>341</v>
      </c>
      <c r="H1882" s="200" t="s">
        <v>342</v>
      </c>
      <c r="I1882" s="200" t="s">
        <v>1776</v>
      </c>
    </row>
    <row r="1883" spans="1:9" ht="15" customHeight="1">
      <c r="A1883" s="199">
        <v>45692</v>
      </c>
      <c r="B1883" s="202" t="s">
        <v>1786</v>
      </c>
      <c r="C1883" s="200" t="s">
        <v>136</v>
      </c>
      <c r="D1883" s="642">
        <v>-3000</v>
      </c>
      <c r="E1883" s="201">
        <v>45689</v>
      </c>
      <c r="F1883" s="200" t="s">
        <v>296</v>
      </c>
      <c r="G1883" s="200" t="s">
        <v>341</v>
      </c>
      <c r="H1883" s="200" t="s">
        <v>350</v>
      </c>
      <c r="I1883" s="200" t="s">
        <v>1776</v>
      </c>
    </row>
    <row r="1884" spans="1:9" ht="15" customHeight="1">
      <c r="A1884" s="199">
        <v>45692</v>
      </c>
      <c r="B1884" s="202" t="s">
        <v>1787</v>
      </c>
      <c r="C1884" s="200" t="s">
        <v>136</v>
      </c>
      <c r="D1884" s="642">
        <v>-32000</v>
      </c>
      <c r="E1884" s="201">
        <v>45689</v>
      </c>
      <c r="F1884" s="200" t="s">
        <v>296</v>
      </c>
      <c r="G1884" s="200" t="s">
        <v>341</v>
      </c>
      <c r="H1884" s="200" t="s">
        <v>268</v>
      </c>
      <c r="I1884" s="200" t="s">
        <v>1776</v>
      </c>
    </row>
    <row r="1885" spans="1:9" ht="15" customHeight="1">
      <c r="A1885" s="199">
        <v>45693</v>
      </c>
      <c r="B1885" s="202" t="s">
        <v>1788</v>
      </c>
      <c r="C1885" s="200" t="s">
        <v>136</v>
      </c>
      <c r="D1885" s="642">
        <v>-16000</v>
      </c>
      <c r="E1885" s="201">
        <v>45689</v>
      </c>
      <c r="F1885" s="200" t="s">
        <v>296</v>
      </c>
      <c r="G1885" s="200" t="s">
        <v>341</v>
      </c>
      <c r="H1885" s="200" t="s">
        <v>268</v>
      </c>
      <c r="I1885" s="200" t="s">
        <v>1776</v>
      </c>
    </row>
    <row r="1886" spans="1:9" ht="15" customHeight="1">
      <c r="A1886" s="199">
        <v>45693</v>
      </c>
      <c r="B1886" s="202" t="s">
        <v>1789</v>
      </c>
      <c r="C1886" s="200" t="s">
        <v>136</v>
      </c>
      <c r="D1886" s="642">
        <v>-20000</v>
      </c>
      <c r="E1886" s="201">
        <v>45689</v>
      </c>
      <c r="F1886" s="200" t="s">
        <v>296</v>
      </c>
      <c r="G1886" s="200" t="s">
        <v>341</v>
      </c>
      <c r="H1886" s="200" t="s">
        <v>268</v>
      </c>
      <c r="I1886" s="200" t="s">
        <v>1776</v>
      </c>
    </row>
    <row r="1887" spans="1:9" ht="15" customHeight="1">
      <c r="A1887" s="199">
        <v>45693</v>
      </c>
      <c r="B1887" s="202" t="s">
        <v>1790</v>
      </c>
      <c r="C1887" s="200" t="s">
        <v>136</v>
      </c>
      <c r="D1887" s="642">
        <v>-7500</v>
      </c>
      <c r="E1887" s="201">
        <v>45689</v>
      </c>
      <c r="F1887" s="200" t="s">
        <v>296</v>
      </c>
      <c r="G1887" s="200" t="s">
        <v>341</v>
      </c>
      <c r="H1887" s="200" t="s">
        <v>342</v>
      </c>
      <c r="I1887" s="200" t="s">
        <v>1776</v>
      </c>
    </row>
    <row r="1888" spans="1:9" ht="15" customHeight="1">
      <c r="A1888" s="199">
        <v>45693</v>
      </c>
      <c r="B1888" s="202" t="s">
        <v>496</v>
      </c>
      <c r="C1888" s="200" t="s">
        <v>136</v>
      </c>
      <c r="D1888" s="642">
        <v>-24000</v>
      </c>
      <c r="E1888" s="201">
        <v>45689</v>
      </c>
      <c r="F1888" s="200" t="s">
        <v>296</v>
      </c>
      <c r="G1888" s="200" t="s">
        <v>341</v>
      </c>
      <c r="H1888" s="200" t="s">
        <v>342</v>
      </c>
      <c r="I1888" s="200" t="s">
        <v>1776</v>
      </c>
    </row>
    <row r="1889" spans="1:9" ht="15" customHeight="1">
      <c r="A1889" s="199">
        <v>45693</v>
      </c>
      <c r="B1889" s="202" t="s">
        <v>1791</v>
      </c>
      <c r="C1889" s="200" t="s">
        <v>136</v>
      </c>
      <c r="D1889" s="642">
        <v>-7500</v>
      </c>
      <c r="E1889" s="201">
        <v>45689</v>
      </c>
      <c r="F1889" s="200" t="s">
        <v>296</v>
      </c>
      <c r="G1889" s="200" t="s">
        <v>341</v>
      </c>
      <c r="H1889" s="200" t="s">
        <v>350</v>
      </c>
      <c r="I1889" s="200" t="s">
        <v>1776</v>
      </c>
    </row>
    <row r="1890" spans="1:9" ht="15" customHeight="1">
      <c r="A1890" s="199">
        <v>45693</v>
      </c>
      <c r="B1890" s="202" t="s">
        <v>1792</v>
      </c>
      <c r="C1890" s="200" t="s">
        <v>136</v>
      </c>
      <c r="D1890" s="642">
        <v>-13034</v>
      </c>
      <c r="E1890" s="201">
        <v>45689</v>
      </c>
      <c r="F1890" s="200" t="s">
        <v>296</v>
      </c>
      <c r="G1890" s="200" t="s">
        <v>341</v>
      </c>
      <c r="H1890" s="200" t="s">
        <v>268</v>
      </c>
      <c r="I1890" s="200" t="s">
        <v>1776</v>
      </c>
    </row>
    <row r="1891" spans="1:9" ht="15" customHeight="1">
      <c r="A1891" s="199">
        <v>45693</v>
      </c>
      <c r="B1891" s="202" t="s">
        <v>1793</v>
      </c>
      <c r="C1891" s="200" t="s">
        <v>136</v>
      </c>
      <c r="D1891" s="642">
        <v>-25000</v>
      </c>
      <c r="E1891" s="201">
        <v>45689</v>
      </c>
      <c r="F1891" s="200" t="s">
        <v>296</v>
      </c>
      <c r="G1891" s="200" t="s">
        <v>1124</v>
      </c>
      <c r="H1891" s="200" t="s">
        <v>268</v>
      </c>
      <c r="I1891" s="200" t="s">
        <v>1776</v>
      </c>
    </row>
    <row r="1892" spans="1:9" ht="15" customHeight="1">
      <c r="A1892" s="199">
        <v>45693</v>
      </c>
      <c r="B1892" s="202" t="s">
        <v>1794</v>
      </c>
      <c r="C1892" s="200" t="s">
        <v>136</v>
      </c>
      <c r="D1892" s="642">
        <v>-10000</v>
      </c>
      <c r="E1892" s="201">
        <v>45689</v>
      </c>
      <c r="F1892" s="200" t="s">
        <v>296</v>
      </c>
      <c r="G1892" s="200" t="s">
        <v>1124</v>
      </c>
      <c r="H1892" s="200" t="s">
        <v>342</v>
      </c>
      <c r="I1892" s="200" t="s">
        <v>1776</v>
      </c>
    </row>
    <row r="1893" spans="1:9" ht="15" customHeight="1">
      <c r="A1893" s="199">
        <v>45693</v>
      </c>
      <c r="B1893" s="202" t="s">
        <v>1795</v>
      </c>
      <c r="C1893" s="200" t="s">
        <v>136</v>
      </c>
      <c r="D1893" s="642">
        <v>-112000</v>
      </c>
      <c r="E1893" s="201">
        <v>45689</v>
      </c>
      <c r="F1893" s="200" t="s">
        <v>296</v>
      </c>
      <c r="G1893" s="200" t="s">
        <v>1124</v>
      </c>
      <c r="H1893" s="200" t="s">
        <v>342</v>
      </c>
      <c r="I1893" s="200" t="s">
        <v>1776</v>
      </c>
    </row>
    <row r="1894" spans="1:9" ht="15" customHeight="1">
      <c r="A1894" s="199">
        <v>45694</v>
      </c>
      <c r="B1894" s="202" t="s">
        <v>1796</v>
      </c>
      <c r="C1894" s="200" t="s">
        <v>136</v>
      </c>
      <c r="D1894" s="642">
        <v>-31980</v>
      </c>
      <c r="E1894" s="201">
        <v>45689</v>
      </c>
      <c r="F1894" s="200" t="s">
        <v>296</v>
      </c>
      <c r="G1894" s="200" t="s">
        <v>1124</v>
      </c>
      <c r="H1894" s="200" t="s">
        <v>268</v>
      </c>
      <c r="I1894" s="200" t="s">
        <v>1776</v>
      </c>
    </row>
    <row r="1895" spans="1:9" ht="15" customHeight="1">
      <c r="A1895" s="199">
        <v>45694</v>
      </c>
      <c r="B1895" s="202" t="s">
        <v>1797</v>
      </c>
      <c r="C1895" s="200" t="s">
        <v>136</v>
      </c>
      <c r="D1895" s="642">
        <v>-31880</v>
      </c>
      <c r="E1895" s="201">
        <v>45689</v>
      </c>
      <c r="F1895" s="200" t="s">
        <v>296</v>
      </c>
      <c r="G1895" s="200" t="s">
        <v>1124</v>
      </c>
      <c r="H1895" s="200" t="s">
        <v>268</v>
      </c>
      <c r="I1895" s="200" t="s">
        <v>1776</v>
      </c>
    </row>
    <row r="1896" spans="1:9" ht="15" customHeight="1">
      <c r="A1896" s="199">
        <v>45694</v>
      </c>
      <c r="B1896" s="202" t="s">
        <v>1798</v>
      </c>
      <c r="C1896" s="200" t="s">
        <v>136</v>
      </c>
      <c r="D1896" s="642">
        <v>-15047</v>
      </c>
      <c r="E1896" s="201">
        <v>45689</v>
      </c>
      <c r="F1896" s="200" t="s">
        <v>296</v>
      </c>
      <c r="G1896" s="200" t="s">
        <v>1124</v>
      </c>
      <c r="H1896" s="200" t="s">
        <v>268</v>
      </c>
      <c r="I1896" s="200" t="s">
        <v>1776</v>
      </c>
    </row>
    <row r="1897" spans="1:9" ht="15" customHeight="1">
      <c r="A1897" s="199">
        <v>45694</v>
      </c>
      <c r="B1897" s="202" t="s">
        <v>1799</v>
      </c>
      <c r="C1897" s="200" t="s">
        <v>136</v>
      </c>
      <c r="D1897" s="642">
        <v>-180000</v>
      </c>
      <c r="E1897" s="201">
        <v>45689</v>
      </c>
      <c r="F1897" s="200" t="s">
        <v>296</v>
      </c>
      <c r="G1897" s="200" t="s">
        <v>1124</v>
      </c>
      <c r="H1897" s="200" t="s">
        <v>342</v>
      </c>
      <c r="I1897" s="200" t="s">
        <v>1776</v>
      </c>
    </row>
    <row r="1898" spans="1:9" ht="15" customHeight="1">
      <c r="A1898" s="199">
        <v>45694</v>
      </c>
      <c r="B1898" s="202" t="s">
        <v>1800</v>
      </c>
      <c r="C1898" s="200" t="s">
        <v>136</v>
      </c>
      <c r="D1898" s="642">
        <v>-40000</v>
      </c>
      <c r="E1898" s="201">
        <v>45689</v>
      </c>
      <c r="F1898" s="200" t="s">
        <v>296</v>
      </c>
      <c r="G1898" s="200" t="s">
        <v>1124</v>
      </c>
      <c r="H1898" s="200" t="s">
        <v>342</v>
      </c>
      <c r="I1898" s="200" t="s">
        <v>1776</v>
      </c>
    </row>
    <row r="1899" spans="1:9" ht="15" customHeight="1">
      <c r="A1899" s="199">
        <v>45694</v>
      </c>
      <c r="B1899" s="202" t="s">
        <v>1801</v>
      </c>
      <c r="C1899" s="200" t="s">
        <v>136</v>
      </c>
      <c r="D1899" s="642">
        <v>-56347</v>
      </c>
      <c r="E1899" s="201">
        <v>45689</v>
      </c>
      <c r="F1899" s="200" t="s">
        <v>296</v>
      </c>
      <c r="G1899" s="200" t="s">
        <v>1124</v>
      </c>
      <c r="H1899" s="200" t="s">
        <v>379</v>
      </c>
      <c r="I1899" s="200" t="s">
        <v>1776</v>
      </c>
    </row>
    <row r="1900" spans="1:9" ht="15" customHeight="1">
      <c r="A1900" s="199">
        <v>45694</v>
      </c>
      <c r="B1900" s="202" t="s">
        <v>1802</v>
      </c>
      <c r="C1900" s="200" t="s">
        <v>136</v>
      </c>
      <c r="D1900" s="642">
        <v>-85500</v>
      </c>
      <c r="E1900" s="201">
        <v>45689</v>
      </c>
      <c r="F1900" s="200" t="s">
        <v>296</v>
      </c>
      <c r="G1900" s="200" t="s">
        <v>1124</v>
      </c>
      <c r="H1900" s="200" t="s">
        <v>379</v>
      </c>
      <c r="I1900" s="200" t="s">
        <v>1776</v>
      </c>
    </row>
    <row r="1901" spans="1:9" ht="15" customHeight="1">
      <c r="A1901" s="199">
        <v>45694</v>
      </c>
      <c r="B1901" s="202" t="s">
        <v>1803</v>
      </c>
      <c r="C1901" s="200" t="s">
        <v>136</v>
      </c>
      <c r="D1901" s="642">
        <v>-212000</v>
      </c>
      <c r="E1901" s="201">
        <v>45689</v>
      </c>
      <c r="F1901" s="200" t="s">
        <v>296</v>
      </c>
      <c r="G1901" s="200" t="s">
        <v>1124</v>
      </c>
      <c r="H1901" s="200" t="s">
        <v>342</v>
      </c>
      <c r="I1901" s="200" t="s">
        <v>1776</v>
      </c>
    </row>
    <row r="1902" spans="1:9" ht="15" customHeight="1">
      <c r="A1902" s="199">
        <v>45695</v>
      </c>
      <c r="B1902" s="202" t="s">
        <v>1804</v>
      </c>
      <c r="C1902" s="200" t="s">
        <v>136</v>
      </c>
      <c r="D1902" s="642">
        <v>-50000</v>
      </c>
      <c r="E1902" s="201">
        <v>45689</v>
      </c>
      <c r="F1902" s="200" t="s">
        <v>296</v>
      </c>
      <c r="G1902" s="200" t="s">
        <v>1124</v>
      </c>
      <c r="H1902" s="200" t="s">
        <v>350</v>
      </c>
      <c r="I1902" s="200" t="s">
        <v>1776</v>
      </c>
    </row>
    <row r="1903" spans="1:9" ht="15" customHeight="1">
      <c r="A1903" s="199">
        <v>45695</v>
      </c>
      <c r="B1903" s="202" t="s">
        <v>1805</v>
      </c>
      <c r="C1903" s="200" t="s">
        <v>136</v>
      </c>
      <c r="D1903" s="642">
        <v>-26500</v>
      </c>
      <c r="E1903" s="201">
        <v>45689</v>
      </c>
      <c r="F1903" s="200" t="s">
        <v>296</v>
      </c>
      <c r="G1903" s="200" t="s">
        <v>1124</v>
      </c>
      <c r="H1903" s="200" t="s">
        <v>350</v>
      </c>
      <c r="I1903" s="200" t="s">
        <v>1776</v>
      </c>
    </row>
    <row r="1904" spans="1:9" ht="15" customHeight="1">
      <c r="A1904" s="199">
        <v>45695</v>
      </c>
      <c r="B1904" s="202" t="s">
        <v>498</v>
      </c>
      <c r="C1904" s="200" t="s">
        <v>136</v>
      </c>
      <c r="D1904" s="642">
        <v>-28800</v>
      </c>
      <c r="E1904" s="201">
        <v>45689</v>
      </c>
      <c r="F1904" s="200" t="s">
        <v>296</v>
      </c>
      <c r="G1904" s="200" t="s">
        <v>1124</v>
      </c>
      <c r="H1904" s="200" t="s">
        <v>342</v>
      </c>
      <c r="I1904" s="200" t="s">
        <v>1776</v>
      </c>
    </row>
    <row r="1905" spans="1:9" ht="15" customHeight="1">
      <c r="A1905" s="199">
        <v>45695</v>
      </c>
      <c r="B1905" s="202" t="s">
        <v>1798</v>
      </c>
      <c r="C1905" s="200" t="s">
        <v>136</v>
      </c>
      <c r="D1905" s="642">
        <v>-16085</v>
      </c>
      <c r="E1905" s="201">
        <v>45689</v>
      </c>
      <c r="F1905" s="200" t="s">
        <v>296</v>
      </c>
      <c r="G1905" s="200" t="s">
        <v>1124</v>
      </c>
      <c r="H1905" s="200" t="s">
        <v>268</v>
      </c>
      <c r="I1905" s="200" t="s">
        <v>1776</v>
      </c>
    </row>
    <row r="1906" spans="1:9" ht="15" customHeight="1">
      <c r="A1906" s="199">
        <v>45695</v>
      </c>
      <c r="B1906" s="202" t="s">
        <v>1806</v>
      </c>
      <c r="C1906" s="200" t="s">
        <v>136</v>
      </c>
      <c r="D1906" s="642">
        <v>-32180</v>
      </c>
      <c r="E1906" s="201">
        <v>45689</v>
      </c>
      <c r="F1906" s="200" t="s">
        <v>296</v>
      </c>
      <c r="G1906" s="200" t="s">
        <v>1124</v>
      </c>
      <c r="H1906" s="200" t="s">
        <v>268</v>
      </c>
      <c r="I1906" s="200" t="s">
        <v>1776</v>
      </c>
    </row>
    <row r="1907" spans="1:9" ht="15" customHeight="1">
      <c r="A1907" s="199">
        <v>45695</v>
      </c>
      <c r="B1907" s="202" t="s">
        <v>1807</v>
      </c>
      <c r="C1907" s="200" t="s">
        <v>136</v>
      </c>
      <c r="D1907" s="642">
        <v>-161000</v>
      </c>
      <c r="E1907" s="201">
        <v>45689</v>
      </c>
      <c r="F1907" s="200" t="s">
        <v>296</v>
      </c>
      <c r="G1907" s="200" t="s">
        <v>1124</v>
      </c>
      <c r="H1907" s="200" t="s">
        <v>342</v>
      </c>
      <c r="I1907" s="200" t="s">
        <v>1776</v>
      </c>
    </row>
    <row r="1908" spans="1:9" ht="15" customHeight="1">
      <c r="A1908" s="199">
        <v>45695</v>
      </c>
      <c r="B1908" s="202" t="s">
        <v>508</v>
      </c>
      <c r="C1908" s="200" t="s">
        <v>136</v>
      </c>
      <c r="D1908" s="642">
        <v>-25000</v>
      </c>
      <c r="E1908" s="201">
        <v>45689</v>
      </c>
      <c r="F1908" s="200" t="s">
        <v>296</v>
      </c>
      <c r="G1908" s="200" t="s">
        <v>1124</v>
      </c>
      <c r="H1908" s="200" t="s">
        <v>342</v>
      </c>
      <c r="I1908" s="200" t="s">
        <v>1776</v>
      </c>
    </row>
    <row r="1909" spans="1:9" ht="15" customHeight="1">
      <c r="A1909" s="199">
        <v>45695</v>
      </c>
      <c r="B1909" s="202" t="s">
        <v>1808</v>
      </c>
      <c r="C1909" s="200" t="s">
        <v>136</v>
      </c>
      <c r="D1909" s="642">
        <v>-20000</v>
      </c>
      <c r="E1909" s="201">
        <v>45689</v>
      </c>
      <c r="F1909" s="200" t="s">
        <v>296</v>
      </c>
      <c r="G1909" s="200" t="s">
        <v>1124</v>
      </c>
      <c r="H1909" s="200" t="s">
        <v>268</v>
      </c>
      <c r="I1909" s="200" t="s">
        <v>1776</v>
      </c>
    </row>
    <row r="1910" spans="1:9" ht="15" customHeight="1">
      <c r="A1910" s="199">
        <v>45700</v>
      </c>
      <c r="B1910" s="202" t="s">
        <v>1809</v>
      </c>
      <c r="C1910" s="200" t="s">
        <v>136</v>
      </c>
      <c r="D1910" s="642">
        <v>-67680</v>
      </c>
      <c r="E1910" s="201">
        <v>45689</v>
      </c>
      <c r="F1910" s="200" t="s">
        <v>256</v>
      </c>
      <c r="G1910" s="200" t="s">
        <v>107</v>
      </c>
      <c r="H1910" s="200" t="s">
        <v>115</v>
      </c>
    </row>
    <row r="1911" spans="1:9" ht="15" customHeight="1">
      <c r="A1911" s="199">
        <v>45695</v>
      </c>
      <c r="B1911" s="202" t="s">
        <v>1810</v>
      </c>
      <c r="C1911" s="200" t="s">
        <v>204</v>
      </c>
      <c r="D1911" s="649">
        <v>-21900</v>
      </c>
      <c r="E1911" s="201">
        <v>45689</v>
      </c>
      <c r="F1911" s="200" t="s">
        <v>296</v>
      </c>
      <c r="G1911" s="200" t="s">
        <v>453</v>
      </c>
      <c r="H1911" s="200" t="s">
        <v>98</v>
      </c>
    </row>
    <row r="1912" spans="1:9" ht="15" customHeight="1">
      <c r="A1912" s="199">
        <v>45695</v>
      </c>
      <c r="B1912" s="202" t="s">
        <v>1811</v>
      </c>
      <c r="C1912" s="200" t="s">
        <v>204</v>
      </c>
      <c r="D1912" s="649">
        <v>-368370</v>
      </c>
      <c r="E1912" s="201">
        <v>45689</v>
      </c>
      <c r="F1912" s="200" t="s">
        <v>296</v>
      </c>
      <c r="G1912" s="200" t="s">
        <v>453</v>
      </c>
      <c r="H1912" s="200" t="s">
        <v>97</v>
      </c>
    </row>
    <row r="1913" spans="1:9" ht="15" customHeight="1">
      <c r="A1913" s="199">
        <v>45695</v>
      </c>
      <c r="B1913" s="202" t="s">
        <v>1812</v>
      </c>
      <c r="C1913" s="200" t="s">
        <v>204</v>
      </c>
      <c r="D1913" s="649">
        <v>-297500</v>
      </c>
      <c r="E1913" s="201">
        <v>45689</v>
      </c>
      <c r="F1913" s="200" t="s">
        <v>296</v>
      </c>
      <c r="G1913" s="200" t="s">
        <v>321</v>
      </c>
      <c r="H1913" s="531" t="s">
        <v>322</v>
      </c>
    </row>
    <row r="1914" spans="1:9" ht="15" customHeight="1">
      <c r="A1914" s="199">
        <v>45695</v>
      </c>
      <c r="B1914" s="202" t="s">
        <v>1812</v>
      </c>
      <c r="C1914" s="200" t="s">
        <v>204</v>
      </c>
      <c r="D1914" s="649">
        <v>-297500</v>
      </c>
      <c r="E1914" s="201">
        <v>45689</v>
      </c>
      <c r="F1914" s="200" t="s">
        <v>296</v>
      </c>
      <c r="G1914" s="200" t="s">
        <v>337</v>
      </c>
      <c r="H1914" s="531" t="s">
        <v>322</v>
      </c>
    </row>
    <row r="1915" spans="1:9" ht="15" customHeight="1">
      <c r="A1915" s="199">
        <v>45698</v>
      </c>
      <c r="B1915" s="202" t="s">
        <v>1813</v>
      </c>
      <c r="C1915" s="200" t="s">
        <v>204</v>
      </c>
      <c r="D1915" s="649">
        <v>-220000</v>
      </c>
      <c r="E1915" s="201">
        <v>45689</v>
      </c>
      <c r="F1915" s="200" t="s">
        <v>296</v>
      </c>
      <c r="G1915" s="200" t="s">
        <v>328</v>
      </c>
      <c r="H1915" s="200" t="s">
        <v>350</v>
      </c>
    </row>
    <row r="1916" spans="1:9" ht="15" customHeight="1">
      <c r="A1916" s="199">
        <v>45698</v>
      </c>
      <c r="B1916" s="202" t="s">
        <v>1814</v>
      </c>
      <c r="C1916" s="200" t="s">
        <v>204</v>
      </c>
      <c r="D1916" s="649">
        <v>-28787338</v>
      </c>
      <c r="E1916" s="201">
        <v>45689</v>
      </c>
      <c r="F1916" s="200" t="s">
        <v>296</v>
      </c>
      <c r="G1916" s="200" t="s">
        <v>522</v>
      </c>
      <c r="H1916" s="200" t="s">
        <v>370</v>
      </c>
    </row>
    <row r="1917" spans="1:9" ht="15" customHeight="1">
      <c r="A1917" s="199">
        <v>45699</v>
      </c>
      <c r="B1917" s="202" t="s">
        <v>1815</v>
      </c>
      <c r="C1917" s="200" t="s">
        <v>204</v>
      </c>
      <c r="D1917" s="649">
        <v>-22450000</v>
      </c>
      <c r="E1917" s="201">
        <v>45689</v>
      </c>
      <c r="F1917" s="200" t="s">
        <v>525</v>
      </c>
    </row>
    <row r="1918" spans="1:9" ht="15" customHeight="1">
      <c r="A1918" s="199">
        <v>45699</v>
      </c>
      <c r="B1918" s="202" t="s">
        <v>1816</v>
      </c>
      <c r="C1918" s="200" t="s">
        <v>204</v>
      </c>
      <c r="D1918" s="649">
        <v>-126000</v>
      </c>
      <c r="E1918" s="201">
        <v>45689</v>
      </c>
      <c r="F1918" s="200" t="s">
        <v>525</v>
      </c>
    </row>
    <row r="1919" spans="1:9" ht="15" customHeight="1">
      <c r="A1919" s="199">
        <v>45700</v>
      </c>
      <c r="B1919" s="202" t="s">
        <v>1817</v>
      </c>
      <c r="C1919" s="200" t="s">
        <v>204</v>
      </c>
      <c r="D1919" s="649">
        <v>-17622801</v>
      </c>
      <c r="E1919" s="201">
        <v>45689</v>
      </c>
      <c r="F1919" s="200" t="s">
        <v>296</v>
      </c>
      <c r="G1919" s="200" t="s">
        <v>328</v>
      </c>
      <c r="H1919" s="200" t="s">
        <v>377</v>
      </c>
    </row>
    <row r="1920" spans="1:9" ht="15" customHeight="1">
      <c r="A1920" s="199">
        <v>45700</v>
      </c>
      <c r="B1920" s="202" t="s">
        <v>1818</v>
      </c>
      <c r="C1920" s="200" t="s">
        <v>372</v>
      </c>
      <c r="D1920" s="204">
        <v>-378172</v>
      </c>
      <c r="E1920" s="201">
        <v>45689</v>
      </c>
      <c r="F1920" s="200" t="s">
        <v>296</v>
      </c>
      <c r="G1920" s="200" t="s">
        <v>328</v>
      </c>
      <c r="H1920" s="200" t="s">
        <v>377</v>
      </c>
    </row>
    <row r="1921" spans="1:8" ht="15" customHeight="1">
      <c r="A1921" s="199">
        <v>45700</v>
      </c>
      <c r="B1921" s="202" t="s">
        <v>1819</v>
      </c>
      <c r="C1921" s="200" t="s">
        <v>204</v>
      </c>
      <c r="D1921" s="649">
        <v>-11600</v>
      </c>
      <c r="E1921" s="201">
        <v>45689</v>
      </c>
      <c r="F1921" s="200" t="s">
        <v>296</v>
      </c>
      <c r="G1921" s="200" t="s">
        <v>453</v>
      </c>
      <c r="H1921" s="200" t="s">
        <v>98</v>
      </c>
    </row>
    <row r="1922" spans="1:8" ht="15" customHeight="1">
      <c r="A1922" s="199">
        <v>45700</v>
      </c>
      <c r="B1922" s="202" t="s">
        <v>1820</v>
      </c>
      <c r="C1922" s="200" t="s">
        <v>204</v>
      </c>
      <c r="D1922" s="649">
        <v>-152870</v>
      </c>
      <c r="E1922" s="201">
        <v>45689</v>
      </c>
      <c r="F1922" s="200" t="s">
        <v>296</v>
      </c>
      <c r="G1922" s="200" t="s">
        <v>328</v>
      </c>
      <c r="H1922" s="200" t="s">
        <v>350</v>
      </c>
    </row>
    <row r="1923" spans="1:8" ht="15" customHeight="1">
      <c r="A1923" s="199">
        <v>45700</v>
      </c>
      <c r="B1923" s="202" t="s">
        <v>1821</v>
      </c>
      <c r="C1923" s="200" t="s">
        <v>372</v>
      </c>
      <c r="D1923" s="204">
        <v>-645</v>
      </c>
      <c r="E1923" s="201">
        <v>45689</v>
      </c>
      <c r="F1923" s="200" t="s">
        <v>296</v>
      </c>
      <c r="G1923" s="200" t="s">
        <v>328</v>
      </c>
      <c r="H1923" s="200" t="s">
        <v>350</v>
      </c>
    </row>
    <row r="1924" spans="1:8" ht="15" customHeight="1">
      <c r="A1924" s="199">
        <v>45700</v>
      </c>
      <c r="B1924" s="202" t="s">
        <v>1820</v>
      </c>
      <c r="C1924" s="200" t="s">
        <v>204</v>
      </c>
      <c r="D1924" s="649">
        <v>-179104</v>
      </c>
      <c r="E1924" s="201">
        <v>45689</v>
      </c>
      <c r="F1924" s="200" t="s">
        <v>296</v>
      </c>
      <c r="G1924" s="200" t="s">
        <v>482</v>
      </c>
      <c r="H1924" s="200" t="s">
        <v>350</v>
      </c>
    </row>
    <row r="1925" spans="1:8" ht="15" customHeight="1">
      <c r="A1925" s="199">
        <v>45700</v>
      </c>
      <c r="B1925" s="202" t="s">
        <v>1821</v>
      </c>
      <c r="C1925" s="200" t="s">
        <v>372</v>
      </c>
      <c r="D1925" s="204">
        <v>-756</v>
      </c>
      <c r="E1925" s="201">
        <v>45689</v>
      </c>
      <c r="F1925" s="200" t="s">
        <v>296</v>
      </c>
      <c r="G1925" s="200" t="s">
        <v>482</v>
      </c>
      <c r="H1925" s="200" t="s">
        <v>350</v>
      </c>
    </row>
    <row r="1926" spans="1:8" ht="15" customHeight="1">
      <c r="A1926" s="199">
        <v>45700</v>
      </c>
      <c r="B1926" s="202" t="s">
        <v>1822</v>
      </c>
      <c r="C1926" s="200" t="s">
        <v>204</v>
      </c>
      <c r="D1926" s="649">
        <v>-387997</v>
      </c>
      <c r="E1926" s="201">
        <v>45689</v>
      </c>
      <c r="F1926" s="200" t="s">
        <v>296</v>
      </c>
      <c r="G1926" s="200" t="s">
        <v>411</v>
      </c>
      <c r="H1926" s="200" t="s">
        <v>379</v>
      </c>
    </row>
    <row r="1927" spans="1:8" ht="15" customHeight="1">
      <c r="A1927" s="199">
        <v>45700</v>
      </c>
      <c r="B1927" s="202" t="s">
        <v>1823</v>
      </c>
      <c r="C1927" s="200" t="s">
        <v>372</v>
      </c>
      <c r="D1927" s="204">
        <v>-1637</v>
      </c>
      <c r="E1927" s="201">
        <v>45689</v>
      </c>
      <c r="F1927" s="200" t="s">
        <v>296</v>
      </c>
      <c r="G1927" s="200" t="s">
        <v>411</v>
      </c>
      <c r="H1927" s="200" t="s">
        <v>379</v>
      </c>
    </row>
    <row r="1928" spans="1:8" ht="15" customHeight="1">
      <c r="A1928" s="199">
        <v>45700</v>
      </c>
      <c r="B1928" s="202" t="s">
        <v>1822</v>
      </c>
      <c r="C1928" s="200" t="s">
        <v>204</v>
      </c>
      <c r="D1928" s="649">
        <v>-387997</v>
      </c>
      <c r="E1928" s="201">
        <v>45689</v>
      </c>
      <c r="F1928" s="200" t="s">
        <v>297</v>
      </c>
      <c r="G1928" s="200" t="s">
        <v>1578</v>
      </c>
      <c r="H1928" s="200" t="s">
        <v>379</v>
      </c>
    </row>
    <row r="1929" spans="1:8" ht="15" customHeight="1">
      <c r="A1929" s="199">
        <v>45700</v>
      </c>
      <c r="B1929" s="202" t="s">
        <v>1823</v>
      </c>
      <c r="C1929" s="200" t="s">
        <v>372</v>
      </c>
      <c r="D1929" s="204">
        <v>-1637</v>
      </c>
      <c r="E1929" s="201">
        <v>45689</v>
      </c>
      <c r="F1929" s="200" t="s">
        <v>297</v>
      </c>
      <c r="G1929" s="200" t="s">
        <v>1578</v>
      </c>
      <c r="H1929" s="200" t="s">
        <v>379</v>
      </c>
    </row>
    <row r="1930" spans="1:8" ht="15" customHeight="1">
      <c r="A1930" s="199">
        <v>45700</v>
      </c>
      <c r="B1930" s="202" t="s">
        <v>1824</v>
      </c>
      <c r="C1930" s="200" t="s">
        <v>204</v>
      </c>
      <c r="D1930" s="649">
        <v>-90663672</v>
      </c>
      <c r="E1930" s="201">
        <v>45689</v>
      </c>
      <c r="F1930" s="200" t="s">
        <v>296</v>
      </c>
      <c r="G1930" s="200" t="s">
        <v>1825</v>
      </c>
      <c r="H1930" s="200" t="s">
        <v>1651</v>
      </c>
    </row>
    <row r="1931" spans="1:8" ht="15" customHeight="1">
      <c r="A1931" s="199">
        <v>45700</v>
      </c>
      <c r="B1931" s="202" t="s">
        <v>1826</v>
      </c>
      <c r="C1931" s="200" t="s">
        <v>204</v>
      </c>
      <c r="D1931" s="649">
        <v>-6393036</v>
      </c>
      <c r="E1931" s="201">
        <v>45689</v>
      </c>
      <c r="F1931" s="200" t="s">
        <v>256</v>
      </c>
      <c r="G1931" s="200" t="s">
        <v>256</v>
      </c>
      <c r="H1931" s="200" t="s">
        <v>257</v>
      </c>
    </row>
    <row r="1932" spans="1:8" ht="15" customHeight="1">
      <c r="A1932" s="199">
        <v>45700</v>
      </c>
      <c r="B1932" s="202" t="s">
        <v>1827</v>
      </c>
      <c r="C1932" s="200" t="s">
        <v>372</v>
      </c>
      <c r="D1932" s="204">
        <v>-194740</v>
      </c>
      <c r="E1932" s="201">
        <v>45689</v>
      </c>
      <c r="F1932" s="200" t="s">
        <v>256</v>
      </c>
      <c r="G1932" s="200" t="s">
        <v>256</v>
      </c>
      <c r="H1932" s="200" t="s">
        <v>257</v>
      </c>
    </row>
    <row r="1933" spans="1:8" ht="15" customHeight="1">
      <c r="A1933" s="199">
        <v>45700</v>
      </c>
      <c r="B1933" s="202" t="s">
        <v>1828</v>
      </c>
      <c r="C1933" s="200" t="s">
        <v>372</v>
      </c>
      <c r="D1933" s="204">
        <v>-33384</v>
      </c>
      <c r="E1933" s="201">
        <v>45689</v>
      </c>
      <c r="F1933" s="200" t="s">
        <v>256</v>
      </c>
      <c r="G1933" s="200" t="s">
        <v>256</v>
      </c>
      <c r="H1933" s="200" t="s">
        <v>257</v>
      </c>
    </row>
    <row r="1934" spans="1:8" ht="15" customHeight="1">
      <c r="A1934" s="199">
        <v>45700</v>
      </c>
      <c r="B1934" s="202" t="s">
        <v>1829</v>
      </c>
      <c r="C1934" s="200" t="s">
        <v>204</v>
      </c>
      <c r="D1934" s="649">
        <v>-129764</v>
      </c>
      <c r="E1934" s="201">
        <v>45689</v>
      </c>
      <c r="F1934" s="200" t="s">
        <v>296</v>
      </c>
      <c r="G1934" s="200" t="s">
        <v>482</v>
      </c>
      <c r="H1934" s="200" t="s">
        <v>375</v>
      </c>
    </row>
    <row r="1935" spans="1:8" ht="15" customHeight="1">
      <c r="A1935" s="199">
        <v>45700</v>
      </c>
      <c r="B1935" s="202" t="s">
        <v>1830</v>
      </c>
      <c r="C1935" s="200" t="s">
        <v>372</v>
      </c>
      <c r="D1935" s="204">
        <v>-3183</v>
      </c>
      <c r="E1935" s="201">
        <v>45689</v>
      </c>
      <c r="F1935" s="200" t="s">
        <v>296</v>
      </c>
      <c r="G1935" s="200" t="s">
        <v>482</v>
      </c>
      <c r="H1935" s="200" t="s">
        <v>375</v>
      </c>
    </row>
    <row r="1936" spans="1:8" ht="15" customHeight="1">
      <c r="A1936" s="199">
        <v>45700</v>
      </c>
      <c r="B1936" s="202" t="s">
        <v>1831</v>
      </c>
      <c r="C1936" s="200" t="s">
        <v>204</v>
      </c>
      <c r="D1936" s="649">
        <v>-10077320</v>
      </c>
      <c r="E1936" s="201">
        <v>45689</v>
      </c>
      <c r="F1936" s="200" t="s">
        <v>297</v>
      </c>
      <c r="G1936" s="200" t="s">
        <v>1313</v>
      </c>
      <c r="H1936" s="200" t="s">
        <v>364</v>
      </c>
    </row>
    <row r="1937" spans="1:8" ht="15" customHeight="1">
      <c r="A1937" s="199">
        <v>45700</v>
      </c>
      <c r="B1937" s="202" t="s">
        <v>1832</v>
      </c>
      <c r="C1937" s="200" t="s">
        <v>204</v>
      </c>
      <c r="D1937" s="649">
        <v>-989958</v>
      </c>
      <c r="E1937" s="201">
        <v>45689</v>
      </c>
      <c r="F1937" s="200" t="s">
        <v>296</v>
      </c>
      <c r="G1937" s="200" t="s">
        <v>984</v>
      </c>
      <c r="H1937" s="200" t="s">
        <v>377</v>
      </c>
    </row>
    <row r="1938" spans="1:8" ht="15" customHeight="1">
      <c r="A1938" s="199">
        <v>45700</v>
      </c>
      <c r="B1938" s="202" t="s">
        <v>1833</v>
      </c>
      <c r="C1938" s="200" t="s">
        <v>372</v>
      </c>
      <c r="D1938" s="204">
        <v>-2502</v>
      </c>
      <c r="E1938" s="201">
        <v>45689</v>
      </c>
      <c r="F1938" s="200" t="s">
        <v>296</v>
      </c>
      <c r="G1938" s="200" t="s">
        <v>984</v>
      </c>
      <c r="H1938" s="200" t="s">
        <v>377</v>
      </c>
    </row>
    <row r="1939" spans="1:8" ht="15" customHeight="1">
      <c r="A1939" s="199">
        <v>45700</v>
      </c>
      <c r="B1939" s="202" t="s">
        <v>1834</v>
      </c>
      <c r="C1939" s="200" t="s">
        <v>204</v>
      </c>
      <c r="D1939" s="649">
        <v>-6781142</v>
      </c>
      <c r="E1939" s="201">
        <v>45689</v>
      </c>
      <c r="F1939" s="200" t="s">
        <v>296</v>
      </c>
      <c r="G1939" s="200" t="s">
        <v>411</v>
      </c>
      <c r="H1939" s="200" t="s">
        <v>364</v>
      </c>
    </row>
    <row r="1940" spans="1:8" ht="15" customHeight="1">
      <c r="A1940" s="199">
        <v>45700</v>
      </c>
      <c r="B1940" s="202" t="s">
        <v>1835</v>
      </c>
      <c r="C1940" s="200" t="s">
        <v>204</v>
      </c>
      <c r="D1940" s="649">
        <v>-2100400</v>
      </c>
      <c r="E1940" s="201">
        <v>45689</v>
      </c>
      <c r="F1940" s="200" t="s">
        <v>296</v>
      </c>
      <c r="G1940" s="200" t="s">
        <v>984</v>
      </c>
      <c r="H1940" s="200" t="s">
        <v>346</v>
      </c>
    </row>
    <row r="1941" spans="1:8" ht="15" customHeight="1">
      <c r="A1941" s="199">
        <v>45700</v>
      </c>
      <c r="B1941" s="202" t="s">
        <v>1835</v>
      </c>
      <c r="C1941" s="200" t="s">
        <v>204</v>
      </c>
      <c r="D1941" s="649">
        <v>-2100400</v>
      </c>
      <c r="E1941" s="201">
        <v>45689</v>
      </c>
      <c r="F1941" s="200" t="s">
        <v>297</v>
      </c>
      <c r="G1941" s="200" t="s">
        <v>1313</v>
      </c>
      <c r="H1941" s="200" t="s">
        <v>346</v>
      </c>
    </row>
    <row r="1942" spans="1:8" ht="15" customHeight="1">
      <c r="A1942" s="199">
        <v>45700</v>
      </c>
      <c r="B1942" s="202" t="s">
        <v>1836</v>
      </c>
      <c r="C1942" s="200" t="s">
        <v>372</v>
      </c>
      <c r="D1942" s="204">
        <v>-17800</v>
      </c>
      <c r="E1942" s="201">
        <v>45689</v>
      </c>
      <c r="F1942" s="200" t="s">
        <v>296</v>
      </c>
      <c r="G1942" s="200" t="s">
        <v>984</v>
      </c>
      <c r="H1942" s="200" t="s">
        <v>346</v>
      </c>
    </row>
    <row r="1943" spans="1:8" ht="15" customHeight="1">
      <c r="A1943" s="199">
        <v>45700</v>
      </c>
      <c r="B1943" s="202" t="s">
        <v>1836</v>
      </c>
      <c r="C1943" s="200" t="s">
        <v>372</v>
      </c>
      <c r="D1943" s="204">
        <v>-17800</v>
      </c>
      <c r="E1943" s="201">
        <v>45689</v>
      </c>
      <c r="F1943" s="200" t="s">
        <v>297</v>
      </c>
      <c r="G1943" s="200" t="s">
        <v>1313</v>
      </c>
      <c r="H1943" s="200" t="s">
        <v>346</v>
      </c>
    </row>
    <row r="1944" spans="1:8" ht="15" customHeight="1">
      <c r="A1944" s="199">
        <v>45700</v>
      </c>
      <c r="B1944" s="202" t="s">
        <v>1837</v>
      </c>
      <c r="C1944" s="200" t="s">
        <v>204</v>
      </c>
      <c r="D1944" s="649">
        <v>-221340000</v>
      </c>
      <c r="E1944" s="201">
        <v>45689</v>
      </c>
      <c r="F1944" s="200" t="s">
        <v>296</v>
      </c>
      <c r="G1944" s="200" t="s">
        <v>1825</v>
      </c>
      <c r="H1944" s="200" t="s">
        <v>670</v>
      </c>
    </row>
    <row r="1945" spans="1:8" ht="15" customHeight="1">
      <c r="A1945" s="199">
        <v>45700</v>
      </c>
      <c r="B1945" s="202" t="s">
        <v>1838</v>
      </c>
      <c r="C1945" s="200" t="s">
        <v>204</v>
      </c>
      <c r="D1945" s="649">
        <v>-6082107</v>
      </c>
      <c r="E1945" s="201">
        <v>45689</v>
      </c>
      <c r="F1945" s="200" t="s">
        <v>296</v>
      </c>
      <c r="G1945" s="200" t="s">
        <v>984</v>
      </c>
      <c r="H1945" s="200" t="s">
        <v>839</v>
      </c>
    </row>
    <row r="1946" spans="1:8" ht="15" customHeight="1">
      <c r="A1946" s="199">
        <v>45700</v>
      </c>
      <c r="B1946" s="202" t="s">
        <v>1839</v>
      </c>
      <c r="C1946" s="200" t="s">
        <v>372</v>
      </c>
      <c r="D1946" s="204">
        <v>-153051</v>
      </c>
      <c r="E1946" s="201">
        <v>45689</v>
      </c>
      <c r="F1946" s="200" t="s">
        <v>296</v>
      </c>
      <c r="G1946" s="200" t="s">
        <v>984</v>
      </c>
      <c r="H1946" s="200" t="s">
        <v>839</v>
      </c>
    </row>
    <row r="1947" spans="1:8" ht="15" customHeight="1">
      <c r="A1947" s="199">
        <v>45700</v>
      </c>
      <c r="B1947" s="202" t="s">
        <v>1840</v>
      </c>
      <c r="C1947" s="200" t="s">
        <v>204</v>
      </c>
      <c r="D1947" s="649">
        <v>-740000</v>
      </c>
      <c r="E1947" s="201">
        <v>45689</v>
      </c>
      <c r="F1947" s="200" t="s">
        <v>296</v>
      </c>
      <c r="G1947" s="200" t="s">
        <v>513</v>
      </c>
      <c r="H1947" s="200" t="s">
        <v>322</v>
      </c>
    </row>
    <row r="1948" spans="1:8" ht="15" customHeight="1">
      <c r="A1948" s="199">
        <v>45700</v>
      </c>
      <c r="B1948" s="202" t="s">
        <v>1841</v>
      </c>
      <c r="C1948" s="200" t="s">
        <v>204</v>
      </c>
      <c r="D1948" s="649">
        <v>-1340000</v>
      </c>
      <c r="E1948" s="201">
        <v>45689</v>
      </c>
      <c r="F1948" s="200" t="s">
        <v>296</v>
      </c>
      <c r="G1948" s="200" t="s">
        <v>337</v>
      </c>
      <c r="H1948" s="200" t="s">
        <v>811</v>
      </c>
    </row>
    <row r="1949" spans="1:8" ht="15" customHeight="1">
      <c r="A1949" s="199">
        <v>45700</v>
      </c>
      <c r="B1949" s="202" t="s">
        <v>1842</v>
      </c>
      <c r="C1949" s="200" t="s">
        <v>204</v>
      </c>
      <c r="D1949" s="649">
        <v>-1340000</v>
      </c>
      <c r="E1949" s="201">
        <v>45689</v>
      </c>
      <c r="F1949" s="200" t="s">
        <v>296</v>
      </c>
      <c r="G1949" s="200" t="s">
        <v>337</v>
      </c>
      <c r="H1949" s="200" t="s">
        <v>811</v>
      </c>
    </row>
    <row r="1950" spans="1:8" ht="15" customHeight="1">
      <c r="A1950" s="199">
        <v>45700</v>
      </c>
      <c r="B1950" s="202" t="s">
        <v>1843</v>
      </c>
      <c r="C1950" s="200" t="s">
        <v>204</v>
      </c>
      <c r="D1950" s="649">
        <v>-8000</v>
      </c>
      <c r="E1950" s="201">
        <v>45689</v>
      </c>
      <c r="F1950" s="200" t="s">
        <v>256</v>
      </c>
      <c r="G1950" s="200" t="s">
        <v>107</v>
      </c>
      <c r="H1950" s="200" t="s">
        <v>9</v>
      </c>
    </row>
    <row r="1951" spans="1:8" ht="15" customHeight="1">
      <c r="A1951" s="199">
        <v>45700</v>
      </c>
      <c r="B1951" s="202" t="s">
        <v>1844</v>
      </c>
      <c r="C1951" s="200" t="s">
        <v>204</v>
      </c>
      <c r="D1951" s="649">
        <v>-713515.755</v>
      </c>
      <c r="E1951" s="201">
        <v>45689</v>
      </c>
      <c r="F1951" s="200" t="s">
        <v>296</v>
      </c>
      <c r="G1951" s="200" t="s">
        <v>328</v>
      </c>
      <c r="H1951" s="200" t="s">
        <v>350</v>
      </c>
    </row>
    <row r="1952" spans="1:8" ht="15" customHeight="1">
      <c r="A1952" s="199">
        <v>45700</v>
      </c>
      <c r="B1952" s="202" t="s">
        <v>1845</v>
      </c>
      <c r="C1952" s="200" t="s">
        <v>204</v>
      </c>
      <c r="D1952" s="649">
        <v>-1040349.42</v>
      </c>
      <c r="E1952" s="201">
        <v>45689</v>
      </c>
      <c r="F1952" s="200" t="s">
        <v>296</v>
      </c>
      <c r="G1952" s="200" t="s">
        <v>328</v>
      </c>
      <c r="H1952" s="200" t="s">
        <v>364</v>
      </c>
    </row>
    <row r="1953" spans="1:9" ht="15" customHeight="1">
      <c r="A1953" s="199">
        <v>45700</v>
      </c>
      <c r="B1953" s="202" t="s">
        <v>1846</v>
      </c>
      <c r="C1953" s="200" t="s">
        <v>204</v>
      </c>
      <c r="D1953" s="649">
        <v>-477608.32500000001</v>
      </c>
      <c r="E1953" s="201">
        <v>45689</v>
      </c>
      <c r="F1953" s="200" t="s">
        <v>296</v>
      </c>
      <c r="G1953" s="200" t="s">
        <v>328</v>
      </c>
      <c r="H1953" s="200" t="s">
        <v>350</v>
      </c>
    </row>
    <row r="1954" spans="1:9" ht="15" customHeight="1">
      <c r="A1954" s="199">
        <v>45700</v>
      </c>
      <c r="B1954" s="202" t="s">
        <v>1846</v>
      </c>
      <c r="C1954" s="200" t="s">
        <v>204</v>
      </c>
      <c r="D1954" s="649">
        <v>-300070.44</v>
      </c>
      <c r="E1954" s="201">
        <v>45689</v>
      </c>
      <c r="F1954" s="200" t="s">
        <v>296</v>
      </c>
      <c r="G1954" s="200" t="s">
        <v>390</v>
      </c>
      <c r="H1954" s="200" t="s">
        <v>350</v>
      </c>
    </row>
    <row r="1955" spans="1:9" ht="15" customHeight="1">
      <c r="A1955" s="199">
        <v>45700</v>
      </c>
      <c r="B1955" s="202" t="s">
        <v>1847</v>
      </c>
      <c r="C1955" s="200" t="s">
        <v>372</v>
      </c>
      <c r="D1955" s="204">
        <v>-3010.6149999999998</v>
      </c>
      <c r="E1955" s="201">
        <v>45689</v>
      </c>
      <c r="F1955" s="200" t="s">
        <v>296</v>
      </c>
      <c r="G1955" s="200" t="s">
        <v>328</v>
      </c>
      <c r="H1955" s="200" t="s">
        <v>350</v>
      </c>
    </row>
    <row r="1956" spans="1:9" ht="15" customHeight="1">
      <c r="A1956" s="199">
        <v>45700</v>
      </c>
      <c r="B1956" s="202" t="s">
        <v>1848</v>
      </c>
      <c r="C1956" s="200" t="s">
        <v>372</v>
      </c>
      <c r="D1956" s="204">
        <v>-4389.66</v>
      </c>
      <c r="E1956" s="201">
        <v>45689</v>
      </c>
      <c r="F1956" s="200" t="s">
        <v>296</v>
      </c>
      <c r="G1956" s="200" t="s">
        <v>328</v>
      </c>
      <c r="H1956" s="200" t="s">
        <v>364</v>
      </c>
    </row>
    <row r="1957" spans="1:9" ht="15" customHeight="1">
      <c r="A1957" s="199">
        <v>45700</v>
      </c>
      <c r="B1957" s="202" t="s">
        <v>1849</v>
      </c>
      <c r="C1957" s="200" t="s">
        <v>372</v>
      </c>
      <c r="D1957" s="204">
        <v>-2015.2249999999999</v>
      </c>
      <c r="E1957" s="201">
        <v>45689</v>
      </c>
      <c r="F1957" s="200" t="s">
        <v>296</v>
      </c>
      <c r="G1957" s="200" t="s">
        <v>328</v>
      </c>
      <c r="H1957" s="200" t="s">
        <v>350</v>
      </c>
    </row>
    <row r="1958" spans="1:9" ht="15" customHeight="1">
      <c r="A1958" s="199">
        <v>45700</v>
      </c>
      <c r="B1958" s="202" t="s">
        <v>1849</v>
      </c>
      <c r="C1958" s="200" t="s">
        <v>372</v>
      </c>
      <c r="D1958" s="204">
        <v>-1266.1199999999999</v>
      </c>
      <c r="E1958" s="201">
        <v>45689</v>
      </c>
      <c r="F1958" s="200" t="s">
        <v>296</v>
      </c>
      <c r="G1958" s="200" t="s">
        <v>390</v>
      </c>
      <c r="H1958" s="200" t="s">
        <v>350</v>
      </c>
    </row>
    <row r="1959" spans="1:9" ht="15" customHeight="1">
      <c r="A1959" s="199">
        <v>45700</v>
      </c>
      <c r="B1959" s="202" t="s">
        <v>1850</v>
      </c>
      <c r="C1959" s="200" t="s">
        <v>204</v>
      </c>
      <c r="D1959" s="649">
        <v>-970600</v>
      </c>
      <c r="E1959" s="201">
        <v>45689</v>
      </c>
      <c r="F1959" s="200" t="s">
        <v>296</v>
      </c>
      <c r="G1959" s="200" t="s">
        <v>337</v>
      </c>
      <c r="H1959" s="200" t="s">
        <v>381</v>
      </c>
    </row>
    <row r="1960" spans="1:9" ht="15" customHeight="1">
      <c r="A1960" s="199">
        <v>45700</v>
      </c>
      <c r="B1960" s="202" t="s">
        <v>1851</v>
      </c>
      <c r="C1960" s="200" t="s">
        <v>204</v>
      </c>
      <c r="D1960" s="649">
        <v>-18000</v>
      </c>
      <c r="E1960" s="201">
        <v>45689</v>
      </c>
      <c r="F1960" s="200" t="s">
        <v>296</v>
      </c>
      <c r="G1960" s="200" t="s">
        <v>984</v>
      </c>
      <c r="H1960" s="200" t="s">
        <v>839</v>
      </c>
    </row>
    <row r="1961" spans="1:9" s="700" customFormat="1" ht="15" customHeight="1">
      <c r="A1961" s="698">
        <v>45700</v>
      </c>
      <c r="B1961" s="699" t="s">
        <v>1852</v>
      </c>
      <c r="C1961" s="699" t="s">
        <v>204</v>
      </c>
      <c r="D1961" s="728">
        <v>-1440000</v>
      </c>
      <c r="E1961" s="701">
        <v>45689</v>
      </c>
      <c r="F1961" s="699" t="s">
        <v>296</v>
      </c>
      <c r="G1961" s="699" t="s">
        <v>321</v>
      </c>
      <c r="H1961" s="699" t="s">
        <v>366</v>
      </c>
      <c r="I1961" s="699"/>
    </row>
    <row r="1962" spans="1:9" s="700" customFormat="1" ht="15" customHeight="1">
      <c r="A1962" s="698">
        <v>45700</v>
      </c>
      <c r="B1962" s="699" t="s">
        <v>1853</v>
      </c>
      <c r="C1962" s="699" t="s">
        <v>204</v>
      </c>
      <c r="D1962" s="728">
        <v>-1008000</v>
      </c>
      <c r="E1962" s="701">
        <v>45689</v>
      </c>
      <c r="F1962" s="699" t="s">
        <v>296</v>
      </c>
      <c r="G1962" s="699" t="s">
        <v>321</v>
      </c>
      <c r="H1962" s="699" t="s">
        <v>1854</v>
      </c>
      <c r="I1962" s="699"/>
    </row>
    <row r="1963" spans="1:9" ht="15" customHeight="1">
      <c r="A1963" s="199">
        <v>45700</v>
      </c>
      <c r="B1963" s="202" t="s">
        <v>1855</v>
      </c>
      <c r="C1963" s="200" t="s">
        <v>204</v>
      </c>
      <c r="D1963" s="649">
        <v>-380000</v>
      </c>
      <c r="E1963" s="201">
        <v>45689</v>
      </c>
      <c r="F1963" s="200" t="s">
        <v>256</v>
      </c>
      <c r="G1963" s="200" t="s">
        <v>256</v>
      </c>
      <c r="H1963" s="200" t="s">
        <v>9</v>
      </c>
    </row>
    <row r="1964" spans="1:9" ht="15" customHeight="1">
      <c r="A1964" s="199">
        <v>45700</v>
      </c>
      <c r="B1964" s="694" t="s">
        <v>1856</v>
      </c>
      <c r="C1964" s="200" t="s">
        <v>204</v>
      </c>
      <c r="D1964" s="649">
        <v>-1400000</v>
      </c>
      <c r="E1964" s="201">
        <v>45689</v>
      </c>
      <c r="F1964" s="200" t="s">
        <v>256</v>
      </c>
      <c r="G1964" s="200" t="s">
        <v>107</v>
      </c>
      <c r="H1964" s="200" t="s">
        <v>777</v>
      </c>
    </row>
    <row r="1965" spans="1:9" ht="15" customHeight="1">
      <c r="A1965" s="199">
        <v>45700</v>
      </c>
      <c r="B1965" s="202" t="s">
        <v>1857</v>
      </c>
      <c r="C1965" s="200" t="s">
        <v>372</v>
      </c>
      <c r="D1965" s="204">
        <v>-58333</v>
      </c>
      <c r="E1965" s="201">
        <v>45689</v>
      </c>
      <c r="F1965" s="200" t="s">
        <v>256</v>
      </c>
      <c r="G1965" s="200" t="s">
        <v>107</v>
      </c>
      <c r="H1965" s="200" t="s">
        <v>777</v>
      </c>
      <c r="I1965" s="704"/>
    </row>
    <row r="1966" spans="1:9" ht="15" customHeight="1">
      <c r="A1966" s="199">
        <v>45700</v>
      </c>
      <c r="B1966" s="202" t="s">
        <v>1858</v>
      </c>
      <c r="C1966" s="200" t="s">
        <v>204</v>
      </c>
      <c r="D1966" s="649">
        <v>-7695000</v>
      </c>
      <c r="E1966" s="201">
        <v>45689</v>
      </c>
      <c r="F1966" s="200" t="s">
        <v>296</v>
      </c>
      <c r="G1966" s="200" t="s">
        <v>44</v>
      </c>
      <c r="H1966" s="200" t="s">
        <v>488</v>
      </c>
    </row>
    <row r="1967" spans="1:9" ht="15" customHeight="1">
      <c r="A1967" s="199">
        <v>45700</v>
      </c>
      <c r="B1967" s="202" t="s">
        <v>1859</v>
      </c>
      <c r="C1967" s="200" t="s">
        <v>204</v>
      </c>
      <c r="D1967" s="649">
        <v>-46796922</v>
      </c>
      <c r="E1967" s="201">
        <v>45689</v>
      </c>
      <c r="F1967" s="200" t="s">
        <v>296</v>
      </c>
      <c r="G1967" s="200" t="s">
        <v>522</v>
      </c>
      <c r="H1967" s="200" t="s">
        <v>848</v>
      </c>
      <c r="I1967" s="673"/>
    </row>
    <row r="1968" spans="1:9" ht="15" customHeight="1">
      <c r="A1968" s="199">
        <v>45700</v>
      </c>
      <c r="B1968" s="202" t="s">
        <v>1860</v>
      </c>
      <c r="C1968" s="200" t="s">
        <v>204</v>
      </c>
      <c r="D1968" s="649">
        <v>-14701109</v>
      </c>
      <c r="E1968" s="201">
        <v>45689</v>
      </c>
      <c r="F1968" s="200" t="s">
        <v>296</v>
      </c>
      <c r="G1968" s="200" t="s">
        <v>1124</v>
      </c>
      <c r="H1968" s="200" t="s">
        <v>364</v>
      </c>
    </row>
    <row r="1969" spans="1:9" ht="15" customHeight="1">
      <c r="A1969" s="199">
        <v>45700</v>
      </c>
      <c r="B1969" s="202" t="s">
        <v>1861</v>
      </c>
      <c r="C1969" s="200" t="s">
        <v>204</v>
      </c>
      <c r="D1969" s="649">
        <v>-637700</v>
      </c>
      <c r="E1969" s="201">
        <v>45689</v>
      </c>
      <c r="F1969" s="200" t="s">
        <v>256</v>
      </c>
      <c r="G1969" s="200" t="s">
        <v>256</v>
      </c>
      <c r="H1969" s="200" t="s">
        <v>267</v>
      </c>
    </row>
    <row r="1970" spans="1:9" ht="15" customHeight="1">
      <c r="A1970" s="199">
        <v>45700</v>
      </c>
      <c r="B1970" s="202" t="s">
        <v>1862</v>
      </c>
      <c r="C1970" s="200" t="s">
        <v>204</v>
      </c>
      <c r="D1970" s="649">
        <v>-1917901</v>
      </c>
      <c r="E1970" s="201">
        <v>45689</v>
      </c>
      <c r="F1970" s="200" t="s">
        <v>256</v>
      </c>
      <c r="G1970" s="200" t="s">
        <v>256</v>
      </c>
      <c r="H1970" s="200" t="s">
        <v>267</v>
      </c>
    </row>
    <row r="1971" spans="1:9" ht="15" customHeight="1">
      <c r="A1971" s="199">
        <v>45700</v>
      </c>
      <c r="B1971" s="202" t="s">
        <v>1863</v>
      </c>
      <c r="C1971" s="200" t="s">
        <v>372</v>
      </c>
      <c r="D1971" s="204">
        <v>-41370</v>
      </c>
      <c r="E1971" s="201">
        <v>45689</v>
      </c>
      <c r="F1971" s="200" t="s">
        <v>256</v>
      </c>
      <c r="G1971" s="200" t="s">
        <v>256</v>
      </c>
      <c r="H1971" s="200" t="s">
        <v>267</v>
      </c>
    </row>
    <row r="1972" spans="1:9" ht="15" customHeight="1">
      <c r="A1972" s="199">
        <v>45700</v>
      </c>
      <c r="B1972" s="202" t="s">
        <v>1864</v>
      </c>
      <c r="C1972" s="200" t="s">
        <v>372</v>
      </c>
      <c r="D1972" s="204">
        <v>-9929</v>
      </c>
      <c r="E1972" s="201">
        <v>45689</v>
      </c>
      <c r="F1972" s="200" t="s">
        <v>256</v>
      </c>
      <c r="G1972" s="200" t="s">
        <v>256</v>
      </c>
      <c r="H1972" s="200" t="s">
        <v>267</v>
      </c>
    </row>
    <row r="1973" spans="1:9" ht="15" customHeight="1">
      <c r="A1973" s="199">
        <v>45700</v>
      </c>
      <c r="B1973" s="202" t="s">
        <v>1865</v>
      </c>
      <c r="C1973" s="200" t="s">
        <v>204</v>
      </c>
      <c r="D1973" s="649">
        <v>-9739</v>
      </c>
      <c r="E1973" s="201">
        <v>45689</v>
      </c>
      <c r="F1973" s="200" t="s">
        <v>256</v>
      </c>
      <c r="G1973" s="200" t="s">
        <v>256</v>
      </c>
      <c r="H1973" s="200" t="s">
        <v>267</v>
      </c>
    </row>
    <row r="1974" spans="1:9" ht="15" customHeight="1">
      <c r="A1974" s="199">
        <v>45700</v>
      </c>
      <c r="B1974" s="202" t="s">
        <v>1866</v>
      </c>
      <c r="C1974" s="200" t="s">
        <v>204</v>
      </c>
      <c r="D1974" s="649">
        <v>-10332000</v>
      </c>
      <c r="E1974" s="201">
        <v>45689</v>
      </c>
      <c r="F1974" s="200" t="s">
        <v>296</v>
      </c>
      <c r="G1974" s="200" t="s">
        <v>522</v>
      </c>
      <c r="H1974" s="200" t="s">
        <v>370</v>
      </c>
    </row>
    <row r="1975" spans="1:9" ht="15" customHeight="1">
      <c r="A1975" s="199">
        <v>45700</v>
      </c>
      <c r="B1975" s="202" t="s">
        <v>1867</v>
      </c>
      <c r="C1975" s="200" t="s">
        <v>372</v>
      </c>
      <c r="D1975" s="204">
        <v>-105000</v>
      </c>
      <c r="E1975" s="201">
        <v>45689</v>
      </c>
      <c r="F1975" s="200" t="s">
        <v>296</v>
      </c>
      <c r="G1975" s="200" t="s">
        <v>522</v>
      </c>
      <c r="H1975" s="200" t="s">
        <v>370</v>
      </c>
    </row>
    <row r="1976" spans="1:9" ht="15" customHeight="1">
      <c r="A1976" s="199">
        <v>45700</v>
      </c>
      <c r="B1976" s="202" t="s">
        <v>1868</v>
      </c>
      <c r="C1976" s="200" t="s">
        <v>372</v>
      </c>
      <c r="D1976" s="204">
        <v>-63000</v>
      </c>
      <c r="E1976" s="201">
        <v>45689</v>
      </c>
      <c r="F1976" s="200" t="s">
        <v>296</v>
      </c>
      <c r="G1976" s="200" t="s">
        <v>522</v>
      </c>
      <c r="H1976" s="200" t="s">
        <v>370</v>
      </c>
    </row>
    <row r="1977" spans="1:9" ht="15" customHeight="1">
      <c r="A1977" s="199">
        <v>45700</v>
      </c>
      <c r="B1977" s="202" t="s">
        <v>1869</v>
      </c>
      <c r="C1977" s="200" t="s">
        <v>204</v>
      </c>
      <c r="D1977" s="649">
        <v>-643500</v>
      </c>
      <c r="E1977" s="201">
        <v>45689</v>
      </c>
      <c r="F1977" s="200" t="s">
        <v>296</v>
      </c>
      <c r="G1977" s="200" t="s">
        <v>522</v>
      </c>
      <c r="H1977" s="200" t="s">
        <v>326</v>
      </c>
    </row>
    <row r="1978" spans="1:9" ht="15" customHeight="1">
      <c r="A1978" s="199">
        <v>45700</v>
      </c>
      <c r="B1978" s="202" t="s">
        <v>1870</v>
      </c>
      <c r="C1978" s="200" t="s">
        <v>372</v>
      </c>
      <c r="D1978" s="204">
        <v>-6500</v>
      </c>
      <c r="E1978" s="201">
        <v>45689</v>
      </c>
      <c r="F1978" s="200" t="s">
        <v>296</v>
      </c>
      <c r="G1978" s="200" t="s">
        <v>522</v>
      </c>
      <c r="H1978" s="200" t="s">
        <v>326</v>
      </c>
    </row>
    <row r="1979" spans="1:9" ht="15" customHeight="1">
      <c r="A1979" s="199">
        <v>45700</v>
      </c>
      <c r="B1979" s="202" t="s">
        <v>1871</v>
      </c>
      <c r="C1979" s="200" t="s">
        <v>204</v>
      </c>
      <c r="D1979" s="649">
        <v>-803363</v>
      </c>
      <c r="E1979" s="201">
        <v>45689</v>
      </c>
      <c r="F1979" s="200" t="s">
        <v>296</v>
      </c>
      <c r="G1979" s="200" t="s">
        <v>337</v>
      </c>
      <c r="H1979" s="200" t="s">
        <v>326</v>
      </c>
      <c r="I1979" s="704"/>
    </row>
    <row r="1980" spans="1:9" ht="15" customHeight="1">
      <c r="A1980" s="199">
        <v>45700</v>
      </c>
      <c r="B1980" s="202" t="s">
        <v>1871</v>
      </c>
      <c r="C1980" s="200" t="s">
        <v>204</v>
      </c>
      <c r="D1980" s="649">
        <v>-803363</v>
      </c>
      <c r="E1980" s="201">
        <v>45689</v>
      </c>
      <c r="F1980" s="200" t="s">
        <v>296</v>
      </c>
      <c r="G1980" s="200" t="s">
        <v>44</v>
      </c>
      <c r="H1980" s="200" t="s">
        <v>326</v>
      </c>
    </row>
    <row r="1981" spans="1:9" ht="15" customHeight="1">
      <c r="A1981" s="199">
        <v>45700</v>
      </c>
      <c r="B1981" s="202" t="s">
        <v>1871</v>
      </c>
      <c r="C1981" s="200" t="s">
        <v>204</v>
      </c>
      <c r="D1981" s="649">
        <v>-803363</v>
      </c>
      <c r="E1981" s="201">
        <v>45689</v>
      </c>
      <c r="F1981" s="200" t="s">
        <v>296</v>
      </c>
      <c r="G1981" s="200" t="s">
        <v>522</v>
      </c>
      <c r="H1981" s="200" t="s">
        <v>326</v>
      </c>
      <c r="I1981" s="673"/>
    </row>
    <row r="1982" spans="1:9" ht="15" customHeight="1">
      <c r="A1982" s="199">
        <v>45700</v>
      </c>
      <c r="B1982" s="202" t="s">
        <v>1872</v>
      </c>
      <c r="C1982" s="200" t="s">
        <v>372</v>
      </c>
      <c r="D1982" s="204">
        <v>-29137.5</v>
      </c>
      <c r="E1982" s="201">
        <v>45689</v>
      </c>
      <c r="F1982" s="200" t="s">
        <v>296</v>
      </c>
      <c r="G1982" s="200" t="s">
        <v>337</v>
      </c>
      <c r="H1982" s="200" t="s">
        <v>326</v>
      </c>
      <c r="I1982" s="704"/>
    </row>
    <row r="1983" spans="1:9" ht="15" customHeight="1">
      <c r="A1983" s="199">
        <v>45700</v>
      </c>
      <c r="B1983" s="202" t="s">
        <v>1872</v>
      </c>
      <c r="C1983" s="200" t="s">
        <v>372</v>
      </c>
      <c r="D1983" s="204">
        <v>-29137.5</v>
      </c>
      <c r="E1983" s="201">
        <v>45689</v>
      </c>
      <c r="F1983" s="200" t="s">
        <v>296</v>
      </c>
      <c r="G1983" s="200" t="s">
        <v>44</v>
      </c>
      <c r="H1983" s="200" t="s">
        <v>326</v>
      </c>
    </row>
    <row r="1984" spans="1:9" ht="15" customHeight="1">
      <c r="A1984" s="199">
        <v>45700</v>
      </c>
      <c r="B1984" s="202" t="s">
        <v>1872</v>
      </c>
      <c r="C1984" s="200" t="s">
        <v>372</v>
      </c>
      <c r="D1984" s="204">
        <v>-29137.5</v>
      </c>
      <c r="E1984" s="201">
        <v>45689</v>
      </c>
      <c r="F1984" s="200" t="s">
        <v>296</v>
      </c>
      <c r="G1984" s="200" t="s">
        <v>522</v>
      </c>
      <c r="H1984" s="200" t="s">
        <v>326</v>
      </c>
      <c r="I1984" s="673"/>
    </row>
    <row r="1985" spans="1:9" ht="15" customHeight="1">
      <c r="A1985" s="199">
        <v>45700</v>
      </c>
      <c r="B1985" s="202" t="s">
        <v>1873</v>
      </c>
      <c r="C1985" s="200" t="s">
        <v>204</v>
      </c>
      <c r="D1985" s="649">
        <v>-1558657</v>
      </c>
      <c r="E1985" s="201">
        <v>45689</v>
      </c>
      <c r="F1985" s="200" t="s">
        <v>296</v>
      </c>
      <c r="G1985" s="200" t="s">
        <v>337</v>
      </c>
      <c r="H1985" s="200" t="s">
        <v>322</v>
      </c>
    </row>
    <row r="1986" spans="1:9" ht="15" customHeight="1">
      <c r="A1986" s="199">
        <v>45700</v>
      </c>
      <c r="B1986" s="202" t="s">
        <v>1874</v>
      </c>
      <c r="C1986" s="200" t="s">
        <v>136</v>
      </c>
      <c r="D1986" s="642">
        <v>-247235</v>
      </c>
      <c r="E1986" s="201">
        <v>45689</v>
      </c>
      <c r="F1986" s="200" t="s">
        <v>296</v>
      </c>
      <c r="G1986" s="200" t="s">
        <v>453</v>
      </c>
      <c r="H1986" s="200" t="s">
        <v>97</v>
      </c>
    </row>
    <row r="1987" spans="1:9" ht="15" customHeight="1">
      <c r="A1987" s="199">
        <v>45700</v>
      </c>
      <c r="B1987" s="202" t="s">
        <v>1875</v>
      </c>
      <c r="C1987" s="200" t="s">
        <v>136</v>
      </c>
      <c r="D1987" s="642">
        <v>-11600</v>
      </c>
      <c r="E1987" s="201">
        <v>45689</v>
      </c>
      <c r="F1987" s="200" t="s">
        <v>296</v>
      </c>
      <c r="G1987" s="200" t="s">
        <v>453</v>
      </c>
      <c r="H1987" s="200" t="s">
        <v>98</v>
      </c>
    </row>
    <row r="1988" spans="1:9" ht="15" customHeight="1">
      <c r="A1988" s="199">
        <v>45700</v>
      </c>
      <c r="B1988" s="693" t="s">
        <v>1876</v>
      </c>
      <c r="C1988" s="200" t="s">
        <v>204</v>
      </c>
      <c r="D1988" s="649">
        <v>-690000</v>
      </c>
      <c r="E1988" s="201">
        <v>45689</v>
      </c>
      <c r="F1988" s="200" t="s">
        <v>296</v>
      </c>
      <c r="G1988" s="200" t="s">
        <v>341</v>
      </c>
      <c r="H1988" s="200" t="s">
        <v>342</v>
      </c>
    </row>
    <row r="1989" spans="1:9" ht="15" customHeight="1">
      <c r="A1989" s="199">
        <v>45700</v>
      </c>
      <c r="B1989" s="693" t="s">
        <v>1877</v>
      </c>
      <c r="C1989" s="200" t="s">
        <v>372</v>
      </c>
      <c r="D1989" s="204">
        <v>-24000</v>
      </c>
      <c r="E1989" s="201">
        <v>45689</v>
      </c>
      <c r="F1989" s="200" t="s">
        <v>296</v>
      </c>
      <c r="G1989" s="200" t="s">
        <v>341</v>
      </c>
      <c r="H1989" s="200" t="s">
        <v>342</v>
      </c>
      <c r="I1989" s="648" t="s">
        <v>329</v>
      </c>
    </row>
    <row r="1990" spans="1:9" ht="15" customHeight="1">
      <c r="A1990" s="199">
        <v>45700</v>
      </c>
      <c r="B1990" s="202" t="s">
        <v>1878</v>
      </c>
      <c r="C1990" s="200" t="s">
        <v>204</v>
      </c>
      <c r="D1990" s="649">
        <v>-1560000</v>
      </c>
      <c r="E1990" s="201">
        <v>45689</v>
      </c>
      <c r="F1990" s="200" t="s">
        <v>256</v>
      </c>
      <c r="G1990" s="200" t="s">
        <v>256</v>
      </c>
      <c r="H1990" s="200" t="s">
        <v>258</v>
      </c>
    </row>
    <row r="1991" spans="1:9" ht="15" customHeight="1">
      <c r="A1991" s="199">
        <v>45700</v>
      </c>
      <c r="B1991" s="202" t="s">
        <v>1879</v>
      </c>
      <c r="C1991" s="200" t="s">
        <v>204</v>
      </c>
      <c r="D1991" s="649">
        <v>-195000</v>
      </c>
      <c r="E1991" s="201">
        <v>45689</v>
      </c>
      <c r="F1991" s="200" t="s">
        <v>256</v>
      </c>
      <c r="G1991" s="200" t="s">
        <v>256</v>
      </c>
      <c r="H1991" s="200" t="s">
        <v>267</v>
      </c>
    </row>
    <row r="1992" spans="1:9" ht="15" customHeight="1">
      <c r="A1992" s="199">
        <v>45700</v>
      </c>
      <c r="B1992" s="693" t="s">
        <v>1880</v>
      </c>
      <c r="C1992" s="200" t="s">
        <v>204</v>
      </c>
      <c r="D1992" s="649">
        <v>-131200</v>
      </c>
      <c r="E1992" s="201">
        <v>45689</v>
      </c>
      <c r="F1992" s="200" t="s">
        <v>296</v>
      </c>
      <c r="G1992" s="200" t="s">
        <v>337</v>
      </c>
      <c r="H1992" s="200" t="s">
        <v>381</v>
      </c>
      <c r="I1992" s="704"/>
    </row>
    <row r="1993" spans="1:9" ht="15" customHeight="1">
      <c r="A1993" s="199">
        <v>45700</v>
      </c>
      <c r="B1993" s="693" t="s">
        <v>1880</v>
      </c>
      <c r="C1993" s="200" t="s">
        <v>204</v>
      </c>
      <c r="D1993" s="649">
        <v>-131200</v>
      </c>
      <c r="E1993" s="201">
        <v>45689</v>
      </c>
      <c r="F1993" s="200" t="s">
        <v>296</v>
      </c>
      <c r="G1993" s="200" t="s">
        <v>44</v>
      </c>
      <c r="H1993" s="200" t="s">
        <v>381</v>
      </c>
    </row>
    <row r="1994" spans="1:9" ht="15" customHeight="1">
      <c r="A1994" s="199">
        <v>45700</v>
      </c>
      <c r="B1994" s="693" t="s">
        <v>1880</v>
      </c>
      <c r="C1994" s="200" t="s">
        <v>204</v>
      </c>
      <c r="D1994" s="649">
        <v>-131200</v>
      </c>
      <c r="E1994" s="201">
        <v>45689</v>
      </c>
      <c r="F1994" s="200" t="s">
        <v>296</v>
      </c>
      <c r="G1994" s="200" t="s">
        <v>522</v>
      </c>
      <c r="H1994" s="200" t="s">
        <v>381</v>
      </c>
      <c r="I1994" s="673"/>
    </row>
    <row r="1995" spans="1:9" ht="15" customHeight="1">
      <c r="A1995" s="199">
        <v>45700</v>
      </c>
      <c r="B1995" s="202" t="s">
        <v>1881</v>
      </c>
      <c r="C1995" s="200" t="s">
        <v>372</v>
      </c>
      <c r="D1995" s="204">
        <v>-4000</v>
      </c>
      <c r="E1995" s="201">
        <v>45689</v>
      </c>
      <c r="F1995" s="200" t="s">
        <v>296</v>
      </c>
      <c r="G1995" s="200" t="s">
        <v>522</v>
      </c>
      <c r="H1995" s="200" t="s">
        <v>381</v>
      </c>
    </row>
    <row r="1996" spans="1:9" ht="15" customHeight="1">
      <c r="A1996" s="199">
        <v>45700</v>
      </c>
      <c r="B1996" s="202" t="s">
        <v>1882</v>
      </c>
      <c r="C1996" s="200" t="s">
        <v>372</v>
      </c>
      <c r="D1996" s="204">
        <v>-2400</v>
      </c>
      <c r="E1996" s="201">
        <v>45689</v>
      </c>
      <c r="F1996" s="200" t="s">
        <v>296</v>
      </c>
      <c r="G1996" s="200" t="s">
        <v>522</v>
      </c>
      <c r="H1996" s="200" t="s">
        <v>381</v>
      </c>
    </row>
    <row r="1997" spans="1:9" ht="15" customHeight="1">
      <c r="A1997" s="199">
        <v>45700</v>
      </c>
      <c r="B1997" s="693" t="s">
        <v>1880</v>
      </c>
      <c r="C1997" s="200" t="s">
        <v>204</v>
      </c>
      <c r="D1997" s="649">
        <v>-457600</v>
      </c>
      <c r="E1997" s="201">
        <v>45689</v>
      </c>
      <c r="F1997" s="200" t="s">
        <v>296</v>
      </c>
      <c r="G1997" s="200" t="s">
        <v>337</v>
      </c>
      <c r="H1997" s="200" t="s">
        <v>381</v>
      </c>
      <c r="I1997" s="704"/>
    </row>
    <row r="1998" spans="1:9" ht="15" customHeight="1">
      <c r="A1998" s="199">
        <v>45700</v>
      </c>
      <c r="B1998" s="693" t="s">
        <v>1880</v>
      </c>
      <c r="C1998" s="200" t="s">
        <v>204</v>
      </c>
      <c r="D1998" s="649">
        <v>-457600</v>
      </c>
      <c r="E1998" s="201">
        <v>45689</v>
      </c>
      <c r="F1998" s="200" t="s">
        <v>296</v>
      </c>
      <c r="G1998" s="200" t="s">
        <v>44</v>
      </c>
      <c r="H1998" s="200" t="s">
        <v>381</v>
      </c>
    </row>
    <row r="1999" spans="1:9" ht="15" customHeight="1">
      <c r="A1999" s="199">
        <v>45700</v>
      </c>
      <c r="B1999" s="693" t="s">
        <v>1880</v>
      </c>
      <c r="C1999" s="200" t="s">
        <v>204</v>
      </c>
      <c r="D1999" s="649">
        <v>-457600</v>
      </c>
      <c r="E1999" s="201">
        <v>45689</v>
      </c>
      <c r="F1999" s="200" t="s">
        <v>296</v>
      </c>
      <c r="G1999" s="200" t="s">
        <v>522</v>
      </c>
      <c r="H1999" s="200" t="s">
        <v>381</v>
      </c>
      <c r="I1999" s="673"/>
    </row>
    <row r="2000" spans="1:9" ht="15" customHeight="1">
      <c r="A2000" s="199">
        <v>45700</v>
      </c>
      <c r="B2000" s="202" t="s">
        <v>1883</v>
      </c>
      <c r="C2000" s="200" t="s">
        <v>372</v>
      </c>
      <c r="D2000" s="204">
        <v>-16000</v>
      </c>
      <c r="E2000" s="201">
        <v>45689</v>
      </c>
      <c r="F2000" s="200" t="s">
        <v>296</v>
      </c>
      <c r="G2000" s="200" t="s">
        <v>337</v>
      </c>
      <c r="H2000" s="200" t="s">
        <v>381</v>
      </c>
    </row>
    <row r="2001" spans="1:9" ht="15" customHeight="1">
      <c r="A2001" s="199">
        <v>45700</v>
      </c>
      <c r="B2001" s="202" t="s">
        <v>1882</v>
      </c>
      <c r="C2001" s="200" t="s">
        <v>372</v>
      </c>
      <c r="D2001" s="204">
        <v>-2400</v>
      </c>
      <c r="E2001" s="201">
        <v>45689</v>
      </c>
      <c r="F2001" s="200" t="s">
        <v>296</v>
      </c>
      <c r="G2001" s="200" t="s">
        <v>337</v>
      </c>
      <c r="H2001" s="200" t="s">
        <v>381</v>
      </c>
      <c r="I2001" s="704"/>
    </row>
    <row r="2002" spans="1:9" ht="15" customHeight="1">
      <c r="A2002" s="199">
        <v>45700</v>
      </c>
      <c r="B2002" s="202" t="s">
        <v>1883</v>
      </c>
      <c r="C2002" s="200" t="s">
        <v>372</v>
      </c>
      <c r="D2002" s="204">
        <v>-16000</v>
      </c>
      <c r="E2002" s="201">
        <v>45689</v>
      </c>
      <c r="F2002" s="200" t="s">
        <v>296</v>
      </c>
      <c r="G2002" s="200" t="s">
        <v>44</v>
      </c>
      <c r="H2002" s="200" t="s">
        <v>381</v>
      </c>
    </row>
    <row r="2003" spans="1:9" ht="15" customHeight="1">
      <c r="A2003" s="199">
        <v>45700</v>
      </c>
      <c r="B2003" s="202" t="s">
        <v>1882</v>
      </c>
      <c r="C2003" s="200" t="s">
        <v>372</v>
      </c>
      <c r="D2003" s="204">
        <v>-2400</v>
      </c>
      <c r="E2003" s="201">
        <v>45689</v>
      </c>
      <c r="F2003" s="200" t="s">
        <v>296</v>
      </c>
      <c r="G2003" s="200" t="s">
        <v>44</v>
      </c>
      <c r="H2003" s="200" t="s">
        <v>381</v>
      </c>
    </row>
    <row r="2004" spans="1:9" ht="15" customHeight="1">
      <c r="A2004" s="199">
        <v>45700</v>
      </c>
      <c r="B2004" s="202" t="s">
        <v>1883</v>
      </c>
      <c r="C2004" s="200" t="s">
        <v>372</v>
      </c>
      <c r="D2004" s="204">
        <v>-16000</v>
      </c>
      <c r="E2004" s="201">
        <v>45689</v>
      </c>
      <c r="F2004" s="200" t="s">
        <v>296</v>
      </c>
      <c r="G2004" s="200" t="s">
        <v>522</v>
      </c>
      <c r="H2004" s="200" t="s">
        <v>381</v>
      </c>
      <c r="I2004" s="673"/>
    </row>
    <row r="2005" spans="1:9" ht="15" customHeight="1">
      <c r="A2005" s="199">
        <v>45700</v>
      </c>
      <c r="B2005" s="202" t="s">
        <v>1882</v>
      </c>
      <c r="C2005" s="200" t="s">
        <v>372</v>
      </c>
      <c r="D2005" s="204">
        <v>-2400</v>
      </c>
      <c r="E2005" s="201">
        <v>45689</v>
      </c>
      <c r="F2005" s="200" t="s">
        <v>296</v>
      </c>
      <c r="G2005" s="200" t="s">
        <v>522</v>
      </c>
      <c r="H2005" s="200" t="s">
        <v>381</v>
      </c>
      <c r="I2005" s="704"/>
    </row>
    <row r="2006" spans="1:9" ht="15" customHeight="1">
      <c r="A2006" s="199">
        <v>45689</v>
      </c>
      <c r="B2006" s="202" t="s">
        <v>1884</v>
      </c>
      <c r="C2006" s="200" t="s">
        <v>307</v>
      </c>
      <c r="D2006" s="204">
        <v>-280000</v>
      </c>
      <c r="E2006" s="201">
        <v>45689</v>
      </c>
      <c r="F2006" s="200" t="s">
        <v>296</v>
      </c>
      <c r="G2006" s="200" t="s">
        <v>44</v>
      </c>
      <c r="H2006" s="200" t="s">
        <v>488</v>
      </c>
      <c r="I2006" s="200" t="s">
        <v>1885</v>
      </c>
    </row>
    <row r="2007" spans="1:9" ht="15" customHeight="1">
      <c r="A2007" s="199">
        <v>45691</v>
      </c>
      <c r="B2007" s="202" t="s">
        <v>980</v>
      </c>
      <c r="C2007" s="200" t="s">
        <v>307</v>
      </c>
      <c r="D2007" s="204">
        <v>-50000</v>
      </c>
      <c r="E2007" s="201">
        <v>45689</v>
      </c>
      <c r="F2007" s="200" t="s">
        <v>296</v>
      </c>
      <c r="G2007" s="200" t="s">
        <v>44</v>
      </c>
      <c r="H2007" s="200" t="s">
        <v>326</v>
      </c>
      <c r="I2007" s="200" t="s">
        <v>1885</v>
      </c>
    </row>
    <row r="2008" spans="1:9" ht="15" customHeight="1">
      <c r="A2008" s="199">
        <v>45692</v>
      </c>
      <c r="B2008" s="202" t="s">
        <v>1886</v>
      </c>
      <c r="C2008" s="200" t="s">
        <v>307</v>
      </c>
      <c r="D2008" s="204">
        <v>-12000</v>
      </c>
      <c r="E2008" s="201">
        <v>45689</v>
      </c>
      <c r="F2008" s="200" t="s">
        <v>296</v>
      </c>
      <c r="G2008" s="200" t="s">
        <v>44</v>
      </c>
      <c r="H2008" s="200" t="s">
        <v>322</v>
      </c>
      <c r="I2008" s="200" t="s">
        <v>1885</v>
      </c>
    </row>
    <row r="2009" spans="1:9" ht="15" customHeight="1">
      <c r="A2009" s="199">
        <v>45692</v>
      </c>
      <c r="B2009" s="202" t="s">
        <v>1887</v>
      </c>
      <c r="C2009" s="200" t="s">
        <v>307</v>
      </c>
      <c r="D2009" s="204">
        <v>-400000</v>
      </c>
      <c r="E2009" s="201">
        <v>45689</v>
      </c>
      <c r="F2009" s="200" t="s">
        <v>296</v>
      </c>
      <c r="G2009" s="200" t="s">
        <v>44</v>
      </c>
      <c r="H2009" s="200" t="s">
        <v>1079</v>
      </c>
      <c r="I2009" s="200" t="s">
        <v>1885</v>
      </c>
    </row>
    <row r="2010" spans="1:9" ht="15" customHeight="1">
      <c r="A2010" s="199">
        <v>45693</v>
      </c>
      <c r="B2010" s="202" t="s">
        <v>977</v>
      </c>
      <c r="C2010" s="200" t="s">
        <v>307</v>
      </c>
      <c r="D2010" s="204">
        <v>-60000</v>
      </c>
      <c r="E2010" s="201">
        <v>45689</v>
      </c>
      <c r="F2010" s="200" t="s">
        <v>296</v>
      </c>
      <c r="G2010" s="200" t="s">
        <v>44</v>
      </c>
      <c r="H2010" s="200" t="s">
        <v>326</v>
      </c>
      <c r="I2010" s="200" t="s">
        <v>1885</v>
      </c>
    </row>
    <row r="2011" spans="1:9" ht="15" customHeight="1">
      <c r="A2011" s="199">
        <v>45694</v>
      </c>
      <c r="B2011" s="202" t="s">
        <v>1888</v>
      </c>
      <c r="C2011" s="200" t="s">
        <v>307</v>
      </c>
      <c r="D2011" s="204">
        <v>-156000</v>
      </c>
      <c r="E2011" s="201">
        <v>45689</v>
      </c>
      <c r="F2011" s="200" t="s">
        <v>296</v>
      </c>
      <c r="G2011" s="200" t="s">
        <v>44</v>
      </c>
      <c r="H2011" s="200" t="s">
        <v>429</v>
      </c>
      <c r="I2011" s="200" t="s">
        <v>1885</v>
      </c>
    </row>
    <row r="2012" spans="1:9" ht="15" customHeight="1">
      <c r="A2012" s="199">
        <v>45694</v>
      </c>
      <c r="B2012" s="202" t="s">
        <v>980</v>
      </c>
      <c r="C2012" s="200" t="s">
        <v>307</v>
      </c>
      <c r="D2012" s="204">
        <v>-150000</v>
      </c>
      <c r="E2012" s="201">
        <v>45689</v>
      </c>
      <c r="F2012" s="200" t="s">
        <v>296</v>
      </c>
      <c r="G2012" s="200" t="s">
        <v>44</v>
      </c>
      <c r="H2012" s="200" t="s">
        <v>326</v>
      </c>
      <c r="I2012" s="200" t="s">
        <v>1885</v>
      </c>
    </row>
    <row r="2013" spans="1:9" ht="15" customHeight="1">
      <c r="A2013" s="199">
        <v>45695</v>
      </c>
      <c r="B2013" s="202" t="s">
        <v>1889</v>
      </c>
      <c r="C2013" s="200" t="s">
        <v>307</v>
      </c>
      <c r="D2013" s="204">
        <v>-40000</v>
      </c>
      <c r="E2013" s="201">
        <v>45689</v>
      </c>
      <c r="F2013" s="200" t="s">
        <v>296</v>
      </c>
      <c r="G2013" s="200" t="s">
        <v>44</v>
      </c>
      <c r="H2013" s="200" t="s">
        <v>429</v>
      </c>
      <c r="I2013" s="200" t="s">
        <v>1885</v>
      </c>
    </row>
    <row r="2014" spans="1:9" ht="15" customHeight="1">
      <c r="A2014" s="199">
        <v>45684</v>
      </c>
      <c r="B2014" s="202" t="s">
        <v>1890</v>
      </c>
      <c r="C2014" s="200" t="s">
        <v>307</v>
      </c>
      <c r="D2014" s="204">
        <v>-14500</v>
      </c>
      <c r="E2014" s="201">
        <v>45689</v>
      </c>
      <c r="F2014" s="200" t="s">
        <v>296</v>
      </c>
      <c r="G2014" s="200" t="s">
        <v>522</v>
      </c>
      <c r="H2014" s="200" t="s">
        <v>326</v>
      </c>
      <c r="I2014" s="673" t="s">
        <v>1891</v>
      </c>
    </row>
    <row r="2015" spans="1:9" ht="15" customHeight="1">
      <c r="A2015" s="199">
        <v>45689</v>
      </c>
      <c r="B2015" s="202" t="s">
        <v>1892</v>
      </c>
      <c r="C2015" s="200" t="s">
        <v>307</v>
      </c>
      <c r="D2015" s="204">
        <v>-14500</v>
      </c>
      <c r="E2015" s="201">
        <v>45689</v>
      </c>
      <c r="F2015" s="200" t="s">
        <v>296</v>
      </c>
      <c r="G2015" s="200" t="s">
        <v>522</v>
      </c>
      <c r="H2015" s="200" t="s">
        <v>326</v>
      </c>
      <c r="I2015" s="200" t="s">
        <v>1891</v>
      </c>
    </row>
    <row r="2016" spans="1:9" ht="15" customHeight="1">
      <c r="A2016" s="199">
        <v>45691</v>
      </c>
      <c r="B2016" s="202" t="s">
        <v>1890</v>
      </c>
      <c r="C2016" s="200" t="s">
        <v>307</v>
      </c>
      <c r="D2016" s="204">
        <v>-14500</v>
      </c>
      <c r="E2016" s="201">
        <v>45689</v>
      </c>
      <c r="F2016" s="200" t="s">
        <v>296</v>
      </c>
      <c r="G2016" s="200" t="s">
        <v>522</v>
      </c>
      <c r="H2016" s="200" t="s">
        <v>326</v>
      </c>
      <c r="I2016" s="200" t="s">
        <v>1891</v>
      </c>
    </row>
    <row r="2017" spans="1:9" ht="15" customHeight="1">
      <c r="A2017" s="199">
        <v>45691</v>
      </c>
      <c r="B2017" s="202" t="s">
        <v>1893</v>
      </c>
      <c r="C2017" s="200" t="s">
        <v>307</v>
      </c>
      <c r="D2017" s="204">
        <v>-60000</v>
      </c>
      <c r="E2017" s="201">
        <v>45689</v>
      </c>
      <c r="F2017" s="200" t="s">
        <v>296</v>
      </c>
      <c r="G2017" s="200" t="s">
        <v>522</v>
      </c>
      <c r="H2017" s="200" t="s">
        <v>490</v>
      </c>
      <c r="I2017" s="200" t="s">
        <v>1891</v>
      </c>
    </row>
    <row r="2018" spans="1:9" ht="15" customHeight="1">
      <c r="A2018" s="199">
        <v>45691</v>
      </c>
      <c r="B2018" s="202" t="s">
        <v>1892</v>
      </c>
      <c r="C2018" s="200" t="s">
        <v>307</v>
      </c>
      <c r="D2018" s="204">
        <v>-14500</v>
      </c>
      <c r="E2018" s="201">
        <v>45689</v>
      </c>
      <c r="F2018" s="200" t="s">
        <v>296</v>
      </c>
      <c r="G2018" s="200" t="s">
        <v>522</v>
      </c>
      <c r="H2018" s="200" t="s">
        <v>326</v>
      </c>
      <c r="I2018" s="200" t="s">
        <v>1891</v>
      </c>
    </row>
    <row r="2019" spans="1:9" ht="15" customHeight="1">
      <c r="A2019" s="199">
        <v>45694</v>
      </c>
      <c r="B2019" s="202" t="s">
        <v>1084</v>
      </c>
      <c r="C2019" s="200" t="s">
        <v>307</v>
      </c>
      <c r="D2019" s="204">
        <v>-15000</v>
      </c>
      <c r="E2019" s="201">
        <v>45689</v>
      </c>
      <c r="F2019" s="200" t="s">
        <v>296</v>
      </c>
      <c r="G2019" s="200" t="s">
        <v>522</v>
      </c>
      <c r="H2019" s="200" t="s">
        <v>490</v>
      </c>
      <c r="I2019" s="200" t="s">
        <v>1891</v>
      </c>
    </row>
    <row r="2020" spans="1:9" ht="15" customHeight="1">
      <c r="A2020" s="199">
        <v>45694</v>
      </c>
      <c r="B2020" s="202" t="s">
        <v>1894</v>
      </c>
      <c r="C2020" s="200" t="s">
        <v>307</v>
      </c>
      <c r="D2020" s="204">
        <v>-23000</v>
      </c>
      <c r="E2020" s="201">
        <v>45689</v>
      </c>
      <c r="F2020" s="200" t="s">
        <v>296</v>
      </c>
      <c r="G2020" s="200" t="s">
        <v>522</v>
      </c>
      <c r="H2020" s="200" t="s">
        <v>326</v>
      </c>
      <c r="I2020" s="200" t="s">
        <v>1891</v>
      </c>
    </row>
    <row r="2021" spans="1:9" ht="15" customHeight="1">
      <c r="A2021" s="199">
        <v>45695</v>
      </c>
      <c r="B2021" s="202" t="s">
        <v>1895</v>
      </c>
      <c r="C2021" s="200" t="s">
        <v>307</v>
      </c>
      <c r="D2021" s="204">
        <v>-304000</v>
      </c>
      <c r="E2021" s="201">
        <v>45689</v>
      </c>
      <c r="F2021" s="200" t="s">
        <v>296</v>
      </c>
      <c r="G2021" s="200" t="s">
        <v>522</v>
      </c>
      <c r="H2021" s="200" t="s">
        <v>490</v>
      </c>
      <c r="I2021" s="200" t="s">
        <v>1891</v>
      </c>
    </row>
    <row r="2022" spans="1:9" ht="15" customHeight="1">
      <c r="A2022" s="199">
        <v>45695</v>
      </c>
      <c r="B2022" s="202" t="s">
        <v>1896</v>
      </c>
      <c r="C2022" s="200" t="s">
        <v>307</v>
      </c>
      <c r="D2022" s="204">
        <v>-50000</v>
      </c>
      <c r="E2022" s="201">
        <v>45689</v>
      </c>
      <c r="F2022" s="200" t="s">
        <v>296</v>
      </c>
      <c r="G2022" s="200" t="s">
        <v>522</v>
      </c>
      <c r="H2022" s="200" t="s">
        <v>1079</v>
      </c>
      <c r="I2022" s="200" t="s">
        <v>1891</v>
      </c>
    </row>
    <row r="2023" spans="1:9" ht="15" customHeight="1">
      <c r="A2023" s="199">
        <v>45695</v>
      </c>
      <c r="B2023" s="202" t="s">
        <v>1897</v>
      </c>
      <c r="C2023" s="200" t="s">
        <v>307</v>
      </c>
      <c r="D2023" s="204">
        <v>-927000</v>
      </c>
      <c r="E2023" s="201">
        <v>45689</v>
      </c>
      <c r="F2023" s="200" t="s">
        <v>296</v>
      </c>
      <c r="G2023" s="200" t="s">
        <v>522</v>
      </c>
      <c r="H2023" s="200" t="s">
        <v>322</v>
      </c>
      <c r="I2023" s="200" t="s">
        <v>1891</v>
      </c>
    </row>
    <row r="2024" spans="1:9" ht="15" customHeight="1">
      <c r="A2024" s="199">
        <v>45693</v>
      </c>
      <c r="B2024" s="202" t="s">
        <v>1898</v>
      </c>
      <c r="C2024" s="200" t="s">
        <v>307</v>
      </c>
      <c r="D2024" s="204">
        <v>-26600</v>
      </c>
      <c r="E2024" s="201">
        <v>45689</v>
      </c>
      <c r="F2024" s="200" t="s">
        <v>297</v>
      </c>
      <c r="G2024" s="200" t="s">
        <v>1313</v>
      </c>
      <c r="H2024" s="200" t="s">
        <v>350</v>
      </c>
      <c r="I2024" s="200" t="s">
        <v>1899</v>
      </c>
    </row>
    <row r="2025" spans="1:9" ht="15" customHeight="1">
      <c r="A2025" s="199">
        <v>45700</v>
      </c>
      <c r="B2025" s="202" t="s">
        <v>1900</v>
      </c>
      <c r="C2025" s="200" t="s">
        <v>307</v>
      </c>
      <c r="D2025" s="204">
        <v>-2333.3333333333335</v>
      </c>
      <c r="E2025" s="201">
        <v>45689</v>
      </c>
      <c r="F2025" s="200" t="s">
        <v>296</v>
      </c>
      <c r="G2025" s="200" t="s">
        <v>337</v>
      </c>
      <c r="H2025" s="200" t="s">
        <v>326</v>
      </c>
      <c r="I2025" s="704" t="s">
        <v>1901</v>
      </c>
    </row>
    <row r="2026" spans="1:9" ht="15" customHeight="1">
      <c r="A2026" s="199">
        <v>45700</v>
      </c>
      <c r="B2026" s="202" t="s">
        <v>1900</v>
      </c>
      <c r="C2026" s="200" t="s">
        <v>307</v>
      </c>
      <c r="D2026" s="204">
        <v>-2333.3333333333335</v>
      </c>
      <c r="E2026" s="201">
        <v>45689</v>
      </c>
      <c r="F2026" s="200" t="s">
        <v>296</v>
      </c>
      <c r="G2026" s="200" t="s">
        <v>44</v>
      </c>
      <c r="H2026" s="200" t="s">
        <v>326</v>
      </c>
      <c r="I2026" s="200" t="s">
        <v>1901</v>
      </c>
    </row>
    <row r="2027" spans="1:9" ht="15" customHeight="1">
      <c r="A2027" s="199">
        <v>45700</v>
      </c>
      <c r="B2027" s="202" t="s">
        <v>1900</v>
      </c>
      <c r="C2027" s="200" t="s">
        <v>307</v>
      </c>
      <c r="D2027" s="204">
        <v>-2333.3333333333335</v>
      </c>
      <c r="E2027" s="201">
        <v>45689</v>
      </c>
      <c r="F2027" s="200" t="s">
        <v>296</v>
      </c>
      <c r="G2027" s="200" t="s">
        <v>522</v>
      </c>
      <c r="H2027" s="200" t="s">
        <v>326</v>
      </c>
      <c r="I2027" s="673" t="s">
        <v>1901</v>
      </c>
    </row>
    <row r="2028" spans="1:9" ht="15" customHeight="1">
      <c r="A2028" s="199">
        <v>45700</v>
      </c>
      <c r="B2028" s="202" t="s">
        <v>1018</v>
      </c>
      <c r="C2028" s="200" t="s">
        <v>307</v>
      </c>
      <c r="D2028" s="204">
        <v>-3333.3333333333335</v>
      </c>
      <c r="E2028" s="201">
        <v>45689</v>
      </c>
      <c r="F2028" s="200" t="s">
        <v>296</v>
      </c>
      <c r="G2028" s="200" t="s">
        <v>337</v>
      </c>
      <c r="H2028" s="200" t="s">
        <v>326</v>
      </c>
      <c r="I2028" s="704" t="s">
        <v>1901</v>
      </c>
    </row>
    <row r="2029" spans="1:9" ht="15" customHeight="1">
      <c r="A2029" s="199">
        <v>45700</v>
      </c>
      <c r="B2029" s="202" t="s">
        <v>1018</v>
      </c>
      <c r="C2029" s="200" t="s">
        <v>307</v>
      </c>
      <c r="D2029" s="204">
        <v>-3333.3333333333335</v>
      </c>
      <c r="E2029" s="201">
        <v>45689</v>
      </c>
      <c r="F2029" s="200" t="s">
        <v>296</v>
      </c>
      <c r="G2029" s="200" t="s">
        <v>44</v>
      </c>
      <c r="H2029" s="200" t="s">
        <v>326</v>
      </c>
      <c r="I2029" s="200" t="s">
        <v>1901</v>
      </c>
    </row>
    <row r="2030" spans="1:9" ht="15" customHeight="1">
      <c r="A2030" s="199">
        <v>45700</v>
      </c>
      <c r="B2030" s="202" t="s">
        <v>1018</v>
      </c>
      <c r="C2030" s="200" t="s">
        <v>307</v>
      </c>
      <c r="D2030" s="204">
        <v>-3333.3333333333335</v>
      </c>
      <c r="E2030" s="201">
        <v>45689</v>
      </c>
      <c r="F2030" s="200" t="s">
        <v>296</v>
      </c>
      <c r="G2030" s="200" t="s">
        <v>522</v>
      </c>
      <c r="H2030" s="200" t="s">
        <v>326</v>
      </c>
      <c r="I2030" s="673" t="s">
        <v>1901</v>
      </c>
    </row>
    <row r="2031" spans="1:9" ht="15" customHeight="1">
      <c r="A2031" s="199">
        <v>45700</v>
      </c>
      <c r="B2031" s="202" t="s">
        <v>1745</v>
      </c>
      <c r="C2031" s="200" t="s">
        <v>307</v>
      </c>
      <c r="D2031" s="204">
        <v>-5666.666666666667</v>
      </c>
      <c r="E2031" s="201">
        <v>45689</v>
      </c>
      <c r="F2031" s="200" t="s">
        <v>296</v>
      </c>
      <c r="G2031" s="200" t="s">
        <v>337</v>
      </c>
      <c r="H2031" s="200" t="s">
        <v>326</v>
      </c>
      <c r="I2031" s="704" t="s">
        <v>1901</v>
      </c>
    </row>
    <row r="2032" spans="1:9" ht="15" customHeight="1">
      <c r="A2032" s="199">
        <v>45700</v>
      </c>
      <c r="B2032" s="202" t="s">
        <v>1745</v>
      </c>
      <c r="C2032" s="200" t="s">
        <v>307</v>
      </c>
      <c r="D2032" s="204">
        <v>-5666.666666666667</v>
      </c>
      <c r="E2032" s="201">
        <v>45689</v>
      </c>
      <c r="F2032" s="200" t="s">
        <v>296</v>
      </c>
      <c r="G2032" s="200" t="s">
        <v>44</v>
      </c>
      <c r="H2032" s="200" t="s">
        <v>326</v>
      </c>
      <c r="I2032" s="200" t="s">
        <v>1901</v>
      </c>
    </row>
    <row r="2033" spans="1:9" ht="15" customHeight="1">
      <c r="A2033" s="199">
        <v>45700</v>
      </c>
      <c r="B2033" s="202" t="s">
        <v>1745</v>
      </c>
      <c r="C2033" s="200" t="s">
        <v>307</v>
      </c>
      <c r="D2033" s="204">
        <v>-5666.666666666667</v>
      </c>
      <c r="E2033" s="201">
        <v>45689</v>
      </c>
      <c r="F2033" s="200" t="s">
        <v>296</v>
      </c>
      <c r="G2033" s="200" t="s">
        <v>522</v>
      </c>
      <c r="H2033" s="200" t="s">
        <v>326</v>
      </c>
      <c r="I2033" s="673" t="s">
        <v>1901</v>
      </c>
    </row>
    <row r="2034" spans="1:9" ht="15" customHeight="1">
      <c r="A2034" s="199">
        <v>45700</v>
      </c>
      <c r="B2034" s="202" t="s">
        <v>1902</v>
      </c>
      <c r="C2034" s="200" t="s">
        <v>307</v>
      </c>
      <c r="D2034" s="204">
        <v>-6666.666666666667</v>
      </c>
      <c r="E2034" s="201">
        <v>45689</v>
      </c>
      <c r="F2034" s="200" t="s">
        <v>296</v>
      </c>
      <c r="G2034" s="200" t="s">
        <v>337</v>
      </c>
      <c r="H2034" s="200" t="s">
        <v>326</v>
      </c>
      <c r="I2034" s="704" t="s">
        <v>1901</v>
      </c>
    </row>
    <row r="2035" spans="1:9" ht="15" customHeight="1">
      <c r="A2035" s="199">
        <v>45700</v>
      </c>
      <c r="B2035" s="202" t="s">
        <v>1902</v>
      </c>
      <c r="C2035" s="200" t="s">
        <v>307</v>
      </c>
      <c r="D2035" s="204">
        <v>-6666.666666666667</v>
      </c>
      <c r="E2035" s="201">
        <v>45689</v>
      </c>
      <c r="F2035" s="200" t="s">
        <v>296</v>
      </c>
      <c r="G2035" s="200" t="s">
        <v>44</v>
      </c>
      <c r="H2035" s="200" t="s">
        <v>326</v>
      </c>
      <c r="I2035" s="200" t="s">
        <v>1901</v>
      </c>
    </row>
    <row r="2036" spans="1:9" ht="15" customHeight="1">
      <c r="A2036" s="199">
        <v>45700</v>
      </c>
      <c r="B2036" s="202" t="s">
        <v>1902</v>
      </c>
      <c r="C2036" s="200" t="s">
        <v>307</v>
      </c>
      <c r="D2036" s="204">
        <v>-6666.666666666667</v>
      </c>
      <c r="E2036" s="201">
        <v>45689</v>
      </c>
      <c r="F2036" s="200" t="s">
        <v>296</v>
      </c>
      <c r="G2036" s="200" t="s">
        <v>522</v>
      </c>
      <c r="H2036" s="200" t="s">
        <v>326</v>
      </c>
      <c r="I2036" s="673" t="s">
        <v>1901</v>
      </c>
    </row>
    <row r="2037" spans="1:9" ht="15" customHeight="1">
      <c r="A2037" s="199">
        <v>45693</v>
      </c>
      <c r="B2037" s="202" t="s">
        <v>1903</v>
      </c>
      <c r="C2037" s="200" t="s">
        <v>307</v>
      </c>
      <c r="D2037" s="204">
        <v>-102400</v>
      </c>
      <c r="E2037" s="201">
        <v>45689</v>
      </c>
      <c r="F2037" s="200" t="s">
        <v>296</v>
      </c>
      <c r="G2037" s="200" t="s">
        <v>522</v>
      </c>
      <c r="H2037" s="200" t="s">
        <v>322</v>
      </c>
    </row>
    <row r="2038" spans="1:9" ht="15" customHeight="1">
      <c r="A2038" s="199">
        <v>45699</v>
      </c>
      <c r="B2038" s="202" t="s">
        <v>1904</v>
      </c>
      <c r="C2038" s="200" t="s">
        <v>307</v>
      </c>
      <c r="D2038" s="204">
        <v>-3500</v>
      </c>
      <c r="E2038" s="201">
        <v>45689</v>
      </c>
      <c r="F2038" s="200" t="s">
        <v>256</v>
      </c>
      <c r="G2038" s="200" t="s">
        <v>256</v>
      </c>
      <c r="H2038" s="200" t="s">
        <v>267</v>
      </c>
    </row>
    <row r="2039" spans="1:9" ht="15" customHeight="1">
      <c r="A2039" s="199">
        <v>45699</v>
      </c>
      <c r="B2039" s="202" t="s">
        <v>1905</v>
      </c>
      <c r="C2039" s="200" t="s">
        <v>307</v>
      </c>
      <c r="D2039" s="204">
        <v>-13200</v>
      </c>
      <c r="E2039" s="201">
        <v>45689</v>
      </c>
      <c r="F2039" s="200" t="s">
        <v>296</v>
      </c>
      <c r="G2039" s="200" t="s">
        <v>328</v>
      </c>
      <c r="H2039" s="200" t="s">
        <v>268</v>
      </c>
    </row>
    <row r="2040" spans="1:9" ht="15" customHeight="1">
      <c r="A2040" s="199">
        <v>45691</v>
      </c>
      <c r="B2040" s="202" t="s">
        <v>1906</v>
      </c>
      <c r="C2040" s="200" t="s">
        <v>307</v>
      </c>
      <c r="D2040" s="204">
        <v>-13400</v>
      </c>
      <c r="E2040" s="201">
        <v>45689</v>
      </c>
      <c r="F2040" s="200" t="s">
        <v>296</v>
      </c>
      <c r="G2040" s="200" t="s">
        <v>390</v>
      </c>
      <c r="H2040" s="200" t="s">
        <v>268</v>
      </c>
      <c r="I2040" s="704" t="s">
        <v>718</v>
      </c>
    </row>
    <row r="2041" spans="1:9" ht="15" customHeight="1">
      <c r="A2041" s="199">
        <v>45695</v>
      </c>
      <c r="B2041" s="202" t="s">
        <v>1907</v>
      </c>
      <c r="C2041" s="200" t="s">
        <v>307</v>
      </c>
      <c r="D2041" s="204">
        <v>-22000</v>
      </c>
      <c r="E2041" s="201">
        <v>45689</v>
      </c>
      <c r="F2041" s="200" t="s">
        <v>296</v>
      </c>
      <c r="G2041" s="200" t="s">
        <v>44</v>
      </c>
      <c r="H2041" s="200" t="s">
        <v>326</v>
      </c>
      <c r="I2041" s="200" t="s">
        <v>718</v>
      </c>
    </row>
    <row r="2042" spans="1:9" ht="14.1">
      <c r="A2042" s="199">
        <v>45695</v>
      </c>
      <c r="B2042" s="202" t="s">
        <v>1908</v>
      </c>
      <c r="C2042" s="200" t="s">
        <v>307</v>
      </c>
      <c r="D2042" s="204">
        <v>-25000</v>
      </c>
      <c r="E2042" s="201">
        <v>45689</v>
      </c>
      <c r="F2042" s="200" t="s">
        <v>296</v>
      </c>
      <c r="G2042" s="200" t="s">
        <v>337</v>
      </c>
      <c r="H2042" s="200" t="s">
        <v>326</v>
      </c>
      <c r="I2042" s="673" t="s">
        <v>718</v>
      </c>
    </row>
    <row r="2043" spans="1:9" ht="14.1">
      <c r="A2043" s="199">
        <v>45695</v>
      </c>
      <c r="B2043" s="202" t="s">
        <v>729</v>
      </c>
      <c r="C2043" s="200" t="s">
        <v>307</v>
      </c>
      <c r="D2043" s="204">
        <v>-12000</v>
      </c>
      <c r="E2043" s="201">
        <v>45689</v>
      </c>
      <c r="F2043" s="200" t="s">
        <v>296</v>
      </c>
      <c r="G2043" s="200" t="s">
        <v>522</v>
      </c>
      <c r="H2043" s="200" t="s">
        <v>326</v>
      </c>
      <c r="I2043" s="200" t="s">
        <v>718</v>
      </c>
    </row>
    <row r="2044" spans="1:9" ht="15" customHeight="1">
      <c r="A2044" s="199">
        <v>45699</v>
      </c>
      <c r="B2044" s="202" t="s">
        <v>1909</v>
      </c>
      <c r="C2044" s="200" t="s">
        <v>307</v>
      </c>
      <c r="D2044" s="204">
        <v>-7000</v>
      </c>
      <c r="E2044" s="201">
        <v>45689</v>
      </c>
      <c r="F2044" s="200" t="s">
        <v>296</v>
      </c>
      <c r="G2044" s="200" t="s">
        <v>984</v>
      </c>
      <c r="H2044" s="200" t="s">
        <v>268</v>
      </c>
      <c r="I2044" s="200" t="s">
        <v>718</v>
      </c>
    </row>
    <row r="2045" spans="1:9" ht="15" customHeight="1">
      <c r="A2045" s="199">
        <v>45700</v>
      </c>
      <c r="B2045" s="202" t="s">
        <v>1910</v>
      </c>
      <c r="C2045" s="200" t="s">
        <v>307</v>
      </c>
      <c r="D2045" s="204">
        <v>-85000</v>
      </c>
      <c r="E2045" s="201">
        <v>45689</v>
      </c>
      <c r="F2045" s="200" t="s">
        <v>256</v>
      </c>
      <c r="G2045" s="200" t="s">
        <v>256</v>
      </c>
      <c r="H2045" s="200" t="s">
        <v>263</v>
      </c>
    </row>
    <row r="2046" spans="1:9" ht="15" customHeight="1">
      <c r="A2046" s="199">
        <v>45700</v>
      </c>
      <c r="B2046" s="202" t="s">
        <v>1911</v>
      </c>
      <c r="C2046" s="200" t="s">
        <v>307</v>
      </c>
      <c r="D2046" s="204">
        <v>-59400</v>
      </c>
      <c r="E2046" s="201">
        <v>45689</v>
      </c>
      <c r="F2046" s="200" t="s">
        <v>256</v>
      </c>
      <c r="G2046" s="200" t="s">
        <v>256</v>
      </c>
      <c r="H2046" s="200" t="s">
        <v>263</v>
      </c>
    </row>
    <row r="2047" spans="1:9" ht="15" customHeight="1">
      <c r="A2047" s="199">
        <v>45700</v>
      </c>
      <c r="B2047" s="202" t="s">
        <v>1912</v>
      </c>
      <c r="C2047" s="200" t="s">
        <v>307</v>
      </c>
      <c r="D2047" s="204">
        <v>-5600</v>
      </c>
      <c r="E2047" s="201">
        <v>45689</v>
      </c>
      <c r="F2047" s="200" t="s">
        <v>256</v>
      </c>
      <c r="G2047" s="200" t="s">
        <v>256</v>
      </c>
      <c r="H2047" s="200" t="s">
        <v>268</v>
      </c>
    </row>
    <row r="2048" spans="1:9" ht="15" customHeight="1">
      <c r="A2048" s="199">
        <v>45693</v>
      </c>
      <c r="B2048" s="202" t="s">
        <v>1913</v>
      </c>
      <c r="C2048" s="200" t="s">
        <v>307</v>
      </c>
      <c r="D2048" s="204">
        <v>-8500</v>
      </c>
      <c r="E2048" s="201">
        <v>45689</v>
      </c>
      <c r="F2048" s="200" t="s">
        <v>296</v>
      </c>
      <c r="G2048" s="200" t="s">
        <v>337</v>
      </c>
      <c r="H2048" s="200" t="s">
        <v>326</v>
      </c>
      <c r="I2048" s="704" t="s">
        <v>1901</v>
      </c>
    </row>
    <row r="2049" spans="1:9" ht="15" customHeight="1">
      <c r="A2049" s="199">
        <v>45693</v>
      </c>
      <c r="B2049" s="202" t="s">
        <v>1913</v>
      </c>
      <c r="C2049" s="200" t="s">
        <v>307</v>
      </c>
      <c r="D2049" s="204">
        <v>-8500</v>
      </c>
      <c r="E2049" s="201">
        <v>45689</v>
      </c>
      <c r="F2049" s="200" t="s">
        <v>296</v>
      </c>
      <c r="G2049" s="200" t="s">
        <v>44</v>
      </c>
      <c r="H2049" s="200" t="s">
        <v>326</v>
      </c>
      <c r="I2049" s="200" t="s">
        <v>1901</v>
      </c>
    </row>
    <row r="2050" spans="1:9" ht="15" customHeight="1">
      <c r="A2050" s="199">
        <v>45693</v>
      </c>
      <c r="B2050" s="202" t="s">
        <v>1914</v>
      </c>
      <c r="C2050" s="200" t="s">
        <v>307</v>
      </c>
      <c r="D2050" s="204">
        <v>-7500</v>
      </c>
      <c r="E2050" s="201">
        <v>45689</v>
      </c>
      <c r="F2050" s="200" t="s">
        <v>296</v>
      </c>
      <c r="G2050" s="200" t="s">
        <v>337</v>
      </c>
      <c r="H2050" s="200" t="s">
        <v>326</v>
      </c>
      <c r="I2050" s="707" t="s">
        <v>1901</v>
      </c>
    </row>
    <row r="2051" spans="1:9" ht="15" customHeight="1">
      <c r="A2051" s="199">
        <v>45693</v>
      </c>
      <c r="B2051" s="202" t="s">
        <v>1914</v>
      </c>
      <c r="C2051" s="200" t="s">
        <v>307</v>
      </c>
      <c r="D2051" s="204">
        <v>-7500</v>
      </c>
      <c r="E2051" s="201">
        <v>45689</v>
      </c>
      <c r="F2051" s="200" t="s">
        <v>296</v>
      </c>
      <c r="G2051" s="200" t="s">
        <v>44</v>
      </c>
      <c r="H2051" s="200" t="s">
        <v>326</v>
      </c>
      <c r="I2051" s="200" t="s">
        <v>1901</v>
      </c>
    </row>
    <row r="2052" spans="1:9" ht="15" customHeight="1">
      <c r="A2052" s="199">
        <v>45693</v>
      </c>
      <c r="B2052" s="202" t="s">
        <v>1915</v>
      </c>
      <c r="C2052" s="200" t="s">
        <v>307</v>
      </c>
      <c r="D2052" s="204">
        <v>-7500</v>
      </c>
      <c r="E2052" s="201">
        <v>45689</v>
      </c>
      <c r="F2052" s="200" t="s">
        <v>296</v>
      </c>
      <c r="G2052" s="200" t="s">
        <v>337</v>
      </c>
      <c r="H2052" s="200" t="s">
        <v>326</v>
      </c>
      <c r="I2052" s="707" t="s">
        <v>1901</v>
      </c>
    </row>
    <row r="2053" spans="1:9" ht="15" customHeight="1">
      <c r="A2053" s="199">
        <v>45693</v>
      </c>
      <c r="B2053" s="202" t="s">
        <v>1915</v>
      </c>
      <c r="C2053" s="200" t="s">
        <v>307</v>
      </c>
      <c r="D2053" s="204">
        <v>-7500</v>
      </c>
      <c r="E2053" s="201">
        <v>45689</v>
      </c>
      <c r="F2053" s="200" t="s">
        <v>296</v>
      </c>
      <c r="G2053" s="200" t="s">
        <v>44</v>
      </c>
      <c r="H2053" s="200" t="s">
        <v>326</v>
      </c>
      <c r="I2053" s="200" t="s">
        <v>1901</v>
      </c>
    </row>
    <row r="2054" spans="1:9" ht="15" customHeight="1">
      <c r="A2054" s="199">
        <v>45693</v>
      </c>
      <c r="B2054" s="202" t="s">
        <v>1018</v>
      </c>
      <c r="C2054" s="200" t="s">
        <v>307</v>
      </c>
      <c r="D2054" s="204">
        <v>-3333.3333333333335</v>
      </c>
      <c r="E2054" s="201">
        <v>45689</v>
      </c>
      <c r="F2054" s="200" t="s">
        <v>296</v>
      </c>
      <c r="G2054" s="200" t="s">
        <v>337</v>
      </c>
      <c r="H2054" s="200" t="s">
        <v>326</v>
      </c>
      <c r="I2054" s="707" t="s">
        <v>1901</v>
      </c>
    </row>
    <row r="2055" spans="1:9" ht="15" customHeight="1">
      <c r="A2055" s="199">
        <v>45693</v>
      </c>
      <c r="B2055" s="202" t="s">
        <v>1018</v>
      </c>
      <c r="C2055" s="200" t="s">
        <v>307</v>
      </c>
      <c r="D2055" s="204">
        <v>-3333.3333333333335</v>
      </c>
      <c r="E2055" s="201">
        <v>45689</v>
      </c>
      <c r="F2055" s="200" t="s">
        <v>296</v>
      </c>
      <c r="G2055" s="200" t="s">
        <v>44</v>
      </c>
      <c r="H2055" s="200" t="s">
        <v>326</v>
      </c>
      <c r="I2055" s="200" t="s">
        <v>1901</v>
      </c>
    </row>
    <row r="2056" spans="1:9" ht="15" customHeight="1">
      <c r="A2056" s="199">
        <v>45693</v>
      </c>
      <c r="B2056" s="202" t="s">
        <v>1018</v>
      </c>
      <c r="C2056" s="200" t="s">
        <v>307</v>
      </c>
      <c r="D2056" s="204">
        <v>-3333.3333333333335</v>
      </c>
      <c r="E2056" s="201">
        <v>45689</v>
      </c>
      <c r="F2056" s="200" t="s">
        <v>296</v>
      </c>
      <c r="G2056" s="200" t="s">
        <v>522</v>
      </c>
      <c r="H2056" s="200" t="s">
        <v>326</v>
      </c>
      <c r="I2056" s="673" t="s">
        <v>1901</v>
      </c>
    </row>
    <row r="2057" spans="1:9" ht="15" customHeight="1">
      <c r="A2057" s="199">
        <v>45694</v>
      </c>
      <c r="B2057" s="202" t="s">
        <v>1018</v>
      </c>
      <c r="C2057" s="200" t="s">
        <v>307</v>
      </c>
      <c r="D2057" s="204">
        <v>-3333.3333333333335</v>
      </c>
      <c r="E2057" s="201">
        <v>45689</v>
      </c>
      <c r="F2057" s="200" t="s">
        <v>296</v>
      </c>
      <c r="G2057" s="200" t="s">
        <v>337</v>
      </c>
      <c r="H2057" s="200" t="s">
        <v>326</v>
      </c>
      <c r="I2057" s="704" t="s">
        <v>1901</v>
      </c>
    </row>
    <row r="2058" spans="1:9" ht="15" customHeight="1">
      <c r="A2058" s="199">
        <v>45694</v>
      </c>
      <c r="B2058" s="202" t="s">
        <v>1018</v>
      </c>
      <c r="C2058" s="200" t="s">
        <v>307</v>
      </c>
      <c r="D2058" s="204">
        <v>-3333.3333333333335</v>
      </c>
      <c r="E2058" s="201">
        <v>45689</v>
      </c>
      <c r="F2058" s="200" t="s">
        <v>296</v>
      </c>
      <c r="G2058" s="200" t="s">
        <v>44</v>
      </c>
      <c r="H2058" s="200" t="s">
        <v>326</v>
      </c>
      <c r="I2058" s="200" t="s">
        <v>1901</v>
      </c>
    </row>
    <row r="2059" spans="1:9" ht="15" customHeight="1">
      <c r="A2059" s="199">
        <v>45694</v>
      </c>
      <c r="B2059" s="202" t="s">
        <v>1018</v>
      </c>
      <c r="C2059" s="200" t="s">
        <v>307</v>
      </c>
      <c r="D2059" s="204">
        <v>-3333.3333333333335</v>
      </c>
      <c r="E2059" s="201">
        <v>45689</v>
      </c>
      <c r="F2059" s="200" t="s">
        <v>296</v>
      </c>
      <c r="G2059" s="200" t="s">
        <v>522</v>
      </c>
      <c r="H2059" s="200" t="s">
        <v>326</v>
      </c>
      <c r="I2059" s="673" t="s">
        <v>1901</v>
      </c>
    </row>
    <row r="2060" spans="1:9" ht="15" customHeight="1">
      <c r="A2060" s="199">
        <v>45694</v>
      </c>
      <c r="B2060" s="202" t="s">
        <v>1916</v>
      </c>
      <c r="C2060" s="200" t="s">
        <v>307</v>
      </c>
      <c r="D2060" s="204">
        <v>-25333.333333333332</v>
      </c>
      <c r="E2060" s="201">
        <v>45689</v>
      </c>
      <c r="F2060" s="200" t="s">
        <v>296</v>
      </c>
      <c r="G2060" s="200" t="s">
        <v>337</v>
      </c>
      <c r="H2060" s="200" t="s">
        <v>326</v>
      </c>
      <c r="I2060" s="704" t="s">
        <v>1901</v>
      </c>
    </row>
    <row r="2061" spans="1:9" ht="15" customHeight="1">
      <c r="A2061" s="199">
        <v>45694</v>
      </c>
      <c r="B2061" s="202" t="s">
        <v>1916</v>
      </c>
      <c r="C2061" s="200" t="s">
        <v>307</v>
      </c>
      <c r="D2061" s="204">
        <v>-25333.333333333332</v>
      </c>
      <c r="E2061" s="201">
        <v>45689</v>
      </c>
      <c r="F2061" s="200" t="s">
        <v>296</v>
      </c>
      <c r="G2061" s="200" t="s">
        <v>44</v>
      </c>
      <c r="H2061" s="200" t="s">
        <v>326</v>
      </c>
      <c r="I2061" s="200" t="s">
        <v>1901</v>
      </c>
    </row>
    <row r="2062" spans="1:9" ht="15" customHeight="1">
      <c r="A2062" s="199">
        <v>45694</v>
      </c>
      <c r="B2062" s="202" t="s">
        <v>1917</v>
      </c>
      <c r="C2062" s="200" t="s">
        <v>307</v>
      </c>
      <c r="D2062" s="204">
        <v>-25333.333333333332</v>
      </c>
      <c r="E2062" s="201">
        <v>45689</v>
      </c>
      <c r="F2062" s="200" t="s">
        <v>296</v>
      </c>
      <c r="G2062" s="200" t="s">
        <v>522</v>
      </c>
      <c r="H2062" s="200" t="s">
        <v>326</v>
      </c>
      <c r="I2062" s="673" t="s">
        <v>1901</v>
      </c>
    </row>
    <row r="2063" spans="1:9" ht="15" customHeight="1">
      <c r="A2063" s="199">
        <v>45694</v>
      </c>
      <c r="B2063" s="202" t="s">
        <v>1918</v>
      </c>
      <c r="C2063" s="200" t="s">
        <v>307</v>
      </c>
      <c r="D2063" s="204">
        <v>-20000</v>
      </c>
      <c r="E2063" s="201">
        <v>45689</v>
      </c>
      <c r="F2063" s="200" t="s">
        <v>296</v>
      </c>
      <c r="G2063" s="200" t="s">
        <v>337</v>
      </c>
      <c r="H2063" s="200" t="s">
        <v>326</v>
      </c>
      <c r="I2063" s="704" t="s">
        <v>1901</v>
      </c>
    </row>
    <row r="2064" spans="1:9" ht="15" customHeight="1">
      <c r="A2064" s="199">
        <v>45694</v>
      </c>
      <c r="B2064" s="202" t="s">
        <v>1918</v>
      </c>
      <c r="C2064" s="200" t="s">
        <v>307</v>
      </c>
      <c r="D2064" s="204">
        <v>-20000</v>
      </c>
      <c r="E2064" s="201">
        <v>45689</v>
      </c>
      <c r="F2064" s="200" t="s">
        <v>296</v>
      </c>
      <c r="G2064" s="200" t="s">
        <v>44</v>
      </c>
      <c r="H2064" s="200" t="s">
        <v>326</v>
      </c>
      <c r="I2064" s="200" t="s">
        <v>1901</v>
      </c>
    </row>
    <row r="2065" spans="1:9" ht="15" customHeight="1">
      <c r="A2065" s="199">
        <v>45694</v>
      </c>
      <c r="B2065" s="202" t="s">
        <v>1918</v>
      </c>
      <c r="C2065" s="200" t="s">
        <v>307</v>
      </c>
      <c r="D2065" s="204">
        <v>-20000</v>
      </c>
      <c r="E2065" s="201">
        <v>45689</v>
      </c>
      <c r="F2065" s="200" t="s">
        <v>296</v>
      </c>
      <c r="G2065" s="200" t="s">
        <v>522</v>
      </c>
      <c r="H2065" s="200" t="s">
        <v>326</v>
      </c>
      <c r="I2065" s="673" t="s">
        <v>1901</v>
      </c>
    </row>
    <row r="2066" spans="1:9" ht="15" customHeight="1">
      <c r="A2066" s="199">
        <v>45701</v>
      </c>
      <c r="B2066" s="202" t="s">
        <v>1919</v>
      </c>
      <c r="C2066" s="200" t="s">
        <v>307</v>
      </c>
      <c r="D2066" s="204">
        <v>-130000</v>
      </c>
      <c r="E2066" s="201">
        <v>45689</v>
      </c>
      <c r="F2066" s="200" t="s">
        <v>256</v>
      </c>
      <c r="G2066" s="200" t="s">
        <v>256</v>
      </c>
      <c r="H2066" s="200" t="s">
        <v>268</v>
      </c>
      <c r="I2066" s="200" t="s">
        <v>1920</v>
      </c>
    </row>
    <row r="2067" spans="1:9" ht="15" customHeight="1">
      <c r="A2067" s="199">
        <v>45689</v>
      </c>
      <c r="B2067" s="202" t="s">
        <v>1921</v>
      </c>
      <c r="C2067" s="200" t="s">
        <v>307</v>
      </c>
      <c r="D2067" s="204">
        <v>-14500</v>
      </c>
      <c r="E2067" s="201">
        <v>45689</v>
      </c>
      <c r="F2067" s="200" t="s">
        <v>256</v>
      </c>
      <c r="G2067" s="200" t="s">
        <v>256</v>
      </c>
      <c r="H2067" s="200" t="s">
        <v>268</v>
      </c>
      <c r="I2067" s="200" t="s">
        <v>1920</v>
      </c>
    </row>
    <row r="2068" spans="1:9" ht="15" customHeight="1">
      <c r="A2068" s="199">
        <v>45689</v>
      </c>
      <c r="B2068" s="202" t="s">
        <v>1921</v>
      </c>
      <c r="C2068" s="200" t="s">
        <v>307</v>
      </c>
      <c r="D2068" s="204">
        <v>-12200</v>
      </c>
      <c r="E2068" s="201">
        <v>45689</v>
      </c>
      <c r="F2068" s="200" t="s">
        <v>256</v>
      </c>
      <c r="G2068" s="200" t="s">
        <v>256</v>
      </c>
      <c r="H2068" s="200" t="s">
        <v>268</v>
      </c>
      <c r="I2068" s="200" t="s">
        <v>1920</v>
      </c>
    </row>
    <row r="2069" spans="1:9" ht="15" customHeight="1">
      <c r="A2069" s="199">
        <v>45694</v>
      </c>
      <c r="B2069" s="202" t="s">
        <v>1921</v>
      </c>
      <c r="C2069" s="200" t="s">
        <v>307</v>
      </c>
      <c r="D2069" s="204">
        <v>-12200</v>
      </c>
      <c r="E2069" s="201">
        <v>45689</v>
      </c>
      <c r="F2069" s="200" t="s">
        <v>256</v>
      </c>
      <c r="G2069" s="200" t="s">
        <v>256</v>
      </c>
      <c r="H2069" s="200" t="s">
        <v>268</v>
      </c>
      <c r="I2069" s="200" t="s">
        <v>1920</v>
      </c>
    </row>
    <row r="2070" spans="1:9" ht="15" customHeight="1">
      <c r="A2070" s="199">
        <v>45697</v>
      </c>
      <c r="B2070" s="202" t="s">
        <v>1921</v>
      </c>
      <c r="C2070" s="200" t="s">
        <v>307</v>
      </c>
      <c r="D2070" s="204">
        <v>-14500</v>
      </c>
      <c r="E2070" s="201">
        <v>45689</v>
      </c>
      <c r="F2070" s="200" t="s">
        <v>256</v>
      </c>
      <c r="G2070" s="200" t="s">
        <v>256</v>
      </c>
      <c r="H2070" s="200" t="s">
        <v>268</v>
      </c>
      <c r="I2070" s="200" t="s">
        <v>1920</v>
      </c>
    </row>
    <row r="2071" spans="1:9" ht="15" customHeight="1">
      <c r="A2071" s="199">
        <v>45694</v>
      </c>
      <c r="B2071" s="202" t="s">
        <v>1922</v>
      </c>
      <c r="C2071" s="200" t="s">
        <v>307</v>
      </c>
      <c r="D2071" s="204">
        <v>-50000</v>
      </c>
      <c r="E2071" s="201">
        <v>45689</v>
      </c>
      <c r="F2071" s="200" t="s">
        <v>296</v>
      </c>
      <c r="G2071" s="200" t="s">
        <v>522</v>
      </c>
      <c r="H2071" s="200" t="s">
        <v>442</v>
      </c>
      <c r="I2071" s="200" t="s">
        <v>685</v>
      </c>
    </row>
    <row r="2072" spans="1:9" ht="15" customHeight="1">
      <c r="A2072" s="199">
        <v>45695</v>
      </c>
      <c r="B2072" s="202" t="s">
        <v>1923</v>
      </c>
      <c r="C2072" s="200" t="s">
        <v>307</v>
      </c>
      <c r="D2072" s="204">
        <v>-30000</v>
      </c>
      <c r="E2072" s="201">
        <v>45689</v>
      </c>
      <c r="F2072" s="200" t="s">
        <v>296</v>
      </c>
      <c r="G2072" s="200" t="s">
        <v>522</v>
      </c>
      <c r="H2072" s="200" t="s">
        <v>442</v>
      </c>
      <c r="I2072" s="200" t="s">
        <v>685</v>
      </c>
    </row>
    <row r="2073" spans="1:9" ht="15" customHeight="1">
      <c r="A2073" s="199">
        <v>45695</v>
      </c>
      <c r="B2073" s="202" t="s">
        <v>1924</v>
      </c>
      <c r="C2073" s="200" t="s">
        <v>307</v>
      </c>
      <c r="D2073" s="204">
        <v>-8500</v>
      </c>
      <c r="E2073" s="201">
        <v>45689</v>
      </c>
      <c r="F2073" s="200" t="s">
        <v>296</v>
      </c>
      <c r="G2073" s="200" t="s">
        <v>522</v>
      </c>
      <c r="H2073" s="200" t="s">
        <v>322</v>
      </c>
      <c r="I2073" s="200" t="s">
        <v>685</v>
      </c>
    </row>
    <row r="2074" spans="1:9" ht="15" customHeight="1">
      <c r="A2074" s="199">
        <v>45699</v>
      </c>
      <c r="B2074" s="202" t="s">
        <v>1925</v>
      </c>
      <c r="C2074" s="200" t="s">
        <v>307</v>
      </c>
      <c r="D2074" s="204">
        <v>-194864</v>
      </c>
      <c r="E2074" s="201">
        <v>45689</v>
      </c>
      <c r="F2074" s="200" t="s">
        <v>296</v>
      </c>
      <c r="G2074" s="200" t="s">
        <v>482</v>
      </c>
      <c r="H2074" s="200" t="s">
        <v>268</v>
      </c>
    </row>
    <row r="2075" spans="1:9" ht="15" customHeight="1">
      <c r="A2075" s="199">
        <v>45699</v>
      </c>
      <c r="B2075" s="202" t="s">
        <v>1925</v>
      </c>
      <c r="C2075" s="200" t="s">
        <v>307</v>
      </c>
      <c r="D2075" s="204">
        <v>-67000</v>
      </c>
      <c r="E2075" s="201">
        <v>45689</v>
      </c>
      <c r="F2075" s="200" t="s">
        <v>296</v>
      </c>
      <c r="G2075" s="200" t="s">
        <v>522</v>
      </c>
      <c r="H2075" s="200" t="s">
        <v>442</v>
      </c>
    </row>
    <row r="2076" spans="1:9" ht="15" customHeight="1">
      <c r="A2076" s="199">
        <v>45699</v>
      </c>
      <c r="B2076" s="202" t="s">
        <v>1925</v>
      </c>
      <c r="C2076" s="200" t="s">
        <v>307</v>
      </c>
      <c r="D2076" s="204">
        <v>-43000</v>
      </c>
      <c r="E2076" s="201">
        <v>45689</v>
      </c>
      <c r="F2076" s="200" t="s">
        <v>296</v>
      </c>
      <c r="G2076" s="531" t="s">
        <v>392</v>
      </c>
      <c r="H2076" s="200" t="s">
        <v>268</v>
      </c>
    </row>
    <row r="2077" spans="1:9" ht="15" customHeight="1">
      <c r="A2077" s="199">
        <v>45699</v>
      </c>
      <c r="B2077" s="202" t="s">
        <v>1925</v>
      </c>
      <c r="C2077" s="200" t="s">
        <v>307</v>
      </c>
      <c r="D2077" s="204">
        <v>-130000</v>
      </c>
      <c r="E2077" s="201">
        <v>45689</v>
      </c>
      <c r="F2077" s="200" t="s">
        <v>296</v>
      </c>
      <c r="G2077" s="200" t="s">
        <v>328</v>
      </c>
      <c r="H2077" s="200" t="s">
        <v>268</v>
      </c>
    </row>
    <row r="2078" spans="1:9" ht="15" customHeight="1">
      <c r="A2078" s="199">
        <v>45699</v>
      </c>
      <c r="B2078" s="202" t="s">
        <v>1925</v>
      </c>
      <c r="C2078" s="200" t="s">
        <v>307</v>
      </c>
      <c r="D2078" s="204">
        <v>-70000</v>
      </c>
      <c r="E2078" s="201">
        <v>45689</v>
      </c>
      <c r="F2078" s="200" t="s">
        <v>296</v>
      </c>
      <c r="G2078" s="200" t="s">
        <v>390</v>
      </c>
      <c r="H2078" s="200" t="s">
        <v>268</v>
      </c>
    </row>
    <row r="2079" spans="1:9" ht="15" customHeight="1">
      <c r="A2079" s="199">
        <v>45699</v>
      </c>
      <c r="B2079" s="202" t="s">
        <v>1925</v>
      </c>
      <c r="C2079" s="200" t="s">
        <v>307</v>
      </c>
      <c r="D2079" s="204">
        <v>-7000</v>
      </c>
      <c r="E2079" s="201">
        <v>45689</v>
      </c>
      <c r="F2079" s="200" t="s">
        <v>297</v>
      </c>
      <c r="G2079" s="200" t="s">
        <v>388</v>
      </c>
      <c r="H2079" s="200" t="s">
        <v>268</v>
      </c>
    </row>
    <row r="2080" spans="1:9" ht="15" customHeight="1">
      <c r="A2080" s="199">
        <v>45699</v>
      </c>
      <c r="B2080" s="202" t="s">
        <v>1925</v>
      </c>
      <c r="C2080" s="200" t="s">
        <v>307</v>
      </c>
      <c r="D2080" s="204">
        <v>-50000</v>
      </c>
      <c r="E2080" s="201">
        <v>45689</v>
      </c>
      <c r="F2080" s="200" t="s">
        <v>296</v>
      </c>
      <c r="G2080" s="200" t="s">
        <v>984</v>
      </c>
      <c r="H2080" s="200" t="s">
        <v>268</v>
      </c>
    </row>
    <row r="2081" spans="1:9" ht="15" customHeight="1">
      <c r="A2081" s="199">
        <v>45699</v>
      </c>
      <c r="B2081" s="202" t="s">
        <v>1926</v>
      </c>
      <c r="C2081" s="200" t="s">
        <v>372</v>
      </c>
      <c r="D2081" s="204">
        <v>-5710</v>
      </c>
      <c r="E2081" s="201">
        <v>45689</v>
      </c>
      <c r="F2081" s="200" t="s">
        <v>296</v>
      </c>
      <c r="G2081" s="200" t="s">
        <v>482</v>
      </c>
      <c r="H2081" s="200" t="s">
        <v>268</v>
      </c>
    </row>
    <row r="2082" spans="1:9" ht="15" customHeight="1">
      <c r="A2082" s="199">
        <v>45699</v>
      </c>
      <c r="B2082" s="202" t="s">
        <v>1927</v>
      </c>
      <c r="C2082" s="200" t="s">
        <v>372</v>
      </c>
      <c r="D2082" s="204">
        <v>-3426</v>
      </c>
      <c r="E2082" s="201">
        <v>45689</v>
      </c>
      <c r="F2082" s="200" t="s">
        <v>296</v>
      </c>
      <c r="G2082" s="200" t="s">
        <v>482</v>
      </c>
      <c r="H2082" s="200" t="s">
        <v>268</v>
      </c>
    </row>
    <row r="2083" spans="1:9" ht="15" customHeight="1">
      <c r="A2083" s="199">
        <v>45692</v>
      </c>
      <c r="B2083" s="202" t="s">
        <v>1928</v>
      </c>
      <c r="C2083" s="200" t="s">
        <v>307</v>
      </c>
      <c r="D2083" s="204">
        <v>-78000</v>
      </c>
      <c r="E2083" s="201">
        <v>45689</v>
      </c>
      <c r="F2083" s="200" t="s">
        <v>296</v>
      </c>
      <c r="G2083" s="531" t="s">
        <v>392</v>
      </c>
      <c r="H2083" s="200" t="s">
        <v>837</v>
      </c>
      <c r="I2083" s="200" t="s">
        <v>685</v>
      </c>
    </row>
    <row r="2084" spans="1:9" ht="15" customHeight="1">
      <c r="A2084" s="199">
        <v>45694</v>
      </c>
      <c r="B2084" s="202" t="s">
        <v>1929</v>
      </c>
      <c r="C2084" s="200" t="s">
        <v>307</v>
      </c>
      <c r="D2084" s="204">
        <v>-91204</v>
      </c>
      <c r="E2084" s="201">
        <v>45689</v>
      </c>
      <c r="F2084" s="200" t="s">
        <v>296</v>
      </c>
      <c r="G2084" s="200" t="s">
        <v>328</v>
      </c>
      <c r="H2084" s="200" t="s">
        <v>377</v>
      </c>
      <c r="I2084" s="200" t="s">
        <v>685</v>
      </c>
    </row>
    <row r="2085" spans="1:9" ht="15" customHeight="1">
      <c r="A2085" s="199">
        <v>45694</v>
      </c>
      <c r="B2085" s="202" t="s">
        <v>1930</v>
      </c>
      <c r="C2085" s="200" t="s">
        <v>307</v>
      </c>
      <c r="D2085" s="204">
        <v>-13200</v>
      </c>
      <c r="E2085" s="201">
        <v>45689</v>
      </c>
      <c r="F2085" s="200" t="s">
        <v>296</v>
      </c>
      <c r="G2085" s="200" t="s">
        <v>328</v>
      </c>
      <c r="H2085" s="200" t="s">
        <v>350</v>
      </c>
      <c r="I2085" s="200" t="s">
        <v>685</v>
      </c>
    </row>
    <row r="2086" spans="1:9" ht="15" customHeight="1">
      <c r="A2086" s="199">
        <v>45694</v>
      </c>
      <c r="B2086" s="202" t="s">
        <v>1931</v>
      </c>
      <c r="C2086" s="200" t="s">
        <v>307</v>
      </c>
      <c r="D2086" s="204">
        <v>-62500</v>
      </c>
      <c r="E2086" s="201">
        <v>45689</v>
      </c>
      <c r="F2086" s="200" t="s">
        <v>296</v>
      </c>
      <c r="G2086" s="200" t="s">
        <v>411</v>
      </c>
      <c r="H2086" s="200" t="s">
        <v>350</v>
      </c>
      <c r="I2086" s="200" t="s">
        <v>685</v>
      </c>
    </row>
    <row r="2087" spans="1:9" ht="15" customHeight="1">
      <c r="A2087" s="199">
        <v>45694</v>
      </c>
      <c r="B2087" s="202" t="s">
        <v>1929</v>
      </c>
      <c r="C2087" s="200" t="s">
        <v>307</v>
      </c>
      <c r="D2087" s="204">
        <v>-29988</v>
      </c>
      <c r="E2087" s="201">
        <v>45689</v>
      </c>
      <c r="F2087" s="200" t="s">
        <v>296</v>
      </c>
      <c r="G2087" s="200" t="s">
        <v>328</v>
      </c>
      <c r="H2087" s="200" t="s">
        <v>377</v>
      </c>
      <c r="I2087" s="200" t="s">
        <v>685</v>
      </c>
    </row>
    <row r="2088" spans="1:9" ht="15" customHeight="1">
      <c r="A2088" s="199">
        <v>45694</v>
      </c>
      <c r="B2088" s="202" t="s">
        <v>1932</v>
      </c>
      <c r="C2088" s="200" t="s">
        <v>307</v>
      </c>
      <c r="D2088" s="204">
        <v>-83600</v>
      </c>
      <c r="E2088" s="201">
        <v>45689</v>
      </c>
      <c r="F2088" s="200" t="s">
        <v>296</v>
      </c>
      <c r="G2088" s="200" t="s">
        <v>328</v>
      </c>
      <c r="H2088" s="200" t="s">
        <v>350</v>
      </c>
      <c r="I2088" s="200" t="s">
        <v>685</v>
      </c>
    </row>
    <row r="2089" spans="1:9" ht="15" customHeight="1">
      <c r="A2089" s="199">
        <v>45694</v>
      </c>
      <c r="B2089" s="202" t="s">
        <v>1933</v>
      </c>
      <c r="C2089" s="200" t="s">
        <v>307</v>
      </c>
      <c r="D2089" s="204">
        <v>-136100</v>
      </c>
      <c r="E2089" s="201">
        <v>45689</v>
      </c>
      <c r="F2089" s="200" t="s">
        <v>296</v>
      </c>
      <c r="G2089" s="200" t="s">
        <v>328</v>
      </c>
      <c r="H2089" s="200" t="s">
        <v>377</v>
      </c>
      <c r="I2089" s="200" t="s">
        <v>685</v>
      </c>
    </row>
    <row r="2090" spans="1:9" ht="15" customHeight="1">
      <c r="A2090" s="199">
        <v>45694</v>
      </c>
      <c r="B2090" s="202" t="s">
        <v>1934</v>
      </c>
      <c r="C2090" s="200" t="s">
        <v>307</v>
      </c>
      <c r="D2090" s="204">
        <v>-123000</v>
      </c>
      <c r="E2090" s="201">
        <v>45689</v>
      </c>
      <c r="F2090" s="200" t="s">
        <v>296</v>
      </c>
      <c r="G2090" s="531" t="s">
        <v>392</v>
      </c>
      <c r="H2090" s="200" t="s">
        <v>377</v>
      </c>
      <c r="I2090" s="200" t="s">
        <v>685</v>
      </c>
    </row>
    <row r="2091" spans="1:9" ht="15" customHeight="1">
      <c r="A2091" s="199">
        <v>45694</v>
      </c>
      <c r="B2091" s="202" t="s">
        <v>1934</v>
      </c>
      <c r="C2091" s="200" t="s">
        <v>307</v>
      </c>
      <c r="D2091" s="204">
        <v>-92000</v>
      </c>
      <c r="E2091" s="201">
        <v>45689</v>
      </c>
      <c r="F2091" s="200" t="s">
        <v>296</v>
      </c>
      <c r="G2091" s="200" t="s">
        <v>482</v>
      </c>
      <c r="H2091" s="200" t="s">
        <v>377</v>
      </c>
      <c r="I2091" s="200" t="s">
        <v>685</v>
      </c>
    </row>
    <row r="2092" spans="1:9" ht="15" customHeight="1">
      <c r="A2092" s="199">
        <v>45694</v>
      </c>
      <c r="B2092" s="202" t="s">
        <v>1935</v>
      </c>
      <c r="C2092" s="200" t="s">
        <v>307</v>
      </c>
      <c r="D2092" s="204">
        <v>-86522</v>
      </c>
      <c r="E2092" s="201">
        <v>45689</v>
      </c>
      <c r="F2092" s="200" t="s">
        <v>296</v>
      </c>
      <c r="G2092" s="200" t="s">
        <v>390</v>
      </c>
      <c r="H2092" s="200" t="s">
        <v>377</v>
      </c>
      <c r="I2092" s="200" t="s">
        <v>685</v>
      </c>
    </row>
    <row r="2093" spans="1:9" ht="15" customHeight="1">
      <c r="A2093" s="199">
        <v>45695</v>
      </c>
      <c r="B2093" s="202" t="s">
        <v>1936</v>
      </c>
      <c r="C2093" s="200" t="s">
        <v>307</v>
      </c>
      <c r="D2093" s="204">
        <v>-12000</v>
      </c>
      <c r="E2093" s="201">
        <v>45689</v>
      </c>
      <c r="F2093" s="200" t="s">
        <v>297</v>
      </c>
      <c r="G2093" s="200" t="s">
        <v>388</v>
      </c>
      <c r="H2093" s="200" t="s">
        <v>346</v>
      </c>
      <c r="I2093" s="648" t="s">
        <v>329</v>
      </c>
    </row>
    <row r="2094" spans="1:9" ht="15" customHeight="1">
      <c r="A2094" s="199">
        <v>45695</v>
      </c>
      <c r="B2094" s="202" t="s">
        <v>1937</v>
      </c>
      <c r="C2094" s="200" t="s">
        <v>307</v>
      </c>
      <c r="D2094" s="204">
        <v>-6600</v>
      </c>
      <c r="E2094" s="201">
        <v>45689</v>
      </c>
      <c r="F2094" s="200" t="s">
        <v>256</v>
      </c>
      <c r="G2094" s="200" t="s">
        <v>256</v>
      </c>
      <c r="H2094" s="200" t="s">
        <v>268</v>
      </c>
      <c r="I2094" s="200" t="s">
        <v>685</v>
      </c>
    </row>
    <row r="2095" spans="1:9" ht="15" customHeight="1">
      <c r="A2095" s="199">
        <v>45695</v>
      </c>
      <c r="B2095" s="202" t="s">
        <v>1938</v>
      </c>
      <c r="C2095" s="200" t="s">
        <v>307</v>
      </c>
      <c r="D2095" s="204">
        <v>-14500</v>
      </c>
      <c r="E2095" s="201">
        <v>45689</v>
      </c>
      <c r="F2095" s="200" t="s">
        <v>296</v>
      </c>
      <c r="G2095" s="200" t="s">
        <v>328</v>
      </c>
      <c r="H2095" s="200" t="s">
        <v>350</v>
      </c>
      <c r="I2095" s="200" t="s">
        <v>685</v>
      </c>
    </row>
    <row r="2096" spans="1:9" ht="15" customHeight="1">
      <c r="A2096" s="199">
        <v>45695</v>
      </c>
      <c r="B2096" s="202" t="s">
        <v>1939</v>
      </c>
      <c r="C2096" s="200" t="s">
        <v>307</v>
      </c>
      <c r="D2096" s="204">
        <v>-141480</v>
      </c>
      <c r="E2096" s="201">
        <v>45689</v>
      </c>
      <c r="F2096" s="200" t="s">
        <v>296</v>
      </c>
      <c r="G2096" s="200" t="s">
        <v>390</v>
      </c>
      <c r="H2096" s="200" t="s">
        <v>350</v>
      </c>
      <c r="I2096" s="200" t="s">
        <v>685</v>
      </c>
    </row>
    <row r="2097" spans="1:9" ht="15" customHeight="1">
      <c r="A2097" s="199">
        <v>45695</v>
      </c>
      <c r="B2097" s="202" t="s">
        <v>431</v>
      </c>
      <c r="C2097" s="200" t="s">
        <v>307</v>
      </c>
      <c r="D2097" s="204">
        <v>-15200</v>
      </c>
      <c r="E2097" s="201">
        <v>45689</v>
      </c>
      <c r="F2097" s="200" t="s">
        <v>296</v>
      </c>
      <c r="G2097" s="200" t="s">
        <v>328</v>
      </c>
      <c r="H2097" s="200" t="s">
        <v>350</v>
      </c>
      <c r="I2097" s="200" t="s">
        <v>685</v>
      </c>
    </row>
    <row r="2098" spans="1:9" ht="15" customHeight="1">
      <c r="A2098" s="199">
        <v>45695</v>
      </c>
      <c r="B2098" s="202" t="s">
        <v>1940</v>
      </c>
      <c r="C2098" s="200" t="s">
        <v>307</v>
      </c>
      <c r="D2098" s="204">
        <v>-22294</v>
      </c>
      <c r="E2098" s="201">
        <v>45689</v>
      </c>
      <c r="F2098" s="200" t="s">
        <v>296</v>
      </c>
      <c r="G2098" s="200" t="s">
        <v>482</v>
      </c>
      <c r="H2098" s="200" t="s">
        <v>377</v>
      </c>
      <c r="I2098" s="200" t="s">
        <v>685</v>
      </c>
    </row>
    <row r="2099" spans="1:9" ht="15" customHeight="1">
      <c r="A2099" s="199">
        <v>45698</v>
      </c>
      <c r="B2099" s="202" t="s">
        <v>864</v>
      </c>
      <c r="C2099" s="200" t="s">
        <v>307</v>
      </c>
      <c r="D2099" s="204">
        <v>-50184</v>
      </c>
      <c r="E2099" s="201">
        <v>45689</v>
      </c>
      <c r="F2099" s="200" t="s">
        <v>296</v>
      </c>
      <c r="G2099" s="200" t="s">
        <v>482</v>
      </c>
      <c r="H2099" s="200" t="s">
        <v>268</v>
      </c>
    </row>
    <row r="2100" spans="1:9" ht="15" customHeight="1">
      <c r="A2100" s="199">
        <v>45698</v>
      </c>
      <c r="B2100" s="202" t="s">
        <v>1941</v>
      </c>
      <c r="C2100" s="200" t="s">
        <v>372</v>
      </c>
      <c r="D2100" s="204">
        <v>-510</v>
      </c>
      <c r="E2100" s="201">
        <v>45689</v>
      </c>
      <c r="F2100" s="200" t="s">
        <v>296</v>
      </c>
      <c r="G2100" s="200" t="s">
        <v>482</v>
      </c>
      <c r="H2100" s="200" t="s">
        <v>268</v>
      </c>
    </row>
    <row r="2101" spans="1:9" ht="15" customHeight="1">
      <c r="A2101" s="199">
        <v>45698</v>
      </c>
      <c r="B2101" s="202" t="s">
        <v>1209</v>
      </c>
      <c r="C2101" s="200" t="s">
        <v>372</v>
      </c>
      <c r="D2101" s="204">
        <v>-306</v>
      </c>
      <c r="E2101" s="201">
        <v>45689</v>
      </c>
      <c r="F2101" s="200" t="s">
        <v>296</v>
      </c>
      <c r="G2101" s="200" t="s">
        <v>482</v>
      </c>
      <c r="H2101" s="200" t="s">
        <v>268</v>
      </c>
    </row>
    <row r="2102" spans="1:9" ht="15" customHeight="1">
      <c r="A2102" s="199">
        <v>45694</v>
      </c>
      <c r="B2102" s="202" t="s">
        <v>1942</v>
      </c>
      <c r="C2102" s="200" t="s">
        <v>307</v>
      </c>
      <c r="D2102" s="204">
        <v>-31500</v>
      </c>
      <c r="E2102" s="201">
        <v>45689</v>
      </c>
      <c r="F2102" s="200" t="s">
        <v>296</v>
      </c>
      <c r="G2102" s="200" t="s">
        <v>513</v>
      </c>
      <c r="H2102" s="200" t="s">
        <v>322</v>
      </c>
    </row>
    <row r="2103" spans="1:9" ht="15" customHeight="1">
      <c r="A2103" s="199">
        <v>45681</v>
      </c>
      <c r="B2103" s="202" t="s">
        <v>1943</v>
      </c>
      <c r="C2103" s="200" t="s">
        <v>307</v>
      </c>
      <c r="D2103" s="204">
        <v>-16000</v>
      </c>
      <c r="E2103" s="201">
        <v>45689</v>
      </c>
      <c r="F2103" s="200" t="s">
        <v>296</v>
      </c>
      <c r="G2103" s="200" t="s">
        <v>411</v>
      </c>
      <c r="H2103" s="200" t="s">
        <v>268</v>
      </c>
      <c r="I2103" s="200" t="s">
        <v>1944</v>
      </c>
    </row>
    <row r="2104" spans="1:9" ht="15" customHeight="1">
      <c r="A2104" s="199">
        <v>45681</v>
      </c>
      <c r="B2104" s="202" t="s">
        <v>1945</v>
      </c>
      <c r="C2104" s="200" t="s">
        <v>307</v>
      </c>
      <c r="D2104" s="204">
        <v>-6500</v>
      </c>
      <c r="E2104" s="201">
        <v>45689</v>
      </c>
      <c r="F2104" s="200" t="s">
        <v>256</v>
      </c>
      <c r="G2104" s="200" t="s">
        <v>107</v>
      </c>
      <c r="H2104" s="200" t="s">
        <v>275</v>
      </c>
      <c r="I2104" s="200" t="s">
        <v>1944</v>
      </c>
    </row>
    <row r="2105" spans="1:9" ht="15" customHeight="1">
      <c r="A2105" s="199">
        <v>45681</v>
      </c>
      <c r="B2105" s="202" t="s">
        <v>1745</v>
      </c>
      <c r="C2105" s="200" t="s">
        <v>307</v>
      </c>
      <c r="D2105" s="204">
        <v>-25000</v>
      </c>
      <c r="E2105" s="201">
        <v>45689</v>
      </c>
      <c r="F2105" s="200" t="s">
        <v>256</v>
      </c>
      <c r="G2105" s="200" t="s">
        <v>107</v>
      </c>
      <c r="H2105" s="200" t="s">
        <v>275</v>
      </c>
      <c r="I2105" s="200" t="s">
        <v>1944</v>
      </c>
    </row>
    <row r="2106" spans="1:9" ht="15" customHeight="1">
      <c r="A2106" s="199">
        <v>45681</v>
      </c>
      <c r="B2106" s="202" t="s">
        <v>1946</v>
      </c>
      <c r="C2106" s="200" t="s">
        <v>307</v>
      </c>
      <c r="D2106" s="204">
        <v>-6500</v>
      </c>
      <c r="E2106" s="201">
        <v>45689</v>
      </c>
      <c r="F2106" s="200" t="s">
        <v>256</v>
      </c>
      <c r="G2106" s="200" t="s">
        <v>107</v>
      </c>
      <c r="H2106" s="200" t="s">
        <v>275</v>
      </c>
      <c r="I2106" s="200" t="s">
        <v>1944</v>
      </c>
    </row>
    <row r="2107" spans="1:9" ht="15" customHeight="1">
      <c r="A2107" s="199">
        <v>45681</v>
      </c>
      <c r="B2107" s="202" t="s">
        <v>1947</v>
      </c>
      <c r="C2107" s="200" t="s">
        <v>307</v>
      </c>
      <c r="D2107" s="204">
        <v>-6500</v>
      </c>
      <c r="E2107" s="201">
        <v>45689</v>
      </c>
      <c r="F2107" s="200" t="s">
        <v>296</v>
      </c>
      <c r="G2107" s="200" t="s">
        <v>411</v>
      </c>
      <c r="H2107" s="200" t="s">
        <v>268</v>
      </c>
      <c r="I2107" s="200" t="s">
        <v>1944</v>
      </c>
    </row>
    <row r="2108" spans="1:9" ht="15" customHeight="1">
      <c r="A2108" s="199">
        <v>45684</v>
      </c>
      <c r="B2108" s="202" t="s">
        <v>1947</v>
      </c>
      <c r="C2108" s="200" t="s">
        <v>307</v>
      </c>
      <c r="D2108" s="204">
        <v>-6500</v>
      </c>
      <c r="E2108" s="201">
        <v>45689</v>
      </c>
      <c r="F2108" s="200" t="s">
        <v>296</v>
      </c>
      <c r="G2108" s="200" t="s">
        <v>411</v>
      </c>
      <c r="H2108" s="200" t="s">
        <v>268</v>
      </c>
      <c r="I2108" s="200" t="s">
        <v>1944</v>
      </c>
    </row>
    <row r="2109" spans="1:9" ht="15" customHeight="1">
      <c r="A2109" s="199">
        <v>45684</v>
      </c>
      <c r="B2109" s="202" t="s">
        <v>1948</v>
      </c>
      <c r="C2109" s="200" t="s">
        <v>307</v>
      </c>
      <c r="D2109" s="204">
        <v>-200000</v>
      </c>
      <c r="E2109" s="201">
        <v>45689</v>
      </c>
      <c r="F2109" s="200" t="s">
        <v>296</v>
      </c>
      <c r="G2109" s="200" t="s">
        <v>411</v>
      </c>
      <c r="H2109" s="200" t="s">
        <v>268</v>
      </c>
      <c r="I2109" s="200" t="s">
        <v>1944</v>
      </c>
    </row>
    <row r="2110" spans="1:9" ht="15" customHeight="1">
      <c r="A2110" s="199">
        <v>45684</v>
      </c>
      <c r="B2110" s="202" t="s">
        <v>1949</v>
      </c>
      <c r="C2110" s="200" t="s">
        <v>307</v>
      </c>
      <c r="D2110" s="204">
        <v>-6500</v>
      </c>
      <c r="E2110" s="201">
        <v>45689</v>
      </c>
      <c r="F2110" s="200" t="s">
        <v>296</v>
      </c>
      <c r="G2110" s="200" t="s">
        <v>411</v>
      </c>
      <c r="H2110" s="200" t="s">
        <v>342</v>
      </c>
      <c r="I2110" s="200" t="s">
        <v>1944</v>
      </c>
    </row>
    <row r="2111" spans="1:9" ht="15" customHeight="1">
      <c r="A2111" s="199">
        <v>45684</v>
      </c>
      <c r="B2111" s="202" t="s">
        <v>1950</v>
      </c>
      <c r="C2111" s="200" t="s">
        <v>307</v>
      </c>
      <c r="D2111" s="204">
        <v>-16000</v>
      </c>
      <c r="E2111" s="201">
        <v>45689</v>
      </c>
      <c r="F2111" s="200" t="s">
        <v>296</v>
      </c>
      <c r="G2111" s="200" t="s">
        <v>411</v>
      </c>
      <c r="H2111" s="200" t="s">
        <v>268</v>
      </c>
      <c r="I2111" s="200" t="s">
        <v>1944</v>
      </c>
    </row>
    <row r="2112" spans="1:9" ht="15" customHeight="1">
      <c r="A2112" s="199">
        <v>45701</v>
      </c>
      <c r="B2112" s="202" t="s">
        <v>1951</v>
      </c>
      <c r="C2112" s="200" t="s">
        <v>204</v>
      </c>
      <c r="D2112" s="649">
        <v>-2700000</v>
      </c>
      <c r="E2112" s="201">
        <v>45689</v>
      </c>
      <c r="F2112" s="200" t="s">
        <v>256</v>
      </c>
      <c r="G2112" s="200" t="s">
        <v>256</v>
      </c>
      <c r="H2112" s="200" t="s">
        <v>9</v>
      </c>
    </row>
    <row r="2113" spans="1:8" ht="15" customHeight="1">
      <c r="A2113" s="199">
        <v>45701</v>
      </c>
      <c r="B2113" s="202" t="s">
        <v>1952</v>
      </c>
      <c r="C2113" s="200" t="s">
        <v>204</v>
      </c>
      <c r="D2113" s="649">
        <v>-2254000</v>
      </c>
      <c r="E2113" s="201">
        <v>45689</v>
      </c>
      <c r="F2113" s="200" t="s">
        <v>256</v>
      </c>
      <c r="G2113" s="200" t="s">
        <v>107</v>
      </c>
      <c r="H2113" s="200" t="s">
        <v>777</v>
      </c>
    </row>
    <row r="2114" spans="1:8" ht="15" customHeight="1">
      <c r="A2114" s="199">
        <v>45701</v>
      </c>
      <c r="B2114" s="202" t="s">
        <v>1953</v>
      </c>
      <c r="C2114" s="200" t="s">
        <v>372</v>
      </c>
      <c r="D2114" s="204">
        <v>-78400</v>
      </c>
      <c r="E2114" s="201">
        <v>45689</v>
      </c>
      <c r="F2114" s="200" t="s">
        <v>256</v>
      </c>
      <c r="G2114" s="200" t="s">
        <v>107</v>
      </c>
      <c r="H2114" s="200" t="s">
        <v>777</v>
      </c>
    </row>
    <row r="2115" spans="1:8" ht="15" customHeight="1">
      <c r="A2115" s="199">
        <v>45701</v>
      </c>
      <c r="B2115" s="202" t="s">
        <v>1954</v>
      </c>
      <c r="C2115" s="200" t="s">
        <v>204</v>
      </c>
      <c r="D2115" s="649">
        <v>-3036000</v>
      </c>
      <c r="E2115" s="201">
        <v>45689</v>
      </c>
      <c r="F2115" s="200" t="s">
        <v>256</v>
      </c>
      <c r="G2115" s="200" t="s">
        <v>107</v>
      </c>
      <c r="H2115" s="200" t="s">
        <v>777</v>
      </c>
    </row>
    <row r="2116" spans="1:8" ht="15" customHeight="1">
      <c r="A2116" s="199">
        <v>45701</v>
      </c>
      <c r="B2116" s="202" t="s">
        <v>1955</v>
      </c>
      <c r="C2116" s="200" t="s">
        <v>372</v>
      </c>
      <c r="D2116" s="204">
        <v>-105600</v>
      </c>
      <c r="E2116" s="201">
        <v>45689</v>
      </c>
      <c r="F2116" s="200" t="s">
        <v>256</v>
      </c>
      <c r="G2116" s="200" t="s">
        <v>107</v>
      </c>
      <c r="H2116" s="200" t="s">
        <v>777</v>
      </c>
    </row>
    <row r="2117" spans="1:8" ht="15" customHeight="1">
      <c r="A2117" s="199">
        <v>45701</v>
      </c>
      <c r="B2117" s="202" t="s">
        <v>1956</v>
      </c>
      <c r="C2117" s="200" t="s">
        <v>204</v>
      </c>
      <c r="D2117" s="649">
        <v>-336196</v>
      </c>
      <c r="E2117" s="201">
        <v>45689</v>
      </c>
      <c r="F2117" s="200" t="s">
        <v>296</v>
      </c>
      <c r="G2117" s="200" t="s">
        <v>337</v>
      </c>
      <c r="H2117" s="200" t="s">
        <v>421</v>
      </c>
    </row>
    <row r="2118" spans="1:8" ht="15" customHeight="1">
      <c r="A2118" s="199">
        <v>45701</v>
      </c>
      <c r="B2118" s="202" t="s">
        <v>1957</v>
      </c>
      <c r="C2118" s="200" t="s">
        <v>372</v>
      </c>
      <c r="D2118" s="204">
        <v>-1704</v>
      </c>
      <c r="E2118" s="201">
        <v>45689</v>
      </c>
      <c r="F2118" s="200" t="s">
        <v>296</v>
      </c>
      <c r="G2118" s="200" t="s">
        <v>337</v>
      </c>
      <c r="H2118" s="200" t="s">
        <v>421</v>
      </c>
    </row>
    <row r="2119" spans="1:8" ht="15" customHeight="1">
      <c r="A2119" s="199">
        <v>45701</v>
      </c>
      <c r="B2119" s="202" t="s">
        <v>1958</v>
      </c>
      <c r="C2119" s="200" t="s">
        <v>204</v>
      </c>
      <c r="D2119" s="649">
        <v>-666612</v>
      </c>
      <c r="E2119" s="201">
        <v>45689</v>
      </c>
      <c r="F2119" s="200" t="s">
        <v>296</v>
      </c>
      <c r="G2119" s="200" t="s">
        <v>411</v>
      </c>
      <c r="H2119" s="200" t="s">
        <v>350</v>
      </c>
    </row>
    <row r="2120" spans="1:8" ht="15" customHeight="1">
      <c r="A2120" s="199">
        <v>45701</v>
      </c>
      <c r="B2120" s="202" t="s">
        <v>1959</v>
      </c>
      <c r="C2120" s="200" t="s">
        <v>372</v>
      </c>
      <c r="D2120" s="204">
        <v>-3378</v>
      </c>
      <c r="E2120" s="201">
        <v>45689</v>
      </c>
      <c r="F2120" s="200" t="s">
        <v>296</v>
      </c>
      <c r="G2120" s="200" t="s">
        <v>411</v>
      </c>
      <c r="H2120" s="200" t="s">
        <v>350</v>
      </c>
    </row>
    <row r="2121" spans="1:8" ht="15" customHeight="1">
      <c r="A2121" s="199">
        <v>45701</v>
      </c>
      <c r="B2121" s="202" t="s">
        <v>1960</v>
      </c>
      <c r="C2121" s="200" t="s">
        <v>204</v>
      </c>
      <c r="D2121" s="649">
        <v>-120000</v>
      </c>
      <c r="E2121" s="201">
        <v>45689</v>
      </c>
      <c r="F2121" s="200" t="s">
        <v>296</v>
      </c>
      <c r="G2121" s="200" t="s">
        <v>984</v>
      </c>
      <c r="H2121" s="200" t="s">
        <v>857</v>
      </c>
    </row>
    <row r="2122" spans="1:8" ht="15" customHeight="1">
      <c r="A2122" s="199">
        <v>45701</v>
      </c>
      <c r="B2122" s="202" t="s">
        <v>1961</v>
      </c>
      <c r="C2122" s="200" t="s">
        <v>204</v>
      </c>
      <c r="D2122" s="649">
        <v>-3471000</v>
      </c>
      <c r="E2122" s="201">
        <v>45689</v>
      </c>
      <c r="F2122" s="200" t="s">
        <v>296</v>
      </c>
      <c r="G2122" s="200" t="s">
        <v>328</v>
      </c>
      <c r="H2122" s="200" t="s">
        <v>1962</v>
      </c>
    </row>
    <row r="2123" spans="1:8" ht="15" customHeight="1">
      <c r="A2123" s="199">
        <v>45701</v>
      </c>
      <c r="B2123" s="202" t="s">
        <v>1963</v>
      </c>
      <c r="C2123" s="200" t="s">
        <v>372</v>
      </c>
      <c r="D2123" s="204">
        <v>-429000</v>
      </c>
      <c r="E2123" s="201">
        <v>45689</v>
      </c>
      <c r="F2123" s="200" t="s">
        <v>296</v>
      </c>
      <c r="G2123" s="200" t="s">
        <v>328</v>
      </c>
      <c r="H2123" s="200" t="s">
        <v>1962</v>
      </c>
    </row>
    <row r="2124" spans="1:8" ht="15" customHeight="1">
      <c r="A2124" s="199">
        <v>45701</v>
      </c>
      <c r="B2124" s="202" t="s">
        <v>1961</v>
      </c>
      <c r="C2124" s="200" t="s">
        <v>204</v>
      </c>
      <c r="D2124" s="649">
        <v>-1424000</v>
      </c>
      <c r="E2124" s="201">
        <v>45689</v>
      </c>
      <c r="F2124" s="200" t="s">
        <v>296</v>
      </c>
      <c r="G2124" s="200" t="s">
        <v>482</v>
      </c>
      <c r="H2124" s="200" t="s">
        <v>1962</v>
      </c>
    </row>
    <row r="2125" spans="1:8" ht="15" customHeight="1">
      <c r="A2125" s="199">
        <v>45701</v>
      </c>
      <c r="B2125" s="202" t="s">
        <v>1963</v>
      </c>
      <c r="C2125" s="200" t="s">
        <v>372</v>
      </c>
      <c r="D2125" s="204">
        <v>-176000</v>
      </c>
      <c r="E2125" s="201">
        <v>45689</v>
      </c>
      <c r="F2125" s="200" t="s">
        <v>296</v>
      </c>
      <c r="G2125" s="200" t="s">
        <v>482</v>
      </c>
      <c r="H2125" s="200" t="s">
        <v>1962</v>
      </c>
    </row>
    <row r="2126" spans="1:8" ht="15" customHeight="1">
      <c r="A2126" s="199">
        <v>45701</v>
      </c>
      <c r="B2126" s="202" t="s">
        <v>1961</v>
      </c>
      <c r="C2126" s="200" t="s">
        <v>204</v>
      </c>
      <c r="D2126" s="649">
        <v>-1157000</v>
      </c>
      <c r="E2126" s="201">
        <v>45689</v>
      </c>
      <c r="F2126" s="200" t="s">
        <v>296</v>
      </c>
      <c r="G2126" s="200" t="s">
        <v>390</v>
      </c>
      <c r="H2126" s="200" t="s">
        <v>1962</v>
      </c>
    </row>
    <row r="2127" spans="1:8" ht="15" customHeight="1">
      <c r="A2127" s="199">
        <v>45701</v>
      </c>
      <c r="B2127" s="202" t="s">
        <v>1963</v>
      </c>
      <c r="C2127" s="200" t="s">
        <v>372</v>
      </c>
      <c r="D2127" s="204">
        <v>-143000</v>
      </c>
      <c r="E2127" s="201">
        <v>45689</v>
      </c>
      <c r="F2127" s="200" t="s">
        <v>296</v>
      </c>
      <c r="G2127" s="200" t="s">
        <v>390</v>
      </c>
      <c r="H2127" s="200" t="s">
        <v>1962</v>
      </c>
    </row>
    <row r="2128" spans="1:8" ht="15" customHeight="1">
      <c r="A2128" s="199">
        <v>45701</v>
      </c>
      <c r="B2128" s="202" t="s">
        <v>1964</v>
      </c>
      <c r="C2128" s="200" t="s">
        <v>204</v>
      </c>
      <c r="D2128" s="649">
        <v>-1218560</v>
      </c>
      <c r="E2128" s="201">
        <v>45689</v>
      </c>
      <c r="F2128" s="200" t="s">
        <v>296</v>
      </c>
      <c r="G2128" s="200" t="s">
        <v>1124</v>
      </c>
      <c r="H2128" s="200" t="s">
        <v>857</v>
      </c>
    </row>
    <row r="2129" spans="1:9" ht="15" customHeight="1">
      <c r="A2129" s="199">
        <v>45701</v>
      </c>
      <c r="B2129" s="202" t="s">
        <v>1965</v>
      </c>
      <c r="C2129" s="200" t="s">
        <v>204</v>
      </c>
      <c r="D2129" s="649">
        <v>-21900</v>
      </c>
      <c r="E2129" s="201">
        <v>45689</v>
      </c>
      <c r="F2129" s="200" t="s">
        <v>296</v>
      </c>
      <c r="G2129" s="200" t="s">
        <v>453</v>
      </c>
      <c r="H2129" s="200" t="s">
        <v>98</v>
      </c>
    </row>
    <row r="2130" spans="1:9" ht="15" customHeight="1">
      <c r="A2130" s="199">
        <v>45701</v>
      </c>
      <c r="B2130" s="202" t="s">
        <v>1966</v>
      </c>
      <c r="C2130" s="200" t="s">
        <v>204</v>
      </c>
      <c r="D2130" s="649">
        <v>-21900</v>
      </c>
      <c r="E2130" s="201">
        <v>45689</v>
      </c>
      <c r="F2130" s="200" t="s">
        <v>296</v>
      </c>
      <c r="G2130" s="200" t="s">
        <v>453</v>
      </c>
      <c r="H2130" s="200" t="s">
        <v>98</v>
      </c>
    </row>
    <row r="2131" spans="1:9" ht="15" customHeight="1">
      <c r="A2131" s="199">
        <v>45701</v>
      </c>
      <c r="B2131" s="202" t="s">
        <v>1967</v>
      </c>
      <c r="C2131" s="200" t="s">
        <v>204</v>
      </c>
      <c r="D2131" s="649">
        <v>-21900</v>
      </c>
      <c r="E2131" s="201">
        <v>45689</v>
      </c>
      <c r="F2131" s="200" t="s">
        <v>296</v>
      </c>
      <c r="G2131" s="200" t="s">
        <v>453</v>
      </c>
      <c r="H2131" s="200" t="s">
        <v>98</v>
      </c>
    </row>
    <row r="2132" spans="1:9" ht="15" customHeight="1">
      <c r="A2132" s="199">
        <v>45701</v>
      </c>
      <c r="B2132" s="202" t="s">
        <v>1968</v>
      </c>
      <c r="C2132" s="200" t="s">
        <v>204</v>
      </c>
      <c r="D2132" s="649">
        <v>-21900</v>
      </c>
      <c r="E2132" s="201">
        <v>45689</v>
      </c>
      <c r="F2132" s="200" t="s">
        <v>296</v>
      </c>
      <c r="G2132" s="200" t="s">
        <v>453</v>
      </c>
      <c r="H2132" s="200" t="s">
        <v>98</v>
      </c>
    </row>
    <row r="2133" spans="1:9" ht="15" customHeight="1">
      <c r="A2133" s="199">
        <v>45701</v>
      </c>
      <c r="B2133" s="202" t="s">
        <v>1969</v>
      </c>
      <c r="C2133" s="200" t="s">
        <v>204</v>
      </c>
      <c r="D2133" s="649">
        <v>-1238400</v>
      </c>
      <c r="E2133" s="201">
        <v>45689</v>
      </c>
      <c r="F2133" s="200" t="s">
        <v>296</v>
      </c>
      <c r="G2133" s="200" t="s">
        <v>453</v>
      </c>
      <c r="H2133" s="200" t="s">
        <v>97</v>
      </c>
    </row>
    <row r="2134" spans="1:9" ht="15" customHeight="1">
      <c r="A2134" s="199">
        <v>45701</v>
      </c>
      <c r="B2134" s="202" t="s">
        <v>1970</v>
      </c>
      <c r="C2134" s="200" t="s">
        <v>372</v>
      </c>
      <c r="D2134" s="204">
        <v>-51600</v>
      </c>
      <c r="E2134" s="201">
        <v>45689</v>
      </c>
      <c r="F2134" s="200" t="s">
        <v>296</v>
      </c>
      <c r="G2134" s="200" t="s">
        <v>453</v>
      </c>
      <c r="H2134" s="200" t="s">
        <v>97</v>
      </c>
    </row>
    <row r="2135" spans="1:9" ht="15" customHeight="1">
      <c r="A2135" s="199">
        <v>45701</v>
      </c>
      <c r="B2135" s="202" t="s">
        <v>1971</v>
      </c>
      <c r="C2135" s="200" t="s">
        <v>204</v>
      </c>
      <c r="D2135" s="649">
        <v>-2656800</v>
      </c>
      <c r="E2135" s="201">
        <v>45689</v>
      </c>
      <c r="F2135" s="200" t="s">
        <v>296</v>
      </c>
      <c r="G2135" s="200" t="s">
        <v>522</v>
      </c>
      <c r="H2135" s="200" t="s">
        <v>490</v>
      </c>
    </row>
    <row r="2136" spans="1:9" ht="15" customHeight="1">
      <c r="A2136" s="199">
        <v>45701</v>
      </c>
      <c r="B2136" s="202" t="s">
        <v>1972</v>
      </c>
      <c r="C2136" s="200" t="s">
        <v>372</v>
      </c>
      <c r="D2136" s="204">
        <v>-27000</v>
      </c>
      <c r="E2136" s="201">
        <v>45689</v>
      </c>
      <c r="F2136" s="200" t="s">
        <v>296</v>
      </c>
      <c r="G2136" s="200" t="s">
        <v>522</v>
      </c>
      <c r="H2136" s="200" t="s">
        <v>490</v>
      </c>
    </row>
    <row r="2137" spans="1:9" ht="15" customHeight="1">
      <c r="A2137" s="199">
        <v>45701</v>
      </c>
      <c r="B2137" s="202" t="s">
        <v>1973</v>
      </c>
      <c r="C2137" s="200" t="s">
        <v>372</v>
      </c>
      <c r="D2137" s="204">
        <v>-16200</v>
      </c>
      <c r="E2137" s="201">
        <v>45689</v>
      </c>
      <c r="F2137" s="200" t="s">
        <v>296</v>
      </c>
      <c r="G2137" s="200" t="s">
        <v>522</v>
      </c>
      <c r="H2137" s="200" t="s">
        <v>490</v>
      </c>
    </row>
    <row r="2138" spans="1:9" ht="15" customHeight="1">
      <c r="A2138" s="199">
        <v>45701</v>
      </c>
      <c r="B2138" s="202" t="s">
        <v>1974</v>
      </c>
      <c r="C2138" s="200" t="s">
        <v>204</v>
      </c>
      <c r="D2138" s="658">
        <v>280000000</v>
      </c>
      <c r="E2138" s="201">
        <v>45689</v>
      </c>
      <c r="F2138" s="200" t="s">
        <v>652</v>
      </c>
      <c r="G2138" s="200" t="s">
        <v>522</v>
      </c>
    </row>
    <row r="2139" spans="1:9" ht="15" customHeight="1">
      <c r="A2139" s="199">
        <v>45700</v>
      </c>
      <c r="B2139" s="202" t="s">
        <v>1974</v>
      </c>
      <c r="C2139" s="200" t="s">
        <v>204</v>
      </c>
      <c r="D2139" s="658">
        <v>300000000</v>
      </c>
      <c r="E2139" s="201">
        <v>45689</v>
      </c>
      <c r="F2139" s="200" t="s">
        <v>652</v>
      </c>
      <c r="G2139" s="200" t="s">
        <v>522</v>
      </c>
    </row>
    <row r="2140" spans="1:9" ht="15" customHeight="1">
      <c r="A2140" s="199">
        <v>45699</v>
      </c>
      <c r="B2140" s="202" t="s">
        <v>1975</v>
      </c>
      <c r="C2140" s="200" t="s">
        <v>204</v>
      </c>
      <c r="D2140" s="658">
        <v>200000000</v>
      </c>
      <c r="E2140" s="201">
        <v>45689</v>
      </c>
      <c r="F2140" s="200" t="s">
        <v>652</v>
      </c>
      <c r="G2140" s="200" t="s">
        <v>44</v>
      </c>
    </row>
    <row r="2141" spans="1:9" ht="15" customHeight="1">
      <c r="A2141" s="199">
        <v>45699</v>
      </c>
      <c r="B2141" s="202" t="s">
        <v>1974</v>
      </c>
      <c r="C2141" s="200" t="s">
        <v>204</v>
      </c>
      <c r="D2141" s="658">
        <v>20000000</v>
      </c>
      <c r="E2141" s="201">
        <v>45689</v>
      </c>
      <c r="F2141" s="200" t="s">
        <v>652</v>
      </c>
      <c r="G2141" s="200" t="s">
        <v>522</v>
      </c>
    </row>
    <row r="2142" spans="1:9" ht="15" customHeight="1">
      <c r="A2142" s="199">
        <v>45698</v>
      </c>
      <c r="B2142" s="202" t="s">
        <v>1974</v>
      </c>
      <c r="C2142" s="200" t="s">
        <v>204</v>
      </c>
      <c r="D2142" s="658">
        <v>40000000</v>
      </c>
      <c r="E2142" s="201">
        <v>45689</v>
      </c>
      <c r="F2142" s="200" t="s">
        <v>652</v>
      </c>
      <c r="G2142" s="200" t="s">
        <v>522</v>
      </c>
    </row>
    <row r="2143" spans="1:9" ht="15" customHeight="1">
      <c r="A2143" s="199">
        <v>45701</v>
      </c>
      <c r="B2143" s="202" t="s">
        <v>1976</v>
      </c>
      <c r="C2143" s="200" t="s">
        <v>136</v>
      </c>
      <c r="D2143" s="642">
        <v>-4706087</v>
      </c>
      <c r="E2143" s="201">
        <v>45689</v>
      </c>
      <c r="F2143" s="200" t="s">
        <v>256</v>
      </c>
      <c r="G2143" s="200" t="s">
        <v>107</v>
      </c>
      <c r="H2143" s="200" t="s">
        <v>121</v>
      </c>
    </row>
    <row r="2144" spans="1:9" ht="15" customHeight="1">
      <c r="A2144" s="199">
        <v>45701</v>
      </c>
      <c r="B2144" s="202" t="s">
        <v>481</v>
      </c>
      <c r="C2144" s="200" t="s">
        <v>307</v>
      </c>
      <c r="D2144" s="204">
        <v>-28000</v>
      </c>
      <c r="E2144" s="201">
        <v>45689</v>
      </c>
      <c r="F2144" s="200" t="s">
        <v>297</v>
      </c>
      <c r="G2144" s="200" t="s">
        <v>69</v>
      </c>
      <c r="H2144" s="200" t="s">
        <v>268</v>
      </c>
      <c r="I2144" s="648" t="s">
        <v>329</v>
      </c>
    </row>
    <row r="2145" spans="1:9" ht="15" customHeight="1">
      <c r="A2145" s="199">
        <v>45701</v>
      </c>
      <c r="B2145" s="202" t="s">
        <v>481</v>
      </c>
      <c r="C2145" s="200" t="s">
        <v>307</v>
      </c>
      <c r="D2145" s="204">
        <v>-14000</v>
      </c>
      <c r="E2145" s="201">
        <v>45689</v>
      </c>
      <c r="F2145" s="200" t="s">
        <v>296</v>
      </c>
      <c r="G2145" s="531" t="s">
        <v>392</v>
      </c>
      <c r="H2145" s="200" t="s">
        <v>268</v>
      </c>
    </row>
    <row r="2146" spans="1:9" ht="15" customHeight="1">
      <c r="A2146" s="199">
        <v>45701</v>
      </c>
      <c r="B2146" s="202" t="s">
        <v>481</v>
      </c>
      <c r="C2146" s="200" t="s">
        <v>307</v>
      </c>
      <c r="D2146" s="204">
        <v>-64816</v>
      </c>
      <c r="E2146" s="201">
        <v>45689</v>
      </c>
      <c r="F2146" s="200" t="s">
        <v>296</v>
      </c>
      <c r="G2146" s="200" t="s">
        <v>328</v>
      </c>
      <c r="H2146" s="200" t="s">
        <v>268</v>
      </c>
    </row>
    <row r="2147" spans="1:9" ht="15" customHeight="1">
      <c r="A2147" s="199">
        <v>45701</v>
      </c>
      <c r="B2147" s="202" t="s">
        <v>481</v>
      </c>
      <c r="C2147" s="200" t="s">
        <v>307</v>
      </c>
      <c r="D2147" s="204">
        <v>-20000</v>
      </c>
      <c r="E2147" s="201">
        <v>45689</v>
      </c>
      <c r="F2147" s="200" t="s">
        <v>296</v>
      </c>
      <c r="G2147" s="200" t="s">
        <v>482</v>
      </c>
      <c r="H2147" s="200" t="s">
        <v>268</v>
      </c>
    </row>
    <row r="2148" spans="1:9" ht="15" customHeight="1">
      <c r="A2148" s="199">
        <v>45701</v>
      </c>
      <c r="B2148" s="202" t="s">
        <v>481</v>
      </c>
      <c r="C2148" s="200" t="s">
        <v>307</v>
      </c>
      <c r="D2148" s="204">
        <v>-38000</v>
      </c>
      <c r="E2148" s="201">
        <v>45689</v>
      </c>
      <c r="F2148" s="200" t="s">
        <v>296</v>
      </c>
      <c r="G2148" s="200" t="s">
        <v>337</v>
      </c>
      <c r="H2148" s="200" t="s">
        <v>326</v>
      </c>
    </row>
    <row r="2149" spans="1:9" ht="15" customHeight="1">
      <c r="A2149" s="199">
        <v>45701</v>
      </c>
      <c r="B2149" s="202" t="s">
        <v>481</v>
      </c>
      <c r="C2149" s="200" t="s">
        <v>307</v>
      </c>
      <c r="D2149" s="204">
        <v>-42000</v>
      </c>
      <c r="E2149" s="201">
        <v>45689</v>
      </c>
      <c r="F2149" s="200" t="s">
        <v>256</v>
      </c>
      <c r="G2149" s="200" t="s">
        <v>256</v>
      </c>
      <c r="H2149" s="200" t="s">
        <v>268</v>
      </c>
    </row>
    <row r="2150" spans="1:9" ht="15" customHeight="1">
      <c r="A2150" s="199">
        <v>45701</v>
      </c>
      <c r="B2150" s="202" t="s">
        <v>481</v>
      </c>
      <c r="C2150" s="200" t="s">
        <v>307</v>
      </c>
      <c r="D2150" s="204">
        <v>-49000</v>
      </c>
      <c r="E2150" s="201">
        <v>45689</v>
      </c>
      <c r="F2150" s="200" t="s">
        <v>296</v>
      </c>
      <c r="G2150" s="200" t="s">
        <v>390</v>
      </c>
      <c r="H2150" s="200" t="s">
        <v>268</v>
      </c>
    </row>
    <row r="2151" spans="1:9" ht="15" customHeight="1">
      <c r="A2151" s="199">
        <v>45701</v>
      </c>
      <c r="B2151" s="202" t="s">
        <v>481</v>
      </c>
      <c r="C2151" s="200" t="s">
        <v>307</v>
      </c>
      <c r="D2151" s="204">
        <v>-49000</v>
      </c>
      <c r="E2151" s="201">
        <v>45689</v>
      </c>
      <c r="F2151" s="200" t="s">
        <v>296</v>
      </c>
      <c r="G2151" s="200" t="s">
        <v>984</v>
      </c>
      <c r="H2151" s="200" t="s">
        <v>268</v>
      </c>
    </row>
    <row r="2152" spans="1:9" ht="15" customHeight="1">
      <c r="A2152" s="199">
        <v>45701</v>
      </c>
      <c r="B2152" s="202" t="s">
        <v>481</v>
      </c>
      <c r="C2152" s="200" t="s">
        <v>307</v>
      </c>
      <c r="D2152" s="204">
        <v>-14000</v>
      </c>
      <c r="E2152" s="201">
        <v>45689</v>
      </c>
      <c r="F2152" s="200" t="s">
        <v>297</v>
      </c>
      <c r="G2152" s="200" t="s">
        <v>1313</v>
      </c>
      <c r="H2152" s="200" t="s">
        <v>268</v>
      </c>
      <c r="I2152" s="648" t="s">
        <v>329</v>
      </c>
    </row>
    <row r="2153" spans="1:9" ht="15" customHeight="1">
      <c r="A2153" s="199">
        <v>45701</v>
      </c>
      <c r="B2153" s="202" t="s">
        <v>1977</v>
      </c>
      <c r="C2153" s="200" t="s">
        <v>372</v>
      </c>
      <c r="D2153" s="204">
        <v>-3240</v>
      </c>
      <c r="E2153" s="201">
        <v>45689</v>
      </c>
      <c r="F2153" s="200" t="s">
        <v>296</v>
      </c>
      <c r="G2153" s="200" t="s">
        <v>328</v>
      </c>
      <c r="H2153" s="200" t="s">
        <v>268</v>
      </c>
    </row>
    <row r="2154" spans="1:9" ht="15" customHeight="1">
      <c r="A2154" s="199">
        <v>45701</v>
      </c>
      <c r="B2154" s="202" t="s">
        <v>1978</v>
      </c>
      <c r="C2154" s="200" t="s">
        <v>372</v>
      </c>
      <c r="D2154" s="204">
        <v>-1944</v>
      </c>
      <c r="E2154" s="201">
        <v>45689</v>
      </c>
      <c r="F2154" s="200" t="s">
        <v>296</v>
      </c>
      <c r="G2154" s="200" t="s">
        <v>328</v>
      </c>
      <c r="H2154" s="200" t="s">
        <v>268</v>
      </c>
    </row>
    <row r="2155" spans="1:9" ht="15" customHeight="1">
      <c r="A2155" s="199">
        <v>45702</v>
      </c>
      <c r="B2155" s="202" t="s">
        <v>1979</v>
      </c>
      <c r="C2155" s="200" t="s">
        <v>204</v>
      </c>
      <c r="D2155" s="649">
        <v>-63000000</v>
      </c>
      <c r="E2155" s="201">
        <v>45689</v>
      </c>
      <c r="F2155" s="200" t="s">
        <v>1980</v>
      </c>
      <c r="G2155" s="200" t="s">
        <v>1981</v>
      </c>
    </row>
    <row r="2156" spans="1:9" ht="15" customHeight="1">
      <c r="A2156" s="199">
        <v>45702</v>
      </c>
      <c r="B2156" s="202" t="s">
        <v>1982</v>
      </c>
      <c r="C2156" s="200" t="s">
        <v>204</v>
      </c>
      <c r="D2156" s="649">
        <v>-63000000</v>
      </c>
      <c r="E2156" s="201">
        <v>45689</v>
      </c>
      <c r="F2156" s="200" t="s">
        <v>1983</v>
      </c>
      <c r="G2156" s="200" t="s">
        <v>1984</v>
      </c>
    </row>
    <row r="2157" spans="1:9" ht="15" customHeight="1">
      <c r="A2157" s="199">
        <v>45702</v>
      </c>
      <c r="B2157" s="202" t="s">
        <v>1985</v>
      </c>
      <c r="C2157" s="200" t="s">
        <v>204</v>
      </c>
      <c r="D2157" s="649">
        <v>-169317</v>
      </c>
      <c r="E2157" s="201">
        <v>45689</v>
      </c>
      <c r="F2157" s="200" t="s">
        <v>296</v>
      </c>
      <c r="G2157" s="200" t="s">
        <v>1986</v>
      </c>
      <c r="H2157" s="200" t="s">
        <v>518</v>
      </c>
    </row>
    <row r="2158" spans="1:9" ht="15" customHeight="1">
      <c r="A2158" s="199">
        <v>45702</v>
      </c>
      <c r="B2158" s="202" t="s">
        <v>1987</v>
      </c>
      <c r="C2158" s="200" t="s">
        <v>204</v>
      </c>
      <c r="D2158" s="649">
        <v>-333653</v>
      </c>
      <c r="E2158" s="201">
        <v>45689</v>
      </c>
      <c r="F2158" s="200" t="s">
        <v>296</v>
      </c>
      <c r="G2158" s="200" t="s">
        <v>984</v>
      </c>
      <c r="H2158" s="200" t="s">
        <v>518</v>
      </c>
    </row>
    <row r="2159" spans="1:9" ht="15" customHeight="1">
      <c r="A2159" s="199">
        <v>45702</v>
      </c>
      <c r="B2159" s="202" t="s">
        <v>1988</v>
      </c>
      <c r="C2159" s="200" t="s">
        <v>136</v>
      </c>
      <c r="D2159" s="649">
        <v>80000000</v>
      </c>
      <c r="E2159" s="201">
        <v>45689</v>
      </c>
      <c r="F2159" s="200" t="s">
        <v>652</v>
      </c>
      <c r="G2159" s="200" t="s">
        <v>522</v>
      </c>
    </row>
    <row r="2160" spans="1:9" ht="15" customHeight="1">
      <c r="A2160" s="199">
        <v>45697</v>
      </c>
      <c r="B2160" s="202" t="s">
        <v>1989</v>
      </c>
      <c r="C2160" s="200" t="s">
        <v>398</v>
      </c>
      <c r="D2160" s="204">
        <v>-95520</v>
      </c>
      <c r="E2160" s="201">
        <v>45689</v>
      </c>
      <c r="F2160" s="200" t="s">
        <v>256</v>
      </c>
      <c r="G2160" s="200" t="s">
        <v>256</v>
      </c>
      <c r="H2160" s="541" t="s">
        <v>266</v>
      </c>
    </row>
    <row r="2161" spans="1:8" ht="15" customHeight="1">
      <c r="A2161" s="199">
        <v>45700</v>
      </c>
      <c r="B2161" s="202" t="s">
        <v>1990</v>
      </c>
      <c r="C2161" s="200" t="s">
        <v>398</v>
      </c>
      <c r="D2161" s="204">
        <v>5281302.87</v>
      </c>
      <c r="E2161" s="201">
        <v>45689</v>
      </c>
      <c r="F2161" s="200" t="s">
        <v>295</v>
      </c>
    </row>
    <row r="2162" spans="1:8" ht="15" customHeight="1">
      <c r="A2162" s="199">
        <v>45701</v>
      </c>
      <c r="B2162" s="202" t="s">
        <v>1991</v>
      </c>
      <c r="C2162" s="200" t="s">
        <v>398</v>
      </c>
      <c r="D2162" s="204">
        <v>-40936</v>
      </c>
      <c r="E2162" s="201">
        <v>45689</v>
      </c>
      <c r="F2162" s="200" t="s">
        <v>256</v>
      </c>
      <c r="G2162" s="200" t="s">
        <v>256</v>
      </c>
      <c r="H2162" s="200" t="s">
        <v>9</v>
      </c>
    </row>
    <row r="2163" spans="1:8" ht="15" customHeight="1">
      <c r="A2163" s="199">
        <v>45702</v>
      </c>
      <c r="B2163" s="202" t="s">
        <v>1992</v>
      </c>
      <c r="C2163" s="200" t="s">
        <v>136</v>
      </c>
      <c r="D2163" s="642">
        <v>-706601</v>
      </c>
      <c r="E2163" s="201">
        <v>45689</v>
      </c>
      <c r="F2163" s="200" t="s">
        <v>296</v>
      </c>
      <c r="G2163" s="200" t="s">
        <v>522</v>
      </c>
      <c r="H2163" s="200" t="s">
        <v>490</v>
      </c>
    </row>
    <row r="2164" spans="1:8" ht="15" customHeight="1">
      <c r="A2164" s="199">
        <v>45702</v>
      </c>
      <c r="B2164" s="202" t="s">
        <v>1993</v>
      </c>
      <c r="C2164" s="200" t="s">
        <v>136</v>
      </c>
      <c r="D2164" s="642">
        <v>-160200</v>
      </c>
      <c r="E2164" s="201">
        <v>45689</v>
      </c>
      <c r="F2164" s="200" t="s">
        <v>256</v>
      </c>
      <c r="G2164" s="200" t="s">
        <v>256</v>
      </c>
      <c r="H2164" s="200" t="s">
        <v>267</v>
      </c>
    </row>
    <row r="2165" spans="1:8" ht="15" customHeight="1">
      <c r="A2165" s="199">
        <v>45701</v>
      </c>
      <c r="B2165" s="202" t="s">
        <v>1994</v>
      </c>
      <c r="C2165" s="200" t="s">
        <v>204</v>
      </c>
      <c r="D2165" s="649">
        <v>-500000</v>
      </c>
      <c r="E2165" s="201">
        <v>45689</v>
      </c>
      <c r="F2165" s="200" t="s">
        <v>296</v>
      </c>
      <c r="G2165" s="200" t="s">
        <v>453</v>
      </c>
      <c r="H2165" s="200" t="s">
        <v>97</v>
      </c>
    </row>
    <row r="2166" spans="1:8" ht="15" customHeight="1">
      <c r="A2166" s="199">
        <v>45699</v>
      </c>
      <c r="B2166" s="202" t="s">
        <v>1995</v>
      </c>
      <c r="C2166" s="200" t="s">
        <v>204</v>
      </c>
      <c r="D2166" s="658">
        <v>691000</v>
      </c>
      <c r="E2166" s="201">
        <v>45689</v>
      </c>
      <c r="F2166" s="200" t="s">
        <v>256</v>
      </c>
      <c r="G2166" s="200" t="s">
        <v>256</v>
      </c>
      <c r="H2166" s="200" t="s">
        <v>9</v>
      </c>
    </row>
    <row r="2167" spans="1:8" ht="15" customHeight="1">
      <c r="A2167" s="199">
        <v>45702</v>
      </c>
      <c r="B2167" s="202" t="s">
        <v>1996</v>
      </c>
      <c r="C2167" s="200" t="s">
        <v>136</v>
      </c>
      <c r="D2167" s="649">
        <v>706601</v>
      </c>
      <c r="E2167" s="201">
        <v>45689</v>
      </c>
      <c r="F2167" s="200" t="s">
        <v>296</v>
      </c>
      <c r="G2167" s="200" t="s">
        <v>522</v>
      </c>
      <c r="H2167" s="200" t="s">
        <v>490</v>
      </c>
    </row>
    <row r="2168" spans="1:8" ht="15" customHeight="1">
      <c r="A2168" s="199">
        <v>45701</v>
      </c>
      <c r="B2168" s="202" t="s">
        <v>1997</v>
      </c>
      <c r="C2168" s="200" t="s">
        <v>136</v>
      </c>
      <c r="D2168" s="649">
        <v>50000</v>
      </c>
      <c r="E2168" s="201">
        <v>45689</v>
      </c>
      <c r="F2168" s="200" t="s">
        <v>256</v>
      </c>
      <c r="G2168" s="200" t="s">
        <v>256</v>
      </c>
      <c r="H2168" s="200" t="s">
        <v>9</v>
      </c>
    </row>
    <row r="2169" spans="1:8" ht="15" customHeight="1">
      <c r="A2169" s="199">
        <v>45701</v>
      </c>
      <c r="B2169" s="202" t="s">
        <v>1998</v>
      </c>
      <c r="C2169" s="200" t="s">
        <v>136</v>
      </c>
      <c r="D2169" s="649">
        <v>849556.6</v>
      </c>
      <c r="E2169" s="201">
        <v>45689</v>
      </c>
      <c r="F2169" s="200" t="s">
        <v>295</v>
      </c>
    </row>
    <row r="2170" spans="1:8" ht="15" customHeight="1">
      <c r="A2170" s="199">
        <v>45699</v>
      </c>
      <c r="B2170" s="202" t="s">
        <v>1999</v>
      </c>
      <c r="C2170" s="200" t="s">
        <v>136</v>
      </c>
      <c r="D2170" s="649">
        <v>590977</v>
      </c>
      <c r="E2170" s="201">
        <v>45689</v>
      </c>
      <c r="F2170" s="200" t="s">
        <v>295</v>
      </c>
    </row>
    <row r="2171" spans="1:8" ht="15" customHeight="1">
      <c r="A2171" s="199">
        <v>45695</v>
      </c>
      <c r="B2171" s="202" t="s">
        <v>2000</v>
      </c>
      <c r="C2171" s="200" t="s">
        <v>136</v>
      </c>
      <c r="D2171" s="649">
        <v>7993158.8799999999</v>
      </c>
      <c r="E2171" s="201">
        <v>45689</v>
      </c>
      <c r="F2171" s="200" t="s">
        <v>295</v>
      </c>
    </row>
    <row r="2172" spans="1:8" ht="15" customHeight="1">
      <c r="A2172" s="199">
        <v>45698</v>
      </c>
      <c r="B2172" s="202" t="s">
        <v>2001</v>
      </c>
      <c r="C2172" s="200" t="s">
        <v>136</v>
      </c>
      <c r="D2172" s="649">
        <v>7640295</v>
      </c>
      <c r="E2172" s="201">
        <v>45689</v>
      </c>
      <c r="F2172" s="200" t="s">
        <v>983</v>
      </c>
      <c r="G2172" s="200" t="s">
        <v>390</v>
      </c>
    </row>
    <row r="2173" spans="1:8" ht="15" customHeight="1">
      <c r="A2173" s="199">
        <v>45699</v>
      </c>
      <c r="B2173" s="202" t="s">
        <v>2002</v>
      </c>
      <c r="C2173" s="200" t="s">
        <v>136</v>
      </c>
      <c r="D2173" s="649">
        <v>4022233</v>
      </c>
      <c r="E2173" s="201">
        <v>45689</v>
      </c>
      <c r="F2173" s="200" t="s">
        <v>295</v>
      </c>
    </row>
    <row r="2174" spans="1:8" ht="15" customHeight="1">
      <c r="A2174" s="199">
        <v>45699</v>
      </c>
      <c r="B2174" s="202" t="s">
        <v>2003</v>
      </c>
      <c r="C2174" s="200" t="s">
        <v>136</v>
      </c>
      <c r="D2174" s="710">
        <v>1247265</v>
      </c>
      <c r="E2174" s="201">
        <v>45689</v>
      </c>
      <c r="F2174" s="200" t="s">
        <v>295</v>
      </c>
    </row>
    <row r="2175" spans="1:8" ht="15" customHeight="1">
      <c r="A2175" s="199">
        <v>45699</v>
      </c>
      <c r="B2175" s="202" t="s">
        <v>1999</v>
      </c>
      <c r="C2175" s="200" t="s">
        <v>136</v>
      </c>
      <c r="D2175" s="649">
        <v>1492833</v>
      </c>
      <c r="E2175" s="201">
        <v>45689</v>
      </c>
      <c r="F2175" s="200" t="s">
        <v>295</v>
      </c>
    </row>
    <row r="2176" spans="1:8" ht="15" customHeight="1">
      <c r="A2176" s="199">
        <v>45700</v>
      </c>
      <c r="B2176" s="202" t="s">
        <v>1999</v>
      </c>
      <c r="C2176" s="200" t="s">
        <v>136</v>
      </c>
      <c r="D2176" s="649">
        <v>1910296</v>
      </c>
      <c r="E2176" s="201">
        <v>45689</v>
      </c>
      <c r="F2176" s="200" t="s">
        <v>295</v>
      </c>
    </row>
    <row r="2177" spans="1:8" ht="15" customHeight="1">
      <c r="A2177" s="199">
        <v>45700</v>
      </c>
      <c r="B2177" s="202" t="s">
        <v>2004</v>
      </c>
      <c r="C2177" s="200" t="s">
        <v>136</v>
      </c>
      <c r="D2177" s="649">
        <v>2434596</v>
      </c>
      <c r="E2177" s="201">
        <v>45689</v>
      </c>
      <c r="F2177" s="200" t="s">
        <v>295</v>
      </c>
    </row>
    <row r="2178" spans="1:8" ht="15" customHeight="1">
      <c r="A2178" s="199">
        <v>45699</v>
      </c>
      <c r="B2178" s="202" t="s">
        <v>2005</v>
      </c>
      <c r="C2178" s="200" t="s">
        <v>136</v>
      </c>
      <c r="D2178" s="649">
        <v>2320643</v>
      </c>
      <c r="E2178" s="201">
        <v>45689</v>
      </c>
      <c r="F2178" s="200" t="s">
        <v>295</v>
      </c>
    </row>
    <row r="2179" spans="1:8" ht="15" customHeight="1">
      <c r="A2179" s="199">
        <v>45698</v>
      </c>
      <c r="B2179" s="202" t="s">
        <v>2006</v>
      </c>
      <c r="C2179" s="200" t="s">
        <v>314</v>
      </c>
      <c r="D2179" s="658">
        <v>5507000</v>
      </c>
      <c r="E2179" s="201">
        <v>45689</v>
      </c>
      <c r="F2179" s="200" t="s">
        <v>295</v>
      </c>
    </row>
    <row r="2180" spans="1:8" ht="15" customHeight="1">
      <c r="A2180" s="199">
        <v>45699</v>
      </c>
      <c r="B2180" s="202" t="s">
        <v>2007</v>
      </c>
      <c r="C2180" s="200" t="s">
        <v>314</v>
      </c>
      <c r="D2180" s="658">
        <v>493700</v>
      </c>
      <c r="E2180" s="201">
        <v>45689</v>
      </c>
      <c r="F2180" s="200" t="s">
        <v>295</v>
      </c>
    </row>
    <row r="2181" spans="1:8" ht="15" customHeight="1">
      <c r="A2181" s="199">
        <v>45700</v>
      </c>
      <c r="B2181" s="202" t="s">
        <v>2008</v>
      </c>
      <c r="C2181" s="200" t="s">
        <v>314</v>
      </c>
      <c r="D2181" s="658">
        <v>3232023</v>
      </c>
      <c r="E2181" s="201">
        <v>45689</v>
      </c>
      <c r="F2181" s="200" t="s">
        <v>295</v>
      </c>
    </row>
    <row r="2182" spans="1:8" ht="15" customHeight="1">
      <c r="A2182" s="199">
        <v>45701</v>
      </c>
      <c r="B2182" s="202" t="s">
        <v>2009</v>
      </c>
      <c r="C2182" s="200" t="s">
        <v>314</v>
      </c>
      <c r="D2182" s="658">
        <v>1415281</v>
      </c>
      <c r="E2182" s="201">
        <v>45689</v>
      </c>
      <c r="F2182" s="200" t="s">
        <v>295</v>
      </c>
    </row>
    <row r="2183" spans="1:8" ht="15" customHeight="1">
      <c r="A2183" s="199">
        <v>45702</v>
      </c>
      <c r="B2183" s="202" t="s">
        <v>2010</v>
      </c>
      <c r="C2183" s="200" t="s">
        <v>307</v>
      </c>
      <c r="D2183" s="204">
        <v>-7000</v>
      </c>
      <c r="E2183" s="201">
        <v>45689</v>
      </c>
      <c r="F2183" s="200" t="s">
        <v>256</v>
      </c>
      <c r="G2183" s="200" t="s">
        <v>256</v>
      </c>
      <c r="H2183" s="200" t="s">
        <v>268</v>
      </c>
    </row>
    <row r="2184" spans="1:8" ht="15" customHeight="1">
      <c r="A2184" s="199">
        <v>45702</v>
      </c>
      <c r="B2184" s="202" t="s">
        <v>2011</v>
      </c>
      <c r="C2184" s="200" t="s">
        <v>136</v>
      </c>
      <c r="D2184" s="642">
        <v>-882000</v>
      </c>
      <c r="E2184" s="201">
        <v>45689</v>
      </c>
      <c r="F2184" s="200" t="s">
        <v>256</v>
      </c>
      <c r="G2184" s="200" t="s">
        <v>256</v>
      </c>
      <c r="H2184" s="200" t="s">
        <v>121</v>
      </c>
    </row>
    <row r="2185" spans="1:8" ht="15" customHeight="1">
      <c r="A2185" s="199">
        <v>45702</v>
      </c>
      <c r="B2185" s="202" t="s">
        <v>2012</v>
      </c>
      <c r="C2185" s="200" t="s">
        <v>136</v>
      </c>
      <c r="D2185" s="642">
        <v>-2300000</v>
      </c>
      <c r="E2185" s="201">
        <v>45689</v>
      </c>
      <c r="F2185" s="200" t="s">
        <v>256</v>
      </c>
      <c r="G2185" s="200" t="s">
        <v>256</v>
      </c>
      <c r="H2185" s="200" t="s">
        <v>121</v>
      </c>
    </row>
    <row r="2186" spans="1:8" ht="15" customHeight="1">
      <c r="A2186" s="199">
        <v>45702</v>
      </c>
      <c r="B2186" s="202" t="s">
        <v>2013</v>
      </c>
      <c r="C2186" s="200" t="s">
        <v>136</v>
      </c>
      <c r="D2186" s="642">
        <v>-904080</v>
      </c>
      <c r="E2186" s="201">
        <v>45689</v>
      </c>
      <c r="F2186" s="200" t="s">
        <v>256</v>
      </c>
      <c r="G2186" s="200" t="s">
        <v>256</v>
      </c>
      <c r="H2186" s="200" t="s">
        <v>121</v>
      </c>
    </row>
    <row r="2187" spans="1:8" ht="15" customHeight="1">
      <c r="A2187" s="199">
        <v>45702</v>
      </c>
      <c r="B2187" s="202" t="s">
        <v>2014</v>
      </c>
      <c r="C2187" s="200" t="s">
        <v>136</v>
      </c>
      <c r="D2187" s="642">
        <v>-754810</v>
      </c>
      <c r="E2187" s="201">
        <v>45689</v>
      </c>
      <c r="F2187" s="200" t="s">
        <v>256</v>
      </c>
      <c r="G2187" s="200" t="s">
        <v>256</v>
      </c>
      <c r="H2187" s="200" t="s">
        <v>121</v>
      </c>
    </row>
    <row r="2188" spans="1:8" ht="15" customHeight="1">
      <c r="A2188" s="199">
        <v>45702</v>
      </c>
      <c r="B2188" s="202" t="s">
        <v>2015</v>
      </c>
      <c r="C2188" s="200" t="s">
        <v>136</v>
      </c>
      <c r="D2188" s="642">
        <v>-813000</v>
      </c>
      <c r="E2188" s="201">
        <v>45689</v>
      </c>
      <c r="F2188" s="200" t="s">
        <v>256</v>
      </c>
      <c r="G2188" s="200" t="s">
        <v>256</v>
      </c>
      <c r="H2188" s="200" t="s">
        <v>121</v>
      </c>
    </row>
    <row r="2189" spans="1:8" ht="15" customHeight="1">
      <c r="A2189" s="199">
        <v>45702</v>
      </c>
      <c r="B2189" s="202" t="s">
        <v>2016</v>
      </c>
      <c r="C2189" s="200" t="s">
        <v>136</v>
      </c>
      <c r="D2189" s="642">
        <v>-355875</v>
      </c>
      <c r="E2189" s="201">
        <v>45689</v>
      </c>
      <c r="F2189" s="200" t="s">
        <v>256</v>
      </c>
      <c r="G2189" s="200" t="s">
        <v>256</v>
      </c>
      <c r="H2189" s="200" t="s">
        <v>121</v>
      </c>
    </row>
    <row r="2190" spans="1:8" ht="15" customHeight="1">
      <c r="A2190" s="199">
        <v>45702</v>
      </c>
      <c r="B2190" s="202" t="s">
        <v>2017</v>
      </c>
      <c r="C2190" s="200" t="s">
        <v>136</v>
      </c>
      <c r="D2190" s="642">
        <v>-835333.33333333337</v>
      </c>
      <c r="E2190" s="201">
        <v>45689</v>
      </c>
      <c r="F2190" s="200" t="s">
        <v>256</v>
      </c>
      <c r="G2190" s="200" t="s">
        <v>256</v>
      </c>
      <c r="H2190" s="200" t="s">
        <v>121</v>
      </c>
    </row>
    <row r="2191" spans="1:8" ht="15" customHeight="1">
      <c r="A2191" s="199">
        <v>45702</v>
      </c>
      <c r="B2191" s="202" t="s">
        <v>2018</v>
      </c>
      <c r="C2191" s="200" t="s">
        <v>136</v>
      </c>
      <c r="D2191" s="642">
        <v>-754810</v>
      </c>
      <c r="E2191" s="201">
        <v>45689</v>
      </c>
      <c r="F2191" s="200" t="s">
        <v>256</v>
      </c>
      <c r="G2191" s="200" t="s">
        <v>256</v>
      </c>
      <c r="H2191" s="200" t="s">
        <v>121</v>
      </c>
    </row>
    <row r="2192" spans="1:8" ht="15" customHeight="1">
      <c r="A2192" s="199">
        <v>45702</v>
      </c>
      <c r="B2192" s="202" t="s">
        <v>2019</v>
      </c>
      <c r="C2192" s="200" t="s">
        <v>136</v>
      </c>
      <c r="D2192" s="642">
        <v>-754810</v>
      </c>
      <c r="E2192" s="201">
        <v>45689</v>
      </c>
      <c r="F2192" s="200" t="s">
        <v>256</v>
      </c>
      <c r="G2192" s="200" t="s">
        <v>256</v>
      </c>
      <c r="H2192" s="200" t="s">
        <v>121</v>
      </c>
    </row>
    <row r="2193" spans="1:9" ht="15" customHeight="1">
      <c r="A2193" s="199">
        <v>45702</v>
      </c>
      <c r="B2193" s="202" t="s">
        <v>2020</v>
      </c>
      <c r="C2193" s="200" t="s">
        <v>136</v>
      </c>
      <c r="D2193" s="642">
        <v>-754810</v>
      </c>
      <c r="E2193" s="201">
        <v>45689</v>
      </c>
      <c r="F2193" s="200" t="s">
        <v>256</v>
      </c>
      <c r="G2193" s="200" t="s">
        <v>256</v>
      </c>
      <c r="H2193" s="200" t="s">
        <v>121</v>
      </c>
    </row>
    <row r="2194" spans="1:9" ht="15" customHeight="1">
      <c r="A2194" s="199">
        <v>45702</v>
      </c>
      <c r="B2194" s="202" t="s">
        <v>2021</v>
      </c>
      <c r="C2194" s="200" t="s">
        <v>136</v>
      </c>
      <c r="D2194" s="642">
        <v>-754810</v>
      </c>
      <c r="E2194" s="201">
        <v>45689</v>
      </c>
      <c r="F2194" s="200" t="s">
        <v>256</v>
      </c>
      <c r="G2194" s="200" t="s">
        <v>256</v>
      </c>
      <c r="H2194" s="200" t="s">
        <v>121</v>
      </c>
    </row>
    <row r="2195" spans="1:9" ht="15" customHeight="1">
      <c r="A2195" s="199">
        <v>45702</v>
      </c>
      <c r="B2195" s="202" t="s">
        <v>2022</v>
      </c>
      <c r="C2195" s="200" t="s">
        <v>136</v>
      </c>
      <c r="D2195" s="642">
        <v>-764399.99999999988</v>
      </c>
      <c r="E2195" s="201">
        <v>45689</v>
      </c>
      <c r="F2195" s="200" t="s">
        <v>256</v>
      </c>
      <c r="G2195" s="200" t="s">
        <v>256</v>
      </c>
      <c r="H2195" s="200" t="s">
        <v>121</v>
      </c>
      <c r="I2195" s="704"/>
    </row>
    <row r="2196" spans="1:9" ht="15" customHeight="1">
      <c r="A2196" s="199">
        <v>45702</v>
      </c>
      <c r="B2196" s="202" t="s">
        <v>2023</v>
      </c>
      <c r="C2196" s="200" t="s">
        <v>136</v>
      </c>
      <c r="D2196" s="642">
        <v>-1066000</v>
      </c>
      <c r="E2196" s="201">
        <v>45689</v>
      </c>
      <c r="F2196" s="200" t="s">
        <v>296</v>
      </c>
      <c r="G2196" s="200" t="s">
        <v>44</v>
      </c>
      <c r="H2196" s="200" t="s">
        <v>429</v>
      </c>
    </row>
    <row r="2197" spans="1:9" ht="15" customHeight="1">
      <c r="A2197" s="199">
        <v>45702</v>
      </c>
      <c r="B2197" s="202" t="s">
        <v>2024</v>
      </c>
      <c r="C2197" s="200" t="s">
        <v>136</v>
      </c>
      <c r="D2197" s="642">
        <v>-754810</v>
      </c>
      <c r="E2197" s="201">
        <v>45689</v>
      </c>
      <c r="F2197" s="200" t="s">
        <v>296</v>
      </c>
      <c r="G2197" s="200" t="s">
        <v>44</v>
      </c>
      <c r="H2197" s="200" t="s">
        <v>429</v>
      </c>
    </row>
    <row r="2198" spans="1:9" ht="15" customHeight="1">
      <c r="A2198" s="199">
        <v>45702</v>
      </c>
      <c r="B2198" s="202" t="s">
        <v>2025</v>
      </c>
      <c r="C2198" s="200" t="s">
        <v>136</v>
      </c>
      <c r="D2198" s="642">
        <v>-416666.66625000001</v>
      </c>
      <c r="E2198" s="201">
        <v>45689</v>
      </c>
      <c r="F2198" s="200" t="s">
        <v>296</v>
      </c>
      <c r="G2198" s="200" t="s">
        <v>44</v>
      </c>
      <c r="H2198" s="200" t="s">
        <v>429</v>
      </c>
    </row>
    <row r="2199" spans="1:9" ht="15" customHeight="1">
      <c r="A2199" s="199">
        <v>45702</v>
      </c>
      <c r="B2199" s="202" t="s">
        <v>2026</v>
      </c>
      <c r="C2199" s="200" t="s">
        <v>136</v>
      </c>
      <c r="D2199" s="642">
        <v>-754810</v>
      </c>
      <c r="E2199" s="201">
        <v>45689</v>
      </c>
      <c r="F2199" s="200" t="s">
        <v>296</v>
      </c>
      <c r="G2199" s="200" t="s">
        <v>44</v>
      </c>
      <c r="H2199" s="200" t="s">
        <v>429</v>
      </c>
    </row>
    <row r="2200" spans="1:9" ht="15" customHeight="1">
      <c r="A2200" s="199">
        <v>45702</v>
      </c>
      <c r="B2200" s="202" t="s">
        <v>2027</v>
      </c>
      <c r="C2200" s="200" t="s">
        <v>136</v>
      </c>
      <c r="D2200" s="642">
        <v>-754810</v>
      </c>
      <c r="E2200" s="201">
        <v>45689</v>
      </c>
      <c r="F2200" s="200" t="s">
        <v>296</v>
      </c>
      <c r="G2200" s="200" t="s">
        <v>44</v>
      </c>
      <c r="H2200" s="200" t="s">
        <v>429</v>
      </c>
    </row>
    <row r="2201" spans="1:9" ht="15" customHeight="1">
      <c r="A2201" s="199">
        <v>45702</v>
      </c>
      <c r="B2201" s="202" t="s">
        <v>2028</v>
      </c>
      <c r="C2201" s="200" t="s">
        <v>136</v>
      </c>
      <c r="D2201" s="642">
        <v>-754810</v>
      </c>
      <c r="E2201" s="201">
        <v>45689</v>
      </c>
      <c r="F2201" s="200" t="s">
        <v>296</v>
      </c>
      <c r="G2201" s="200" t="s">
        <v>44</v>
      </c>
      <c r="H2201" s="200" t="s">
        <v>429</v>
      </c>
    </row>
    <row r="2202" spans="1:9" ht="15" customHeight="1">
      <c r="A2202" s="199">
        <v>45702</v>
      </c>
      <c r="B2202" s="202" t="s">
        <v>2029</v>
      </c>
      <c r="C2202" s="200" t="s">
        <v>136</v>
      </c>
      <c r="D2202" s="642">
        <v>-754810</v>
      </c>
      <c r="E2202" s="201">
        <v>45689</v>
      </c>
      <c r="F2202" s="200" t="s">
        <v>296</v>
      </c>
      <c r="G2202" s="200" t="s">
        <v>44</v>
      </c>
      <c r="H2202" s="200" t="s">
        <v>429</v>
      </c>
    </row>
    <row r="2203" spans="1:9" ht="15" customHeight="1">
      <c r="A2203" s="199">
        <v>45702</v>
      </c>
      <c r="B2203" s="202" t="s">
        <v>2030</v>
      </c>
      <c r="C2203" s="200" t="s">
        <v>136</v>
      </c>
      <c r="D2203" s="642">
        <v>-754810</v>
      </c>
      <c r="E2203" s="201">
        <v>45689</v>
      </c>
      <c r="F2203" s="200" t="s">
        <v>296</v>
      </c>
      <c r="G2203" s="200" t="s">
        <v>44</v>
      </c>
      <c r="H2203" s="200" t="s">
        <v>429</v>
      </c>
    </row>
    <row r="2204" spans="1:9" ht="15" customHeight="1">
      <c r="A2204" s="199">
        <v>45702</v>
      </c>
      <c r="B2204" s="202" t="s">
        <v>2031</v>
      </c>
      <c r="C2204" s="200" t="s">
        <v>136</v>
      </c>
      <c r="D2204" s="642">
        <v>-416666.66666249995</v>
      </c>
      <c r="E2204" s="201">
        <v>45689</v>
      </c>
      <c r="F2204" s="200" t="s">
        <v>296</v>
      </c>
      <c r="G2204" s="200" t="s">
        <v>44</v>
      </c>
      <c r="H2204" s="200" t="s">
        <v>338</v>
      </c>
    </row>
    <row r="2205" spans="1:9" ht="15" customHeight="1">
      <c r="A2205" s="199">
        <v>45702</v>
      </c>
      <c r="B2205" s="202" t="s">
        <v>2032</v>
      </c>
      <c r="C2205" s="200" t="s">
        <v>136</v>
      </c>
      <c r="D2205" s="642">
        <v>-754810</v>
      </c>
      <c r="E2205" s="201">
        <v>45689</v>
      </c>
      <c r="F2205" s="200" t="s">
        <v>296</v>
      </c>
      <c r="G2205" s="200" t="s">
        <v>44</v>
      </c>
      <c r="H2205" s="200" t="s">
        <v>429</v>
      </c>
    </row>
    <row r="2206" spans="1:9" ht="15" customHeight="1">
      <c r="A2206" s="199">
        <v>45702</v>
      </c>
      <c r="B2206" s="202" t="s">
        <v>2033</v>
      </c>
      <c r="C2206" s="200" t="s">
        <v>136</v>
      </c>
      <c r="D2206" s="642">
        <v>-754810</v>
      </c>
      <c r="E2206" s="201">
        <v>45689</v>
      </c>
      <c r="F2206" s="200" t="s">
        <v>296</v>
      </c>
      <c r="G2206" s="200" t="s">
        <v>44</v>
      </c>
      <c r="H2206" s="200" t="s">
        <v>429</v>
      </c>
    </row>
    <row r="2207" spans="1:9" ht="15" customHeight="1">
      <c r="A2207" s="199">
        <v>45702</v>
      </c>
      <c r="B2207" s="202" t="s">
        <v>2034</v>
      </c>
      <c r="C2207" s="200" t="s">
        <v>136</v>
      </c>
      <c r="D2207" s="642">
        <v>-754810</v>
      </c>
      <c r="E2207" s="201">
        <v>45689</v>
      </c>
      <c r="F2207" s="200" t="s">
        <v>296</v>
      </c>
      <c r="G2207" s="200" t="s">
        <v>44</v>
      </c>
      <c r="H2207" s="200" t="s">
        <v>429</v>
      </c>
    </row>
    <row r="2208" spans="1:9" ht="15" customHeight="1">
      <c r="A2208" s="199">
        <v>45702</v>
      </c>
      <c r="B2208" s="202" t="s">
        <v>2035</v>
      </c>
      <c r="C2208" s="200" t="s">
        <v>136</v>
      </c>
      <c r="D2208" s="642">
        <v>-754810</v>
      </c>
      <c r="E2208" s="201">
        <v>45689</v>
      </c>
      <c r="F2208" s="200" t="s">
        <v>296</v>
      </c>
      <c r="G2208" s="200" t="s">
        <v>44</v>
      </c>
      <c r="H2208" s="200" t="s">
        <v>429</v>
      </c>
    </row>
    <row r="2209" spans="1:9" ht="15" customHeight="1">
      <c r="A2209" s="199">
        <v>45702</v>
      </c>
      <c r="B2209" s="202" t="s">
        <v>2036</v>
      </c>
      <c r="C2209" s="200" t="s">
        <v>136</v>
      </c>
      <c r="D2209" s="642">
        <v>-754810</v>
      </c>
      <c r="E2209" s="201">
        <v>45689</v>
      </c>
      <c r="F2209" s="200" t="s">
        <v>296</v>
      </c>
      <c r="G2209" s="200" t="s">
        <v>44</v>
      </c>
      <c r="H2209" s="200" t="s">
        <v>429</v>
      </c>
    </row>
    <row r="2210" spans="1:9" ht="15" customHeight="1">
      <c r="A2210" s="199">
        <v>45702</v>
      </c>
      <c r="B2210" s="202" t="s">
        <v>2037</v>
      </c>
      <c r="C2210" s="200" t="s">
        <v>136</v>
      </c>
      <c r="D2210" s="642">
        <v>-754810</v>
      </c>
      <c r="E2210" s="201">
        <v>45689</v>
      </c>
      <c r="F2210" s="200" t="s">
        <v>296</v>
      </c>
      <c r="G2210" s="200" t="s">
        <v>44</v>
      </c>
      <c r="H2210" s="200" t="s">
        <v>429</v>
      </c>
    </row>
    <row r="2211" spans="1:9" ht="15" customHeight="1">
      <c r="A2211" s="199">
        <v>45702</v>
      </c>
      <c r="B2211" s="202" t="s">
        <v>2038</v>
      </c>
      <c r="C2211" s="200" t="s">
        <v>136</v>
      </c>
      <c r="D2211" s="642">
        <v>-754810</v>
      </c>
      <c r="E2211" s="201">
        <v>45689</v>
      </c>
      <c r="F2211" s="200" t="s">
        <v>296</v>
      </c>
      <c r="G2211" s="200" t="s">
        <v>44</v>
      </c>
      <c r="H2211" s="200" t="s">
        <v>429</v>
      </c>
    </row>
    <row r="2212" spans="1:9" ht="15" customHeight="1">
      <c r="A2212" s="199">
        <v>45702</v>
      </c>
      <c r="B2212" s="202" t="s">
        <v>2039</v>
      </c>
      <c r="C2212" s="200" t="s">
        <v>136</v>
      </c>
      <c r="D2212" s="642">
        <v>-754810</v>
      </c>
      <c r="E2212" s="201">
        <v>45689</v>
      </c>
      <c r="F2212" s="200" t="s">
        <v>296</v>
      </c>
      <c r="G2212" s="200" t="s">
        <v>44</v>
      </c>
      <c r="H2212" s="200" t="s">
        <v>429</v>
      </c>
    </row>
    <row r="2213" spans="1:9" ht="15" customHeight="1">
      <c r="A2213" s="199">
        <v>45702</v>
      </c>
      <c r="B2213" s="202" t="s">
        <v>2040</v>
      </c>
      <c r="C2213" s="200" t="s">
        <v>136</v>
      </c>
      <c r="D2213" s="642">
        <v>-754810</v>
      </c>
      <c r="E2213" s="201">
        <v>45689</v>
      </c>
      <c r="F2213" s="200" t="s">
        <v>296</v>
      </c>
      <c r="G2213" s="200" t="s">
        <v>44</v>
      </c>
      <c r="H2213" s="200" t="s">
        <v>429</v>
      </c>
    </row>
    <row r="2214" spans="1:9" ht="15" customHeight="1">
      <c r="A2214" s="199">
        <v>45702</v>
      </c>
      <c r="B2214" s="202" t="s">
        <v>2041</v>
      </c>
      <c r="C2214" s="200" t="s">
        <v>136</v>
      </c>
      <c r="D2214" s="642">
        <v>-754810</v>
      </c>
      <c r="E2214" s="201">
        <v>45689</v>
      </c>
      <c r="F2214" s="200" t="s">
        <v>296</v>
      </c>
      <c r="G2214" s="200" t="s">
        <v>44</v>
      </c>
      <c r="H2214" s="200" t="s">
        <v>429</v>
      </c>
    </row>
    <row r="2215" spans="1:9" ht="15" customHeight="1">
      <c r="A2215" s="199">
        <v>45702</v>
      </c>
      <c r="B2215" s="202" t="s">
        <v>2042</v>
      </c>
      <c r="C2215" s="200" t="s">
        <v>136</v>
      </c>
      <c r="D2215" s="642">
        <v>-1066000</v>
      </c>
      <c r="E2215" s="201">
        <v>45689</v>
      </c>
      <c r="F2215" s="200" t="s">
        <v>296</v>
      </c>
      <c r="G2215" s="200" t="s">
        <v>44</v>
      </c>
      <c r="H2215" s="200" t="s">
        <v>429</v>
      </c>
    </row>
    <row r="2216" spans="1:9" ht="15" customHeight="1">
      <c r="A2216" s="199">
        <v>45702</v>
      </c>
      <c r="B2216" s="202" t="s">
        <v>2043</v>
      </c>
      <c r="C2216" s="200" t="s">
        <v>136</v>
      </c>
      <c r="D2216" s="642">
        <v>-754810</v>
      </c>
      <c r="E2216" s="201">
        <v>45689</v>
      </c>
      <c r="F2216" s="200" t="s">
        <v>296</v>
      </c>
      <c r="G2216" s="200" t="s">
        <v>44</v>
      </c>
      <c r="H2216" s="200" t="s">
        <v>429</v>
      </c>
    </row>
    <row r="2217" spans="1:9" ht="15" customHeight="1">
      <c r="A2217" s="199">
        <v>45702</v>
      </c>
      <c r="B2217" s="202" t="s">
        <v>2044</v>
      </c>
      <c r="C2217" s="200" t="s">
        <v>136</v>
      </c>
      <c r="D2217" s="642">
        <v>-754810</v>
      </c>
      <c r="E2217" s="201">
        <v>45689</v>
      </c>
      <c r="F2217" s="200" t="s">
        <v>296</v>
      </c>
      <c r="G2217" s="200" t="s">
        <v>44</v>
      </c>
      <c r="H2217" s="200" t="s">
        <v>429</v>
      </c>
    </row>
    <row r="2218" spans="1:9" ht="15" customHeight="1">
      <c r="A2218" s="199">
        <v>45702</v>
      </c>
      <c r="B2218" s="202" t="s">
        <v>2045</v>
      </c>
      <c r="C2218" s="200" t="s">
        <v>136</v>
      </c>
      <c r="D2218" s="642">
        <v>-754810</v>
      </c>
      <c r="E2218" s="201">
        <v>45689</v>
      </c>
      <c r="F2218" s="200" t="s">
        <v>296</v>
      </c>
      <c r="G2218" s="200" t="s">
        <v>44</v>
      </c>
      <c r="H2218" s="200" t="s">
        <v>429</v>
      </c>
    </row>
    <row r="2219" spans="1:9" ht="15" customHeight="1">
      <c r="A2219" s="199">
        <v>45702</v>
      </c>
      <c r="B2219" s="202" t="s">
        <v>2046</v>
      </c>
      <c r="C2219" s="200" t="s">
        <v>136</v>
      </c>
      <c r="D2219" s="642">
        <v>-754810</v>
      </c>
      <c r="E2219" s="201">
        <v>45689</v>
      </c>
      <c r="F2219" s="200" t="s">
        <v>296</v>
      </c>
      <c r="G2219" s="200" t="s">
        <v>44</v>
      </c>
      <c r="H2219" s="200" t="s">
        <v>429</v>
      </c>
    </row>
    <row r="2220" spans="1:9" ht="15" customHeight="1">
      <c r="A2220" s="199">
        <v>45702</v>
      </c>
      <c r="B2220" s="202" t="s">
        <v>2047</v>
      </c>
      <c r="C2220" s="200" t="s">
        <v>136</v>
      </c>
      <c r="D2220" s="642">
        <v>-1334000</v>
      </c>
      <c r="E2220" s="201">
        <v>45689</v>
      </c>
      <c r="F2220" s="200" t="s">
        <v>296</v>
      </c>
      <c r="G2220" s="200" t="s">
        <v>337</v>
      </c>
      <c r="H2220" s="200" t="s">
        <v>421</v>
      </c>
      <c r="I2220" s="673"/>
    </row>
    <row r="2221" spans="1:9" ht="15" customHeight="1">
      <c r="A2221" s="199">
        <v>45702</v>
      </c>
      <c r="B2221" s="202" t="s">
        <v>2048</v>
      </c>
      <c r="C2221" s="200" t="s">
        <v>136</v>
      </c>
      <c r="D2221" s="642">
        <v>-882000</v>
      </c>
      <c r="E2221" s="201">
        <v>45689</v>
      </c>
      <c r="F2221" s="200" t="s">
        <v>296</v>
      </c>
      <c r="G2221" s="200" t="s">
        <v>337</v>
      </c>
      <c r="H2221" s="200" t="s">
        <v>421</v>
      </c>
    </row>
    <row r="2222" spans="1:9" ht="15" customHeight="1">
      <c r="A2222" s="199">
        <v>45702</v>
      </c>
      <c r="B2222" s="202" t="s">
        <v>2025</v>
      </c>
      <c r="C2222" s="200" t="s">
        <v>136</v>
      </c>
      <c r="D2222" s="642">
        <v>-416666.66662500007</v>
      </c>
      <c r="E2222" s="201">
        <v>45689</v>
      </c>
      <c r="F2222" s="200" t="s">
        <v>296</v>
      </c>
      <c r="G2222" s="200" t="s">
        <v>337</v>
      </c>
      <c r="H2222" s="200" t="s">
        <v>421</v>
      </c>
    </row>
    <row r="2223" spans="1:9" ht="15" customHeight="1">
      <c r="A2223" s="199">
        <v>45702</v>
      </c>
      <c r="B2223" s="202" t="s">
        <v>2049</v>
      </c>
      <c r="C2223" s="200" t="s">
        <v>136</v>
      </c>
      <c r="D2223" s="642">
        <v>-754810</v>
      </c>
      <c r="E2223" s="201">
        <v>45689</v>
      </c>
      <c r="F2223" s="200" t="s">
        <v>296</v>
      </c>
      <c r="G2223" s="200" t="s">
        <v>337</v>
      </c>
      <c r="H2223" s="200" t="s">
        <v>421</v>
      </c>
    </row>
    <row r="2224" spans="1:9" ht="15" customHeight="1">
      <c r="A2224" s="199">
        <v>45702</v>
      </c>
      <c r="B2224" s="202" t="s">
        <v>2050</v>
      </c>
      <c r="C2224" s="200" t="s">
        <v>136</v>
      </c>
      <c r="D2224" s="642">
        <v>-754810</v>
      </c>
      <c r="E2224" s="201">
        <v>45689</v>
      </c>
      <c r="F2224" s="200" t="s">
        <v>296</v>
      </c>
      <c r="G2224" s="200" t="s">
        <v>337</v>
      </c>
      <c r="H2224" s="200" t="s">
        <v>421</v>
      </c>
    </row>
    <row r="2225" spans="1:8" ht="15" customHeight="1">
      <c r="A2225" s="199">
        <v>45702</v>
      </c>
      <c r="B2225" s="202" t="s">
        <v>2051</v>
      </c>
      <c r="C2225" s="200" t="s">
        <v>136</v>
      </c>
      <c r="D2225" s="642">
        <v>-754810</v>
      </c>
      <c r="E2225" s="201">
        <v>45689</v>
      </c>
      <c r="F2225" s="200" t="s">
        <v>296</v>
      </c>
      <c r="G2225" s="200" t="s">
        <v>337</v>
      </c>
      <c r="H2225" s="200" t="s">
        <v>421</v>
      </c>
    </row>
    <row r="2226" spans="1:8" ht="15" customHeight="1">
      <c r="A2226" s="199">
        <v>45702</v>
      </c>
      <c r="B2226" s="202" t="s">
        <v>2052</v>
      </c>
      <c r="C2226" s="200" t="s">
        <v>136</v>
      </c>
      <c r="D2226" s="642">
        <v>-754810</v>
      </c>
      <c r="E2226" s="201">
        <v>45689</v>
      </c>
      <c r="F2226" s="200" t="s">
        <v>296</v>
      </c>
      <c r="G2226" s="200" t="s">
        <v>337</v>
      </c>
      <c r="H2226" s="200" t="s">
        <v>421</v>
      </c>
    </row>
    <row r="2227" spans="1:8" ht="15" customHeight="1">
      <c r="A2227" s="199">
        <v>45702</v>
      </c>
      <c r="B2227" s="202" t="s">
        <v>2053</v>
      </c>
      <c r="C2227" s="200" t="s">
        <v>136</v>
      </c>
      <c r="D2227" s="642">
        <v>-754810</v>
      </c>
      <c r="E2227" s="201">
        <v>45689</v>
      </c>
      <c r="F2227" s="200" t="s">
        <v>296</v>
      </c>
      <c r="G2227" s="200" t="s">
        <v>337</v>
      </c>
      <c r="H2227" s="200" t="s">
        <v>421</v>
      </c>
    </row>
    <row r="2228" spans="1:8" ht="15" customHeight="1">
      <c r="A2228" s="199">
        <v>45702</v>
      </c>
      <c r="B2228" s="202" t="s">
        <v>2054</v>
      </c>
      <c r="C2228" s="200" t="s">
        <v>136</v>
      </c>
      <c r="D2228" s="642">
        <v>-754810</v>
      </c>
      <c r="E2228" s="201">
        <v>45689</v>
      </c>
      <c r="F2228" s="200" t="s">
        <v>296</v>
      </c>
      <c r="G2228" s="200" t="s">
        <v>337</v>
      </c>
      <c r="H2228" s="200" t="s">
        <v>421</v>
      </c>
    </row>
    <row r="2229" spans="1:8" ht="15" customHeight="1">
      <c r="A2229" s="199">
        <v>45702</v>
      </c>
      <c r="B2229" s="202" t="s">
        <v>2055</v>
      </c>
      <c r="C2229" s="200" t="s">
        <v>136</v>
      </c>
      <c r="D2229" s="642">
        <v>-734810</v>
      </c>
      <c r="E2229" s="201">
        <v>45689</v>
      </c>
      <c r="F2229" s="200" t="s">
        <v>296</v>
      </c>
      <c r="G2229" s="200" t="s">
        <v>337</v>
      </c>
      <c r="H2229" s="200" t="s">
        <v>421</v>
      </c>
    </row>
    <row r="2230" spans="1:8" ht="15" customHeight="1">
      <c r="A2230" s="199">
        <v>45702</v>
      </c>
      <c r="B2230" s="202" t="s">
        <v>2056</v>
      </c>
      <c r="C2230" s="200" t="s">
        <v>136</v>
      </c>
      <c r="D2230" s="642">
        <v>-882000</v>
      </c>
      <c r="E2230" s="201">
        <v>45689</v>
      </c>
      <c r="F2230" s="200" t="s">
        <v>296</v>
      </c>
      <c r="G2230" s="200" t="s">
        <v>337</v>
      </c>
      <c r="H2230" s="200" t="s">
        <v>421</v>
      </c>
    </row>
    <row r="2231" spans="1:8" ht="15" customHeight="1">
      <c r="A2231" s="199">
        <v>45702</v>
      </c>
      <c r="B2231" s="202" t="s">
        <v>2057</v>
      </c>
      <c r="C2231" s="200" t="s">
        <v>136</v>
      </c>
      <c r="D2231" s="642">
        <v>-754810</v>
      </c>
      <c r="E2231" s="201">
        <v>45689</v>
      </c>
      <c r="F2231" s="200" t="s">
        <v>296</v>
      </c>
      <c r="G2231" s="200" t="s">
        <v>337</v>
      </c>
      <c r="H2231" s="200" t="s">
        <v>421</v>
      </c>
    </row>
    <row r="2232" spans="1:8" ht="15" customHeight="1">
      <c r="A2232" s="199">
        <v>45702</v>
      </c>
      <c r="B2232" s="202" t="s">
        <v>2058</v>
      </c>
      <c r="C2232" s="200" t="s">
        <v>136</v>
      </c>
      <c r="D2232" s="642">
        <v>-754810</v>
      </c>
      <c r="E2232" s="201">
        <v>45689</v>
      </c>
      <c r="F2232" s="200" t="s">
        <v>296</v>
      </c>
      <c r="G2232" s="200" t="s">
        <v>337</v>
      </c>
      <c r="H2232" s="200" t="s">
        <v>421</v>
      </c>
    </row>
    <row r="2233" spans="1:8" ht="15" customHeight="1">
      <c r="A2233" s="199">
        <v>45702</v>
      </c>
      <c r="B2233" s="202" t="s">
        <v>2059</v>
      </c>
      <c r="C2233" s="200" t="s">
        <v>136</v>
      </c>
      <c r="D2233" s="642">
        <v>-754810</v>
      </c>
      <c r="E2233" s="201">
        <v>45689</v>
      </c>
      <c r="F2233" s="200" t="s">
        <v>296</v>
      </c>
      <c r="G2233" s="200" t="s">
        <v>337</v>
      </c>
      <c r="H2233" s="200" t="s">
        <v>421</v>
      </c>
    </row>
    <row r="2234" spans="1:8" ht="15" customHeight="1">
      <c r="A2234" s="199">
        <v>45702</v>
      </c>
      <c r="B2234" s="202" t="s">
        <v>2060</v>
      </c>
      <c r="C2234" s="200" t="s">
        <v>136</v>
      </c>
      <c r="D2234" s="642">
        <v>-754810</v>
      </c>
      <c r="E2234" s="201">
        <v>45689</v>
      </c>
      <c r="F2234" s="200" t="s">
        <v>296</v>
      </c>
      <c r="G2234" s="200" t="s">
        <v>337</v>
      </c>
      <c r="H2234" s="200" t="s">
        <v>421</v>
      </c>
    </row>
    <row r="2235" spans="1:8" ht="15" customHeight="1">
      <c r="A2235" s="199">
        <v>45702</v>
      </c>
      <c r="B2235" s="202" t="s">
        <v>2061</v>
      </c>
      <c r="C2235" s="200" t="s">
        <v>136</v>
      </c>
      <c r="D2235" s="642">
        <v>-754810</v>
      </c>
      <c r="E2235" s="201">
        <v>45689</v>
      </c>
      <c r="F2235" s="200" t="s">
        <v>296</v>
      </c>
      <c r="G2235" s="200" t="s">
        <v>337</v>
      </c>
      <c r="H2235" s="200" t="s">
        <v>421</v>
      </c>
    </row>
    <row r="2236" spans="1:8" ht="15" customHeight="1">
      <c r="A2236" s="199">
        <v>45702</v>
      </c>
      <c r="B2236" s="202" t="s">
        <v>2031</v>
      </c>
      <c r="C2236" s="200" t="s">
        <v>136</v>
      </c>
      <c r="D2236" s="642">
        <v>-416666.66666249995</v>
      </c>
      <c r="E2236" s="201">
        <v>45689</v>
      </c>
      <c r="F2236" s="200" t="s">
        <v>296</v>
      </c>
      <c r="G2236" s="200" t="s">
        <v>337</v>
      </c>
      <c r="H2236" s="200" t="s">
        <v>338</v>
      </c>
    </row>
    <row r="2237" spans="1:8" ht="15" customHeight="1">
      <c r="A2237" s="199">
        <v>45702</v>
      </c>
      <c r="B2237" s="202" t="s">
        <v>2062</v>
      </c>
      <c r="C2237" s="200" t="s">
        <v>136</v>
      </c>
      <c r="D2237" s="642">
        <v>-882000</v>
      </c>
      <c r="E2237" s="201">
        <v>45689</v>
      </c>
      <c r="F2237" s="200" t="s">
        <v>296</v>
      </c>
      <c r="G2237" s="200" t="s">
        <v>337</v>
      </c>
      <c r="H2237" s="200" t="s">
        <v>421</v>
      </c>
    </row>
    <row r="2238" spans="1:8" ht="15" customHeight="1">
      <c r="A2238" s="199">
        <v>45702</v>
      </c>
      <c r="B2238" s="202" t="s">
        <v>2063</v>
      </c>
      <c r="C2238" s="200" t="s">
        <v>136</v>
      </c>
      <c r="D2238" s="642">
        <v>-754810</v>
      </c>
      <c r="E2238" s="201">
        <v>45689</v>
      </c>
      <c r="F2238" s="200" t="s">
        <v>256</v>
      </c>
      <c r="G2238" s="200" t="s">
        <v>107</v>
      </c>
      <c r="H2238" s="200" t="s">
        <v>121</v>
      </c>
    </row>
    <row r="2239" spans="1:8" ht="15" customHeight="1">
      <c r="A2239" s="199">
        <v>45702</v>
      </c>
      <c r="B2239" s="202" t="s">
        <v>2064</v>
      </c>
      <c r="C2239" s="200" t="s">
        <v>136</v>
      </c>
      <c r="D2239" s="642">
        <v>-754810</v>
      </c>
      <c r="E2239" s="201">
        <v>45689</v>
      </c>
      <c r="F2239" s="200" t="s">
        <v>296</v>
      </c>
      <c r="G2239" s="200" t="s">
        <v>337</v>
      </c>
      <c r="H2239" s="200" t="s">
        <v>421</v>
      </c>
    </row>
    <row r="2240" spans="1:8" ht="15" customHeight="1">
      <c r="A2240" s="199">
        <v>45702</v>
      </c>
      <c r="B2240" s="202" t="s">
        <v>2065</v>
      </c>
      <c r="C2240" s="200" t="s">
        <v>136</v>
      </c>
      <c r="D2240" s="642">
        <v>-754810</v>
      </c>
      <c r="E2240" s="201">
        <v>45689</v>
      </c>
      <c r="F2240" s="200" t="s">
        <v>296</v>
      </c>
      <c r="G2240" s="200" t="s">
        <v>337</v>
      </c>
      <c r="H2240" s="200" t="s">
        <v>421</v>
      </c>
    </row>
    <row r="2241" spans="1:9" ht="15" customHeight="1">
      <c r="A2241" s="199">
        <v>45702</v>
      </c>
      <c r="B2241" s="202" t="s">
        <v>2066</v>
      </c>
      <c r="C2241" s="200" t="s">
        <v>136</v>
      </c>
      <c r="D2241" s="642">
        <v>-754810</v>
      </c>
      <c r="E2241" s="201">
        <v>45689</v>
      </c>
      <c r="F2241" s="200" t="s">
        <v>296</v>
      </c>
      <c r="G2241" s="200" t="s">
        <v>337</v>
      </c>
      <c r="H2241" s="200" t="s">
        <v>421</v>
      </c>
    </row>
    <row r="2242" spans="1:9" ht="15" customHeight="1">
      <c r="A2242" s="199">
        <v>45702</v>
      </c>
      <c r="B2242" s="202" t="s">
        <v>2067</v>
      </c>
      <c r="C2242" s="200" t="s">
        <v>136</v>
      </c>
      <c r="D2242" s="642">
        <v>-754810</v>
      </c>
      <c r="E2242" s="201">
        <v>45689</v>
      </c>
      <c r="F2242" s="200" t="s">
        <v>296</v>
      </c>
      <c r="G2242" s="200" t="s">
        <v>337</v>
      </c>
      <c r="H2242" s="200" t="s">
        <v>421</v>
      </c>
    </row>
    <row r="2243" spans="1:9" ht="15" customHeight="1">
      <c r="A2243" s="199">
        <v>45702</v>
      </c>
      <c r="B2243" s="202" t="s">
        <v>2068</v>
      </c>
      <c r="C2243" s="200" t="s">
        <v>136</v>
      </c>
      <c r="D2243" s="642">
        <v>-754810</v>
      </c>
      <c r="E2243" s="201">
        <v>45689</v>
      </c>
      <c r="F2243" s="200" t="s">
        <v>296</v>
      </c>
      <c r="G2243" s="200" t="s">
        <v>337</v>
      </c>
      <c r="H2243" s="200" t="s">
        <v>421</v>
      </c>
      <c r="I2243" s="648" t="s">
        <v>329</v>
      </c>
    </row>
    <row r="2244" spans="1:9" ht="15" customHeight="1">
      <c r="A2244" s="199">
        <v>45702</v>
      </c>
      <c r="B2244" s="202" t="s">
        <v>2025</v>
      </c>
      <c r="C2244" s="200" t="s">
        <v>136</v>
      </c>
      <c r="D2244" s="642">
        <v>-416666.66662500007</v>
      </c>
      <c r="E2244" s="201">
        <v>45689</v>
      </c>
      <c r="F2244" s="200" t="s">
        <v>296</v>
      </c>
      <c r="G2244" s="200" t="s">
        <v>522</v>
      </c>
      <c r="H2244" s="200" t="s">
        <v>490</v>
      </c>
    </row>
    <row r="2245" spans="1:9" ht="15" customHeight="1">
      <c r="A2245" s="199">
        <v>45702</v>
      </c>
      <c r="B2245" s="202" t="s">
        <v>2069</v>
      </c>
      <c r="C2245" s="200" t="s">
        <v>136</v>
      </c>
      <c r="D2245" s="642">
        <v>-754810</v>
      </c>
      <c r="E2245" s="201">
        <v>45689</v>
      </c>
      <c r="F2245" s="200" t="s">
        <v>296</v>
      </c>
      <c r="G2245" s="200" t="s">
        <v>522</v>
      </c>
      <c r="H2245" s="200" t="s">
        <v>490</v>
      </c>
    </row>
    <row r="2246" spans="1:9" ht="15" customHeight="1">
      <c r="A2246" s="199">
        <v>45702</v>
      </c>
      <c r="B2246" s="202" t="s">
        <v>2070</v>
      </c>
      <c r="C2246" s="200" t="s">
        <v>136</v>
      </c>
      <c r="D2246" s="642">
        <v>-882000</v>
      </c>
      <c r="E2246" s="201">
        <v>45689</v>
      </c>
      <c r="F2246" s="200" t="s">
        <v>296</v>
      </c>
      <c r="G2246" s="200" t="s">
        <v>522</v>
      </c>
      <c r="H2246" s="200" t="s">
        <v>490</v>
      </c>
    </row>
    <row r="2247" spans="1:9" ht="15" customHeight="1">
      <c r="A2247" s="199">
        <v>45702</v>
      </c>
      <c r="B2247" s="202" t="s">
        <v>2071</v>
      </c>
      <c r="C2247" s="200" t="s">
        <v>136</v>
      </c>
      <c r="D2247" s="642">
        <v>-721476.66666666663</v>
      </c>
      <c r="E2247" s="201">
        <v>45689</v>
      </c>
      <c r="F2247" s="200" t="s">
        <v>296</v>
      </c>
      <c r="G2247" s="200" t="s">
        <v>522</v>
      </c>
      <c r="H2247" s="200" t="s">
        <v>490</v>
      </c>
    </row>
    <row r="2248" spans="1:9" ht="15" customHeight="1">
      <c r="A2248" s="199">
        <v>45702</v>
      </c>
      <c r="B2248" s="202" t="s">
        <v>2072</v>
      </c>
      <c r="C2248" s="200" t="s">
        <v>136</v>
      </c>
      <c r="D2248" s="642">
        <v>-754810</v>
      </c>
      <c r="E2248" s="201">
        <v>45689</v>
      </c>
      <c r="F2248" s="200" t="s">
        <v>296</v>
      </c>
      <c r="G2248" s="200" t="s">
        <v>522</v>
      </c>
      <c r="H2248" s="200" t="s">
        <v>490</v>
      </c>
    </row>
    <row r="2249" spans="1:9" ht="15" customHeight="1">
      <c r="A2249" s="199">
        <v>45702</v>
      </c>
      <c r="B2249" s="202" t="s">
        <v>2031</v>
      </c>
      <c r="C2249" s="200" t="s">
        <v>136</v>
      </c>
      <c r="D2249" s="642">
        <v>-416666.66666249995</v>
      </c>
      <c r="E2249" s="201">
        <v>45689</v>
      </c>
      <c r="F2249" s="200" t="s">
        <v>296</v>
      </c>
      <c r="G2249" s="200" t="s">
        <v>522</v>
      </c>
      <c r="H2249" s="200" t="s">
        <v>338</v>
      </c>
    </row>
    <row r="2250" spans="1:9" ht="15" customHeight="1">
      <c r="A2250" s="199">
        <v>45702</v>
      </c>
      <c r="B2250" s="202" t="s">
        <v>2073</v>
      </c>
      <c r="C2250" s="200" t="s">
        <v>136</v>
      </c>
      <c r="D2250" s="642">
        <v>-754810</v>
      </c>
      <c r="E2250" s="201">
        <v>45689</v>
      </c>
      <c r="F2250" s="200" t="s">
        <v>296</v>
      </c>
      <c r="G2250" s="200" t="s">
        <v>522</v>
      </c>
      <c r="H2250" s="200" t="s">
        <v>490</v>
      </c>
    </row>
    <row r="2251" spans="1:9" ht="15" customHeight="1">
      <c r="A2251" s="199">
        <v>45702</v>
      </c>
      <c r="B2251" s="202" t="s">
        <v>2074</v>
      </c>
      <c r="C2251" s="200" t="s">
        <v>136</v>
      </c>
      <c r="D2251" s="642">
        <v>-721476.66666666663</v>
      </c>
      <c r="E2251" s="201">
        <v>45689</v>
      </c>
      <c r="F2251" s="200" t="s">
        <v>296</v>
      </c>
      <c r="G2251" s="200" t="s">
        <v>522</v>
      </c>
      <c r="H2251" s="200" t="s">
        <v>490</v>
      </c>
    </row>
    <row r="2252" spans="1:9" ht="15" customHeight="1">
      <c r="A2252" s="199">
        <v>45702</v>
      </c>
      <c r="B2252" s="202" t="s">
        <v>2075</v>
      </c>
      <c r="C2252" s="200" t="s">
        <v>136</v>
      </c>
      <c r="D2252" s="642">
        <v>-754810</v>
      </c>
      <c r="E2252" s="201">
        <v>45689</v>
      </c>
      <c r="F2252" s="200" t="s">
        <v>296</v>
      </c>
      <c r="G2252" s="200" t="s">
        <v>522</v>
      </c>
      <c r="H2252" s="200" t="s">
        <v>490</v>
      </c>
    </row>
    <row r="2253" spans="1:9" ht="15" customHeight="1">
      <c r="A2253" s="199">
        <v>45702</v>
      </c>
      <c r="B2253" s="202" t="s">
        <v>2076</v>
      </c>
      <c r="C2253" s="200" t="s">
        <v>136</v>
      </c>
      <c r="D2253" s="642">
        <v>-744810</v>
      </c>
      <c r="E2253" s="201">
        <v>45689</v>
      </c>
      <c r="F2253" s="200" t="s">
        <v>296</v>
      </c>
      <c r="G2253" s="200" t="s">
        <v>522</v>
      </c>
      <c r="H2253" s="200" t="s">
        <v>490</v>
      </c>
    </row>
    <row r="2254" spans="1:9" ht="15" customHeight="1">
      <c r="A2254" s="199">
        <v>45702</v>
      </c>
      <c r="B2254" s="202" t="s">
        <v>2077</v>
      </c>
      <c r="C2254" s="200" t="s">
        <v>136</v>
      </c>
      <c r="D2254" s="642">
        <v>-694810</v>
      </c>
      <c r="E2254" s="201">
        <v>45689</v>
      </c>
      <c r="F2254" s="200" t="s">
        <v>296</v>
      </c>
      <c r="G2254" s="200" t="s">
        <v>522</v>
      </c>
      <c r="H2254" s="200" t="s">
        <v>490</v>
      </c>
    </row>
    <row r="2255" spans="1:9" ht="15" customHeight="1">
      <c r="A2255" s="199">
        <v>45702</v>
      </c>
      <c r="B2255" s="202" t="s">
        <v>2078</v>
      </c>
      <c r="C2255" s="200" t="s">
        <v>136</v>
      </c>
      <c r="D2255" s="642">
        <v>-754810</v>
      </c>
      <c r="E2255" s="201">
        <v>45689</v>
      </c>
      <c r="F2255" s="200" t="s">
        <v>296</v>
      </c>
      <c r="G2255" s="200" t="s">
        <v>522</v>
      </c>
      <c r="H2255" s="200" t="s">
        <v>490</v>
      </c>
    </row>
    <row r="2256" spans="1:9" ht="15" customHeight="1">
      <c r="A2256" s="199">
        <v>45702</v>
      </c>
      <c r="B2256" s="202" t="s">
        <v>2079</v>
      </c>
      <c r="C2256" s="200" t="s">
        <v>136</v>
      </c>
      <c r="D2256" s="642">
        <v>-754810</v>
      </c>
      <c r="E2256" s="201">
        <v>45689</v>
      </c>
      <c r="F2256" s="200" t="s">
        <v>296</v>
      </c>
      <c r="G2256" s="200" t="s">
        <v>522</v>
      </c>
      <c r="H2256" s="200" t="s">
        <v>490</v>
      </c>
    </row>
    <row r="2257" spans="1:9" ht="15" customHeight="1">
      <c r="A2257" s="199">
        <v>45702</v>
      </c>
      <c r="B2257" s="202" t="s">
        <v>2080</v>
      </c>
      <c r="C2257" s="200" t="s">
        <v>136</v>
      </c>
      <c r="D2257" s="642">
        <v>-754810</v>
      </c>
      <c r="E2257" s="201">
        <v>45689</v>
      </c>
      <c r="F2257" s="200" t="s">
        <v>296</v>
      </c>
      <c r="G2257" s="200" t="s">
        <v>522</v>
      </c>
      <c r="H2257" s="200" t="s">
        <v>490</v>
      </c>
    </row>
    <row r="2258" spans="1:9" ht="15" customHeight="1">
      <c r="A2258" s="199">
        <v>45702</v>
      </c>
      <c r="B2258" s="202" t="s">
        <v>2081</v>
      </c>
      <c r="C2258" s="200" t="s">
        <v>136</v>
      </c>
      <c r="D2258" s="642">
        <v>-754810</v>
      </c>
      <c r="E2258" s="201">
        <v>45689</v>
      </c>
      <c r="F2258" s="200" t="s">
        <v>296</v>
      </c>
      <c r="G2258" s="200" t="s">
        <v>522</v>
      </c>
      <c r="H2258" s="200" t="s">
        <v>490</v>
      </c>
    </row>
    <row r="2259" spans="1:9" ht="15" customHeight="1">
      <c r="A2259" s="199">
        <v>45702</v>
      </c>
      <c r="B2259" s="202" t="s">
        <v>2082</v>
      </c>
      <c r="C2259" s="200" t="s">
        <v>136</v>
      </c>
      <c r="D2259" s="642">
        <v>-754810</v>
      </c>
      <c r="E2259" s="201">
        <v>45689</v>
      </c>
      <c r="F2259" s="200" t="s">
        <v>296</v>
      </c>
      <c r="G2259" s="200" t="s">
        <v>522</v>
      </c>
      <c r="H2259" s="200" t="s">
        <v>490</v>
      </c>
    </row>
    <row r="2260" spans="1:9" ht="15" customHeight="1">
      <c r="A2260" s="199">
        <v>45702</v>
      </c>
      <c r="B2260" s="202" t="s">
        <v>2083</v>
      </c>
      <c r="C2260" s="200" t="s">
        <v>136</v>
      </c>
      <c r="D2260" s="642">
        <v>-754810</v>
      </c>
      <c r="E2260" s="201">
        <v>45689</v>
      </c>
      <c r="F2260" s="200" t="s">
        <v>296</v>
      </c>
      <c r="G2260" s="200" t="s">
        <v>522</v>
      </c>
      <c r="H2260" s="200" t="s">
        <v>490</v>
      </c>
      <c r="I2260" s="648" t="s">
        <v>329</v>
      </c>
    </row>
    <row r="2261" spans="1:9" ht="15" customHeight="1">
      <c r="A2261" s="199">
        <v>45702</v>
      </c>
      <c r="B2261" s="202" t="s">
        <v>2084</v>
      </c>
      <c r="C2261" s="200" t="s">
        <v>136</v>
      </c>
      <c r="D2261" s="642">
        <v>-180080</v>
      </c>
      <c r="E2261" s="201">
        <v>45689</v>
      </c>
      <c r="F2261" s="200" t="s">
        <v>296</v>
      </c>
      <c r="G2261" s="200" t="s">
        <v>482</v>
      </c>
      <c r="H2261" s="200" t="s">
        <v>567</v>
      </c>
    </row>
    <row r="2262" spans="1:9" ht="15" customHeight="1">
      <c r="A2262" s="199">
        <v>45702</v>
      </c>
      <c r="B2262" s="202" t="s">
        <v>2084</v>
      </c>
      <c r="C2262" s="200" t="s">
        <v>136</v>
      </c>
      <c r="D2262" s="642">
        <v>-180080</v>
      </c>
      <c r="E2262" s="201">
        <v>45689</v>
      </c>
      <c r="F2262" s="200" t="s">
        <v>296</v>
      </c>
      <c r="G2262" s="200" t="s">
        <v>984</v>
      </c>
      <c r="H2262" s="200" t="s">
        <v>567</v>
      </c>
    </row>
    <row r="2263" spans="1:9" ht="15" customHeight="1">
      <c r="A2263" s="199">
        <v>45702</v>
      </c>
      <c r="B2263" s="202" t="s">
        <v>2084</v>
      </c>
      <c r="C2263" s="200" t="s">
        <v>136</v>
      </c>
      <c r="D2263" s="642">
        <v>-180080</v>
      </c>
      <c r="E2263" s="201">
        <v>45689</v>
      </c>
      <c r="F2263" s="200" t="s">
        <v>296</v>
      </c>
      <c r="G2263" s="531" t="s">
        <v>392</v>
      </c>
      <c r="H2263" s="200" t="s">
        <v>567</v>
      </c>
    </row>
    <row r="2264" spans="1:9" ht="15" customHeight="1">
      <c r="A2264" s="199">
        <v>45702</v>
      </c>
      <c r="B2264" s="202" t="s">
        <v>2084</v>
      </c>
      <c r="C2264" s="200" t="s">
        <v>136</v>
      </c>
      <c r="D2264" s="642">
        <v>-180080</v>
      </c>
      <c r="E2264" s="201">
        <v>45689</v>
      </c>
      <c r="F2264" s="200" t="s">
        <v>296</v>
      </c>
      <c r="G2264" s="200" t="s">
        <v>390</v>
      </c>
      <c r="H2264" s="200" t="s">
        <v>567</v>
      </c>
    </row>
    <row r="2265" spans="1:9" ht="15" customHeight="1">
      <c r="A2265" s="199">
        <v>45702</v>
      </c>
      <c r="B2265" s="202" t="s">
        <v>2084</v>
      </c>
      <c r="C2265" s="200" t="s">
        <v>136</v>
      </c>
      <c r="D2265" s="642">
        <v>-180080</v>
      </c>
      <c r="E2265" s="201">
        <v>45689</v>
      </c>
      <c r="F2265" s="200" t="s">
        <v>296</v>
      </c>
      <c r="G2265" s="200" t="s">
        <v>328</v>
      </c>
      <c r="H2265" s="200" t="s">
        <v>567</v>
      </c>
    </row>
    <row r="2266" spans="1:9" ht="15" customHeight="1">
      <c r="A2266" s="199">
        <v>45702</v>
      </c>
      <c r="B2266" s="202" t="s">
        <v>2085</v>
      </c>
      <c r="C2266" s="200" t="s">
        <v>136</v>
      </c>
      <c r="D2266" s="642">
        <v>-150962</v>
      </c>
      <c r="E2266" s="201">
        <v>45689</v>
      </c>
      <c r="F2266" s="200" t="s">
        <v>296</v>
      </c>
      <c r="G2266" s="200" t="s">
        <v>482</v>
      </c>
      <c r="H2266" s="200" t="s">
        <v>567</v>
      </c>
    </row>
    <row r="2267" spans="1:9" ht="15" customHeight="1">
      <c r="A2267" s="199">
        <v>45702</v>
      </c>
      <c r="B2267" s="202" t="s">
        <v>2085</v>
      </c>
      <c r="C2267" s="200" t="s">
        <v>136</v>
      </c>
      <c r="D2267" s="642">
        <v>-150962</v>
      </c>
      <c r="E2267" s="201">
        <v>45689</v>
      </c>
      <c r="F2267" s="200" t="s">
        <v>296</v>
      </c>
      <c r="G2267" s="200" t="s">
        <v>984</v>
      </c>
      <c r="H2267" s="200" t="s">
        <v>567</v>
      </c>
    </row>
    <row r="2268" spans="1:9" ht="15" customHeight="1">
      <c r="A2268" s="199">
        <v>45702</v>
      </c>
      <c r="B2268" s="202" t="s">
        <v>2085</v>
      </c>
      <c r="C2268" s="200" t="s">
        <v>136</v>
      </c>
      <c r="D2268" s="642">
        <v>-150962</v>
      </c>
      <c r="E2268" s="201">
        <v>45689</v>
      </c>
      <c r="F2268" s="200" t="s">
        <v>296</v>
      </c>
      <c r="G2268" s="531" t="s">
        <v>392</v>
      </c>
      <c r="H2268" s="200" t="s">
        <v>567</v>
      </c>
    </row>
    <row r="2269" spans="1:9" ht="15" customHeight="1">
      <c r="A2269" s="199">
        <v>45702</v>
      </c>
      <c r="B2269" s="202" t="s">
        <v>2085</v>
      </c>
      <c r="C2269" s="200" t="s">
        <v>136</v>
      </c>
      <c r="D2269" s="642">
        <v>-150962</v>
      </c>
      <c r="E2269" s="201">
        <v>45689</v>
      </c>
      <c r="F2269" s="200" t="s">
        <v>296</v>
      </c>
      <c r="G2269" s="200" t="s">
        <v>390</v>
      </c>
      <c r="H2269" s="200" t="s">
        <v>567</v>
      </c>
    </row>
    <row r="2270" spans="1:9" ht="15" customHeight="1">
      <c r="A2270" s="199">
        <v>45702</v>
      </c>
      <c r="B2270" s="202" t="s">
        <v>2085</v>
      </c>
      <c r="C2270" s="200" t="s">
        <v>136</v>
      </c>
      <c r="D2270" s="642">
        <v>-150962</v>
      </c>
      <c r="E2270" s="201">
        <v>45689</v>
      </c>
      <c r="F2270" s="200" t="s">
        <v>296</v>
      </c>
      <c r="G2270" s="200" t="s">
        <v>328</v>
      </c>
      <c r="H2270" s="200" t="s">
        <v>567</v>
      </c>
    </row>
    <row r="2271" spans="1:9" ht="15" customHeight="1">
      <c r="A2271" s="199">
        <v>45702</v>
      </c>
      <c r="B2271" s="202" t="s">
        <v>2086</v>
      </c>
      <c r="C2271" s="200" t="s">
        <v>136</v>
      </c>
      <c r="D2271" s="642">
        <v>-897706</v>
      </c>
      <c r="E2271" s="201">
        <v>45689</v>
      </c>
      <c r="F2271" s="200" t="s">
        <v>296</v>
      </c>
      <c r="G2271" s="200" t="s">
        <v>1124</v>
      </c>
      <c r="H2271" s="200" t="s">
        <v>342</v>
      </c>
    </row>
    <row r="2272" spans="1:9" ht="15" customHeight="1">
      <c r="A2272" s="199">
        <v>45702</v>
      </c>
      <c r="B2272" s="202" t="s">
        <v>2087</v>
      </c>
      <c r="C2272" s="200" t="s">
        <v>136</v>
      </c>
      <c r="D2272" s="642">
        <v>-897706</v>
      </c>
      <c r="E2272" s="201">
        <v>45689</v>
      </c>
      <c r="F2272" s="200" t="s">
        <v>296</v>
      </c>
      <c r="G2272" s="200" t="s">
        <v>1124</v>
      </c>
      <c r="H2272" s="200" t="s">
        <v>342</v>
      </c>
    </row>
    <row r="2273" spans="1:9" ht="15" customHeight="1">
      <c r="A2273" s="199">
        <v>45702</v>
      </c>
      <c r="B2273" s="202" t="s">
        <v>2088</v>
      </c>
      <c r="C2273" s="200" t="s">
        <v>136</v>
      </c>
      <c r="D2273" s="642">
        <v>-1378375</v>
      </c>
      <c r="E2273" s="201">
        <v>45689</v>
      </c>
      <c r="F2273" s="200" t="s">
        <v>296</v>
      </c>
      <c r="G2273" s="200" t="s">
        <v>1124</v>
      </c>
      <c r="H2273" s="200" t="s">
        <v>342</v>
      </c>
    </row>
    <row r="2274" spans="1:9" ht="15" customHeight="1">
      <c r="A2274" s="199">
        <v>45702</v>
      </c>
      <c r="B2274" s="202" t="s">
        <v>2089</v>
      </c>
      <c r="C2274" s="200" t="s">
        <v>136</v>
      </c>
      <c r="D2274" s="642">
        <v>-830500</v>
      </c>
      <c r="E2274" s="201">
        <v>45689</v>
      </c>
      <c r="F2274" s="200" t="s">
        <v>296</v>
      </c>
      <c r="G2274" s="200" t="s">
        <v>1124</v>
      </c>
      <c r="H2274" s="200" t="s">
        <v>342</v>
      </c>
      <c r="I2274" s="648" t="s">
        <v>329</v>
      </c>
    </row>
    <row r="2275" spans="1:9" ht="15" customHeight="1">
      <c r="A2275" s="199">
        <v>45702</v>
      </c>
      <c r="B2275" s="202" t="s">
        <v>2090</v>
      </c>
      <c r="C2275" s="200" t="s">
        <v>136</v>
      </c>
      <c r="D2275" s="642">
        <v>-150962</v>
      </c>
      <c r="E2275" s="201">
        <v>45689</v>
      </c>
      <c r="F2275" s="200" t="s">
        <v>296</v>
      </c>
      <c r="G2275" s="200" t="s">
        <v>411</v>
      </c>
      <c r="H2275" s="200" t="s">
        <v>342</v>
      </c>
    </row>
    <row r="2276" spans="1:9" ht="15" customHeight="1">
      <c r="A2276" s="199">
        <v>45702</v>
      </c>
      <c r="B2276" s="202" t="s">
        <v>2091</v>
      </c>
      <c r="C2276" s="200" t="s">
        <v>136</v>
      </c>
      <c r="D2276" s="642">
        <v>-50320.666666666664</v>
      </c>
      <c r="E2276" s="201">
        <v>45689</v>
      </c>
      <c r="F2276" s="200" t="s">
        <v>296</v>
      </c>
      <c r="G2276" s="200" t="s">
        <v>411</v>
      </c>
      <c r="H2276" s="200" t="s">
        <v>342</v>
      </c>
    </row>
    <row r="2277" spans="1:9" ht="15" customHeight="1">
      <c r="A2277" s="199">
        <v>45702</v>
      </c>
      <c r="B2277" s="202" t="s">
        <v>2092</v>
      </c>
      <c r="C2277" s="200" t="s">
        <v>136</v>
      </c>
      <c r="D2277" s="642">
        <v>-50320.666666666664</v>
      </c>
      <c r="E2277" s="201">
        <v>45689</v>
      </c>
      <c r="F2277" s="200" t="s">
        <v>296</v>
      </c>
      <c r="G2277" s="200" t="s">
        <v>411</v>
      </c>
      <c r="H2277" s="200" t="s">
        <v>342</v>
      </c>
    </row>
    <row r="2278" spans="1:9" ht="15" customHeight="1">
      <c r="A2278" s="199">
        <v>45702</v>
      </c>
      <c r="B2278" s="202" t="s">
        <v>2093</v>
      </c>
      <c r="C2278" s="200" t="s">
        <v>136</v>
      </c>
      <c r="D2278" s="642">
        <v>-754810</v>
      </c>
      <c r="E2278" s="201">
        <v>45689</v>
      </c>
      <c r="F2278" s="200" t="s">
        <v>296</v>
      </c>
      <c r="G2278" s="200" t="s">
        <v>328</v>
      </c>
      <c r="H2278" s="200" t="s">
        <v>342</v>
      </c>
    </row>
    <row r="2279" spans="1:9" ht="15" customHeight="1">
      <c r="A2279" s="199">
        <v>45702</v>
      </c>
      <c r="B2279" s="202" t="s">
        <v>2094</v>
      </c>
      <c r="C2279" s="200" t="s">
        <v>136</v>
      </c>
      <c r="D2279" s="642">
        <v>-754810</v>
      </c>
      <c r="E2279" s="201">
        <v>45689</v>
      </c>
      <c r="F2279" s="200" t="s">
        <v>296</v>
      </c>
      <c r="G2279" s="200" t="s">
        <v>328</v>
      </c>
      <c r="H2279" s="200" t="s">
        <v>342</v>
      </c>
    </row>
    <row r="2280" spans="1:9" ht="15" customHeight="1">
      <c r="A2280" s="199">
        <v>45702</v>
      </c>
      <c r="B2280" s="202" t="s">
        <v>2095</v>
      </c>
      <c r="C2280" s="200" t="s">
        <v>136</v>
      </c>
      <c r="D2280" s="642">
        <v>-754810</v>
      </c>
      <c r="E2280" s="201">
        <v>45689</v>
      </c>
      <c r="F2280" s="200" t="s">
        <v>296</v>
      </c>
      <c r="G2280" s="200" t="s">
        <v>328</v>
      </c>
      <c r="H2280" s="200" t="s">
        <v>342</v>
      </c>
    </row>
    <row r="2281" spans="1:9" ht="15" customHeight="1">
      <c r="A2281" s="199">
        <v>45702</v>
      </c>
      <c r="B2281" s="202" t="s">
        <v>2096</v>
      </c>
      <c r="C2281" s="200" t="s">
        <v>136</v>
      </c>
      <c r="D2281" s="642">
        <v>-754810</v>
      </c>
      <c r="E2281" s="201">
        <v>45689</v>
      </c>
      <c r="F2281" s="200" t="s">
        <v>296</v>
      </c>
      <c r="G2281" s="200" t="s">
        <v>328</v>
      </c>
      <c r="H2281" s="200" t="s">
        <v>342</v>
      </c>
      <c r="I2281" s="648" t="s">
        <v>329</v>
      </c>
    </row>
    <row r="2282" spans="1:9" ht="15" customHeight="1">
      <c r="A2282" s="199">
        <v>45702</v>
      </c>
      <c r="B2282" s="202" t="s">
        <v>2097</v>
      </c>
      <c r="C2282" s="200" t="s">
        <v>136</v>
      </c>
      <c r="D2282" s="642">
        <v>-1150512</v>
      </c>
      <c r="E2282" s="201">
        <v>45689</v>
      </c>
      <c r="F2282" s="200" t="s">
        <v>296</v>
      </c>
      <c r="G2282" s="200" t="s">
        <v>482</v>
      </c>
      <c r="H2282" s="200" t="s">
        <v>342</v>
      </c>
    </row>
    <row r="2283" spans="1:9" ht="15" customHeight="1">
      <c r="A2283" s="199">
        <v>45702</v>
      </c>
      <c r="B2283" s="202" t="s">
        <v>2097</v>
      </c>
      <c r="C2283" s="200" t="s">
        <v>136</v>
      </c>
      <c r="D2283" s="642">
        <v>-287628</v>
      </c>
      <c r="E2283" s="201">
        <v>45689</v>
      </c>
      <c r="F2283" s="200" t="s">
        <v>296</v>
      </c>
      <c r="G2283" s="200" t="s">
        <v>984</v>
      </c>
      <c r="H2283" s="200" t="s">
        <v>342</v>
      </c>
    </row>
    <row r="2284" spans="1:9" ht="15" customHeight="1">
      <c r="A2284" s="199">
        <v>45702</v>
      </c>
      <c r="B2284" s="202" t="s">
        <v>2098</v>
      </c>
      <c r="C2284" s="200" t="s">
        <v>136</v>
      </c>
      <c r="D2284" s="642">
        <v>-593181.33333333337</v>
      </c>
      <c r="E2284" s="201">
        <v>45689</v>
      </c>
      <c r="F2284" s="200" t="s">
        <v>296</v>
      </c>
      <c r="G2284" s="200" t="s">
        <v>482</v>
      </c>
      <c r="H2284" s="200" t="s">
        <v>342</v>
      </c>
    </row>
    <row r="2285" spans="1:9" ht="15" customHeight="1">
      <c r="A2285" s="199">
        <v>45702</v>
      </c>
      <c r="B2285" s="202" t="s">
        <v>2098</v>
      </c>
      <c r="C2285" s="200" t="s">
        <v>136</v>
      </c>
      <c r="D2285" s="642">
        <v>-148295.33333333334</v>
      </c>
      <c r="E2285" s="201">
        <v>45689</v>
      </c>
      <c r="F2285" s="200" t="s">
        <v>296</v>
      </c>
      <c r="G2285" s="200" t="s">
        <v>984</v>
      </c>
      <c r="H2285" s="200" t="s">
        <v>342</v>
      </c>
    </row>
    <row r="2286" spans="1:9" ht="15" customHeight="1">
      <c r="A2286" s="199">
        <v>45702</v>
      </c>
      <c r="B2286" s="202" t="s">
        <v>2099</v>
      </c>
      <c r="C2286" s="200" t="s">
        <v>136</v>
      </c>
      <c r="D2286" s="642">
        <v>-1028100</v>
      </c>
      <c r="E2286" s="201">
        <v>45689</v>
      </c>
      <c r="F2286" s="200" t="s">
        <v>296</v>
      </c>
      <c r="G2286" s="200" t="s">
        <v>482</v>
      </c>
      <c r="H2286" s="200" t="s">
        <v>342</v>
      </c>
    </row>
    <row r="2287" spans="1:9" ht="15" customHeight="1">
      <c r="A2287" s="199">
        <v>45702</v>
      </c>
      <c r="B2287" s="202" t="s">
        <v>2099</v>
      </c>
      <c r="C2287" s="200" t="s">
        <v>136</v>
      </c>
      <c r="D2287" s="642">
        <v>-257025</v>
      </c>
      <c r="E2287" s="201">
        <v>45689</v>
      </c>
      <c r="F2287" s="200" t="s">
        <v>296</v>
      </c>
      <c r="G2287" s="200" t="s">
        <v>984</v>
      </c>
      <c r="H2287" s="200" t="s">
        <v>342</v>
      </c>
    </row>
    <row r="2288" spans="1:9" ht="15" customHeight="1">
      <c r="A2288" s="199">
        <v>45702</v>
      </c>
      <c r="B2288" s="202" t="s">
        <v>2100</v>
      </c>
      <c r="C2288" s="200" t="s">
        <v>136</v>
      </c>
      <c r="D2288" s="642">
        <v>-668800</v>
      </c>
      <c r="E2288" s="201">
        <v>45689</v>
      </c>
      <c r="F2288" s="200" t="s">
        <v>296</v>
      </c>
      <c r="G2288" s="200" t="s">
        <v>482</v>
      </c>
      <c r="H2288" s="200" t="s">
        <v>342</v>
      </c>
    </row>
    <row r="2289" spans="1:9" ht="15" customHeight="1">
      <c r="A2289" s="199">
        <v>45702</v>
      </c>
      <c r="B2289" s="202" t="s">
        <v>2100</v>
      </c>
      <c r="C2289" s="200" t="s">
        <v>136</v>
      </c>
      <c r="D2289" s="642">
        <v>-167200</v>
      </c>
      <c r="E2289" s="201">
        <v>45689</v>
      </c>
      <c r="F2289" s="200" t="s">
        <v>296</v>
      </c>
      <c r="G2289" s="200" t="s">
        <v>984</v>
      </c>
      <c r="H2289" s="200" t="s">
        <v>342</v>
      </c>
    </row>
    <row r="2290" spans="1:9" ht="15" customHeight="1">
      <c r="A2290" s="199">
        <v>45702</v>
      </c>
      <c r="B2290" s="202" t="s">
        <v>2101</v>
      </c>
      <c r="C2290" s="200" t="s">
        <v>136</v>
      </c>
      <c r="D2290" s="642">
        <v>-609902.66666666674</v>
      </c>
      <c r="E2290" s="201">
        <v>45689</v>
      </c>
      <c r="F2290" s="200" t="s">
        <v>296</v>
      </c>
      <c r="G2290" s="200" t="s">
        <v>390</v>
      </c>
      <c r="H2290" s="200" t="s">
        <v>342</v>
      </c>
    </row>
    <row r="2291" spans="1:9" ht="15" customHeight="1">
      <c r="A2291" s="199">
        <v>45702</v>
      </c>
      <c r="B2291" s="202" t="s">
        <v>2101</v>
      </c>
      <c r="C2291" s="200" t="s">
        <v>136</v>
      </c>
      <c r="D2291" s="642">
        <v>-152475.66666666669</v>
      </c>
      <c r="E2291" s="201">
        <v>45689</v>
      </c>
      <c r="F2291" s="200" t="s">
        <v>296</v>
      </c>
      <c r="G2291" s="531" t="s">
        <v>392</v>
      </c>
      <c r="H2291" s="200" t="s">
        <v>342</v>
      </c>
    </row>
    <row r="2292" spans="1:9" ht="15" customHeight="1">
      <c r="A2292" s="199">
        <v>45702</v>
      </c>
      <c r="B2292" s="202" t="s">
        <v>2102</v>
      </c>
      <c r="C2292" s="200" t="s">
        <v>136</v>
      </c>
      <c r="D2292" s="642">
        <v>-739856</v>
      </c>
      <c r="E2292" s="201">
        <v>45689</v>
      </c>
      <c r="F2292" s="200" t="s">
        <v>296</v>
      </c>
      <c r="G2292" s="200" t="s">
        <v>390</v>
      </c>
      <c r="H2292" s="200" t="s">
        <v>342</v>
      </c>
    </row>
    <row r="2293" spans="1:9" ht="15" customHeight="1">
      <c r="A2293" s="199">
        <v>45702</v>
      </c>
      <c r="B2293" s="202" t="s">
        <v>2102</v>
      </c>
      <c r="C2293" s="200" t="s">
        <v>136</v>
      </c>
      <c r="D2293" s="642">
        <v>-184964</v>
      </c>
      <c r="E2293" s="201">
        <v>45689</v>
      </c>
      <c r="F2293" s="200" t="s">
        <v>296</v>
      </c>
      <c r="G2293" s="531" t="s">
        <v>392</v>
      </c>
      <c r="H2293" s="200" t="s">
        <v>342</v>
      </c>
    </row>
    <row r="2294" spans="1:9" ht="15" customHeight="1">
      <c r="A2294" s="199">
        <v>45702</v>
      </c>
      <c r="B2294" s="202" t="s">
        <v>2103</v>
      </c>
      <c r="C2294" s="200" t="s">
        <v>136</v>
      </c>
      <c r="D2294" s="642">
        <v>-668800</v>
      </c>
      <c r="E2294" s="201">
        <v>45689</v>
      </c>
      <c r="F2294" s="200" t="s">
        <v>296</v>
      </c>
      <c r="G2294" s="200" t="s">
        <v>482</v>
      </c>
      <c r="H2294" s="200" t="s">
        <v>342</v>
      </c>
    </row>
    <row r="2295" spans="1:9" ht="15" customHeight="1">
      <c r="A2295" s="199">
        <v>45702</v>
      </c>
      <c r="B2295" s="202" t="s">
        <v>2103</v>
      </c>
      <c r="C2295" s="200" t="s">
        <v>136</v>
      </c>
      <c r="D2295" s="642">
        <v>-167200</v>
      </c>
      <c r="E2295" s="201">
        <v>45689</v>
      </c>
      <c r="F2295" s="200" t="s">
        <v>296</v>
      </c>
      <c r="G2295" s="200" t="s">
        <v>984</v>
      </c>
      <c r="H2295" s="200" t="s">
        <v>342</v>
      </c>
    </row>
    <row r="2296" spans="1:9" ht="15" customHeight="1">
      <c r="A2296" s="199">
        <v>45702</v>
      </c>
      <c r="B2296" s="202" t="s">
        <v>2104</v>
      </c>
      <c r="C2296" s="200" t="s">
        <v>136</v>
      </c>
      <c r="D2296" s="642">
        <v>-615236</v>
      </c>
      <c r="E2296" s="201">
        <v>45689</v>
      </c>
      <c r="F2296" s="200" t="s">
        <v>296</v>
      </c>
      <c r="G2296" s="200" t="s">
        <v>390</v>
      </c>
      <c r="H2296" s="200" t="s">
        <v>342</v>
      </c>
    </row>
    <row r="2297" spans="1:9" ht="15" customHeight="1">
      <c r="A2297" s="199">
        <v>45702</v>
      </c>
      <c r="B2297" s="202" t="s">
        <v>2104</v>
      </c>
      <c r="C2297" s="200" t="s">
        <v>136</v>
      </c>
      <c r="D2297" s="642">
        <v>-153809</v>
      </c>
      <c r="E2297" s="201">
        <v>45689</v>
      </c>
      <c r="F2297" s="200" t="s">
        <v>296</v>
      </c>
      <c r="G2297" s="531" t="s">
        <v>392</v>
      </c>
      <c r="H2297" s="200" t="s">
        <v>342</v>
      </c>
      <c r="I2297" s="648" t="s">
        <v>329</v>
      </c>
    </row>
    <row r="2298" spans="1:9" ht="15" customHeight="1">
      <c r="A2298" s="199">
        <v>45702</v>
      </c>
      <c r="B2298" s="202" t="s">
        <v>2105</v>
      </c>
      <c r="C2298" s="200" t="s">
        <v>136</v>
      </c>
      <c r="D2298" s="642">
        <v>-603848</v>
      </c>
      <c r="E2298" s="201">
        <v>45689</v>
      </c>
      <c r="F2298" s="200" t="s">
        <v>296</v>
      </c>
      <c r="G2298" s="200" t="s">
        <v>482</v>
      </c>
      <c r="H2298" s="200" t="s">
        <v>342</v>
      </c>
    </row>
    <row r="2299" spans="1:9" ht="15" customHeight="1">
      <c r="A2299" s="199">
        <v>45702</v>
      </c>
      <c r="B2299" s="202" t="s">
        <v>2105</v>
      </c>
      <c r="C2299" s="200" t="s">
        <v>136</v>
      </c>
      <c r="D2299" s="642">
        <v>-150962</v>
      </c>
      <c r="E2299" s="201">
        <v>45689</v>
      </c>
      <c r="F2299" s="200" t="s">
        <v>296</v>
      </c>
      <c r="G2299" s="200" t="s">
        <v>984</v>
      </c>
      <c r="H2299" s="200" t="s">
        <v>342</v>
      </c>
    </row>
    <row r="2300" spans="1:9" ht="15" customHeight="1">
      <c r="A2300" s="199">
        <v>45702</v>
      </c>
      <c r="B2300" s="202" t="s">
        <v>2106</v>
      </c>
      <c r="C2300" s="200" t="s">
        <v>136</v>
      </c>
      <c r="D2300" s="642">
        <v>-603848</v>
      </c>
      <c r="E2300" s="201">
        <v>45689</v>
      </c>
      <c r="F2300" s="200" t="s">
        <v>296</v>
      </c>
      <c r="G2300" s="200" t="s">
        <v>482</v>
      </c>
      <c r="H2300" s="200" t="s">
        <v>342</v>
      </c>
      <c r="I2300" s="648" t="s">
        <v>329</v>
      </c>
    </row>
    <row r="2301" spans="1:9" ht="15" customHeight="1">
      <c r="A2301" s="199">
        <v>45702</v>
      </c>
      <c r="B2301" s="202" t="s">
        <v>2106</v>
      </c>
      <c r="C2301" s="200" t="s">
        <v>136</v>
      </c>
      <c r="D2301" s="642">
        <v>-150962</v>
      </c>
      <c r="E2301" s="201">
        <v>45689</v>
      </c>
      <c r="F2301" s="200" t="s">
        <v>296</v>
      </c>
      <c r="G2301" s="200" t="s">
        <v>984</v>
      </c>
      <c r="H2301" s="200" t="s">
        <v>342</v>
      </c>
      <c r="I2301" s="648" t="s">
        <v>329</v>
      </c>
    </row>
    <row r="2302" spans="1:9" ht="15" customHeight="1">
      <c r="A2302" s="199">
        <v>45702</v>
      </c>
      <c r="B2302" s="202" t="s">
        <v>2107</v>
      </c>
      <c r="C2302" s="200" t="s">
        <v>307</v>
      </c>
      <c r="D2302" s="204">
        <v>-27000</v>
      </c>
      <c r="E2302" s="201">
        <v>45689</v>
      </c>
      <c r="F2302" s="200" t="s">
        <v>296</v>
      </c>
      <c r="G2302" s="200" t="s">
        <v>390</v>
      </c>
      <c r="H2302" s="200" t="s">
        <v>268</v>
      </c>
      <c r="I2302" s="648" t="s">
        <v>329</v>
      </c>
    </row>
    <row r="2303" spans="1:9" ht="15" customHeight="1">
      <c r="A2303" s="199">
        <v>45701</v>
      </c>
      <c r="B2303" s="202" t="s">
        <v>2108</v>
      </c>
      <c r="C2303" s="200" t="s">
        <v>307</v>
      </c>
      <c r="D2303" s="204">
        <v>-17000</v>
      </c>
      <c r="E2303" s="201">
        <v>45689</v>
      </c>
      <c r="F2303" s="200" t="s">
        <v>296</v>
      </c>
      <c r="G2303" s="200" t="s">
        <v>411</v>
      </c>
      <c r="H2303" s="200" t="s">
        <v>268</v>
      </c>
    </row>
    <row r="2304" spans="1:9" ht="15" customHeight="1">
      <c r="A2304" s="199">
        <v>45701</v>
      </c>
      <c r="B2304" s="202" t="s">
        <v>2109</v>
      </c>
      <c r="C2304" s="200" t="s">
        <v>307</v>
      </c>
      <c r="D2304" s="204">
        <v>-17000</v>
      </c>
      <c r="E2304" s="201">
        <v>45689</v>
      </c>
      <c r="F2304" s="200" t="s">
        <v>296</v>
      </c>
      <c r="G2304" s="200" t="s">
        <v>411</v>
      </c>
      <c r="H2304" s="200" t="s">
        <v>268</v>
      </c>
    </row>
    <row r="2305" spans="1:9" ht="15" customHeight="1">
      <c r="A2305" s="199">
        <v>45701</v>
      </c>
      <c r="B2305" s="202" t="s">
        <v>2110</v>
      </c>
      <c r="C2305" s="200" t="s">
        <v>307</v>
      </c>
      <c r="D2305" s="204">
        <v>-17000</v>
      </c>
      <c r="E2305" s="201">
        <v>45689</v>
      </c>
      <c r="F2305" s="200" t="s">
        <v>297</v>
      </c>
      <c r="G2305" s="200" t="s">
        <v>1578</v>
      </c>
      <c r="H2305" s="200" t="s">
        <v>268</v>
      </c>
    </row>
    <row r="2306" spans="1:9" ht="15" customHeight="1">
      <c r="A2306" s="199">
        <v>45701</v>
      </c>
      <c r="B2306" s="202" t="s">
        <v>2111</v>
      </c>
      <c r="C2306" s="200" t="s">
        <v>307</v>
      </c>
      <c r="D2306" s="204">
        <v>-18000</v>
      </c>
      <c r="E2306" s="201">
        <v>45689</v>
      </c>
      <c r="F2306" s="200" t="s">
        <v>297</v>
      </c>
      <c r="G2306" s="200" t="s">
        <v>1578</v>
      </c>
      <c r="H2306" s="200" t="s">
        <v>342</v>
      </c>
      <c r="I2306" s="648" t="s">
        <v>329</v>
      </c>
    </row>
    <row r="2307" spans="1:9" ht="15" customHeight="1">
      <c r="A2307" s="199">
        <v>45701</v>
      </c>
      <c r="B2307" s="202" t="s">
        <v>2112</v>
      </c>
      <c r="C2307" s="200" t="s">
        <v>307</v>
      </c>
      <c r="D2307" s="204">
        <v>-12000</v>
      </c>
      <c r="E2307" s="201">
        <v>45689</v>
      </c>
      <c r="F2307" s="200" t="s">
        <v>296</v>
      </c>
      <c r="G2307" s="200" t="s">
        <v>411</v>
      </c>
      <c r="H2307" s="200" t="s">
        <v>268</v>
      </c>
      <c r="I2307" s="705" t="s">
        <v>329</v>
      </c>
    </row>
    <row r="2308" spans="1:9" ht="15" customHeight="1">
      <c r="A2308" s="199">
        <v>45701</v>
      </c>
      <c r="B2308" s="202" t="s">
        <v>2113</v>
      </c>
      <c r="C2308" s="200" t="s">
        <v>307</v>
      </c>
      <c r="D2308" s="204">
        <v>-6700</v>
      </c>
      <c r="E2308" s="201">
        <v>45689</v>
      </c>
      <c r="F2308" s="200" t="s">
        <v>296</v>
      </c>
      <c r="G2308" s="200" t="s">
        <v>44</v>
      </c>
      <c r="H2308" s="200" t="s">
        <v>442</v>
      </c>
      <c r="I2308" s="648" t="s">
        <v>329</v>
      </c>
    </row>
    <row r="2309" spans="1:9" s="700" customFormat="1" ht="15" customHeight="1">
      <c r="A2309" s="698">
        <v>45702</v>
      </c>
      <c r="B2309" s="699" t="s">
        <v>2114</v>
      </c>
      <c r="C2309" s="699" t="s">
        <v>136</v>
      </c>
      <c r="D2309" s="642">
        <v>-4038915</v>
      </c>
      <c r="E2309" s="701">
        <v>45689</v>
      </c>
      <c r="F2309" s="699" t="s">
        <v>256</v>
      </c>
      <c r="G2309" s="699" t="s">
        <v>256</v>
      </c>
      <c r="H2309" s="699" t="s">
        <v>257</v>
      </c>
      <c r="I2309" s="708"/>
    </row>
    <row r="2310" spans="1:9" ht="15" customHeight="1">
      <c r="A2310" s="199">
        <v>45705</v>
      </c>
      <c r="B2310" s="202" t="s">
        <v>2022</v>
      </c>
      <c r="C2310" s="200" t="s">
        <v>136</v>
      </c>
      <c r="D2310" s="642">
        <v>-764399.99999999988</v>
      </c>
      <c r="E2310" s="201">
        <v>45689</v>
      </c>
      <c r="F2310" s="200" t="s">
        <v>256</v>
      </c>
      <c r="G2310" s="200" t="s">
        <v>256</v>
      </c>
      <c r="H2310" s="200" t="s">
        <v>121</v>
      </c>
    </row>
    <row r="2311" spans="1:9" ht="15" customHeight="1">
      <c r="A2311" s="199">
        <v>45702</v>
      </c>
      <c r="B2311" s="202" t="s">
        <v>2115</v>
      </c>
      <c r="C2311" s="200" t="s">
        <v>136</v>
      </c>
      <c r="D2311" s="649">
        <v>764400</v>
      </c>
      <c r="E2311" s="201">
        <v>45689</v>
      </c>
      <c r="F2311" s="200" t="s">
        <v>256</v>
      </c>
      <c r="G2311" s="200" t="s">
        <v>256</v>
      </c>
      <c r="H2311" s="200" t="s">
        <v>121</v>
      </c>
    </row>
    <row r="2312" spans="1:9" ht="15" customHeight="1">
      <c r="A2312" s="199">
        <v>45702</v>
      </c>
      <c r="B2312" s="202" t="s">
        <v>2116</v>
      </c>
      <c r="C2312" s="200" t="s">
        <v>136</v>
      </c>
      <c r="D2312" s="642">
        <v>-109000</v>
      </c>
      <c r="E2312" s="201">
        <v>45689</v>
      </c>
      <c r="F2312" s="200" t="s">
        <v>256</v>
      </c>
      <c r="G2312" s="200" t="s">
        <v>256</v>
      </c>
      <c r="H2312" s="200" t="s">
        <v>115</v>
      </c>
    </row>
    <row r="2313" spans="1:9" ht="15" customHeight="1">
      <c r="A2313" s="199">
        <v>45707</v>
      </c>
      <c r="B2313" s="202" t="s">
        <v>1992</v>
      </c>
      <c r="C2313" s="200" t="s">
        <v>136</v>
      </c>
      <c r="D2313" s="642">
        <v>-706601</v>
      </c>
      <c r="E2313" s="201">
        <v>45689</v>
      </c>
      <c r="F2313" s="200" t="s">
        <v>296</v>
      </c>
      <c r="G2313" s="200" t="s">
        <v>522</v>
      </c>
      <c r="H2313" s="200" t="s">
        <v>490</v>
      </c>
    </row>
    <row r="2314" spans="1:9" ht="15" customHeight="1">
      <c r="A2314" s="199">
        <v>45706</v>
      </c>
      <c r="B2314" s="202" t="s">
        <v>2117</v>
      </c>
      <c r="C2314" s="200" t="s">
        <v>136</v>
      </c>
      <c r="D2314" s="649">
        <v>6385196</v>
      </c>
      <c r="E2314" s="201">
        <v>45689</v>
      </c>
      <c r="F2314" s="200" t="s">
        <v>650</v>
      </c>
    </row>
    <row r="2315" spans="1:9" ht="15" customHeight="1">
      <c r="A2315" s="199">
        <v>45695</v>
      </c>
      <c r="B2315" s="202" t="s">
        <v>1514</v>
      </c>
      <c r="C2315" s="200" t="s">
        <v>136</v>
      </c>
      <c r="D2315" s="642">
        <v>-12500</v>
      </c>
      <c r="E2315" s="201">
        <v>45689</v>
      </c>
      <c r="F2315" s="200" t="s">
        <v>256</v>
      </c>
      <c r="G2315" s="200" t="s">
        <v>107</v>
      </c>
      <c r="H2315" s="200" t="s">
        <v>275</v>
      </c>
      <c r="I2315" s="200" t="s">
        <v>1515</v>
      </c>
    </row>
    <row r="2316" spans="1:9" ht="15" customHeight="1">
      <c r="A2316" s="199">
        <v>45695</v>
      </c>
      <c r="B2316" s="202" t="s">
        <v>1516</v>
      </c>
      <c r="C2316" s="200" t="s">
        <v>136</v>
      </c>
      <c r="D2316" s="642">
        <v>-12400</v>
      </c>
      <c r="E2316" s="201">
        <v>45689</v>
      </c>
      <c r="F2316" s="200" t="s">
        <v>256</v>
      </c>
      <c r="G2316" s="200" t="s">
        <v>107</v>
      </c>
      <c r="H2316" s="200" t="s">
        <v>275</v>
      </c>
      <c r="I2316" s="200" t="s">
        <v>1515</v>
      </c>
    </row>
    <row r="2317" spans="1:9" ht="15" customHeight="1">
      <c r="A2317" s="199">
        <v>45695</v>
      </c>
      <c r="B2317" s="202" t="s">
        <v>2118</v>
      </c>
      <c r="C2317" s="200" t="s">
        <v>136</v>
      </c>
      <c r="D2317" s="642">
        <v>-12400</v>
      </c>
      <c r="E2317" s="201">
        <v>45689</v>
      </c>
      <c r="F2317" s="200" t="s">
        <v>256</v>
      </c>
      <c r="G2317" s="200" t="s">
        <v>107</v>
      </c>
      <c r="H2317" s="200" t="s">
        <v>275</v>
      </c>
      <c r="I2317" s="200" t="s">
        <v>1515</v>
      </c>
    </row>
    <row r="2318" spans="1:9" ht="15" customHeight="1">
      <c r="A2318" s="199">
        <v>45695</v>
      </c>
      <c r="B2318" s="202" t="s">
        <v>2119</v>
      </c>
      <c r="C2318" s="200" t="s">
        <v>136</v>
      </c>
      <c r="D2318" s="642">
        <v>-12400</v>
      </c>
      <c r="E2318" s="201">
        <v>45689</v>
      </c>
      <c r="F2318" s="200" t="s">
        <v>256</v>
      </c>
      <c r="G2318" s="200" t="s">
        <v>107</v>
      </c>
      <c r="H2318" s="200" t="s">
        <v>275</v>
      </c>
      <c r="I2318" s="200" t="s">
        <v>1515</v>
      </c>
    </row>
    <row r="2319" spans="1:9" ht="15" customHeight="1">
      <c r="A2319" s="199">
        <v>45695</v>
      </c>
      <c r="B2319" s="202" t="s">
        <v>2120</v>
      </c>
      <c r="C2319" s="200" t="s">
        <v>136</v>
      </c>
      <c r="D2319" s="642">
        <v>-12400</v>
      </c>
      <c r="E2319" s="201">
        <v>45689</v>
      </c>
      <c r="F2319" s="200" t="s">
        <v>256</v>
      </c>
      <c r="G2319" s="200" t="s">
        <v>107</v>
      </c>
      <c r="H2319" s="200" t="s">
        <v>275</v>
      </c>
      <c r="I2319" s="200" t="s">
        <v>1515</v>
      </c>
    </row>
    <row r="2320" spans="1:9" ht="15" customHeight="1">
      <c r="A2320" s="199">
        <v>45695</v>
      </c>
      <c r="B2320" s="202" t="s">
        <v>1521</v>
      </c>
      <c r="C2320" s="200" t="s">
        <v>136</v>
      </c>
      <c r="D2320" s="642">
        <v>-48730</v>
      </c>
      <c r="E2320" s="201">
        <v>45689</v>
      </c>
      <c r="F2320" s="200" t="s">
        <v>256</v>
      </c>
      <c r="G2320" s="200" t="s">
        <v>107</v>
      </c>
      <c r="H2320" s="200" t="s">
        <v>275</v>
      </c>
      <c r="I2320" s="200" t="s">
        <v>1515</v>
      </c>
    </row>
    <row r="2321" spans="1:9" ht="15" customHeight="1">
      <c r="A2321" s="199">
        <v>45695</v>
      </c>
      <c r="B2321" s="202" t="s">
        <v>1522</v>
      </c>
      <c r="C2321" s="200" t="s">
        <v>136</v>
      </c>
      <c r="D2321" s="642">
        <v>-7500</v>
      </c>
      <c r="E2321" s="201">
        <v>45689</v>
      </c>
      <c r="F2321" s="200" t="s">
        <v>256</v>
      </c>
      <c r="G2321" s="200" t="s">
        <v>107</v>
      </c>
      <c r="H2321" s="200" t="s">
        <v>275</v>
      </c>
      <c r="I2321" s="200" t="s">
        <v>1515</v>
      </c>
    </row>
    <row r="2322" spans="1:9" ht="15" customHeight="1">
      <c r="A2322" s="199">
        <v>45705</v>
      </c>
      <c r="B2322" s="202" t="s">
        <v>2121</v>
      </c>
      <c r="C2322" s="200" t="s">
        <v>204</v>
      </c>
      <c r="D2322" s="649">
        <v>-808500</v>
      </c>
      <c r="E2322" s="201">
        <v>45689</v>
      </c>
      <c r="F2322" s="200" t="s">
        <v>296</v>
      </c>
      <c r="G2322" s="200" t="s">
        <v>411</v>
      </c>
      <c r="H2322" s="200" t="s">
        <v>342</v>
      </c>
    </row>
    <row r="2323" spans="1:9" ht="15" customHeight="1">
      <c r="A2323" s="199">
        <v>45705</v>
      </c>
      <c r="B2323" s="202" t="s">
        <v>2122</v>
      </c>
      <c r="C2323" s="200" t="s">
        <v>372</v>
      </c>
      <c r="D2323" s="204">
        <v>-24500</v>
      </c>
      <c r="E2323" s="201">
        <v>45689</v>
      </c>
      <c r="F2323" s="200" t="s">
        <v>296</v>
      </c>
      <c r="G2323" s="200" t="s">
        <v>411</v>
      </c>
      <c r="H2323" s="200" t="s">
        <v>342</v>
      </c>
    </row>
    <row r="2324" spans="1:9" ht="15" customHeight="1">
      <c r="A2324" s="199">
        <v>45705</v>
      </c>
      <c r="B2324" s="202" t="s">
        <v>2123</v>
      </c>
      <c r="C2324" s="200" t="s">
        <v>204</v>
      </c>
      <c r="D2324" s="649">
        <v>-6948000</v>
      </c>
      <c r="E2324" s="201">
        <v>45689</v>
      </c>
      <c r="F2324" s="200" t="s">
        <v>256</v>
      </c>
      <c r="G2324" s="200" t="s">
        <v>256</v>
      </c>
      <c r="H2324" s="200" t="s">
        <v>257</v>
      </c>
    </row>
    <row r="2325" spans="1:9" ht="15" customHeight="1">
      <c r="A2325" s="199">
        <v>45705</v>
      </c>
      <c r="B2325" s="202" t="s">
        <v>2124</v>
      </c>
      <c r="C2325" s="200" t="s">
        <v>372</v>
      </c>
      <c r="D2325" s="204">
        <v>-252000</v>
      </c>
      <c r="E2325" s="201">
        <v>45689</v>
      </c>
      <c r="F2325" s="200" t="s">
        <v>256</v>
      </c>
      <c r="G2325" s="200" t="s">
        <v>256</v>
      </c>
      <c r="H2325" s="200" t="s">
        <v>257</v>
      </c>
    </row>
    <row r="2326" spans="1:9" ht="15" customHeight="1">
      <c r="A2326" s="199">
        <v>45705</v>
      </c>
      <c r="B2326" s="202" t="s">
        <v>2125</v>
      </c>
      <c r="C2326" s="200" t="s">
        <v>204</v>
      </c>
      <c r="D2326" s="649">
        <v>-6303990</v>
      </c>
      <c r="E2326" s="201">
        <v>45689</v>
      </c>
      <c r="F2326" s="200" t="s">
        <v>296</v>
      </c>
      <c r="G2326" s="200" t="s">
        <v>522</v>
      </c>
      <c r="H2326" s="200" t="s">
        <v>1079</v>
      </c>
    </row>
    <row r="2327" spans="1:9" ht="15" customHeight="1">
      <c r="A2327" s="199">
        <v>45705</v>
      </c>
      <c r="B2327" s="202" t="s">
        <v>2126</v>
      </c>
      <c r="C2327" s="200" t="s">
        <v>372</v>
      </c>
      <c r="D2327" s="204">
        <v>-127756</v>
      </c>
      <c r="E2327" s="201">
        <v>45689</v>
      </c>
      <c r="F2327" s="200" t="s">
        <v>296</v>
      </c>
      <c r="G2327" s="200" t="s">
        <v>522</v>
      </c>
      <c r="H2327" s="200" t="s">
        <v>1079</v>
      </c>
    </row>
    <row r="2328" spans="1:9" ht="15" customHeight="1">
      <c r="A2328" s="199">
        <v>45705</v>
      </c>
      <c r="B2328" s="202" t="s">
        <v>2127</v>
      </c>
      <c r="C2328" s="200" t="s">
        <v>372</v>
      </c>
      <c r="D2328" s="204">
        <v>-38327</v>
      </c>
      <c r="E2328" s="201">
        <v>45689</v>
      </c>
      <c r="F2328" s="200" t="s">
        <v>296</v>
      </c>
      <c r="G2328" s="200" t="s">
        <v>522</v>
      </c>
      <c r="H2328" s="200" t="s">
        <v>1079</v>
      </c>
    </row>
    <row r="2329" spans="1:9" ht="15" customHeight="1">
      <c r="A2329" s="199">
        <v>45705</v>
      </c>
      <c r="B2329" s="202" t="s">
        <v>2128</v>
      </c>
      <c r="C2329" s="200" t="s">
        <v>204</v>
      </c>
      <c r="D2329" s="649">
        <v>-5781263</v>
      </c>
      <c r="E2329" s="201">
        <v>45689</v>
      </c>
      <c r="F2329" s="200" t="s">
        <v>296</v>
      </c>
      <c r="G2329" s="200" t="s">
        <v>522</v>
      </c>
      <c r="H2329" s="200" t="s">
        <v>488</v>
      </c>
    </row>
    <row r="2330" spans="1:9" ht="15" customHeight="1">
      <c r="A2330" s="199">
        <v>45705</v>
      </c>
      <c r="B2330" s="202" t="s">
        <v>2129</v>
      </c>
      <c r="C2330" s="200" t="s">
        <v>372</v>
      </c>
      <c r="D2330" s="204">
        <v>-148238</v>
      </c>
      <c r="E2330" s="201">
        <v>45689</v>
      </c>
      <c r="F2330" s="200" t="s">
        <v>296</v>
      </c>
      <c r="G2330" s="200" t="s">
        <v>522</v>
      </c>
      <c r="H2330" s="200" t="s">
        <v>488</v>
      </c>
    </row>
    <row r="2331" spans="1:9" ht="15" customHeight="1">
      <c r="A2331" s="199">
        <v>45705</v>
      </c>
      <c r="B2331" s="202" t="s">
        <v>2130</v>
      </c>
      <c r="C2331" s="200" t="s">
        <v>204</v>
      </c>
      <c r="D2331" s="649">
        <v>-940800</v>
      </c>
      <c r="E2331" s="201">
        <v>45689</v>
      </c>
      <c r="F2331" s="200" t="s">
        <v>296</v>
      </c>
      <c r="G2331" s="200" t="s">
        <v>522</v>
      </c>
      <c r="H2331" s="200" t="s">
        <v>488</v>
      </c>
    </row>
    <row r="2332" spans="1:9" ht="15" customHeight="1">
      <c r="A2332" s="199">
        <v>45705</v>
      </c>
      <c r="B2332" s="202" t="s">
        <v>2131</v>
      </c>
      <c r="C2332" s="200" t="s">
        <v>204</v>
      </c>
      <c r="D2332" s="649">
        <v>-500000</v>
      </c>
      <c r="E2332" s="201">
        <v>45689</v>
      </c>
      <c r="F2332" s="200" t="s">
        <v>296</v>
      </c>
      <c r="G2332" s="200" t="s">
        <v>522</v>
      </c>
      <c r="H2332" s="200" t="s">
        <v>488</v>
      </c>
    </row>
    <row r="2333" spans="1:9" ht="15" customHeight="1">
      <c r="A2333" s="199">
        <v>45705</v>
      </c>
      <c r="B2333" s="202" t="s">
        <v>2132</v>
      </c>
      <c r="C2333" s="200" t="s">
        <v>136</v>
      </c>
      <c r="D2333" s="642">
        <v>-366666</v>
      </c>
      <c r="E2333" s="201">
        <v>45689</v>
      </c>
      <c r="F2333" s="200" t="s">
        <v>296</v>
      </c>
      <c r="G2333" s="200" t="s">
        <v>522</v>
      </c>
      <c r="H2333" s="200" t="s">
        <v>446</v>
      </c>
    </row>
    <row r="2334" spans="1:9" ht="15" customHeight="1">
      <c r="A2334" s="199">
        <v>45705</v>
      </c>
      <c r="B2334" s="202" t="s">
        <v>2133</v>
      </c>
      <c r="C2334" s="200" t="s">
        <v>372</v>
      </c>
      <c r="D2334" s="204">
        <v>-13299</v>
      </c>
      <c r="E2334" s="201">
        <v>45689</v>
      </c>
      <c r="F2334" s="200" t="s">
        <v>296</v>
      </c>
      <c r="G2334" s="200" t="s">
        <v>522</v>
      </c>
      <c r="H2334" s="200" t="s">
        <v>446</v>
      </c>
      <c r="I2334" s="704"/>
    </row>
    <row r="2335" spans="1:9" ht="15" customHeight="1">
      <c r="A2335" s="199">
        <v>45705</v>
      </c>
      <c r="B2335" s="202" t="s">
        <v>2132</v>
      </c>
      <c r="C2335" s="200" t="s">
        <v>136</v>
      </c>
      <c r="D2335" s="642">
        <v>-366666</v>
      </c>
      <c r="E2335" s="201">
        <v>45689</v>
      </c>
      <c r="F2335" s="200" t="s">
        <v>296</v>
      </c>
      <c r="G2335" s="200" t="s">
        <v>44</v>
      </c>
      <c r="H2335" s="200" t="s">
        <v>446</v>
      </c>
    </row>
    <row r="2336" spans="1:9" ht="15" customHeight="1">
      <c r="A2336" s="199">
        <v>45705</v>
      </c>
      <c r="B2336" s="202" t="s">
        <v>2133</v>
      </c>
      <c r="C2336" s="200" t="s">
        <v>372</v>
      </c>
      <c r="D2336" s="204">
        <v>-13299</v>
      </c>
      <c r="E2336" s="201">
        <v>45689</v>
      </c>
      <c r="F2336" s="200" t="s">
        <v>296</v>
      </c>
      <c r="G2336" s="200" t="s">
        <v>44</v>
      </c>
      <c r="H2336" s="200" t="s">
        <v>446</v>
      </c>
    </row>
    <row r="2337" spans="1:9" ht="15" customHeight="1">
      <c r="A2337" s="199">
        <v>45705</v>
      </c>
      <c r="B2337" s="202" t="s">
        <v>2132</v>
      </c>
      <c r="C2337" s="200" t="s">
        <v>136</v>
      </c>
      <c r="D2337" s="642">
        <v>-366668</v>
      </c>
      <c r="E2337" s="201">
        <v>45689</v>
      </c>
      <c r="F2337" s="200" t="s">
        <v>296</v>
      </c>
      <c r="G2337" s="200" t="s">
        <v>337</v>
      </c>
      <c r="H2337" s="200" t="s">
        <v>446</v>
      </c>
      <c r="I2337" s="673"/>
    </row>
    <row r="2338" spans="1:9" ht="15" customHeight="1">
      <c r="A2338" s="199">
        <v>45705</v>
      </c>
      <c r="B2338" s="202" t="s">
        <v>2133</v>
      </c>
      <c r="C2338" s="200" t="s">
        <v>372</v>
      </c>
      <c r="D2338" s="204">
        <v>-13299</v>
      </c>
      <c r="E2338" s="201">
        <v>45689</v>
      </c>
      <c r="F2338" s="200" t="s">
        <v>296</v>
      </c>
      <c r="G2338" s="200" t="s">
        <v>337</v>
      </c>
      <c r="H2338" s="200" t="s">
        <v>446</v>
      </c>
    </row>
    <row r="2339" spans="1:9" ht="15" customHeight="1">
      <c r="A2339" s="199">
        <v>45705</v>
      </c>
      <c r="B2339" s="202" t="s">
        <v>859</v>
      </c>
      <c r="C2339" s="200" t="s">
        <v>204</v>
      </c>
      <c r="D2339" s="649">
        <v>-21900</v>
      </c>
      <c r="E2339" s="201">
        <v>45689</v>
      </c>
      <c r="F2339" s="200" t="s">
        <v>296</v>
      </c>
      <c r="G2339" s="200" t="s">
        <v>453</v>
      </c>
      <c r="H2339" s="200" t="s">
        <v>98</v>
      </c>
    </row>
    <row r="2340" spans="1:9" ht="15" customHeight="1">
      <c r="A2340" s="199">
        <v>45705</v>
      </c>
      <c r="B2340" s="202" t="s">
        <v>2134</v>
      </c>
      <c r="C2340" s="200" t="s">
        <v>204</v>
      </c>
      <c r="D2340" s="649">
        <v>-14779755</v>
      </c>
      <c r="E2340" s="201">
        <v>45689</v>
      </c>
      <c r="F2340" s="200" t="s">
        <v>296</v>
      </c>
      <c r="G2340" s="200" t="s">
        <v>522</v>
      </c>
      <c r="H2340" s="200" t="s">
        <v>370</v>
      </c>
    </row>
    <row r="2341" spans="1:9" ht="15" customHeight="1">
      <c r="A2341" s="199">
        <v>45705</v>
      </c>
      <c r="B2341" s="202" t="s">
        <v>2135</v>
      </c>
      <c r="C2341" s="200" t="s">
        <v>204</v>
      </c>
      <c r="D2341" s="649">
        <v>-300033</v>
      </c>
      <c r="E2341" s="201">
        <v>45689</v>
      </c>
      <c r="F2341" s="200" t="s">
        <v>296</v>
      </c>
      <c r="G2341" s="200" t="s">
        <v>328</v>
      </c>
      <c r="H2341" s="200" t="s">
        <v>350</v>
      </c>
    </row>
    <row r="2342" spans="1:9" ht="15" customHeight="1">
      <c r="A2342" s="199">
        <v>45705</v>
      </c>
      <c r="B2342" s="202" t="s">
        <v>2136</v>
      </c>
      <c r="C2342" s="200" t="s">
        <v>372</v>
      </c>
      <c r="D2342" s="204">
        <v>-1887</v>
      </c>
      <c r="E2342" s="201">
        <v>45689</v>
      </c>
      <c r="F2342" s="200" t="s">
        <v>296</v>
      </c>
      <c r="G2342" s="200" t="s">
        <v>328</v>
      </c>
      <c r="H2342" s="200" t="s">
        <v>350</v>
      </c>
    </row>
    <row r="2343" spans="1:9" ht="15" customHeight="1">
      <c r="A2343" s="199">
        <v>45705</v>
      </c>
      <c r="B2343" s="202" t="s">
        <v>2137</v>
      </c>
      <c r="C2343" s="200" t="s">
        <v>204</v>
      </c>
      <c r="D2343" s="649">
        <v>-1158000</v>
      </c>
      <c r="E2343" s="201">
        <v>45689</v>
      </c>
      <c r="F2343" s="200" t="s">
        <v>256</v>
      </c>
      <c r="G2343" s="200" t="s">
        <v>256</v>
      </c>
      <c r="H2343" s="200" t="s">
        <v>257</v>
      </c>
    </row>
    <row r="2344" spans="1:9" ht="15" customHeight="1">
      <c r="A2344" s="199">
        <v>45702</v>
      </c>
      <c r="B2344" s="202" t="s">
        <v>2138</v>
      </c>
      <c r="C2344" s="200" t="s">
        <v>204</v>
      </c>
      <c r="D2344" s="649">
        <v>-235000</v>
      </c>
      <c r="E2344" s="201">
        <v>45689</v>
      </c>
      <c r="F2344" s="200" t="s">
        <v>256</v>
      </c>
      <c r="G2344" s="200" t="s">
        <v>256</v>
      </c>
      <c r="H2344" s="200" t="s">
        <v>267</v>
      </c>
    </row>
    <row r="2345" spans="1:9" ht="15" customHeight="1">
      <c r="A2345" s="199">
        <v>45707</v>
      </c>
      <c r="B2345" s="202" t="s">
        <v>2139</v>
      </c>
      <c r="C2345" s="200" t="s">
        <v>204</v>
      </c>
      <c r="D2345" s="649">
        <v>-160000</v>
      </c>
      <c r="E2345" s="201">
        <v>45689</v>
      </c>
      <c r="F2345" s="200" t="s">
        <v>256</v>
      </c>
      <c r="G2345" s="200" t="s">
        <v>256</v>
      </c>
      <c r="H2345" s="200" t="s">
        <v>267</v>
      </c>
    </row>
    <row r="2346" spans="1:9" ht="15" customHeight="1">
      <c r="A2346" s="199">
        <v>45707</v>
      </c>
      <c r="B2346" s="202" t="s">
        <v>2140</v>
      </c>
      <c r="C2346" s="200" t="s">
        <v>204</v>
      </c>
      <c r="D2346" s="649">
        <v>-58800</v>
      </c>
      <c r="E2346" s="201">
        <v>45689</v>
      </c>
      <c r="F2346" s="200" t="s">
        <v>256</v>
      </c>
      <c r="G2346" s="200" t="s">
        <v>256</v>
      </c>
      <c r="H2346" s="200" t="s">
        <v>267</v>
      </c>
    </row>
    <row r="2347" spans="1:9" ht="15" customHeight="1">
      <c r="A2347" s="199">
        <v>45707</v>
      </c>
      <c r="B2347" s="202" t="s">
        <v>2141</v>
      </c>
      <c r="C2347" s="200" t="s">
        <v>204</v>
      </c>
      <c r="D2347" s="649">
        <v>-46749</v>
      </c>
      <c r="E2347" s="201">
        <v>45689</v>
      </c>
      <c r="F2347" s="200" t="s">
        <v>296</v>
      </c>
      <c r="G2347" s="200" t="s">
        <v>411</v>
      </c>
      <c r="H2347" s="200" t="s">
        <v>350</v>
      </c>
    </row>
    <row r="2348" spans="1:9" ht="15" customHeight="1">
      <c r="A2348" s="199">
        <v>45707</v>
      </c>
      <c r="B2348" s="202" t="s">
        <v>2142</v>
      </c>
      <c r="C2348" s="200" t="s">
        <v>372</v>
      </c>
      <c r="D2348" s="204">
        <v>-1008</v>
      </c>
      <c r="E2348" s="201">
        <v>45689</v>
      </c>
      <c r="F2348" s="200" t="s">
        <v>296</v>
      </c>
      <c r="G2348" s="200" t="s">
        <v>411</v>
      </c>
      <c r="H2348" s="200" t="s">
        <v>350</v>
      </c>
    </row>
    <row r="2349" spans="1:9" ht="15" customHeight="1">
      <c r="A2349" s="199">
        <v>45707</v>
      </c>
      <c r="B2349" s="202" t="s">
        <v>2143</v>
      </c>
      <c r="C2349" s="200" t="s">
        <v>372</v>
      </c>
      <c r="D2349" s="204">
        <v>-242</v>
      </c>
      <c r="E2349" s="201">
        <v>45689</v>
      </c>
      <c r="F2349" s="200" t="s">
        <v>296</v>
      </c>
      <c r="G2349" s="200" t="s">
        <v>411</v>
      </c>
      <c r="H2349" s="200" t="s">
        <v>350</v>
      </c>
    </row>
    <row r="2350" spans="1:9" ht="15" customHeight="1">
      <c r="A2350" s="199">
        <v>45707</v>
      </c>
      <c r="B2350" s="202" t="s">
        <v>2141</v>
      </c>
      <c r="C2350" s="200" t="s">
        <v>204</v>
      </c>
      <c r="D2350" s="649">
        <v>-509571</v>
      </c>
      <c r="E2350" s="201">
        <v>45689</v>
      </c>
      <c r="F2350" s="200" t="s">
        <v>296</v>
      </c>
      <c r="G2350" s="200" t="s">
        <v>984</v>
      </c>
      <c r="H2350" s="200" t="s">
        <v>350</v>
      </c>
    </row>
    <row r="2351" spans="1:9" ht="15" customHeight="1">
      <c r="A2351" s="199">
        <v>45707</v>
      </c>
      <c r="B2351" s="202" t="s">
        <v>2142</v>
      </c>
      <c r="C2351" s="200" t="s">
        <v>372</v>
      </c>
      <c r="D2351" s="204">
        <v>-10992</v>
      </c>
      <c r="E2351" s="201">
        <v>45689</v>
      </c>
      <c r="F2351" s="200" t="s">
        <v>296</v>
      </c>
      <c r="G2351" s="200" t="s">
        <v>984</v>
      </c>
      <c r="H2351" s="200" t="s">
        <v>350</v>
      </c>
    </row>
    <row r="2352" spans="1:9" ht="15" customHeight="1">
      <c r="A2352" s="199">
        <v>45707</v>
      </c>
      <c r="B2352" s="202" t="s">
        <v>2143</v>
      </c>
      <c r="C2352" s="200" t="s">
        <v>372</v>
      </c>
      <c r="D2352" s="204">
        <v>-2638</v>
      </c>
      <c r="E2352" s="201">
        <v>45689</v>
      </c>
      <c r="F2352" s="200" t="s">
        <v>296</v>
      </c>
      <c r="G2352" s="200" t="s">
        <v>984</v>
      </c>
      <c r="H2352" s="200" t="s">
        <v>350</v>
      </c>
    </row>
    <row r="2353" spans="1:8" ht="15" customHeight="1">
      <c r="A2353" s="199">
        <v>45707</v>
      </c>
      <c r="B2353" s="202" t="s">
        <v>2144</v>
      </c>
      <c r="C2353" s="200" t="s">
        <v>204</v>
      </c>
      <c r="D2353" s="649">
        <v>-512375</v>
      </c>
      <c r="E2353" s="201">
        <v>45689</v>
      </c>
      <c r="F2353" s="200" t="s">
        <v>296</v>
      </c>
      <c r="G2353" s="200" t="s">
        <v>984</v>
      </c>
      <c r="H2353" s="200" t="s">
        <v>350</v>
      </c>
    </row>
    <row r="2354" spans="1:8" ht="15" customHeight="1">
      <c r="A2354" s="199">
        <v>45707</v>
      </c>
      <c r="B2354" s="202" t="s">
        <v>2145</v>
      </c>
      <c r="C2354" s="200" t="s">
        <v>372</v>
      </c>
      <c r="D2354" s="204">
        <v>-11052</v>
      </c>
      <c r="E2354" s="201">
        <v>45689</v>
      </c>
      <c r="F2354" s="200" t="s">
        <v>296</v>
      </c>
      <c r="G2354" s="200" t="s">
        <v>984</v>
      </c>
      <c r="H2354" s="200" t="s">
        <v>350</v>
      </c>
    </row>
    <row r="2355" spans="1:8" ht="15" customHeight="1">
      <c r="A2355" s="199">
        <v>45707</v>
      </c>
      <c r="B2355" s="202" t="s">
        <v>2146</v>
      </c>
      <c r="C2355" s="200" t="s">
        <v>372</v>
      </c>
      <c r="D2355" s="204">
        <v>-2653</v>
      </c>
      <c r="E2355" s="201">
        <v>45689</v>
      </c>
      <c r="F2355" s="200" t="s">
        <v>296</v>
      </c>
      <c r="G2355" s="200" t="s">
        <v>984</v>
      </c>
      <c r="H2355" s="200" t="s">
        <v>350</v>
      </c>
    </row>
    <row r="2356" spans="1:8" ht="15" customHeight="1">
      <c r="A2356" s="199">
        <v>45707</v>
      </c>
      <c r="B2356" s="202" t="s">
        <v>2147</v>
      </c>
      <c r="C2356" s="200" t="s">
        <v>204</v>
      </c>
      <c r="D2356" s="649">
        <v>-245436</v>
      </c>
      <c r="E2356" s="201">
        <v>45689</v>
      </c>
      <c r="F2356" s="200" t="s">
        <v>296</v>
      </c>
      <c r="G2356" s="200" t="s">
        <v>411</v>
      </c>
      <c r="H2356" s="200" t="s">
        <v>350</v>
      </c>
    </row>
    <row r="2357" spans="1:8" ht="15" customHeight="1">
      <c r="A2357" s="199">
        <v>45707</v>
      </c>
      <c r="B2357" s="202" t="s">
        <v>2148</v>
      </c>
      <c r="C2357" s="200" t="s">
        <v>372</v>
      </c>
      <c r="D2357" s="204">
        <v>-5294</v>
      </c>
      <c r="E2357" s="201">
        <v>45689</v>
      </c>
      <c r="F2357" s="200" t="s">
        <v>296</v>
      </c>
      <c r="G2357" s="200" t="s">
        <v>411</v>
      </c>
      <c r="H2357" s="200" t="s">
        <v>350</v>
      </c>
    </row>
    <row r="2358" spans="1:8" ht="15" customHeight="1">
      <c r="A2358" s="199">
        <v>45707</v>
      </c>
      <c r="B2358" s="202" t="s">
        <v>2149</v>
      </c>
      <c r="C2358" s="200" t="s">
        <v>372</v>
      </c>
      <c r="D2358" s="204">
        <v>-1271</v>
      </c>
      <c r="E2358" s="201">
        <v>45689</v>
      </c>
      <c r="F2358" s="200" t="s">
        <v>296</v>
      </c>
      <c r="G2358" s="200" t="s">
        <v>411</v>
      </c>
      <c r="H2358" s="200" t="s">
        <v>350</v>
      </c>
    </row>
    <row r="2359" spans="1:8" ht="15" customHeight="1">
      <c r="A2359" s="199">
        <v>45707</v>
      </c>
      <c r="B2359" s="202" t="s">
        <v>2147</v>
      </c>
      <c r="C2359" s="200" t="s">
        <v>204</v>
      </c>
      <c r="D2359" s="649">
        <v>-270213</v>
      </c>
      <c r="E2359" s="201">
        <v>45689</v>
      </c>
      <c r="F2359" s="200" t="s">
        <v>296</v>
      </c>
      <c r="G2359" s="200" t="s">
        <v>984</v>
      </c>
      <c r="H2359" s="200" t="s">
        <v>350</v>
      </c>
    </row>
    <row r="2360" spans="1:8" ht="15" customHeight="1">
      <c r="A2360" s="199">
        <v>45707</v>
      </c>
      <c r="B2360" s="202" t="s">
        <v>2148</v>
      </c>
      <c r="C2360" s="200" t="s">
        <v>372</v>
      </c>
      <c r="D2360" s="204">
        <v>-5829</v>
      </c>
      <c r="E2360" s="201">
        <v>45689</v>
      </c>
      <c r="F2360" s="200" t="s">
        <v>296</v>
      </c>
      <c r="G2360" s="200" t="s">
        <v>984</v>
      </c>
      <c r="H2360" s="200" t="s">
        <v>350</v>
      </c>
    </row>
    <row r="2361" spans="1:8" ht="15" customHeight="1">
      <c r="A2361" s="199">
        <v>45707</v>
      </c>
      <c r="B2361" s="202" t="s">
        <v>2149</v>
      </c>
      <c r="C2361" s="200" t="s">
        <v>372</v>
      </c>
      <c r="D2361" s="204">
        <v>-1399</v>
      </c>
      <c r="E2361" s="201">
        <v>45689</v>
      </c>
      <c r="F2361" s="200" t="s">
        <v>296</v>
      </c>
      <c r="G2361" s="200" t="s">
        <v>984</v>
      </c>
      <c r="H2361" s="200" t="s">
        <v>350</v>
      </c>
    </row>
    <row r="2362" spans="1:8" ht="15" customHeight="1">
      <c r="A2362" s="199">
        <v>45707</v>
      </c>
      <c r="B2362" s="202" t="s">
        <v>2150</v>
      </c>
      <c r="C2362" s="200" t="s">
        <v>204</v>
      </c>
      <c r="D2362" s="649">
        <v>-489819</v>
      </c>
      <c r="E2362" s="201">
        <v>45689</v>
      </c>
      <c r="F2362" s="200" t="s">
        <v>296</v>
      </c>
      <c r="G2362" s="200" t="s">
        <v>984</v>
      </c>
      <c r="H2362" s="200" t="s">
        <v>350</v>
      </c>
    </row>
    <row r="2363" spans="1:8" ht="15" customHeight="1">
      <c r="A2363" s="199">
        <v>45707</v>
      </c>
      <c r="B2363" s="202" t="s">
        <v>2151</v>
      </c>
      <c r="C2363" s="200" t="s">
        <v>372</v>
      </c>
      <c r="D2363" s="204">
        <v>-10566</v>
      </c>
      <c r="E2363" s="201">
        <v>45689</v>
      </c>
      <c r="F2363" s="200" t="s">
        <v>296</v>
      </c>
      <c r="G2363" s="200" t="s">
        <v>984</v>
      </c>
      <c r="H2363" s="200" t="s">
        <v>350</v>
      </c>
    </row>
    <row r="2364" spans="1:8" ht="15" customHeight="1">
      <c r="A2364" s="199">
        <v>45707</v>
      </c>
      <c r="B2364" s="202" t="s">
        <v>2152</v>
      </c>
      <c r="C2364" s="200" t="s">
        <v>372</v>
      </c>
      <c r="D2364" s="204">
        <v>-2536</v>
      </c>
      <c r="E2364" s="201">
        <v>45689</v>
      </c>
      <c r="F2364" s="200" t="s">
        <v>296</v>
      </c>
      <c r="G2364" s="200" t="s">
        <v>984</v>
      </c>
      <c r="H2364" s="200" t="s">
        <v>350</v>
      </c>
    </row>
    <row r="2365" spans="1:8" ht="15" customHeight="1">
      <c r="A2365" s="199">
        <v>45707</v>
      </c>
      <c r="B2365" s="202" t="s">
        <v>2153</v>
      </c>
      <c r="C2365" s="200" t="s">
        <v>204</v>
      </c>
      <c r="D2365" s="649">
        <v>-8054485</v>
      </c>
      <c r="E2365" s="201">
        <v>45689</v>
      </c>
      <c r="F2365" s="200" t="s">
        <v>296</v>
      </c>
      <c r="G2365" s="200" t="s">
        <v>1124</v>
      </c>
      <c r="H2365" s="200" t="s">
        <v>377</v>
      </c>
    </row>
    <row r="2366" spans="1:8" ht="15" customHeight="1">
      <c r="A2366" s="199">
        <v>45707</v>
      </c>
      <c r="B2366" s="202" t="s">
        <v>2154</v>
      </c>
      <c r="C2366" s="200" t="s">
        <v>204</v>
      </c>
      <c r="D2366" s="649">
        <v>-1350000</v>
      </c>
      <c r="E2366" s="201">
        <v>45689</v>
      </c>
      <c r="F2366" s="200" t="s">
        <v>296</v>
      </c>
      <c r="G2366" s="200" t="s">
        <v>321</v>
      </c>
      <c r="H2366" s="200" t="s">
        <v>322</v>
      </c>
    </row>
    <row r="2367" spans="1:8" ht="15" customHeight="1">
      <c r="A2367" s="199">
        <v>45707</v>
      </c>
      <c r="B2367" s="202" t="s">
        <v>2154</v>
      </c>
      <c r="C2367" s="200" t="s">
        <v>204</v>
      </c>
      <c r="D2367" s="649">
        <v>-400000</v>
      </c>
      <c r="E2367" s="201">
        <v>45689</v>
      </c>
      <c r="F2367" s="200" t="s">
        <v>296</v>
      </c>
      <c r="G2367" s="200" t="s">
        <v>337</v>
      </c>
      <c r="H2367" s="200" t="s">
        <v>322</v>
      </c>
    </row>
    <row r="2368" spans="1:8" ht="15" customHeight="1">
      <c r="A2368" s="199">
        <v>45707</v>
      </c>
      <c r="B2368" s="202" t="s">
        <v>2155</v>
      </c>
      <c r="C2368" s="200" t="s">
        <v>204</v>
      </c>
      <c r="D2368" s="649">
        <v>-302600</v>
      </c>
      <c r="E2368" s="201">
        <v>45689</v>
      </c>
      <c r="F2368" s="200" t="s">
        <v>256</v>
      </c>
      <c r="G2368" s="200" t="s">
        <v>256</v>
      </c>
      <c r="H2368" s="200" t="s">
        <v>267</v>
      </c>
    </row>
    <row r="2369" spans="1:9" ht="15" customHeight="1">
      <c r="A2369" s="199">
        <v>45707</v>
      </c>
      <c r="B2369" s="202" t="s">
        <v>2156</v>
      </c>
      <c r="C2369" s="200" t="s">
        <v>204</v>
      </c>
      <c r="D2369" s="649">
        <v>-809691</v>
      </c>
      <c r="E2369" s="201">
        <v>45689</v>
      </c>
      <c r="F2369" s="200" t="s">
        <v>296</v>
      </c>
      <c r="G2369" s="200" t="s">
        <v>522</v>
      </c>
      <c r="H2369" s="200" t="s">
        <v>370</v>
      </c>
    </row>
    <row r="2370" spans="1:9" ht="15" customHeight="1">
      <c r="A2370" s="199">
        <v>45707</v>
      </c>
      <c r="B2370" s="202" t="s">
        <v>2157</v>
      </c>
      <c r="C2370" s="200" t="s">
        <v>204</v>
      </c>
      <c r="D2370" s="649">
        <v>-1371669</v>
      </c>
      <c r="E2370" s="201">
        <v>45689</v>
      </c>
      <c r="F2370" s="200" t="s">
        <v>296</v>
      </c>
      <c r="G2370" s="200" t="s">
        <v>875</v>
      </c>
      <c r="H2370" s="200" t="s">
        <v>1962</v>
      </c>
      <c r="I2370" s="648" t="s">
        <v>329</v>
      </c>
    </row>
    <row r="2371" spans="1:9" ht="15" customHeight="1">
      <c r="A2371" s="199">
        <v>45707</v>
      </c>
      <c r="B2371" s="202" t="s">
        <v>2158</v>
      </c>
      <c r="C2371" s="200" t="s">
        <v>204</v>
      </c>
      <c r="D2371" s="649">
        <v>-222500</v>
      </c>
      <c r="E2371" s="201">
        <v>45689</v>
      </c>
      <c r="F2371" s="200" t="s">
        <v>296</v>
      </c>
      <c r="G2371" s="200" t="s">
        <v>328</v>
      </c>
      <c r="H2371" s="200" t="s">
        <v>350</v>
      </c>
    </row>
    <row r="2372" spans="1:9" ht="15" customHeight="1">
      <c r="A2372" s="199">
        <v>45707</v>
      </c>
      <c r="B2372" s="202" t="s">
        <v>2159</v>
      </c>
      <c r="C2372" s="200" t="s">
        <v>204</v>
      </c>
      <c r="D2372" s="649">
        <v>-3786264</v>
      </c>
      <c r="E2372" s="201">
        <v>45689</v>
      </c>
      <c r="F2372" s="200" t="s">
        <v>296</v>
      </c>
      <c r="G2372" s="200" t="s">
        <v>1124</v>
      </c>
      <c r="H2372" s="200" t="s">
        <v>379</v>
      </c>
    </row>
    <row r="2373" spans="1:9" ht="15" customHeight="1">
      <c r="A2373" s="199">
        <v>45707</v>
      </c>
      <c r="B2373" s="202" t="s">
        <v>2160</v>
      </c>
      <c r="C2373" s="200" t="s">
        <v>372</v>
      </c>
      <c r="D2373" s="204">
        <v>-385638</v>
      </c>
      <c r="E2373" s="201">
        <v>45689</v>
      </c>
      <c r="F2373" s="200" t="s">
        <v>296</v>
      </c>
      <c r="G2373" s="200" t="s">
        <v>1124</v>
      </c>
      <c r="H2373" s="200" t="s">
        <v>379</v>
      </c>
    </row>
    <row r="2374" spans="1:9" ht="15" customHeight="1">
      <c r="A2374" s="199">
        <v>45707</v>
      </c>
      <c r="B2374" s="202" t="s">
        <v>2161</v>
      </c>
      <c r="C2374" s="200" t="s">
        <v>204</v>
      </c>
      <c r="D2374" s="649">
        <v>-56800</v>
      </c>
      <c r="E2374" s="201">
        <v>45689</v>
      </c>
      <c r="F2374" s="200" t="s">
        <v>256</v>
      </c>
      <c r="G2374" s="200" t="s">
        <v>256</v>
      </c>
      <c r="H2374" s="200" t="s">
        <v>267</v>
      </c>
    </row>
    <row r="2375" spans="1:9" ht="15" customHeight="1">
      <c r="A2375" s="199">
        <v>45707</v>
      </c>
      <c r="B2375" s="202" t="s">
        <v>2162</v>
      </c>
      <c r="C2375" s="200" t="s">
        <v>204</v>
      </c>
      <c r="D2375" s="649">
        <v>-1869000</v>
      </c>
      <c r="E2375" s="201">
        <v>45689</v>
      </c>
      <c r="F2375" s="200" t="s">
        <v>296</v>
      </c>
      <c r="G2375" s="200" t="s">
        <v>341</v>
      </c>
      <c r="H2375" s="200" t="s">
        <v>1066</v>
      </c>
      <c r="I2375" s="704"/>
    </row>
    <row r="2376" spans="1:9" ht="15" customHeight="1">
      <c r="A2376" s="199">
        <v>45707</v>
      </c>
      <c r="B2376" s="202" t="s">
        <v>2163</v>
      </c>
      <c r="C2376" s="200" t="s">
        <v>204</v>
      </c>
      <c r="D2376" s="649">
        <v>-1440000</v>
      </c>
      <c r="E2376" s="201">
        <v>45689</v>
      </c>
      <c r="F2376" s="200" t="s">
        <v>296</v>
      </c>
      <c r="G2376" s="200" t="s">
        <v>44</v>
      </c>
      <c r="H2376" s="200" t="s">
        <v>811</v>
      </c>
    </row>
    <row r="2377" spans="1:9" ht="15" customHeight="1">
      <c r="A2377" s="199">
        <v>45707</v>
      </c>
      <c r="B2377" s="202" t="s">
        <v>2164</v>
      </c>
      <c r="C2377" s="200" t="s">
        <v>204</v>
      </c>
      <c r="D2377" s="649">
        <v>-36000</v>
      </c>
      <c r="E2377" s="201">
        <v>45689</v>
      </c>
      <c r="F2377" s="200" t="s">
        <v>256</v>
      </c>
      <c r="G2377" s="200" t="s">
        <v>256</v>
      </c>
      <c r="H2377" s="200" t="s">
        <v>267</v>
      </c>
      <c r="I2377" s="673"/>
    </row>
    <row r="2378" spans="1:9" ht="15" customHeight="1">
      <c r="A2378" s="199">
        <v>45707</v>
      </c>
      <c r="B2378" s="202" t="s">
        <v>2165</v>
      </c>
      <c r="C2378" s="200" t="s">
        <v>204</v>
      </c>
      <c r="D2378" s="649">
        <v>-94000</v>
      </c>
      <c r="E2378" s="201">
        <v>45689</v>
      </c>
      <c r="F2378" s="200" t="s">
        <v>256</v>
      </c>
      <c r="G2378" s="200" t="s">
        <v>256</v>
      </c>
      <c r="H2378" s="200" t="s">
        <v>267</v>
      </c>
    </row>
    <row r="2379" spans="1:9" ht="15" customHeight="1">
      <c r="A2379" s="199">
        <v>45707</v>
      </c>
      <c r="B2379" s="202" t="s">
        <v>2166</v>
      </c>
      <c r="C2379" s="200" t="s">
        <v>204</v>
      </c>
      <c r="D2379" s="649">
        <v>-30450</v>
      </c>
      <c r="E2379" s="201">
        <v>45689</v>
      </c>
      <c r="F2379" s="200" t="s">
        <v>256</v>
      </c>
      <c r="G2379" s="200" t="s">
        <v>256</v>
      </c>
      <c r="H2379" s="200" t="s">
        <v>267</v>
      </c>
    </row>
    <row r="2380" spans="1:9" ht="15" customHeight="1">
      <c r="A2380" s="199">
        <v>45707</v>
      </c>
      <c r="B2380" s="202" t="s">
        <v>2167</v>
      </c>
      <c r="C2380" s="200" t="s">
        <v>204</v>
      </c>
      <c r="D2380" s="649">
        <v>-120000</v>
      </c>
      <c r="E2380" s="201">
        <v>45689</v>
      </c>
      <c r="F2380" s="200" t="s">
        <v>296</v>
      </c>
      <c r="G2380" s="200" t="s">
        <v>984</v>
      </c>
      <c r="H2380" s="200" t="s">
        <v>857</v>
      </c>
    </row>
    <row r="2381" spans="1:9" ht="15" customHeight="1">
      <c r="A2381" s="199">
        <v>45707</v>
      </c>
      <c r="B2381" s="202" t="s">
        <v>859</v>
      </c>
      <c r="C2381" s="200" t="s">
        <v>204</v>
      </c>
      <c r="D2381" s="649">
        <v>-21900</v>
      </c>
      <c r="E2381" s="201">
        <v>45689</v>
      </c>
      <c r="F2381" s="200" t="s">
        <v>296</v>
      </c>
      <c r="G2381" s="200" t="s">
        <v>453</v>
      </c>
      <c r="H2381" s="200" t="s">
        <v>98</v>
      </c>
    </row>
    <row r="2382" spans="1:9" ht="15" customHeight="1">
      <c r="A2382" s="199">
        <v>45707</v>
      </c>
      <c r="B2382" s="202" t="s">
        <v>2168</v>
      </c>
      <c r="C2382" s="200" t="s">
        <v>204</v>
      </c>
      <c r="D2382" s="649">
        <v>-1648009</v>
      </c>
      <c r="E2382" s="201">
        <v>45689</v>
      </c>
      <c r="F2382" s="200" t="s">
        <v>296</v>
      </c>
      <c r="G2382" s="200" t="s">
        <v>337</v>
      </c>
      <c r="H2382" s="200" t="s">
        <v>366</v>
      </c>
    </row>
    <row r="2383" spans="1:9" ht="15" customHeight="1">
      <c r="A2383" s="199">
        <v>45707</v>
      </c>
      <c r="B2383" s="202" t="s">
        <v>2169</v>
      </c>
      <c r="C2383" s="200" t="s">
        <v>372</v>
      </c>
      <c r="D2383" s="204">
        <v>-35365</v>
      </c>
      <c r="E2383" s="201">
        <v>45689</v>
      </c>
      <c r="F2383" s="200" t="s">
        <v>296</v>
      </c>
      <c r="G2383" s="200" t="s">
        <v>337</v>
      </c>
      <c r="H2383" s="200" t="s">
        <v>366</v>
      </c>
    </row>
    <row r="2384" spans="1:9" ht="15" customHeight="1">
      <c r="A2384" s="199">
        <v>45698</v>
      </c>
      <c r="B2384" s="202" t="s">
        <v>1788</v>
      </c>
      <c r="C2384" s="200" t="s">
        <v>204</v>
      </c>
      <c r="D2384" s="649">
        <v>-22000</v>
      </c>
      <c r="E2384" s="201">
        <v>45689</v>
      </c>
      <c r="F2384" s="200" t="s">
        <v>296</v>
      </c>
      <c r="G2384" s="200" t="s">
        <v>1124</v>
      </c>
      <c r="H2384" s="200" t="s">
        <v>268</v>
      </c>
      <c r="I2384" s="200" t="s">
        <v>1776</v>
      </c>
    </row>
    <row r="2385" spans="1:9" ht="15" customHeight="1">
      <c r="A2385" s="199">
        <v>45698</v>
      </c>
      <c r="B2385" s="202" t="s">
        <v>1793</v>
      </c>
      <c r="C2385" s="200" t="s">
        <v>204</v>
      </c>
      <c r="D2385" s="649">
        <v>-25000</v>
      </c>
      <c r="E2385" s="201">
        <v>45689</v>
      </c>
      <c r="F2385" s="200" t="s">
        <v>296</v>
      </c>
      <c r="G2385" s="200" t="s">
        <v>1124</v>
      </c>
      <c r="H2385" s="200" t="s">
        <v>268</v>
      </c>
      <c r="I2385" s="200" t="s">
        <v>1776</v>
      </c>
    </row>
    <row r="2386" spans="1:9" ht="15" customHeight="1">
      <c r="A2386" s="199">
        <v>45698</v>
      </c>
      <c r="B2386" s="202" t="s">
        <v>498</v>
      </c>
      <c r="C2386" s="200" t="s">
        <v>204</v>
      </c>
      <c r="D2386" s="649">
        <v>-36400</v>
      </c>
      <c r="E2386" s="201">
        <v>45689</v>
      </c>
      <c r="F2386" s="200" t="s">
        <v>296</v>
      </c>
      <c r="G2386" s="200" t="s">
        <v>1124</v>
      </c>
      <c r="H2386" s="200" t="s">
        <v>342</v>
      </c>
      <c r="I2386" s="200" t="s">
        <v>1776</v>
      </c>
    </row>
    <row r="2387" spans="1:9" ht="15" customHeight="1">
      <c r="A2387" s="199">
        <v>45698</v>
      </c>
      <c r="B2387" s="202" t="s">
        <v>2170</v>
      </c>
      <c r="C2387" s="200" t="s">
        <v>204</v>
      </c>
      <c r="D2387" s="649">
        <v>-20000</v>
      </c>
      <c r="E2387" s="201">
        <v>45689</v>
      </c>
      <c r="F2387" s="200" t="s">
        <v>296</v>
      </c>
      <c r="G2387" s="200" t="s">
        <v>1124</v>
      </c>
      <c r="H2387" s="200" t="s">
        <v>342</v>
      </c>
      <c r="I2387" s="200" t="s">
        <v>1776</v>
      </c>
    </row>
    <row r="2388" spans="1:9" ht="15" customHeight="1">
      <c r="A2388" s="199">
        <v>45698</v>
      </c>
      <c r="B2388" s="202" t="s">
        <v>1799</v>
      </c>
      <c r="C2388" s="200" t="s">
        <v>204</v>
      </c>
      <c r="D2388" s="649">
        <v>-180000</v>
      </c>
      <c r="E2388" s="201">
        <v>45689</v>
      </c>
      <c r="F2388" s="200" t="s">
        <v>296</v>
      </c>
      <c r="G2388" s="200" t="s">
        <v>1124</v>
      </c>
      <c r="H2388" s="200" t="s">
        <v>342</v>
      </c>
      <c r="I2388" s="200" t="s">
        <v>1776</v>
      </c>
    </row>
    <row r="2389" spans="1:9" ht="15" customHeight="1">
      <c r="A2389" s="199">
        <v>45698</v>
      </c>
      <c r="B2389" s="202" t="s">
        <v>506</v>
      </c>
      <c r="C2389" s="200" t="s">
        <v>204</v>
      </c>
      <c r="D2389" s="649">
        <v>-30000</v>
      </c>
      <c r="E2389" s="201">
        <v>45689</v>
      </c>
      <c r="F2389" s="200" t="s">
        <v>296</v>
      </c>
      <c r="G2389" s="200" t="s">
        <v>341</v>
      </c>
      <c r="H2389" s="200" t="s">
        <v>342</v>
      </c>
      <c r="I2389" s="200" t="s">
        <v>1776</v>
      </c>
    </row>
    <row r="2390" spans="1:9" ht="15" customHeight="1">
      <c r="A2390" s="199">
        <v>45698</v>
      </c>
      <c r="B2390" s="202" t="s">
        <v>2171</v>
      </c>
      <c r="C2390" s="200" t="s">
        <v>204</v>
      </c>
      <c r="D2390" s="649">
        <v>-8400</v>
      </c>
      <c r="E2390" s="201">
        <v>45689</v>
      </c>
      <c r="F2390" s="200" t="s">
        <v>296</v>
      </c>
      <c r="G2390" s="200" t="s">
        <v>341</v>
      </c>
      <c r="H2390" s="200" t="s">
        <v>350</v>
      </c>
      <c r="I2390" s="200" t="s">
        <v>1776</v>
      </c>
    </row>
    <row r="2391" spans="1:9" ht="15" customHeight="1">
      <c r="A2391" s="199">
        <v>45698</v>
      </c>
      <c r="B2391" s="202" t="s">
        <v>1803</v>
      </c>
      <c r="C2391" s="200" t="s">
        <v>204</v>
      </c>
      <c r="D2391" s="649">
        <v>-167000</v>
      </c>
      <c r="E2391" s="201">
        <v>45689</v>
      </c>
      <c r="F2391" s="200" t="s">
        <v>296</v>
      </c>
      <c r="G2391" s="200" t="s">
        <v>1124</v>
      </c>
      <c r="H2391" s="200" t="s">
        <v>342</v>
      </c>
      <c r="I2391" s="200" t="s">
        <v>1776</v>
      </c>
    </row>
    <row r="2392" spans="1:9" ht="15" customHeight="1">
      <c r="A2392" s="199">
        <v>45699</v>
      </c>
      <c r="B2392" s="202" t="s">
        <v>498</v>
      </c>
      <c r="C2392" s="200" t="s">
        <v>204</v>
      </c>
      <c r="D2392" s="649">
        <v>-11400</v>
      </c>
      <c r="E2392" s="201">
        <v>45689</v>
      </c>
      <c r="F2392" s="200" t="s">
        <v>296</v>
      </c>
      <c r="G2392" s="200" t="s">
        <v>1124</v>
      </c>
      <c r="H2392" s="200" t="s">
        <v>342</v>
      </c>
      <c r="I2392" s="200" t="s">
        <v>1776</v>
      </c>
    </row>
    <row r="2393" spans="1:9" ht="15" customHeight="1">
      <c r="A2393" s="199">
        <v>45699</v>
      </c>
      <c r="B2393" s="202" t="s">
        <v>2172</v>
      </c>
      <c r="C2393" s="200" t="s">
        <v>204</v>
      </c>
      <c r="D2393" s="649">
        <v>-19040</v>
      </c>
      <c r="E2393" s="201">
        <v>45689</v>
      </c>
      <c r="F2393" s="200" t="s">
        <v>296</v>
      </c>
      <c r="G2393" s="200" t="s">
        <v>341</v>
      </c>
      <c r="H2393" s="200" t="s">
        <v>350</v>
      </c>
      <c r="I2393" s="200" t="s">
        <v>1776</v>
      </c>
    </row>
    <row r="2394" spans="1:9" ht="15" customHeight="1">
      <c r="A2394" s="199">
        <v>45699</v>
      </c>
      <c r="B2394" s="202" t="s">
        <v>2173</v>
      </c>
      <c r="C2394" s="200" t="s">
        <v>204</v>
      </c>
      <c r="D2394" s="649">
        <v>-20999</v>
      </c>
      <c r="E2394" s="201">
        <v>45689</v>
      </c>
      <c r="F2394" s="200" t="s">
        <v>296</v>
      </c>
      <c r="G2394" s="200" t="s">
        <v>1124</v>
      </c>
      <c r="H2394" s="200" t="s">
        <v>350</v>
      </c>
      <c r="I2394" s="200" t="s">
        <v>1776</v>
      </c>
    </row>
    <row r="2395" spans="1:9" ht="15" customHeight="1">
      <c r="A2395" s="199">
        <v>45699</v>
      </c>
      <c r="B2395" s="202" t="s">
        <v>2174</v>
      </c>
      <c r="C2395" s="200" t="s">
        <v>204</v>
      </c>
      <c r="D2395" s="649">
        <v>-8000</v>
      </c>
      <c r="E2395" s="201">
        <v>45689</v>
      </c>
      <c r="F2395" s="200" t="s">
        <v>296</v>
      </c>
      <c r="G2395" s="200" t="s">
        <v>1124</v>
      </c>
      <c r="H2395" s="200" t="s">
        <v>350</v>
      </c>
      <c r="I2395" s="200" t="s">
        <v>1776</v>
      </c>
    </row>
    <row r="2396" spans="1:9" ht="15" customHeight="1">
      <c r="A2396" s="199">
        <v>45699</v>
      </c>
      <c r="B2396" s="202" t="s">
        <v>1796</v>
      </c>
      <c r="C2396" s="200" t="s">
        <v>204</v>
      </c>
      <c r="D2396" s="649">
        <v>-31880</v>
      </c>
      <c r="E2396" s="201">
        <v>45689</v>
      </c>
      <c r="F2396" s="200" t="s">
        <v>296</v>
      </c>
      <c r="G2396" s="200" t="s">
        <v>1124</v>
      </c>
      <c r="H2396" s="200" t="s">
        <v>268</v>
      </c>
      <c r="I2396" s="200" t="s">
        <v>1776</v>
      </c>
    </row>
    <row r="2397" spans="1:9" ht="15" customHeight="1">
      <c r="A2397" s="199">
        <v>45699</v>
      </c>
      <c r="B2397" s="202" t="s">
        <v>356</v>
      </c>
      <c r="C2397" s="200" t="s">
        <v>204</v>
      </c>
      <c r="D2397" s="649">
        <v>-35000</v>
      </c>
      <c r="E2397" s="201">
        <v>45689</v>
      </c>
      <c r="F2397" s="200" t="s">
        <v>296</v>
      </c>
      <c r="G2397" s="200" t="s">
        <v>1124</v>
      </c>
      <c r="H2397" s="200" t="s">
        <v>268</v>
      </c>
      <c r="I2397" s="200" t="s">
        <v>1776</v>
      </c>
    </row>
    <row r="2398" spans="1:9" ht="15" customHeight="1">
      <c r="A2398" s="199">
        <v>45699</v>
      </c>
      <c r="B2398" s="202" t="s">
        <v>1803</v>
      </c>
      <c r="C2398" s="200" t="s">
        <v>204</v>
      </c>
      <c r="D2398" s="649">
        <v>-193000</v>
      </c>
      <c r="E2398" s="201">
        <v>45689</v>
      </c>
      <c r="F2398" s="200" t="s">
        <v>296</v>
      </c>
      <c r="G2398" s="200" t="s">
        <v>1124</v>
      </c>
      <c r="H2398" s="200" t="s">
        <v>342</v>
      </c>
      <c r="I2398" s="200" t="s">
        <v>1776</v>
      </c>
    </row>
    <row r="2399" spans="1:9" ht="15" customHeight="1">
      <c r="A2399" s="199">
        <v>45700</v>
      </c>
      <c r="B2399" s="202" t="s">
        <v>498</v>
      </c>
      <c r="C2399" s="200" t="s">
        <v>204</v>
      </c>
      <c r="D2399" s="649">
        <v>-15500</v>
      </c>
      <c r="E2399" s="201">
        <v>45689</v>
      </c>
      <c r="F2399" s="200" t="s">
        <v>296</v>
      </c>
      <c r="G2399" s="200" t="s">
        <v>1124</v>
      </c>
      <c r="H2399" s="200" t="s">
        <v>342</v>
      </c>
      <c r="I2399" s="200" t="s">
        <v>1776</v>
      </c>
    </row>
    <row r="2400" spans="1:9" ht="15" customHeight="1">
      <c r="A2400" s="199">
        <v>45700</v>
      </c>
      <c r="B2400" s="202" t="s">
        <v>2175</v>
      </c>
      <c r="C2400" s="200" t="s">
        <v>204</v>
      </c>
      <c r="D2400" s="649">
        <v>-182000</v>
      </c>
      <c r="E2400" s="201">
        <v>45689</v>
      </c>
      <c r="F2400" s="200" t="s">
        <v>296</v>
      </c>
      <c r="G2400" s="200" t="s">
        <v>1124</v>
      </c>
      <c r="H2400" s="200" t="s">
        <v>350</v>
      </c>
      <c r="I2400" s="200" t="s">
        <v>1776</v>
      </c>
    </row>
    <row r="2401" spans="1:9" ht="15" customHeight="1">
      <c r="A2401" s="199">
        <v>45700</v>
      </c>
      <c r="B2401" s="202" t="s">
        <v>498</v>
      </c>
      <c r="C2401" s="200" t="s">
        <v>204</v>
      </c>
      <c r="D2401" s="649">
        <v>-23400</v>
      </c>
      <c r="E2401" s="201">
        <v>45689</v>
      </c>
      <c r="F2401" s="200" t="s">
        <v>296</v>
      </c>
      <c r="G2401" s="200" t="s">
        <v>1124</v>
      </c>
      <c r="H2401" s="200" t="s">
        <v>342</v>
      </c>
      <c r="I2401" s="200" t="s">
        <v>1776</v>
      </c>
    </row>
    <row r="2402" spans="1:9" ht="15" customHeight="1">
      <c r="A2402" s="199">
        <v>45700</v>
      </c>
      <c r="B2402" s="202" t="s">
        <v>1803</v>
      </c>
      <c r="C2402" s="200" t="s">
        <v>204</v>
      </c>
      <c r="D2402" s="649">
        <v>-183500</v>
      </c>
      <c r="E2402" s="201">
        <v>45689</v>
      </c>
      <c r="F2402" s="200" t="s">
        <v>296</v>
      </c>
      <c r="G2402" s="200" t="s">
        <v>1124</v>
      </c>
      <c r="H2402" s="200" t="s">
        <v>342</v>
      </c>
      <c r="I2402" s="200" t="s">
        <v>1776</v>
      </c>
    </row>
    <row r="2403" spans="1:9" ht="15" customHeight="1">
      <c r="A2403" s="199">
        <v>45701</v>
      </c>
      <c r="B2403" s="202" t="s">
        <v>498</v>
      </c>
      <c r="C2403" s="200" t="s">
        <v>204</v>
      </c>
      <c r="D2403" s="649">
        <v>-6000</v>
      </c>
      <c r="E2403" s="201">
        <v>45689</v>
      </c>
      <c r="F2403" s="200" t="s">
        <v>296</v>
      </c>
      <c r="G2403" s="200" t="s">
        <v>1124</v>
      </c>
      <c r="H2403" s="200" t="s">
        <v>342</v>
      </c>
      <c r="I2403" s="200" t="s">
        <v>1776</v>
      </c>
    </row>
    <row r="2404" spans="1:9" ht="15" customHeight="1">
      <c r="A2404" s="199">
        <v>45701</v>
      </c>
      <c r="B2404" s="202" t="s">
        <v>2176</v>
      </c>
      <c r="C2404" s="200" t="s">
        <v>204</v>
      </c>
      <c r="D2404" s="649">
        <v>-15940</v>
      </c>
      <c r="E2404" s="201">
        <v>45689</v>
      </c>
      <c r="F2404" s="200" t="s">
        <v>296</v>
      </c>
      <c r="G2404" s="200" t="s">
        <v>1124</v>
      </c>
      <c r="H2404" s="200" t="s">
        <v>268</v>
      </c>
      <c r="I2404" s="200" t="s">
        <v>1776</v>
      </c>
    </row>
    <row r="2405" spans="1:9" ht="15" customHeight="1">
      <c r="A2405" s="199">
        <v>45701</v>
      </c>
      <c r="B2405" s="202" t="s">
        <v>1796</v>
      </c>
      <c r="C2405" s="200" t="s">
        <v>204</v>
      </c>
      <c r="D2405" s="649">
        <v>-31140</v>
      </c>
      <c r="E2405" s="201">
        <v>45689</v>
      </c>
      <c r="F2405" s="200" t="s">
        <v>296</v>
      </c>
      <c r="G2405" s="200" t="s">
        <v>1124</v>
      </c>
      <c r="H2405" s="200" t="s">
        <v>268</v>
      </c>
      <c r="I2405" s="200" t="s">
        <v>1776</v>
      </c>
    </row>
    <row r="2406" spans="1:9" ht="15" customHeight="1">
      <c r="A2406" s="199">
        <v>45701</v>
      </c>
      <c r="B2406" s="202" t="s">
        <v>2177</v>
      </c>
      <c r="C2406" s="200" t="s">
        <v>204</v>
      </c>
      <c r="D2406" s="649">
        <v>-22000</v>
      </c>
      <c r="E2406" s="201">
        <v>45689</v>
      </c>
      <c r="F2406" s="200" t="s">
        <v>296</v>
      </c>
      <c r="G2406" s="200" t="s">
        <v>1124</v>
      </c>
      <c r="H2406" s="200" t="s">
        <v>268</v>
      </c>
      <c r="I2406" s="200" t="s">
        <v>1776</v>
      </c>
    </row>
    <row r="2407" spans="1:9" ht="15" customHeight="1">
      <c r="A2407" s="199">
        <v>45701</v>
      </c>
      <c r="B2407" s="202" t="s">
        <v>1789</v>
      </c>
      <c r="C2407" s="200" t="s">
        <v>204</v>
      </c>
      <c r="D2407" s="649">
        <v>-20000</v>
      </c>
      <c r="E2407" s="201">
        <v>45689</v>
      </c>
      <c r="F2407" s="200" t="s">
        <v>296</v>
      </c>
      <c r="G2407" s="200" t="s">
        <v>1124</v>
      </c>
      <c r="H2407" s="200" t="s">
        <v>268</v>
      </c>
      <c r="I2407" s="200" t="s">
        <v>1776</v>
      </c>
    </row>
    <row r="2408" spans="1:9" ht="15" customHeight="1">
      <c r="A2408" s="199">
        <v>45701</v>
      </c>
      <c r="B2408" s="202" t="s">
        <v>2178</v>
      </c>
      <c r="C2408" s="200" t="s">
        <v>204</v>
      </c>
      <c r="D2408" s="649">
        <v>-17000</v>
      </c>
      <c r="E2408" s="201">
        <v>45689</v>
      </c>
      <c r="F2408" s="200" t="s">
        <v>296</v>
      </c>
      <c r="G2408" s="200" t="s">
        <v>1124</v>
      </c>
      <c r="H2408" s="200" t="s">
        <v>268</v>
      </c>
      <c r="I2408" s="200" t="s">
        <v>1776</v>
      </c>
    </row>
    <row r="2409" spans="1:9" ht="15" customHeight="1">
      <c r="A2409" s="199">
        <v>45701</v>
      </c>
      <c r="B2409" s="202" t="s">
        <v>1803</v>
      </c>
      <c r="C2409" s="200" t="s">
        <v>204</v>
      </c>
      <c r="D2409" s="649">
        <v>-141500</v>
      </c>
      <c r="E2409" s="201">
        <v>45689</v>
      </c>
      <c r="F2409" s="200" t="s">
        <v>296</v>
      </c>
      <c r="G2409" s="200" t="s">
        <v>1124</v>
      </c>
      <c r="H2409" s="200" t="s">
        <v>342</v>
      </c>
      <c r="I2409" s="200" t="s">
        <v>1776</v>
      </c>
    </row>
    <row r="2410" spans="1:9" ht="15" customHeight="1">
      <c r="A2410" s="199">
        <v>45702</v>
      </c>
      <c r="B2410" s="202" t="s">
        <v>498</v>
      </c>
      <c r="C2410" s="200" t="s">
        <v>204</v>
      </c>
      <c r="D2410" s="649">
        <v>-9000</v>
      </c>
      <c r="E2410" s="201">
        <v>45689</v>
      </c>
      <c r="F2410" s="200" t="s">
        <v>296</v>
      </c>
      <c r="G2410" s="200" t="s">
        <v>1124</v>
      </c>
      <c r="H2410" s="200" t="s">
        <v>342</v>
      </c>
      <c r="I2410" s="200" t="s">
        <v>1776</v>
      </c>
    </row>
    <row r="2411" spans="1:9" ht="15" customHeight="1">
      <c r="A2411" s="199">
        <v>45702</v>
      </c>
      <c r="B2411" s="202" t="s">
        <v>2176</v>
      </c>
      <c r="C2411" s="200" t="s">
        <v>204</v>
      </c>
      <c r="D2411" s="649">
        <v>-23910</v>
      </c>
      <c r="E2411" s="201">
        <v>45689</v>
      </c>
      <c r="F2411" s="200" t="s">
        <v>296</v>
      </c>
      <c r="G2411" s="200" t="s">
        <v>1124</v>
      </c>
      <c r="H2411" s="200" t="s">
        <v>268</v>
      </c>
      <c r="I2411" s="200" t="s">
        <v>1776</v>
      </c>
    </row>
    <row r="2412" spans="1:9" ht="15" customHeight="1">
      <c r="A2412" s="199">
        <v>45702</v>
      </c>
      <c r="B2412" s="202" t="s">
        <v>1803</v>
      </c>
      <c r="C2412" s="200" t="s">
        <v>204</v>
      </c>
      <c r="D2412" s="649">
        <v>-90000</v>
      </c>
      <c r="E2412" s="201">
        <v>45689</v>
      </c>
      <c r="F2412" s="200" t="s">
        <v>296</v>
      </c>
      <c r="G2412" s="200" t="s">
        <v>1124</v>
      </c>
      <c r="H2412" s="200" t="s">
        <v>342</v>
      </c>
      <c r="I2412" s="200" t="s">
        <v>1776</v>
      </c>
    </row>
    <row r="2413" spans="1:9" ht="15" customHeight="1">
      <c r="A2413" s="199">
        <v>45698</v>
      </c>
      <c r="B2413" s="202" t="s">
        <v>2179</v>
      </c>
      <c r="C2413" s="200" t="s">
        <v>204</v>
      </c>
      <c r="D2413" s="649">
        <v>-13000</v>
      </c>
      <c r="E2413" s="201">
        <v>45689</v>
      </c>
      <c r="F2413" s="200" t="s">
        <v>256</v>
      </c>
      <c r="G2413" s="200" t="s">
        <v>107</v>
      </c>
      <c r="H2413" s="200" t="s">
        <v>275</v>
      </c>
      <c r="I2413" s="200" t="s">
        <v>2180</v>
      </c>
    </row>
    <row r="2414" spans="1:9" ht="15" customHeight="1">
      <c r="A2414" s="199">
        <v>45698</v>
      </c>
      <c r="B2414" s="202" t="s">
        <v>2181</v>
      </c>
      <c r="C2414" s="200" t="s">
        <v>204</v>
      </c>
      <c r="D2414" s="649">
        <v>-19200</v>
      </c>
      <c r="E2414" s="201">
        <v>45689</v>
      </c>
      <c r="F2414" s="200" t="s">
        <v>256</v>
      </c>
      <c r="G2414" s="200" t="s">
        <v>107</v>
      </c>
      <c r="H2414" s="200" t="s">
        <v>275</v>
      </c>
      <c r="I2414" s="200" t="s">
        <v>2180</v>
      </c>
    </row>
    <row r="2415" spans="1:9" ht="15" customHeight="1">
      <c r="A2415" s="199">
        <v>45698</v>
      </c>
      <c r="B2415" s="202" t="s">
        <v>2182</v>
      </c>
      <c r="C2415" s="200" t="s">
        <v>204</v>
      </c>
      <c r="D2415" s="649">
        <v>-20000</v>
      </c>
      <c r="E2415" s="201">
        <v>45689</v>
      </c>
      <c r="F2415" s="200" t="s">
        <v>256</v>
      </c>
      <c r="G2415" s="200" t="s">
        <v>107</v>
      </c>
      <c r="H2415" s="200" t="s">
        <v>275</v>
      </c>
      <c r="I2415" s="200" t="s">
        <v>2180</v>
      </c>
    </row>
    <row r="2416" spans="1:9" ht="15" customHeight="1">
      <c r="A2416" s="199">
        <v>45698</v>
      </c>
      <c r="B2416" s="202" t="s">
        <v>2183</v>
      </c>
      <c r="C2416" s="200" t="s">
        <v>204</v>
      </c>
      <c r="D2416" s="649">
        <v>-26500</v>
      </c>
      <c r="E2416" s="201">
        <v>45689</v>
      </c>
      <c r="F2416" s="200" t="s">
        <v>256</v>
      </c>
      <c r="G2416" s="200" t="s">
        <v>107</v>
      </c>
      <c r="H2416" s="200" t="s">
        <v>275</v>
      </c>
      <c r="I2416" s="200" t="s">
        <v>2180</v>
      </c>
    </row>
    <row r="2417" spans="1:9" ht="15" customHeight="1">
      <c r="A2417" s="199">
        <v>45699</v>
      </c>
      <c r="B2417" s="202" t="s">
        <v>2184</v>
      </c>
      <c r="C2417" s="200" t="s">
        <v>204</v>
      </c>
      <c r="D2417" s="649">
        <v>-14500</v>
      </c>
      <c r="E2417" s="201">
        <v>45689</v>
      </c>
      <c r="F2417" s="200" t="s">
        <v>256</v>
      </c>
      <c r="G2417" s="200" t="s">
        <v>107</v>
      </c>
      <c r="H2417" s="200" t="s">
        <v>275</v>
      </c>
      <c r="I2417" s="200" t="s">
        <v>2180</v>
      </c>
    </row>
    <row r="2418" spans="1:9" ht="15" customHeight="1">
      <c r="A2418" s="199">
        <v>45699</v>
      </c>
      <c r="B2418" s="202" t="s">
        <v>2185</v>
      </c>
      <c r="C2418" s="200" t="s">
        <v>204</v>
      </c>
      <c r="D2418" s="649">
        <v>-27000</v>
      </c>
      <c r="E2418" s="201">
        <v>45689</v>
      </c>
      <c r="F2418" s="200" t="s">
        <v>256</v>
      </c>
      <c r="G2418" s="200" t="s">
        <v>107</v>
      </c>
      <c r="H2418" s="200" t="s">
        <v>275</v>
      </c>
      <c r="I2418" s="200" t="s">
        <v>2180</v>
      </c>
    </row>
    <row r="2419" spans="1:9" ht="15" customHeight="1">
      <c r="A2419" s="199">
        <v>45699</v>
      </c>
      <c r="B2419" s="202" t="s">
        <v>2183</v>
      </c>
      <c r="C2419" s="200" t="s">
        <v>204</v>
      </c>
      <c r="D2419" s="649">
        <v>-12500</v>
      </c>
      <c r="E2419" s="201">
        <v>45689</v>
      </c>
      <c r="F2419" s="200" t="s">
        <v>256</v>
      </c>
      <c r="G2419" s="200" t="s">
        <v>107</v>
      </c>
      <c r="H2419" s="200" t="s">
        <v>275</v>
      </c>
      <c r="I2419" s="200" t="s">
        <v>2180</v>
      </c>
    </row>
    <row r="2420" spans="1:9" ht="15" customHeight="1">
      <c r="A2420" s="199">
        <v>45700</v>
      </c>
      <c r="B2420" s="202" t="s">
        <v>2186</v>
      </c>
      <c r="C2420" s="200" t="s">
        <v>204</v>
      </c>
      <c r="D2420" s="649">
        <v>-20000</v>
      </c>
      <c r="E2420" s="201">
        <v>45689</v>
      </c>
      <c r="F2420" s="200" t="s">
        <v>256</v>
      </c>
      <c r="G2420" s="200" t="s">
        <v>107</v>
      </c>
      <c r="H2420" s="200" t="s">
        <v>275</v>
      </c>
      <c r="I2420" s="200" t="s">
        <v>2180</v>
      </c>
    </row>
    <row r="2421" spans="1:9" ht="15" customHeight="1">
      <c r="A2421" s="199">
        <v>45700</v>
      </c>
      <c r="B2421" s="202" t="s">
        <v>2187</v>
      </c>
      <c r="C2421" s="200" t="s">
        <v>204</v>
      </c>
      <c r="D2421" s="649">
        <v>-20000</v>
      </c>
      <c r="E2421" s="201">
        <v>45689</v>
      </c>
      <c r="F2421" s="200" t="s">
        <v>256</v>
      </c>
      <c r="G2421" s="200" t="s">
        <v>107</v>
      </c>
      <c r="H2421" s="200" t="s">
        <v>275</v>
      </c>
      <c r="I2421" s="200" t="s">
        <v>2180</v>
      </c>
    </row>
    <row r="2422" spans="1:9" ht="15" customHeight="1">
      <c r="A2422" s="199">
        <v>45700</v>
      </c>
      <c r="B2422" s="202" t="s">
        <v>2188</v>
      </c>
      <c r="C2422" s="200" t="s">
        <v>204</v>
      </c>
      <c r="D2422" s="649">
        <v>-13000</v>
      </c>
      <c r="E2422" s="201">
        <v>45689</v>
      </c>
      <c r="F2422" s="200" t="s">
        <v>256</v>
      </c>
      <c r="G2422" s="200" t="s">
        <v>107</v>
      </c>
      <c r="H2422" s="200" t="s">
        <v>275</v>
      </c>
      <c r="I2422" s="200" t="s">
        <v>2180</v>
      </c>
    </row>
    <row r="2423" spans="1:9" ht="15" customHeight="1">
      <c r="A2423" s="199">
        <v>45708</v>
      </c>
      <c r="B2423" s="202" t="s">
        <v>2189</v>
      </c>
      <c r="C2423" s="200" t="s">
        <v>204</v>
      </c>
      <c r="D2423" s="649">
        <v>-558100</v>
      </c>
      <c r="E2423" s="201">
        <v>45689</v>
      </c>
      <c r="F2423" s="200" t="s">
        <v>256</v>
      </c>
      <c r="G2423" s="200" t="s">
        <v>107</v>
      </c>
      <c r="H2423" s="200" t="s">
        <v>9</v>
      </c>
      <c r="I2423" s="200" t="s">
        <v>206</v>
      </c>
    </row>
    <row r="2424" spans="1:9" ht="15" customHeight="1">
      <c r="A2424" s="199">
        <v>45707</v>
      </c>
      <c r="B2424" s="202" t="s">
        <v>2190</v>
      </c>
      <c r="C2424" s="200" t="s">
        <v>204</v>
      </c>
      <c r="D2424" s="649">
        <v>-3780000</v>
      </c>
      <c r="E2424" s="201">
        <v>45689</v>
      </c>
      <c r="F2424" s="200" t="s">
        <v>296</v>
      </c>
      <c r="G2424" s="200" t="s">
        <v>1124</v>
      </c>
      <c r="H2424" s="200" t="s">
        <v>342</v>
      </c>
    </row>
    <row r="2425" spans="1:9" ht="15" customHeight="1">
      <c r="A2425" s="199">
        <v>45708</v>
      </c>
      <c r="B2425" s="202" t="s">
        <v>2191</v>
      </c>
      <c r="C2425" s="200" t="s">
        <v>204</v>
      </c>
      <c r="D2425" s="649">
        <v>-1016356</v>
      </c>
      <c r="E2425" s="201">
        <v>45689</v>
      </c>
      <c r="F2425" s="200" t="s">
        <v>296</v>
      </c>
      <c r="G2425" s="200" t="s">
        <v>1124</v>
      </c>
      <c r="H2425" s="531" t="s">
        <v>364</v>
      </c>
    </row>
    <row r="2426" spans="1:9" ht="15" customHeight="1">
      <c r="A2426" s="199">
        <v>45708</v>
      </c>
      <c r="B2426" s="202" t="s">
        <v>2192</v>
      </c>
      <c r="C2426" s="200" t="s">
        <v>204</v>
      </c>
      <c r="D2426" s="649">
        <v>-290540</v>
      </c>
      <c r="E2426" s="201">
        <v>45689</v>
      </c>
      <c r="F2426" s="200" t="s">
        <v>296</v>
      </c>
      <c r="G2426" s="200" t="s">
        <v>522</v>
      </c>
      <c r="H2426" s="200" t="s">
        <v>366</v>
      </c>
    </row>
    <row r="2427" spans="1:9" ht="15" customHeight="1">
      <c r="A2427" s="199">
        <v>45708</v>
      </c>
      <c r="B2427" s="202" t="s">
        <v>2193</v>
      </c>
      <c r="C2427" s="200" t="s">
        <v>204</v>
      </c>
      <c r="D2427" s="649">
        <v>-1340000</v>
      </c>
      <c r="E2427" s="201">
        <v>45689</v>
      </c>
      <c r="F2427" s="200" t="s">
        <v>296</v>
      </c>
      <c r="G2427" s="200" t="s">
        <v>337</v>
      </c>
      <c r="H2427" s="200" t="s">
        <v>811</v>
      </c>
    </row>
    <row r="2428" spans="1:9" ht="15" customHeight="1">
      <c r="A2428" s="199">
        <v>45708</v>
      </c>
      <c r="B2428" s="202" t="s">
        <v>2194</v>
      </c>
      <c r="C2428" s="200" t="s">
        <v>204</v>
      </c>
      <c r="D2428" s="649">
        <v>-37850850</v>
      </c>
      <c r="E2428" s="201">
        <v>45689</v>
      </c>
      <c r="F2428" s="200" t="s">
        <v>297</v>
      </c>
      <c r="G2428" s="200" t="s">
        <v>311</v>
      </c>
      <c r="H2428" s="200" t="s">
        <v>839</v>
      </c>
    </row>
    <row r="2429" spans="1:9" ht="15" customHeight="1">
      <c r="A2429" s="199">
        <v>45708</v>
      </c>
      <c r="B2429" s="202" t="s">
        <v>2195</v>
      </c>
      <c r="C2429" s="200" t="s">
        <v>372</v>
      </c>
      <c r="D2429" s="204">
        <v>-812250</v>
      </c>
      <c r="E2429" s="201">
        <v>45689</v>
      </c>
      <c r="F2429" s="200" t="s">
        <v>297</v>
      </c>
      <c r="G2429" s="200" t="s">
        <v>311</v>
      </c>
      <c r="H2429" s="200" t="s">
        <v>839</v>
      </c>
    </row>
    <row r="2430" spans="1:9" ht="15" customHeight="1">
      <c r="A2430" s="199">
        <v>45708</v>
      </c>
      <c r="B2430" s="202" t="s">
        <v>2194</v>
      </c>
      <c r="C2430" s="200" t="s">
        <v>204</v>
      </c>
      <c r="D2430" s="649">
        <v>-790600</v>
      </c>
      <c r="E2430" s="201">
        <v>45689</v>
      </c>
      <c r="F2430" s="200" t="s">
        <v>297</v>
      </c>
      <c r="G2430" s="200" t="s">
        <v>311</v>
      </c>
      <c r="H2430" s="200" t="s">
        <v>839</v>
      </c>
    </row>
    <row r="2431" spans="1:9" ht="15" customHeight="1">
      <c r="A2431" s="199">
        <v>45708</v>
      </c>
      <c r="B2431" s="202" t="s">
        <v>2195</v>
      </c>
      <c r="C2431" s="200" t="s">
        <v>372</v>
      </c>
      <c r="D2431" s="204">
        <v>-6700</v>
      </c>
      <c r="E2431" s="201">
        <v>45689</v>
      </c>
      <c r="F2431" s="200" t="s">
        <v>297</v>
      </c>
      <c r="G2431" s="200" t="s">
        <v>311</v>
      </c>
      <c r="H2431" s="200" t="s">
        <v>839</v>
      </c>
    </row>
    <row r="2432" spans="1:9" ht="15" customHeight="1">
      <c r="A2432" s="199">
        <v>45708</v>
      </c>
      <c r="B2432" s="202" t="s">
        <v>2196</v>
      </c>
      <c r="C2432" s="200" t="s">
        <v>204</v>
      </c>
      <c r="D2432" s="649">
        <v>-330000</v>
      </c>
      <c r="E2432" s="201">
        <v>45689</v>
      </c>
      <c r="F2432" s="200" t="s">
        <v>296</v>
      </c>
      <c r="G2432" s="200" t="s">
        <v>411</v>
      </c>
      <c r="H2432" s="200" t="s">
        <v>377</v>
      </c>
    </row>
    <row r="2433" spans="1:9" ht="15" customHeight="1">
      <c r="A2433" s="199">
        <v>45708</v>
      </c>
      <c r="B2433" s="202" t="s">
        <v>2196</v>
      </c>
      <c r="C2433" s="200" t="s">
        <v>204</v>
      </c>
      <c r="D2433" s="649">
        <v>-10000</v>
      </c>
      <c r="E2433" s="201">
        <v>45689</v>
      </c>
      <c r="F2433" s="200" t="s">
        <v>296</v>
      </c>
      <c r="G2433" s="200" t="s">
        <v>1124</v>
      </c>
      <c r="H2433" s="200" t="s">
        <v>377</v>
      </c>
      <c r="I2433" s="704"/>
    </row>
    <row r="2434" spans="1:9" ht="15" customHeight="1">
      <c r="A2434" s="199">
        <v>45708</v>
      </c>
      <c r="B2434" s="202" t="s">
        <v>2197</v>
      </c>
      <c r="C2434" s="200" t="s">
        <v>204</v>
      </c>
      <c r="D2434" s="649">
        <v>-7294860</v>
      </c>
      <c r="E2434" s="201">
        <v>45689</v>
      </c>
      <c r="F2434" s="200" t="s">
        <v>296</v>
      </c>
      <c r="G2434" s="200" t="s">
        <v>44</v>
      </c>
      <c r="H2434" s="200" t="s">
        <v>488</v>
      </c>
    </row>
    <row r="2435" spans="1:9" ht="15" customHeight="1">
      <c r="A2435" s="199">
        <v>45708</v>
      </c>
      <c r="B2435" s="202" t="s">
        <v>2198</v>
      </c>
      <c r="C2435" s="200" t="s">
        <v>372</v>
      </c>
      <c r="D2435" s="204">
        <v>-307800</v>
      </c>
      <c r="E2435" s="201">
        <v>45689</v>
      </c>
      <c r="F2435" s="200" t="s">
        <v>296</v>
      </c>
      <c r="G2435" s="200" t="s">
        <v>44</v>
      </c>
      <c r="H2435" s="200" t="s">
        <v>488</v>
      </c>
    </row>
    <row r="2436" spans="1:9" ht="15" customHeight="1">
      <c r="A2436" s="199">
        <v>45708</v>
      </c>
      <c r="B2436" s="202" t="s">
        <v>2199</v>
      </c>
      <c r="C2436" s="200" t="s">
        <v>372</v>
      </c>
      <c r="D2436" s="204">
        <v>-92340</v>
      </c>
      <c r="E2436" s="201">
        <v>45689</v>
      </c>
      <c r="F2436" s="200" t="s">
        <v>296</v>
      </c>
      <c r="G2436" s="200" t="s">
        <v>44</v>
      </c>
      <c r="H2436" s="200" t="s">
        <v>488</v>
      </c>
    </row>
    <row r="2437" spans="1:9" ht="15" customHeight="1">
      <c r="A2437" s="199">
        <v>45708</v>
      </c>
      <c r="B2437" s="202" t="s">
        <v>2200</v>
      </c>
      <c r="C2437" s="200" t="s">
        <v>204</v>
      </c>
      <c r="D2437" s="649">
        <v>-1175000</v>
      </c>
      <c r="E2437" s="201">
        <v>45689</v>
      </c>
      <c r="F2437" s="200" t="s">
        <v>296</v>
      </c>
      <c r="G2437" s="200" t="s">
        <v>513</v>
      </c>
      <c r="H2437" s="200" t="s">
        <v>322</v>
      </c>
      <c r="I2437" s="673"/>
    </row>
    <row r="2438" spans="1:9" ht="15" customHeight="1">
      <c r="A2438" s="199">
        <v>45692</v>
      </c>
      <c r="B2438" s="202" t="s">
        <v>2201</v>
      </c>
      <c r="C2438" s="200" t="s">
        <v>307</v>
      </c>
      <c r="D2438" s="204">
        <v>-85000</v>
      </c>
      <c r="E2438" s="201">
        <v>45689</v>
      </c>
      <c r="F2438" s="200" t="s">
        <v>296</v>
      </c>
      <c r="G2438" s="200" t="s">
        <v>1980</v>
      </c>
      <c r="H2438" s="200" t="s">
        <v>326</v>
      </c>
      <c r="I2438" s="200" t="s">
        <v>2202</v>
      </c>
    </row>
    <row r="2439" spans="1:9" ht="15" customHeight="1">
      <c r="A2439" s="199">
        <v>45692</v>
      </c>
      <c r="B2439" s="202" t="s">
        <v>2201</v>
      </c>
      <c r="C2439" s="200" t="s">
        <v>307</v>
      </c>
      <c r="D2439" s="204">
        <v>-85000</v>
      </c>
      <c r="E2439" s="201">
        <v>45689</v>
      </c>
      <c r="F2439" s="200" t="s">
        <v>296</v>
      </c>
      <c r="G2439" s="200" t="s">
        <v>1983</v>
      </c>
      <c r="H2439" s="200" t="s">
        <v>322</v>
      </c>
      <c r="I2439" s="200" t="s">
        <v>2202</v>
      </c>
    </row>
    <row r="2440" spans="1:9" ht="15" customHeight="1">
      <c r="A2440" s="199">
        <v>45693</v>
      </c>
      <c r="B2440" s="202" t="s">
        <v>2203</v>
      </c>
      <c r="C2440" s="200" t="s">
        <v>307</v>
      </c>
      <c r="D2440" s="204">
        <v>-14500</v>
      </c>
      <c r="E2440" s="201">
        <v>45689</v>
      </c>
      <c r="F2440" s="200" t="s">
        <v>296</v>
      </c>
      <c r="G2440" s="200" t="s">
        <v>1980</v>
      </c>
      <c r="H2440" s="200" t="s">
        <v>326</v>
      </c>
      <c r="I2440" s="200" t="s">
        <v>2202</v>
      </c>
    </row>
    <row r="2441" spans="1:9" ht="15" customHeight="1">
      <c r="A2441" s="199">
        <v>45694</v>
      </c>
      <c r="B2441" s="202" t="s">
        <v>2204</v>
      </c>
      <c r="C2441" s="200" t="s">
        <v>307</v>
      </c>
      <c r="D2441" s="204">
        <v>-49000</v>
      </c>
      <c r="E2441" s="201">
        <v>45689</v>
      </c>
      <c r="F2441" s="200" t="s">
        <v>296</v>
      </c>
      <c r="G2441" s="200" t="s">
        <v>1983</v>
      </c>
      <c r="H2441" s="200" t="s">
        <v>326</v>
      </c>
      <c r="I2441" s="200" t="s">
        <v>2202</v>
      </c>
    </row>
    <row r="2442" spans="1:9" ht="15" customHeight="1">
      <c r="A2442" s="199">
        <v>45694</v>
      </c>
      <c r="B2442" s="202" t="s">
        <v>2205</v>
      </c>
      <c r="C2442" s="200" t="s">
        <v>307</v>
      </c>
      <c r="D2442" s="204">
        <v>-20000</v>
      </c>
      <c r="E2442" s="201">
        <v>45689</v>
      </c>
      <c r="F2442" s="200" t="s">
        <v>296</v>
      </c>
      <c r="G2442" s="200" t="s">
        <v>1980</v>
      </c>
      <c r="H2442" s="200" t="s">
        <v>326</v>
      </c>
      <c r="I2442" s="200" t="s">
        <v>2202</v>
      </c>
    </row>
    <row r="2443" spans="1:9" ht="15" customHeight="1">
      <c r="A2443" s="199">
        <v>45669</v>
      </c>
      <c r="B2443" s="202" t="s">
        <v>2206</v>
      </c>
      <c r="C2443" s="200" t="s">
        <v>307</v>
      </c>
      <c r="D2443" s="204">
        <v>-13800</v>
      </c>
      <c r="E2443" s="201">
        <v>45689</v>
      </c>
      <c r="F2443" s="200" t="s">
        <v>296</v>
      </c>
      <c r="G2443" s="200" t="s">
        <v>337</v>
      </c>
      <c r="H2443" s="200" t="s">
        <v>326</v>
      </c>
      <c r="I2443" s="200" t="s">
        <v>2207</v>
      </c>
    </row>
    <row r="2444" spans="1:9" ht="15" customHeight="1">
      <c r="A2444" s="199">
        <v>45679</v>
      </c>
      <c r="B2444" s="202" t="s">
        <v>2208</v>
      </c>
      <c r="C2444" s="200" t="s">
        <v>307</v>
      </c>
      <c r="D2444" s="204">
        <v>-40000</v>
      </c>
      <c r="E2444" s="201">
        <v>45689</v>
      </c>
      <c r="F2444" s="200" t="s">
        <v>296</v>
      </c>
      <c r="G2444" s="200" t="s">
        <v>337</v>
      </c>
      <c r="H2444" s="200" t="s">
        <v>326</v>
      </c>
      <c r="I2444" s="200" t="s">
        <v>2207</v>
      </c>
    </row>
    <row r="2445" spans="1:9" ht="15" customHeight="1">
      <c r="A2445" s="199">
        <v>45681</v>
      </c>
      <c r="B2445" s="202" t="s">
        <v>2209</v>
      </c>
      <c r="C2445" s="200" t="s">
        <v>307</v>
      </c>
      <c r="D2445" s="204">
        <v>-50000</v>
      </c>
      <c r="E2445" s="201">
        <v>45689</v>
      </c>
      <c r="F2445" s="200" t="s">
        <v>296</v>
      </c>
      <c r="G2445" s="200" t="s">
        <v>337</v>
      </c>
      <c r="H2445" s="200" t="s">
        <v>326</v>
      </c>
      <c r="I2445" s="200" t="s">
        <v>2207</v>
      </c>
    </row>
    <row r="2446" spans="1:9" ht="15" customHeight="1">
      <c r="A2446" s="199">
        <v>45681</v>
      </c>
      <c r="B2446" s="202" t="s">
        <v>2208</v>
      </c>
      <c r="C2446" s="200" t="s">
        <v>307</v>
      </c>
      <c r="D2446" s="204">
        <v>-50000</v>
      </c>
      <c r="E2446" s="201">
        <v>45689</v>
      </c>
      <c r="F2446" s="200" t="s">
        <v>296</v>
      </c>
      <c r="G2446" s="200" t="s">
        <v>337</v>
      </c>
      <c r="H2446" s="200" t="s">
        <v>429</v>
      </c>
      <c r="I2446" s="200" t="s">
        <v>2207</v>
      </c>
    </row>
    <row r="2447" spans="1:9" ht="15" customHeight="1">
      <c r="A2447" s="199">
        <v>45681</v>
      </c>
      <c r="B2447" s="202" t="s">
        <v>2210</v>
      </c>
      <c r="C2447" s="200" t="s">
        <v>307</v>
      </c>
      <c r="D2447" s="204">
        <v>-25000</v>
      </c>
      <c r="E2447" s="201">
        <v>45689</v>
      </c>
      <c r="F2447" s="200" t="s">
        <v>296</v>
      </c>
      <c r="G2447" s="200" t="s">
        <v>337</v>
      </c>
      <c r="H2447" s="200" t="s">
        <v>326</v>
      </c>
      <c r="I2447" s="200" t="s">
        <v>2207</v>
      </c>
    </row>
    <row r="2448" spans="1:9" ht="15" customHeight="1">
      <c r="A2448" s="199">
        <v>45682</v>
      </c>
      <c r="B2448" s="202" t="s">
        <v>2211</v>
      </c>
      <c r="C2448" s="200" t="s">
        <v>307</v>
      </c>
      <c r="D2448" s="204">
        <v>-140000</v>
      </c>
      <c r="E2448" s="201">
        <v>45689</v>
      </c>
      <c r="F2448" s="200" t="s">
        <v>296</v>
      </c>
      <c r="G2448" s="200" t="s">
        <v>337</v>
      </c>
      <c r="H2448" s="200" t="s">
        <v>326</v>
      </c>
      <c r="I2448" s="200" t="s">
        <v>2207</v>
      </c>
    </row>
    <row r="2449" spans="1:9" ht="15" customHeight="1">
      <c r="A2449" s="199">
        <v>45684</v>
      </c>
      <c r="B2449" s="202" t="s">
        <v>2212</v>
      </c>
      <c r="C2449" s="200" t="s">
        <v>307</v>
      </c>
      <c r="D2449" s="204">
        <v>-35000</v>
      </c>
      <c r="E2449" s="201">
        <v>45689</v>
      </c>
      <c r="F2449" s="200" t="s">
        <v>296</v>
      </c>
      <c r="G2449" s="200" t="s">
        <v>337</v>
      </c>
      <c r="H2449" s="200" t="s">
        <v>326</v>
      </c>
      <c r="I2449" s="200" t="s">
        <v>2207</v>
      </c>
    </row>
    <row r="2450" spans="1:9" ht="15" customHeight="1">
      <c r="A2450" s="199">
        <v>45685</v>
      </c>
      <c r="B2450" s="202" t="s">
        <v>2213</v>
      </c>
      <c r="C2450" s="200" t="s">
        <v>307</v>
      </c>
      <c r="D2450" s="204">
        <v>-20000</v>
      </c>
      <c r="E2450" s="201">
        <v>45689</v>
      </c>
      <c r="F2450" s="200" t="s">
        <v>296</v>
      </c>
      <c r="G2450" s="200" t="s">
        <v>337</v>
      </c>
      <c r="H2450" s="200" t="s">
        <v>326</v>
      </c>
      <c r="I2450" s="200" t="s">
        <v>2207</v>
      </c>
    </row>
    <row r="2451" spans="1:9" ht="15" customHeight="1">
      <c r="A2451" s="199">
        <v>45686</v>
      </c>
      <c r="B2451" s="202" t="s">
        <v>2214</v>
      </c>
      <c r="C2451" s="200" t="s">
        <v>307</v>
      </c>
      <c r="D2451" s="204">
        <v>-40000</v>
      </c>
      <c r="E2451" s="201">
        <v>45689</v>
      </c>
      <c r="F2451" s="200" t="s">
        <v>296</v>
      </c>
      <c r="G2451" s="200" t="s">
        <v>337</v>
      </c>
      <c r="H2451" s="200" t="s">
        <v>326</v>
      </c>
      <c r="I2451" s="200" t="s">
        <v>2207</v>
      </c>
    </row>
    <row r="2452" spans="1:9" ht="15" customHeight="1">
      <c r="A2452" s="199">
        <v>45686</v>
      </c>
      <c r="B2452" s="202" t="s">
        <v>2209</v>
      </c>
      <c r="C2452" s="200" t="s">
        <v>307</v>
      </c>
      <c r="D2452" s="204">
        <v>-170000</v>
      </c>
      <c r="E2452" s="201">
        <v>45689</v>
      </c>
      <c r="F2452" s="200" t="s">
        <v>296</v>
      </c>
      <c r="G2452" s="200" t="s">
        <v>337</v>
      </c>
      <c r="H2452" s="200" t="s">
        <v>326</v>
      </c>
      <c r="I2452" s="200" t="s">
        <v>2207</v>
      </c>
    </row>
    <row r="2453" spans="1:9" ht="15" customHeight="1">
      <c r="A2453" s="199">
        <v>45687</v>
      </c>
      <c r="B2453" s="202" t="s">
        <v>2215</v>
      </c>
      <c r="C2453" s="200" t="s">
        <v>307</v>
      </c>
      <c r="D2453" s="204">
        <v>-748000</v>
      </c>
      <c r="E2453" s="201">
        <v>45689</v>
      </c>
      <c r="F2453" s="200" t="s">
        <v>296</v>
      </c>
      <c r="G2453" s="200" t="s">
        <v>337</v>
      </c>
      <c r="H2453" s="200" t="s">
        <v>429</v>
      </c>
      <c r="I2453" s="200" t="s">
        <v>2207</v>
      </c>
    </row>
    <row r="2454" spans="1:9" ht="15" customHeight="1">
      <c r="A2454" s="199">
        <v>45687</v>
      </c>
      <c r="B2454" s="202" t="s">
        <v>2215</v>
      </c>
      <c r="C2454" s="200" t="s">
        <v>307</v>
      </c>
      <c r="D2454" s="204">
        <v>-475000</v>
      </c>
      <c r="E2454" s="201">
        <v>45689</v>
      </c>
      <c r="F2454" s="200" t="s">
        <v>296</v>
      </c>
      <c r="G2454" s="200" t="s">
        <v>337</v>
      </c>
      <c r="H2454" s="200" t="s">
        <v>429</v>
      </c>
      <c r="I2454" s="200" t="s">
        <v>2207</v>
      </c>
    </row>
    <row r="2455" spans="1:9" ht="15" customHeight="1">
      <c r="A2455" s="199">
        <v>45688</v>
      </c>
      <c r="B2455" s="202" t="s">
        <v>2208</v>
      </c>
      <c r="C2455" s="200" t="s">
        <v>307</v>
      </c>
      <c r="D2455" s="204">
        <v>-50000</v>
      </c>
      <c r="E2455" s="201">
        <v>45689</v>
      </c>
      <c r="F2455" s="200" t="s">
        <v>296</v>
      </c>
      <c r="G2455" s="200" t="s">
        <v>337</v>
      </c>
      <c r="H2455" s="200" t="s">
        <v>429</v>
      </c>
      <c r="I2455" s="200" t="s">
        <v>2207</v>
      </c>
    </row>
    <row r="2456" spans="1:9" ht="15" customHeight="1">
      <c r="A2456" s="199">
        <v>45688</v>
      </c>
      <c r="B2456" s="202" t="s">
        <v>2213</v>
      </c>
      <c r="C2456" s="200" t="s">
        <v>307</v>
      </c>
      <c r="D2456" s="204">
        <v>-20000</v>
      </c>
      <c r="E2456" s="201">
        <v>45689</v>
      </c>
      <c r="F2456" s="200" t="s">
        <v>296</v>
      </c>
      <c r="G2456" s="200" t="s">
        <v>337</v>
      </c>
      <c r="H2456" s="200" t="s">
        <v>326</v>
      </c>
      <c r="I2456" s="200" t="s">
        <v>2207</v>
      </c>
    </row>
    <row r="2457" spans="1:9" ht="15" customHeight="1">
      <c r="A2457" s="199">
        <v>45689</v>
      </c>
      <c r="B2457" s="202" t="s">
        <v>2211</v>
      </c>
      <c r="C2457" s="200" t="s">
        <v>307</v>
      </c>
      <c r="D2457" s="204">
        <v>-170000</v>
      </c>
      <c r="E2457" s="201">
        <v>45689</v>
      </c>
      <c r="F2457" s="200" t="s">
        <v>296</v>
      </c>
      <c r="G2457" s="200" t="s">
        <v>337</v>
      </c>
      <c r="H2457" s="200" t="s">
        <v>326</v>
      </c>
      <c r="I2457" s="200" t="s">
        <v>2207</v>
      </c>
    </row>
    <row r="2458" spans="1:9" ht="15" customHeight="1">
      <c r="A2458" s="199">
        <v>45689</v>
      </c>
      <c r="B2458" s="202" t="s">
        <v>2214</v>
      </c>
      <c r="C2458" s="200" t="s">
        <v>307</v>
      </c>
      <c r="D2458" s="204">
        <v>-40000</v>
      </c>
      <c r="E2458" s="201">
        <v>45689</v>
      </c>
      <c r="F2458" s="200" t="s">
        <v>296</v>
      </c>
      <c r="G2458" s="200" t="s">
        <v>337</v>
      </c>
      <c r="H2458" s="200" t="s">
        <v>326</v>
      </c>
      <c r="I2458" s="200" t="s">
        <v>2207</v>
      </c>
    </row>
    <row r="2459" spans="1:9" ht="15" customHeight="1">
      <c r="A2459" s="199">
        <v>45692</v>
      </c>
      <c r="B2459" s="202" t="s">
        <v>2209</v>
      </c>
      <c r="C2459" s="200" t="s">
        <v>307</v>
      </c>
      <c r="D2459" s="204">
        <v>-50000</v>
      </c>
      <c r="E2459" s="201">
        <v>45689</v>
      </c>
      <c r="F2459" s="200" t="s">
        <v>296</v>
      </c>
      <c r="G2459" s="200" t="s">
        <v>337</v>
      </c>
      <c r="H2459" s="200" t="s">
        <v>326</v>
      </c>
      <c r="I2459" s="200" t="s">
        <v>2207</v>
      </c>
    </row>
    <row r="2460" spans="1:9" ht="15" customHeight="1">
      <c r="A2460" s="199">
        <v>45692</v>
      </c>
      <c r="B2460" s="202" t="s">
        <v>2208</v>
      </c>
      <c r="C2460" s="200" t="s">
        <v>307</v>
      </c>
      <c r="D2460" s="204">
        <v>-47882</v>
      </c>
      <c r="E2460" s="201">
        <v>45689</v>
      </c>
      <c r="F2460" s="200" t="s">
        <v>296</v>
      </c>
      <c r="G2460" s="200" t="s">
        <v>337</v>
      </c>
      <c r="H2460" s="200" t="s">
        <v>429</v>
      </c>
      <c r="I2460" s="200" t="s">
        <v>2207</v>
      </c>
    </row>
    <row r="2461" spans="1:9" ht="15" customHeight="1">
      <c r="A2461" s="199">
        <v>45692</v>
      </c>
      <c r="B2461" s="202" t="s">
        <v>2214</v>
      </c>
      <c r="C2461" s="200" t="s">
        <v>307</v>
      </c>
      <c r="D2461" s="204">
        <v>-20000</v>
      </c>
      <c r="E2461" s="201">
        <v>45689</v>
      </c>
      <c r="F2461" s="200" t="s">
        <v>296</v>
      </c>
      <c r="G2461" s="200" t="s">
        <v>337</v>
      </c>
      <c r="H2461" s="200" t="s">
        <v>326</v>
      </c>
      <c r="I2461" s="200" t="s">
        <v>2207</v>
      </c>
    </row>
    <row r="2462" spans="1:9" ht="15" customHeight="1">
      <c r="A2462" s="199">
        <v>45692</v>
      </c>
      <c r="B2462" s="202" t="s">
        <v>2213</v>
      </c>
      <c r="C2462" s="200" t="s">
        <v>307</v>
      </c>
      <c r="D2462" s="204">
        <v>-33800</v>
      </c>
      <c r="E2462" s="201">
        <v>45689</v>
      </c>
      <c r="F2462" s="200" t="s">
        <v>296</v>
      </c>
      <c r="G2462" s="200" t="s">
        <v>337</v>
      </c>
      <c r="H2462" s="200" t="s">
        <v>326</v>
      </c>
      <c r="I2462" s="200" t="s">
        <v>2207</v>
      </c>
    </row>
    <row r="2463" spans="1:9" ht="15" customHeight="1">
      <c r="A2463" s="199">
        <v>45694</v>
      </c>
      <c r="B2463" s="202" t="s">
        <v>2215</v>
      </c>
      <c r="C2463" s="200" t="s">
        <v>307</v>
      </c>
      <c r="D2463" s="204">
        <v>-331500</v>
      </c>
      <c r="E2463" s="201">
        <v>45689</v>
      </c>
      <c r="F2463" s="200" t="s">
        <v>296</v>
      </c>
      <c r="G2463" s="200" t="s">
        <v>337</v>
      </c>
      <c r="H2463" s="200" t="s">
        <v>429</v>
      </c>
      <c r="I2463" s="200" t="s">
        <v>2207</v>
      </c>
    </row>
    <row r="2464" spans="1:9" ht="15" customHeight="1">
      <c r="A2464" s="199">
        <v>45695</v>
      </c>
      <c r="B2464" s="202" t="s">
        <v>2213</v>
      </c>
      <c r="C2464" s="200" t="s">
        <v>307</v>
      </c>
      <c r="D2464" s="204">
        <v>-30000</v>
      </c>
      <c r="E2464" s="201">
        <v>45689</v>
      </c>
      <c r="F2464" s="200" t="s">
        <v>296</v>
      </c>
      <c r="G2464" s="200" t="s">
        <v>337</v>
      </c>
      <c r="H2464" s="200" t="s">
        <v>326</v>
      </c>
      <c r="I2464" s="200" t="s">
        <v>2207</v>
      </c>
    </row>
    <row r="2465" spans="1:9" ht="15" customHeight="1">
      <c r="A2465" s="199">
        <v>45695</v>
      </c>
      <c r="B2465" s="202" t="s">
        <v>2214</v>
      </c>
      <c r="C2465" s="200" t="s">
        <v>307</v>
      </c>
      <c r="D2465" s="204">
        <v>-20000</v>
      </c>
      <c r="E2465" s="201">
        <v>45689</v>
      </c>
      <c r="F2465" s="200" t="s">
        <v>296</v>
      </c>
      <c r="G2465" s="200" t="s">
        <v>337</v>
      </c>
      <c r="H2465" s="200" t="s">
        <v>326</v>
      </c>
      <c r="I2465" s="200" t="s">
        <v>2207</v>
      </c>
    </row>
    <row r="2466" spans="1:9" ht="15" customHeight="1">
      <c r="A2466" s="199">
        <v>45695</v>
      </c>
      <c r="B2466" s="202" t="s">
        <v>2214</v>
      </c>
      <c r="C2466" s="200" t="s">
        <v>307</v>
      </c>
      <c r="D2466" s="204">
        <v>-20000</v>
      </c>
      <c r="E2466" s="201">
        <v>45689</v>
      </c>
      <c r="F2466" s="200" t="s">
        <v>296</v>
      </c>
      <c r="G2466" s="200" t="s">
        <v>337</v>
      </c>
      <c r="H2466" s="200" t="s">
        <v>326</v>
      </c>
      <c r="I2466" s="200" t="s">
        <v>2207</v>
      </c>
    </row>
    <row r="2467" spans="1:9" ht="15" customHeight="1">
      <c r="A2467" s="199">
        <v>45696</v>
      </c>
      <c r="B2467" s="202" t="s">
        <v>2211</v>
      </c>
      <c r="C2467" s="200" t="s">
        <v>307</v>
      </c>
      <c r="D2467" s="204">
        <v>-155000</v>
      </c>
      <c r="E2467" s="201">
        <v>45689</v>
      </c>
      <c r="F2467" s="200" t="s">
        <v>296</v>
      </c>
      <c r="G2467" s="200" t="s">
        <v>337</v>
      </c>
      <c r="H2467" s="200" t="s">
        <v>326</v>
      </c>
      <c r="I2467" s="200" t="s">
        <v>2207</v>
      </c>
    </row>
    <row r="2468" spans="1:9" ht="15" customHeight="1">
      <c r="A2468" s="199">
        <v>45699</v>
      </c>
      <c r="B2468" s="202" t="s">
        <v>2208</v>
      </c>
      <c r="C2468" s="200" t="s">
        <v>307</v>
      </c>
      <c r="D2468" s="204">
        <v>-30000</v>
      </c>
      <c r="E2468" s="201">
        <v>45689</v>
      </c>
      <c r="F2468" s="200" t="s">
        <v>296</v>
      </c>
      <c r="G2468" s="200" t="s">
        <v>337</v>
      </c>
      <c r="H2468" s="200" t="s">
        <v>429</v>
      </c>
      <c r="I2468" s="200" t="s">
        <v>2207</v>
      </c>
    </row>
    <row r="2469" spans="1:9" ht="15" customHeight="1">
      <c r="A2469" s="199">
        <v>45700</v>
      </c>
      <c r="B2469" s="202" t="s">
        <v>2209</v>
      </c>
      <c r="C2469" s="200" t="s">
        <v>307</v>
      </c>
      <c r="D2469" s="204">
        <v>-100000</v>
      </c>
      <c r="E2469" s="201">
        <v>45689</v>
      </c>
      <c r="F2469" s="200" t="s">
        <v>296</v>
      </c>
      <c r="G2469" s="200" t="s">
        <v>337</v>
      </c>
      <c r="H2469" s="200" t="s">
        <v>326</v>
      </c>
      <c r="I2469" s="200" t="s">
        <v>2207</v>
      </c>
    </row>
    <row r="2470" spans="1:9" ht="15" customHeight="1">
      <c r="A2470" s="199">
        <v>45700</v>
      </c>
      <c r="B2470" s="202" t="s">
        <v>2213</v>
      </c>
      <c r="C2470" s="200" t="s">
        <v>307</v>
      </c>
      <c r="D2470" s="204">
        <v>-30000</v>
      </c>
      <c r="E2470" s="201">
        <v>45689</v>
      </c>
      <c r="F2470" s="200" t="s">
        <v>296</v>
      </c>
      <c r="G2470" s="200" t="s">
        <v>337</v>
      </c>
      <c r="H2470" s="200" t="s">
        <v>326</v>
      </c>
      <c r="I2470" s="200" t="s">
        <v>2207</v>
      </c>
    </row>
    <row r="2471" spans="1:9" ht="15" customHeight="1">
      <c r="A2471" s="199">
        <v>45700</v>
      </c>
      <c r="B2471" s="202" t="s">
        <v>2214</v>
      </c>
      <c r="C2471" s="200" t="s">
        <v>307</v>
      </c>
      <c r="D2471" s="204">
        <v>-40000</v>
      </c>
      <c r="E2471" s="201">
        <v>45689</v>
      </c>
      <c r="F2471" s="200" t="s">
        <v>296</v>
      </c>
      <c r="G2471" s="200" t="s">
        <v>337</v>
      </c>
      <c r="H2471" s="200" t="s">
        <v>326</v>
      </c>
      <c r="I2471" s="200" t="s">
        <v>2207</v>
      </c>
    </row>
    <row r="2472" spans="1:9" ht="15" customHeight="1">
      <c r="A2472" s="199">
        <v>45703</v>
      </c>
      <c r="B2472" s="202" t="s">
        <v>2216</v>
      </c>
      <c r="C2472" s="200" t="s">
        <v>307</v>
      </c>
      <c r="D2472" s="204">
        <v>-30000</v>
      </c>
      <c r="E2472" s="201">
        <v>45689</v>
      </c>
      <c r="F2472" s="200" t="s">
        <v>296</v>
      </c>
      <c r="G2472" s="200" t="s">
        <v>337</v>
      </c>
      <c r="H2472" s="200" t="s">
        <v>429</v>
      </c>
      <c r="I2472" s="200" t="s">
        <v>2207</v>
      </c>
    </row>
    <row r="2473" spans="1:9" ht="15" customHeight="1">
      <c r="A2473" s="199">
        <v>45703</v>
      </c>
      <c r="B2473" s="202" t="s">
        <v>2217</v>
      </c>
      <c r="C2473" s="200" t="s">
        <v>307</v>
      </c>
      <c r="D2473" s="204">
        <v>-30400</v>
      </c>
      <c r="E2473" s="201">
        <v>45689</v>
      </c>
      <c r="F2473" s="200" t="s">
        <v>296</v>
      </c>
      <c r="G2473" s="200" t="s">
        <v>337</v>
      </c>
      <c r="H2473" s="200" t="s">
        <v>326</v>
      </c>
      <c r="I2473" s="200" t="s">
        <v>2207</v>
      </c>
    </row>
    <row r="2474" spans="1:9" ht="15" customHeight="1">
      <c r="A2474" s="199">
        <v>45703</v>
      </c>
      <c r="B2474" s="202" t="s">
        <v>2211</v>
      </c>
      <c r="C2474" s="200" t="s">
        <v>307</v>
      </c>
      <c r="D2474" s="204">
        <v>-170000</v>
      </c>
      <c r="E2474" s="201">
        <v>45689</v>
      </c>
      <c r="F2474" s="200" t="s">
        <v>296</v>
      </c>
      <c r="G2474" s="200" t="s">
        <v>337</v>
      </c>
      <c r="H2474" s="200" t="s">
        <v>326</v>
      </c>
      <c r="I2474" s="200" t="s">
        <v>2207</v>
      </c>
    </row>
    <row r="2475" spans="1:9" ht="15" customHeight="1">
      <c r="A2475" s="199">
        <v>45703</v>
      </c>
      <c r="B2475" s="202" t="s">
        <v>2206</v>
      </c>
      <c r="C2475" s="200" t="s">
        <v>307</v>
      </c>
      <c r="D2475" s="204">
        <v>-14500</v>
      </c>
      <c r="E2475" s="201">
        <v>45689</v>
      </c>
      <c r="F2475" s="200" t="s">
        <v>296</v>
      </c>
      <c r="G2475" s="200" t="s">
        <v>337</v>
      </c>
      <c r="H2475" s="200" t="s">
        <v>326</v>
      </c>
      <c r="I2475" s="200" t="s">
        <v>2207</v>
      </c>
    </row>
    <row r="2476" spans="1:9" ht="15" customHeight="1">
      <c r="A2476" s="199">
        <v>45704</v>
      </c>
      <c r="B2476" s="202" t="s">
        <v>2218</v>
      </c>
      <c r="C2476" s="200" t="s">
        <v>307</v>
      </c>
      <c r="D2476" s="204">
        <v>-85000</v>
      </c>
      <c r="E2476" s="201">
        <v>45689</v>
      </c>
      <c r="F2476" s="200" t="s">
        <v>296</v>
      </c>
      <c r="G2476" s="200" t="s">
        <v>337</v>
      </c>
      <c r="H2476" s="200" t="s">
        <v>326</v>
      </c>
      <c r="I2476" s="200" t="s">
        <v>2207</v>
      </c>
    </row>
    <row r="2477" spans="1:9" ht="15" customHeight="1">
      <c r="A2477" s="199">
        <v>45705</v>
      </c>
      <c r="B2477" s="202" t="s">
        <v>2219</v>
      </c>
      <c r="C2477" s="200" t="s">
        <v>307</v>
      </c>
      <c r="D2477" s="204">
        <v>-50000</v>
      </c>
      <c r="E2477" s="201">
        <v>45689</v>
      </c>
      <c r="F2477" s="200" t="s">
        <v>296</v>
      </c>
      <c r="G2477" s="200" t="s">
        <v>337</v>
      </c>
      <c r="H2477" s="200" t="s">
        <v>326</v>
      </c>
      <c r="I2477" s="200" t="s">
        <v>2207</v>
      </c>
    </row>
    <row r="2478" spans="1:9" ht="15" customHeight="1">
      <c r="A2478" s="199">
        <v>45705</v>
      </c>
      <c r="B2478" s="202" t="s">
        <v>2206</v>
      </c>
      <c r="C2478" s="200" t="s">
        <v>307</v>
      </c>
      <c r="D2478" s="204">
        <v>-14500</v>
      </c>
      <c r="E2478" s="201">
        <v>45689</v>
      </c>
      <c r="F2478" s="200" t="s">
        <v>296</v>
      </c>
      <c r="G2478" s="200" t="s">
        <v>337</v>
      </c>
      <c r="H2478" s="200" t="s">
        <v>326</v>
      </c>
      <c r="I2478" s="200" t="s">
        <v>2207</v>
      </c>
    </row>
    <row r="2479" spans="1:9" ht="15" customHeight="1">
      <c r="A2479" s="199">
        <v>45706</v>
      </c>
      <c r="B2479" s="202" t="s">
        <v>2220</v>
      </c>
      <c r="C2479" s="200" t="s">
        <v>307</v>
      </c>
      <c r="D2479" s="204">
        <v>-34000</v>
      </c>
      <c r="E2479" s="201">
        <v>45689</v>
      </c>
      <c r="F2479" s="200" t="s">
        <v>296</v>
      </c>
      <c r="G2479" s="200" t="s">
        <v>337</v>
      </c>
      <c r="H2479" s="200" t="s">
        <v>1213</v>
      </c>
      <c r="I2479" s="200" t="s">
        <v>2207</v>
      </c>
    </row>
    <row r="2480" spans="1:9" ht="15" customHeight="1">
      <c r="A2480" s="199">
        <v>45706</v>
      </c>
      <c r="B2480" s="202" t="s">
        <v>2221</v>
      </c>
      <c r="C2480" s="200" t="s">
        <v>307</v>
      </c>
      <c r="D2480" s="204">
        <v>-44301</v>
      </c>
      <c r="E2480" s="201">
        <v>45689</v>
      </c>
      <c r="F2480" s="200" t="s">
        <v>296</v>
      </c>
      <c r="G2480" s="200" t="s">
        <v>337</v>
      </c>
      <c r="H2480" s="200" t="s">
        <v>1213</v>
      </c>
      <c r="I2480" s="200" t="s">
        <v>2207</v>
      </c>
    </row>
    <row r="2481" spans="1:9" ht="15" customHeight="1">
      <c r="A2481" s="199">
        <v>45706</v>
      </c>
      <c r="B2481" s="202" t="s">
        <v>2215</v>
      </c>
      <c r="C2481" s="200" t="s">
        <v>307</v>
      </c>
      <c r="D2481" s="204">
        <v>-96000</v>
      </c>
      <c r="E2481" s="201">
        <v>45689</v>
      </c>
      <c r="F2481" s="200" t="s">
        <v>296</v>
      </c>
      <c r="G2481" s="200" t="s">
        <v>337</v>
      </c>
      <c r="H2481" s="200" t="s">
        <v>429</v>
      </c>
      <c r="I2481" s="200" t="s">
        <v>2207</v>
      </c>
    </row>
    <row r="2482" spans="1:9" ht="15" customHeight="1">
      <c r="A2482" s="199">
        <v>45707</v>
      </c>
      <c r="B2482" s="202" t="s">
        <v>2219</v>
      </c>
      <c r="C2482" s="200" t="s">
        <v>307</v>
      </c>
      <c r="D2482" s="204">
        <v>-50000</v>
      </c>
      <c r="E2482" s="201">
        <v>45689</v>
      </c>
      <c r="F2482" s="200" t="s">
        <v>296</v>
      </c>
      <c r="G2482" s="200" t="s">
        <v>337</v>
      </c>
      <c r="H2482" s="200" t="s">
        <v>326</v>
      </c>
      <c r="I2482" s="200" t="s">
        <v>2207</v>
      </c>
    </row>
    <row r="2483" spans="1:9" ht="15" customHeight="1">
      <c r="A2483" s="199">
        <v>45707</v>
      </c>
      <c r="B2483" s="202" t="s">
        <v>2222</v>
      </c>
      <c r="C2483" s="200" t="s">
        <v>307</v>
      </c>
      <c r="D2483" s="204">
        <v>-30000</v>
      </c>
      <c r="E2483" s="201">
        <v>45689</v>
      </c>
      <c r="F2483" s="200" t="s">
        <v>296</v>
      </c>
      <c r="G2483" s="200" t="s">
        <v>337</v>
      </c>
      <c r="H2483" s="200" t="s">
        <v>429</v>
      </c>
      <c r="I2483" s="200" t="s">
        <v>2207</v>
      </c>
    </row>
    <row r="2484" spans="1:9" ht="15" customHeight="1">
      <c r="A2484" s="199">
        <v>45707</v>
      </c>
      <c r="B2484" s="202" t="s">
        <v>2213</v>
      </c>
      <c r="C2484" s="200" t="s">
        <v>307</v>
      </c>
      <c r="D2484" s="204">
        <v>-40000</v>
      </c>
      <c r="E2484" s="201">
        <v>45689</v>
      </c>
      <c r="F2484" s="200" t="s">
        <v>296</v>
      </c>
      <c r="G2484" s="200" t="s">
        <v>337</v>
      </c>
      <c r="H2484" s="200" t="s">
        <v>326</v>
      </c>
      <c r="I2484" s="200" t="s">
        <v>2207</v>
      </c>
    </row>
    <row r="2485" spans="1:9" ht="15" customHeight="1">
      <c r="A2485" s="199">
        <v>45688</v>
      </c>
      <c r="B2485" s="202" t="s">
        <v>2223</v>
      </c>
      <c r="C2485" s="200" t="s">
        <v>307</v>
      </c>
      <c r="D2485" s="204">
        <v>-16000</v>
      </c>
      <c r="E2485" s="201">
        <v>45689</v>
      </c>
      <c r="F2485" s="200" t="s">
        <v>296</v>
      </c>
      <c r="G2485" s="200" t="s">
        <v>453</v>
      </c>
      <c r="H2485" s="200" t="s">
        <v>97</v>
      </c>
      <c r="I2485" s="200" t="s">
        <v>727</v>
      </c>
    </row>
    <row r="2486" spans="1:9" ht="15" customHeight="1">
      <c r="A2486" s="199">
        <v>45702</v>
      </c>
      <c r="B2486" s="202" t="s">
        <v>2224</v>
      </c>
      <c r="C2486" s="200" t="s">
        <v>307</v>
      </c>
      <c r="D2486" s="204">
        <v>-8000</v>
      </c>
      <c r="E2486" s="201">
        <v>45689</v>
      </c>
      <c r="F2486" s="200" t="s">
        <v>296</v>
      </c>
      <c r="G2486" s="200" t="s">
        <v>453</v>
      </c>
      <c r="H2486" s="200" t="s">
        <v>97</v>
      </c>
      <c r="I2486" s="200" t="s">
        <v>727</v>
      </c>
    </row>
    <row r="2487" spans="1:9" ht="15" customHeight="1">
      <c r="A2487" s="199">
        <v>45702</v>
      </c>
      <c r="B2487" s="202" t="s">
        <v>2225</v>
      </c>
      <c r="C2487" s="200" t="s">
        <v>307</v>
      </c>
      <c r="D2487" s="204">
        <v>-20000</v>
      </c>
      <c r="E2487" s="201">
        <v>45689</v>
      </c>
      <c r="F2487" s="200" t="s">
        <v>296</v>
      </c>
      <c r="G2487" s="200" t="s">
        <v>453</v>
      </c>
      <c r="H2487" s="200" t="s">
        <v>97</v>
      </c>
      <c r="I2487" s="200" t="s">
        <v>727</v>
      </c>
    </row>
    <row r="2488" spans="1:9" ht="15" customHeight="1">
      <c r="A2488" s="199">
        <v>45702</v>
      </c>
      <c r="B2488" s="202" t="s">
        <v>2226</v>
      </c>
      <c r="C2488" s="200" t="s">
        <v>307</v>
      </c>
      <c r="D2488" s="204">
        <v>-12000</v>
      </c>
      <c r="E2488" s="201">
        <v>45689</v>
      </c>
      <c r="F2488" s="200" t="s">
        <v>296</v>
      </c>
      <c r="G2488" s="200" t="s">
        <v>453</v>
      </c>
      <c r="H2488" s="200" t="s">
        <v>97</v>
      </c>
      <c r="I2488" s="200" t="s">
        <v>727</v>
      </c>
    </row>
    <row r="2489" spans="1:9" ht="15" customHeight="1">
      <c r="A2489" s="199">
        <v>45702</v>
      </c>
      <c r="B2489" s="202" t="s">
        <v>2227</v>
      </c>
      <c r="C2489" s="200" t="s">
        <v>307</v>
      </c>
      <c r="D2489" s="204">
        <v>-20000</v>
      </c>
      <c r="E2489" s="201">
        <v>45689</v>
      </c>
      <c r="F2489" s="200" t="s">
        <v>296</v>
      </c>
      <c r="G2489" s="200" t="s">
        <v>453</v>
      </c>
      <c r="H2489" s="200" t="s">
        <v>97</v>
      </c>
      <c r="I2489" s="200" t="s">
        <v>727</v>
      </c>
    </row>
    <row r="2490" spans="1:9" ht="15" customHeight="1">
      <c r="A2490" s="199">
        <v>45702</v>
      </c>
      <c r="B2490" s="202" t="s">
        <v>2228</v>
      </c>
      <c r="C2490" s="200" t="s">
        <v>307</v>
      </c>
      <c r="D2490" s="204">
        <v>-10000</v>
      </c>
      <c r="E2490" s="201">
        <v>45689</v>
      </c>
      <c r="F2490" s="200" t="s">
        <v>296</v>
      </c>
      <c r="G2490" s="200" t="s">
        <v>453</v>
      </c>
      <c r="H2490" s="200" t="s">
        <v>97</v>
      </c>
      <c r="I2490" s="200" t="s">
        <v>727</v>
      </c>
    </row>
    <row r="2491" spans="1:9" ht="15" customHeight="1">
      <c r="A2491" s="199">
        <v>45702</v>
      </c>
      <c r="B2491" s="202" t="s">
        <v>2229</v>
      </c>
      <c r="C2491" s="200" t="s">
        <v>307</v>
      </c>
      <c r="D2491" s="204">
        <v>-20000</v>
      </c>
      <c r="E2491" s="201">
        <v>45689</v>
      </c>
      <c r="F2491" s="200" t="s">
        <v>296</v>
      </c>
      <c r="G2491" s="200" t="s">
        <v>453</v>
      </c>
      <c r="H2491" s="200" t="s">
        <v>97</v>
      </c>
      <c r="I2491" s="200" t="s">
        <v>727</v>
      </c>
    </row>
    <row r="2492" spans="1:9" ht="15" customHeight="1">
      <c r="A2492" s="199">
        <v>45706</v>
      </c>
      <c r="B2492" s="202" t="s">
        <v>2230</v>
      </c>
      <c r="C2492" s="200" t="s">
        <v>307</v>
      </c>
      <c r="D2492" s="204">
        <v>-2500</v>
      </c>
      <c r="E2492" s="201">
        <v>45689</v>
      </c>
      <c r="F2492" s="200" t="s">
        <v>296</v>
      </c>
      <c r="G2492" s="200" t="s">
        <v>337</v>
      </c>
      <c r="H2492" s="200" t="s">
        <v>326</v>
      </c>
      <c r="I2492" s="704" t="s">
        <v>727</v>
      </c>
    </row>
    <row r="2493" spans="1:9" ht="15" customHeight="1">
      <c r="A2493" s="199">
        <v>45706</v>
      </c>
      <c r="B2493" s="202" t="s">
        <v>2230</v>
      </c>
      <c r="C2493" s="200" t="s">
        <v>307</v>
      </c>
      <c r="D2493" s="204">
        <v>-2500</v>
      </c>
      <c r="E2493" s="201">
        <v>45689</v>
      </c>
      <c r="F2493" s="200" t="s">
        <v>296</v>
      </c>
      <c r="G2493" s="200" t="s">
        <v>44</v>
      </c>
      <c r="H2493" s="200" t="s">
        <v>326</v>
      </c>
      <c r="I2493" s="200" t="s">
        <v>727</v>
      </c>
    </row>
    <row r="2494" spans="1:9" ht="15" customHeight="1">
      <c r="A2494" s="199">
        <v>45706</v>
      </c>
      <c r="B2494" s="202" t="s">
        <v>2230</v>
      </c>
      <c r="C2494" s="200" t="s">
        <v>307</v>
      </c>
      <c r="D2494" s="204">
        <v>-2500</v>
      </c>
      <c r="E2494" s="201">
        <v>45689</v>
      </c>
      <c r="F2494" s="200" t="s">
        <v>296</v>
      </c>
      <c r="G2494" s="200" t="s">
        <v>522</v>
      </c>
      <c r="H2494" s="200" t="s">
        <v>326</v>
      </c>
      <c r="I2494" s="673" t="s">
        <v>727</v>
      </c>
    </row>
    <row r="2495" spans="1:9" ht="15" customHeight="1">
      <c r="A2495" s="199">
        <v>45706</v>
      </c>
      <c r="B2495" s="202" t="s">
        <v>2231</v>
      </c>
      <c r="C2495" s="200" t="s">
        <v>307</v>
      </c>
      <c r="D2495" s="204">
        <v>-13333.333333333334</v>
      </c>
      <c r="E2495" s="201">
        <v>45689</v>
      </c>
      <c r="F2495" s="200" t="s">
        <v>296</v>
      </c>
      <c r="G2495" s="200" t="s">
        <v>337</v>
      </c>
      <c r="H2495" s="200" t="s">
        <v>326</v>
      </c>
      <c r="I2495" s="704" t="s">
        <v>727</v>
      </c>
    </row>
    <row r="2496" spans="1:9" ht="15" customHeight="1">
      <c r="A2496" s="199">
        <v>45706</v>
      </c>
      <c r="B2496" s="202" t="s">
        <v>2231</v>
      </c>
      <c r="C2496" s="200" t="s">
        <v>307</v>
      </c>
      <c r="D2496" s="204">
        <v>-13333.333333333334</v>
      </c>
      <c r="E2496" s="201">
        <v>45689</v>
      </c>
      <c r="F2496" s="200" t="s">
        <v>296</v>
      </c>
      <c r="G2496" s="200" t="s">
        <v>44</v>
      </c>
      <c r="H2496" s="200" t="s">
        <v>326</v>
      </c>
      <c r="I2496" s="200" t="s">
        <v>727</v>
      </c>
    </row>
    <row r="2497" spans="1:9" ht="15" customHeight="1">
      <c r="A2497" s="199">
        <v>45706</v>
      </c>
      <c r="B2497" s="202" t="s">
        <v>2231</v>
      </c>
      <c r="C2497" s="200" t="s">
        <v>307</v>
      </c>
      <c r="D2497" s="204">
        <v>-13333.333333333334</v>
      </c>
      <c r="E2497" s="201">
        <v>45689</v>
      </c>
      <c r="F2497" s="200" t="s">
        <v>296</v>
      </c>
      <c r="G2497" s="200" t="s">
        <v>522</v>
      </c>
      <c r="H2497" s="200" t="s">
        <v>326</v>
      </c>
      <c r="I2497" s="673" t="s">
        <v>727</v>
      </c>
    </row>
    <row r="2498" spans="1:9" ht="15" customHeight="1">
      <c r="A2498" s="199">
        <v>45706</v>
      </c>
      <c r="B2498" s="202" t="s">
        <v>2232</v>
      </c>
      <c r="C2498" s="200" t="s">
        <v>307</v>
      </c>
      <c r="D2498" s="204">
        <v>-3333.3333333333335</v>
      </c>
      <c r="E2498" s="201">
        <v>45689</v>
      </c>
      <c r="F2498" s="200" t="s">
        <v>296</v>
      </c>
      <c r="G2498" s="200" t="s">
        <v>337</v>
      </c>
      <c r="H2498" s="200" t="s">
        <v>326</v>
      </c>
      <c r="I2498" s="704" t="s">
        <v>727</v>
      </c>
    </row>
    <row r="2499" spans="1:9" ht="15" customHeight="1">
      <c r="A2499" s="199">
        <v>45706</v>
      </c>
      <c r="B2499" s="202" t="s">
        <v>2232</v>
      </c>
      <c r="C2499" s="200" t="s">
        <v>307</v>
      </c>
      <c r="D2499" s="204">
        <v>-3333.3333333333335</v>
      </c>
      <c r="E2499" s="201">
        <v>45689</v>
      </c>
      <c r="F2499" s="200" t="s">
        <v>296</v>
      </c>
      <c r="G2499" s="200" t="s">
        <v>44</v>
      </c>
      <c r="H2499" s="200" t="s">
        <v>326</v>
      </c>
      <c r="I2499" s="200" t="s">
        <v>727</v>
      </c>
    </row>
    <row r="2500" spans="1:9" ht="15" customHeight="1">
      <c r="A2500" s="199">
        <v>45706</v>
      </c>
      <c r="B2500" s="202" t="s">
        <v>2232</v>
      </c>
      <c r="C2500" s="200" t="s">
        <v>307</v>
      </c>
      <c r="D2500" s="204">
        <v>-3333.3333333333335</v>
      </c>
      <c r="E2500" s="201">
        <v>45689</v>
      </c>
      <c r="F2500" s="200" t="s">
        <v>296</v>
      </c>
      <c r="G2500" s="200" t="s">
        <v>522</v>
      </c>
      <c r="H2500" s="200" t="s">
        <v>326</v>
      </c>
      <c r="I2500" s="673" t="s">
        <v>727</v>
      </c>
    </row>
    <row r="2501" spans="1:9" ht="15" customHeight="1">
      <c r="A2501" s="199">
        <v>45706</v>
      </c>
      <c r="B2501" s="202" t="s">
        <v>2233</v>
      </c>
      <c r="C2501" s="200" t="s">
        <v>307</v>
      </c>
      <c r="D2501" s="204">
        <v>-6666.666666666667</v>
      </c>
      <c r="E2501" s="201">
        <v>45689</v>
      </c>
      <c r="F2501" s="200" t="s">
        <v>296</v>
      </c>
      <c r="G2501" s="200" t="s">
        <v>337</v>
      </c>
      <c r="H2501" s="200" t="s">
        <v>326</v>
      </c>
      <c r="I2501" s="704" t="s">
        <v>727</v>
      </c>
    </row>
    <row r="2502" spans="1:9" ht="15" customHeight="1">
      <c r="A2502" s="199">
        <v>45706</v>
      </c>
      <c r="B2502" s="202" t="s">
        <v>2233</v>
      </c>
      <c r="C2502" s="200" t="s">
        <v>307</v>
      </c>
      <c r="D2502" s="204">
        <v>-6666.666666666667</v>
      </c>
      <c r="E2502" s="201">
        <v>45689</v>
      </c>
      <c r="F2502" s="200" t="s">
        <v>296</v>
      </c>
      <c r="G2502" s="200" t="s">
        <v>44</v>
      </c>
      <c r="H2502" s="200" t="s">
        <v>326</v>
      </c>
      <c r="I2502" s="200" t="s">
        <v>727</v>
      </c>
    </row>
    <row r="2503" spans="1:9" ht="15" customHeight="1">
      <c r="A2503" s="199">
        <v>45706</v>
      </c>
      <c r="B2503" s="202" t="s">
        <v>2233</v>
      </c>
      <c r="C2503" s="200" t="s">
        <v>307</v>
      </c>
      <c r="D2503" s="204">
        <v>-6666.666666666667</v>
      </c>
      <c r="E2503" s="201">
        <v>45689</v>
      </c>
      <c r="F2503" s="200" t="s">
        <v>296</v>
      </c>
      <c r="G2503" s="200" t="s">
        <v>522</v>
      </c>
      <c r="H2503" s="200" t="s">
        <v>326</v>
      </c>
      <c r="I2503" s="673" t="s">
        <v>727</v>
      </c>
    </row>
    <row r="2504" spans="1:9" ht="15" customHeight="1">
      <c r="A2504" s="199">
        <v>45706</v>
      </c>
      <c r="B2504" s="202" t="s">
        <v>1905</v>
      </c>
      <c r="C2504" s="200" t="s">
        <v>307</v>
      </c>
      <c r="D2504" s="204">
        <v>-14000</v>
      </c>
      <c r="E2504" s="201">
        <v>45689</v>
      </c>
      <c r="F2504" s="200" t="s">
        <v>296</v>
      </c>
      <c r="G2504" s="200" t="s">
        <v>328</v>
      </c>
      <c r="H2504" s="200" t="s">
        <v>268</v>
      </c>
    </row>
    <row r="2505" spans="1:9" ht="15" customHeight="1">
      <c r="A2505" s="199">
        <v>45706</v>
      </c>
      <c r="B2505" s="202" t="s">
        <v>2234</v>
      </c>
      <c r="C2505" s="200" t="s">
        <v>307</v>
      </c>
      <c r="D2505" s="204">
        <v>-25700</v>
      </c>
      <c r="E2505" s="201">
        <v>45689</v>
      </c>
      <c r="F2505" s="200" t="s">
        <v>296</v>
      </c>
      <c r="G2505" s="200" t="s">
        <v>984</v>
      </c>
      <c r="H2505" s="200" t="s">
        <v>268</v>
      </c>
    </row>
    <row r="2506" spans="1:9" ht="15" customHeight="1">
      <c r="A2506" s="199">
        <v>45706</v>
      </c>
      <c r="B2506" s="202" t="s">
        <v>2235</v>
      </c>
      <c r="C2506" s="200" t="s">
        <v>307</v>
      </c>
      <c r="D2506" s="204">
        <v>-14000</v>
      </c>
      <c r="E2506" s="201">
        <v>45689</v>
      </c>
      <c r="F2506" s="200" t="s">
        <v>297</v>
      </c>
      <c r="G2506" s="200" t="s">
        <v>1313</v>
      </c>
      <c r="H2506" s="200" t="s">
        <v>268</v>
      </c>
    </row>
    <row r="2507" spans="1:9" ht="15" customHeight="1">
      <c r="A2507" s="199">
        <v>45707</v>
      </c>
      <c r="B2507" s="202" t="s">
        <v>2236</v>
      </c>
      <c r="C2507" s="200" t="s">
        <v>307</v>
      </c>
      <c r="D2507" s="204">
        <v>-14000</v>
      </c>
      <c r="E2507" s="201">
        <v>45689</v>
      </c>
      <c r="F2507" s="200" t="s">
        <v>256</v>
      </c>
      <c r="G2507" s="200" t="s">
        <v>256</v>
      </c>
      <c r="H2507" s="200" t="s">
        <v>268</v>
      </c>
    </row>
    <row r="2508" spans="1:9" ht="15" customHeight="1">
      <c r="A2508" s="199">
        <v>45707</v>
      </c>
      <c r="B2508" s="202" t="s">
        <v>2237</v>
      </c>
      <c r="C2508" s="200" t="s">
        <v>307</v>
      </c>
      <c r="D2508" s="204">
        <v>-70000</v>
      </c>
      <c r="E2508" s="201">
        <v>45689</v>
      </c>
      <c r="F2508" s="200" t="s">
        <v>256</v>
      </c>
      <c r="G2508" s="200" t="s">
        <v>256</v>
      </c>
      <c r="H2508" s="200" t="s">
        <v>263</v>
      </c>
    </row>
    <row r="2509" spans="1:9" ht="15" customHeight="1">
      <c r="A2509" s="199">
        <v>45698</v>
      </c>
      <c r="B2509" s="202" t="s">
        <v>2238</v>
      </c>
      <c r="C2509" s="200" t="s">
        <v>307</v>
      </c>
      <c r="D2509" s="204">
        <v>-69999</v>
      </c>
      <c r="E2509" s="201">
        <v>45689</v>
      </c>
      <c r="F2509" s="200" t="s">
        <v>256</v>
      </c>
      <c r="G2509" s="200" t="s">
        <v>256</v>
      </c>
      <c r="H2509" s="200" t="s">
        <v>263</v>
      </c>
      <c r="I2509" s="200" t="s">
        <v>685</v>
      </c>
    </row>
    <row r="2510" spans="1:9" ht="15" customHeight="1">
      <c r="A2510" s="199">
        <v>45698</v>
      </c>
      <c r="B2510" s="202" t="s">
        <v>2239</v>
      </c>
      <c r="C2510" s="200" t="s">
        <v>307</v>
      </c>
      <c r="D2510" s="204">
        <v>-37900</v>
      </c>
      <c r="E2510" s="201">
        <v>45689</v>
      </c>
      <c r="F2510" s="200" t="s">
        <v>296</v>
      </c>
      <c r="G2510" s="200" t="s">
        <v>328</v>
      </c>
      <c r="H2510" s="200" t="s">
        <v>350</v>
      </c>
      <c r="I2510" s="200" t="s">
        <v>685</v>
      </c>
    </row>
    <row r="2511" spans="1:9" ht="15" customHeight="1">
      <c r="A2511" s="199">
        <v>45698</v>
      </c>
      <c r="B2511" s="202" t="s">
        <v>431</v>
      </c>
      <c r="C2511" s="200" t="s">
        <v>307</v>
      </c>
      <c r="D2511" s="204">
        <v>-15200</v>
      </c>
      <c r="E2511" s="201">
        <v>45689</v>
      </c>
      <c r="F2511" s="200" t="s">
        <v>256</v>
      </c>
      <c r="G2511" s="200" t="s">
        <v>256</v>
      </c>
      <c r="H2511" s="200" t="s">
        <v>263</v>
      </c>
      <c r="I2511" s="200" t="s">
        <v>685</v>
      </c>
    </row>
    <row r="2512" spans="1:9" ht="15" customHeight="1">
      <c r="A2512" s="199">
        <v>45698</v>
      </c>
      <c r="B2512" s="202" t="s">
        <v>2240</v>
      </c>
      <c r="C2512" s="200" t="s">
        <v>307</v>
      </c>
      <c r="D2512" s="204">
        <v>-6000</v>
      </c>
      <c r="E2512" s="201">
        <v>45689</v>
      </c>
      <c r="F2512" s="200" t="s">
        <v>296</v>
      </c>
      <c r="G2512" s="200" t="s">
        <v>390</v>
      </c>
      <c r="H2512" s="200" t="s">
        <v>377</v>
      </c>
      <c r="I2512" s="200" t="s">
        <v>685</v>
      </c>
    </row>
    <row r="2513" spans="1:9" ht="15" customHeight="1">
      <c r="A2513" s="199">
        <v>45699</v>
      </c>
      <c r="B2513" s="202" t="s">
        <v>2241</v>
      </c>
      <c r="C2513" s="200" t="s">
        <v>307</v>
      </c>
      <c r="D2513" s="204">
        <v>-54599.360000000001</v>
      </c>
      <c r="E2513" s="201">
        <v>45689</v>
      </c>
      <c r="F2513" s="200" t="s">
        <v>296</v>
      </c>
      <c r="G2513" s="200" t="s">
        <v>411</v>
      </c>
      <c r="H2513" s="200" t="s">
        <v>350</v>
      </c>
      <c r="I2513" s="200" t="s">
        <v>685</v>
      </c>
    </row>
    <row r="2514" spans="1:9" ht="15" customHeight="1">
      <c r="A2514" s="199">
        <v>45699</v>
      </c>
      <c r="B2514" s="202" t="s">
        <v>2242</v>
      </c>
      <c r="C2514" s="200" t="s">
        <v>307</v>
      </c>
      <c r="D2514" s="204">
        <v>-12000</v>
      </c>
      <c r="E2514" s="201">
        <v>45689</v>
      </c>
      <c r="F2514" s="200" t="s">
        <v>296</v>
      </c>
      <c r="G2514" s="200" t="s">
        <v>328</v>
      </c>
      <c r="H2514" s="200" t="s">
        <v>377</v>
      </c>
      <c r="I2514" s="200" t="s">
        <v>685</v>
      </c>
    </row>
    <row r="2515" spans="1:9" ht="15" customHeight="1">
      <c r="A2515" s="199">
        <v>45699</v>
      </c>
      <c r="B2515" s="202" t="s">
        <v>1937</v>
      </c>
      <c r="C2515" s="200" t="s">
        <v>307</v>
      </c>
      <c r="D2515" s="204">
        <v>-6000</v>
      </c>
      <c r="E2515" s="201">
        <v>45689</v>
      </c>
      <c r="F2515" s="200" t="s">
        <v>296</v>
      </c>
      <c r="G2515" s="200" t="s">
        <v>328</v>
      </c>
      <c r="H2515" s="200" t="s">
        <v>268</v>
      </c>
      <c r="I2515" s="200" t="s">
        <v>685</v>
      </c>
    </row>
    <row r="2516" spans="1:9" ht="15" customHeight="1">
      <c r="A2516" s="199">
        <v>45699</v>
      </c>
      <c r="B2516" s="202" t="s">
        <v>2243</v>
      </c>
      <c r="C2516" s="200" t="s">
        <v>307</v>
      </c>
      <c r="D2516" s="204">
        <v>-40000</v>
      </c>
      <c r="E2516" s="201">
        <v>45689</v>
      </c>
      <c r="F2516" s="200" t="s">
        <v>296</v>
      </c>
      <c r="G2516" s="200" t="s">
        <v>328</v>
      </c>
      <c r="H2516" s="200" t="s">
        <v>377</v>
      </c>
      <c r="I2516" s="200" t="s">
        <v>685</v>
      </c>
    </row>
    <row r="2517" spans="1:9" ht="15" customHeight="1">
      <c r="A2517" s="199">
        <v>45699</v>
      </c>
      <c r="B2517" s="202" t="s">
        <v>2244</v>
      </c>
      <c r="C2517" s="200" t="s">
        <v>307</v>
      </c>
      <c r="D2517" s="204">
        <v>-4000</v>
      </c>
      <c r="E2517" s="201">
        <v>45689</v>
      </c>
      <c r="F2517" s="200" t="s">
        <v>296</v>
      </c>
      <c r="G2517" s="200" t="s">
        <v>328</v>
      </c>
      <c r="H2517" s="200" t="s">
        <v>377</v>
      </c>
      <c r="I2517" s="200" t="s">
        <v>685</v>
      </c>
    </row>
    <row r="2518" spans="1:9" ht="15" customHeight="1">
      <c r="A2518" s="199">
        <v>45699</v>
      </c>
      <c r="B2518" s="202" t="s">
        <v>2245</v>
      </c>
      <c r="C2518" s="200" t="s">
        <v>307</v>
      </c>
      <c r="D2518" s="204">
        <v>-80000</v>
      </c>
      <c r="E2518" s="201">
        <v>45689</v>
      </c>
      <c r="F2518" s="200" t="s">
        <v>296</v>
      </c>
      <c r="G2518" s="200" t="s">
        <v>328</v>
      </c>
      <c r="H2518" s="200" t="s">
        <v>377</v>
      </c>
      <c r="I2518" s="200" t="s">
        <v>685</v>
      </c>
    </row>
    <row r="2519" spans="1:9" ht="15" customHeight="1">
      <c r="A2519" s="199">
        <v>45700</v>
      </c>
      <c r="B2519" s="202" t="s">
        <v>2246</v>
      </c>
      <c r="C2519" s="200" t="s">
        <v>307</v>
      </c>
      <c r="D2519" s="204">
        <v>-30400</v>
      </c>
      <c r="E2519" s="201">
        <v>45689</v>
      </c>
      <c r="F2519" s="200" t="s">
        <v>296</v>
      </c>
      <c r="G2519" s="200" t="s">
        <v>984</v>
      </c>
      <c r="H2519" s="200" t="s">
        <v>350</v>
      </c>
      <c r="I2519" s="200" t="s">
        <v>685</v>
      </c>
    </row>
    <row r="2520" spans="1:9" ht="15" customHeight="1">
      <c r="A2520" s="199">
        <v>45700</v>
      </c>
      <c r="B2520" s="202" t="s">
        <v>2247</v>
      </c>
      <c r="C2520" s="200" t="s">
        <v>307</v>
      </c>
      <c r="D2520" s="204">
        <v>-13200</v>
      </c>
      <c r="E2520" s="201">
        <v>45689</v>
      </c>
      <c r="F2520" s="200" t="s">
        <v>296</v>
      </c>
      <c r="G2520" s="200" t="s">
        <v>328</v>
      </c>
      <c r="H2520" s="200" t="s">
        <v>350</v>
      </c>
      <c r="I2520" s="200" t="s">
        <v>685</v>
      </c>
    </row>
    <row r="2521" spans="1:9" ht="15" customHeight="1">
      <c r="A2521" s="199">
        <v>45700</v>
      </c>
      <c r="B2521" s="202" t="s">
        <v>436</v>
      </c>
      <c r="C2521" s="200" t="s">
        <v>307</v>
      </c>
      <c r="D2521" s="204">
        <v>-6000</v>
      </c>
      <c r="E2521" s="201">
        <v>45689</v>
      </c>
      <c r="F2521" s="200" t="s">
        <v>296</v>
      </c>
      <c r="G2521" s="200" t="s">
        <v>984</v>
      </c>
      <c r="H2521" s="200" t="s">
        <v>350</v>
      </c>
      <c r="I2521" s="200" t="s">
        <v>685</v>
      </c>
    </row>
    <row r="2522" spans="1:9" ht="15" customHeight="1">
      <c r="A2522" s="199">
        <v>45700</v>
      </c>
      <c r="B2522" s="202" t="s">
        <v>2248</v>
      </c>
      <c r="C2522" s="200" t="s">
        <v>307</v>
      </c>
      <c r="D2522" s="204">
        <v>-24854</v>
      </c>
      <c r="E2522" s="201">
        <v>45689</v>
      </c>
      <c r="F2522" s="200" t="s">
        <v>296</v>
      </c>
      <c r="G2522" s="200" t="s">
        <v>328</v>
      </c>
      <c r="H2522" s="200" t="s">
        <v>377</v>
      </c>
      <c r="I2522" s="200" t="s">
        <v>685</v>
      </c>
    </row>
    <row r="2523" spans="1:9" ht="15" customHeight="1">
      <c r="A2523" s="199">
        <v>45701</v>
      </c>
      <c r="B2523" s="202" t="s">
        <v>2249</v>
      </c>
      <c r="C2523" s="200" t="s">
        <v>307</v>
      </c>
      <c r="D2523" s="204">
        <v>-11100</v>
      </c>
      <c r="E2523" s="201">
        <v>45689</v>
      </c>
      <c r="F2523" s="200" t="s">
        <v>256</v>
      </c>
      <c r="G2523" s="200" t="s">
        <v>256</v>
      </c>
      <c r="H2523" s="200" t="s">
        <v>263</v>
      </c>
      <c r="I2523" s="200" t="s">
        <v>685</v>
      </c>
    </row>
    <row r="2524" spans="1:9" ht="15" customHeight="1">
      <c r="A2524" s="199">
        <v>45701</v>
      </c>
      <c r="B2524" s="202" t="s">
        <v>2250</v>
      </c>
      <c r="C2524" s="200" t="s">
        <v>307</v>
      </c>
      <c r="D2524" s="204">
        <v>-7400</v>
      </c>
      <c r="E2524" s="201">
        <v>45689</v>
      </c>
      <c r="F2524" s="200" t="s">
        <v>256</v>
      </c>
      <c r="G2524" s="200" t="s">
        <v>256</v>
      </c>
      <c r="H2524" s="200" t="s">
        <v>263</v>
      </c>
      <c r="I2524" s="200" t="s">
        <v>685</v>
      </c>
    </row>
    <row r="2525" spans="1:9" ht="15" customHeight="1">
      <c r="A2525" s="199">
        <v>45702</v>
      </c>
      <c r="B2525" s="202" t="s">
        <v>2251</v>
      </c>
      <c r="C2525" s="200" t="s">
        <v>307</v>
      </c>
      <c r="D2525" s="204">
        <v>-11900</v>
      </c>
      <c r="E2525" s="201">
        <v>45689</v>
      </c>
      <c r="F2525" s="200" t="s">
        <v>297</v>
      </c>
      <c r="G2525" s="200" t="s">
        <v>1313</v>
      </c>
      <c r="H2525" s="200" t="s">
        <v>350</v>
      </c>
      <c r="I2525" s="200" t="s">
        <v>685</v>
      </c>
    </row>
    <row r="2526" spans="1:9" ht="15" customHeight="1">
      <c r="A2526" s="199">
        <v>45702</v>
      </c>
      <c r="B2526" s="202" t="s">
        <v>2252</v>
      </c>
      <c r="C2526" s="200" t="s">
        <v>307</v>
      </c>
      <c r="D2526" s="204">
        <v>-12000</v>
      </c>
      <c r="E2526" s="201">
        <v>45689</v>
      </c>
      <c r="F2526" s="200" t="s">
        <v>296</v>
      </c>
      <c r="G2526" s="200" t="s">
        <v>328</v>
      </c>
      <c r="H2526" s="200" t="s">
        <v>377</v>
      </c>
      <c r="I2526" s="200" t="s">
        <v>685</v>
      </c>
    </row>
    <row r="2527" spans="1:9" ht="15" customHeight="1">
      <c r="A2527" s="199">
        <v>45702</v>
      </c>
      <c r="B2527" s="202" t="s">
        <v>2253</v>
      </c>
      <c r="C2527" s="200" t="s">
        <v>307</v>
      </c>
      <c r="D2527" s="204">
        <v>-77000</v>
      </c>
      <c r="E2527" s="201">
        <v>45689</v>
      </c>
      <c r="F2527" s="200" t="s">
        <v>296</v>
      </c>
      <c r="G2527" s="200" t="s">
        <v>390</v>
      </c>
      <c r="H2527" s="200" t="s">
        <v>377</v>
      </c>
      <c r="I2527" s="200" t="s">
        <v>685</v>
      </c>
    </row>
    <row r="2528" spans="1:9" ht="15" customHeight="1">
      <c r="A2528" s="199">
        <v>45702</v>
      </c>
      <c r="B2528" s="202" t="s">
        <v>2254</v>
      </c>
      <c r="C2528" s="200" t="s">
        <v>307</v>
      </c>
      <c r="D2528" s="204">
        <v>-6000</v>
      </c>
      <c r="E2528" s="201">
        <v>45689</v>
      </c>
      <c r="F2528" s="200" t="s">
        <v>296</v>
      </c>
      <c r="G2528" s="200" t="s">
        <v>390</v>
      </c>
      <c r="H2528" s="200" t="s">
        <v>377</v>
      </c>
      <c r="I2528" s="200" t="s">
        <v>685</v>
      </c>
    </row>
    <row r="2529" spans="1:9" ht="15" customHeight="1">
      <c r="A2529" s="199">
        <v>45702</v>
      </c>
      <c r="B2529" s="202" t="s">
        <v>2255</v>
      </c>
      <c r="C2529" s="200" t="s">
        <v>307</v>
      </c>
      <c r="D2529" s="204">
        <v>-33971</v>
      </c>
      <c r="E2529" s="201">
        <v>45689</v>
      </c>
      <c r="F2529" s="200" t="s">
        <v>296</v>
      </c>
      <c r="G2529" s="200" t="s">
        <v>328</v>
      </c>
      <c r="H2529" s="200" t="s">
        <v>377</v>
      </c>
      <c r="I2529" s="200" t="s">
        <v>685</v>
      </c>
    </row>
    <row r="2530" spans="1:9" ht="15" customHeight="1">
      <c r="A2530" s="199">
        <v>45698</v>
      </c>
      <c r="B2530" s="202" t="s">
        <v>995</v>
      </c>
      <c r="C2530" s="200" t="s">
        <v>307</v>
      </c>
      <c r="D2530" s="204">
        <v>-10000</v>
      </c>
      <c r="E2530" s="201">
        <v>45689</v>
      </c>
      <c r="F2530" s="200" t="s">
        <v>296</v>
      </c>
      <c r="G2530" s="200" t="s">
        <v>337</v>
      </c>
      <c r="H2530" s="200" t="s">
        <v>442</v>
      </c>
      <c r="I2530" s="200" t="s">
        <v>685</v>
      </c>
    </row>
    <row r="2531" spans="1:9" ht="15" customHeight="1">
      <c r="A2531" s="199">
        <v>45698</v>
      </c>
      <c r="B2531" s="202" t="s">
        <v>1023</v>
      </c>
      <c r="C2531" s="200" t="s">
        <v>307</v>
      </c>
      <c r="D2531" s="204">
        <v>-10000</v>
      </c>
      <c r="E2531" s="201">
        <v>45689</v>
      </c>
      <c r="F2531" s="200" t="s">
        <v>296</v>
      </c>
      <c r="G2531" s="200" t="s">
        <v>337</v>
      </c>
      <c r="H2531" s="200" t="s">
        <v>442</v>
      </c>
      <c r="I2531" s="200" t="s">
        <v>685</v>
      </c>
    </row>
    <row r="2532" spans="1:9" ht="15" customHeight="1">
      <c r="A2532" s="199">
        <v>45699</v>
      </c>
      <c r="B2532" s="202" t="s">
        <v>2256</v>
      </c>
      <c r="C2532" s="200" t="s">
        <v>307</v>
      </c>
      <c r="D2532" s="204">
        <v>-30000</v>
      </c>
      <c r="E2532" s="201">
        <v>45689</v>
      </c>
      <c r="F2532" s="200" t="s">
        <v>296</v>
      </c>
      <c r="G2532" s="200" t="s">
        <v>337</v>
      </c>
      <c r="H2532" s="200" t="s">
        <v>442</v>
      </c>
      <c r="I2532" s="200" t="s">
        <v>685</v>
      </c>
    </row>
    <row r="2533" spans="1:9" ht="15" customHeight="1">
      <c r="A2533" s="199">
        <v>45701</v>
      </c>
      <c r="B2533" s="202" t="s">
        <v>2257</v>
      </c>
      <c r="C2533" s="200" t="s">
        <v>307</v>
      </c>
      <c r="D2533" s="204">
        <v>-43199.990000000005</v>
      </c>
      <c r="E2533" s="201">
        <v>45689</v>
      </c>
      <c r="F2533" s="200" t="s">
        <v>296</v>
      </c>
      <c r="G2533" s="200" t="s">
        <v>337</v>
      </c>
      <c r="H2533" s="200" t="s">
        <v>322</v>
      </c>
      <c r="I2533" s="704" t="s">
        <v>685</v>
      </c>
    </row>
    <row r="2534" spans="1:9" ht="15" customHeight="1">
      <c r="A2534" s="199">
        <v>45702</v>
      </c>
      <c r="B2534" s="202" t="s">
        <v>2258</v>
      </c>
      <c r="C2534" s="200" t="s">
        <v>307</v>
      </c>
      <c r="D2534" s="204">
        <v>-50000</v>
      </c>
      <c r="E2534" s="201">
        <v>45689</v>
      </c>
      <c r="F2534" s="200" t="s">
        <v>296</v>
      </c>
      <c r="G2534" s="200" t="s">
        <v>522</v>
      </c>
      <c r="H2534" s="200" t="s">
        <v>442</v>
      </c>
      <c r="I2534" s="200" t="s">
        <v>685</v>
      </c>
    </row>
    <row r="2535" spans="1:9" ht="15" customHeight="1">
      <c r="A2535" s="199">
        <v>45706</v>
      </c>
      <c r="B2535" s="202" t="s">
        <v>1925</v>
      </c>
      <c r="C2535" s="200" t="s">
        <v>307</v>
      </c>
      <c r="D2535" s="204">
        <v>-86000</v>
      </c>
      <c r="E2535" s="201">
        <v>45689</v>
      </c>
      <c r="F2535" s="200" t="s">
        <v>297</v>
      </c>
      <c r="G2535" s="200" t="s">
        <v>1313</v>
      </c>
      <c r="H2535" s="200" t="s">
        <v>268</v>
      </c>
      <c r="I2535" s="673"/>
    </row>
    <row r="2536" spans="1:9" ht="15" customHeight="1">
      <c r="A2536" s="199">
        <v>45706</v>
      </c>
      <c r="B2536" s="202" t="s">
        <v>1925</v>
      </c>
      <c r="C2536" s="200" t="s">
        <v>307</v>
      </c>
      <c r="D2536" s="204">
        <v>-35000</v>
      </c>
      <c r="E2536" s="201">
        <v>45689</v>
      </c>
      <c r="F2536" s="200" t="s">
        <v>296</v>
      </c>
      <c r="G2536" s="200" t="s">
        <v>390</v>
      </c>
      <c r="H2536" s="200" t="s">
        <v>268</v>
      </c>
    </row>
    <row r="2537" spans="1:9" ht="15" customHeight="1">
      <c r="A2537" s="199">
        <v>45706</v>
      </c>
      <c r="B2537" s="202" t="s">
        <v>1925</v>
      </c>
      <c r="C2537" s="200" t="s">
        <v>307</v>
      </c>
      <c r="D2537" s="204">
        <v>-54000</v>
      </c>
      <c r="E2537" s="201">
        <v>45689</v>
      </c>
      <c r="F2537" s="200" t="s">
        <v>256</v>
      </c>
      <c r="G2537" s="200" t="s">
        <v>256</v>
      </c>
      <c r="H2537" s="200" t="s">
        <v>268</v>
      </c>
      <c r="I2537" s="704"/>
    </row>
    <row r="2538" spans="1:9" ht="15" customHeight="1">
      <c r="A2538" s="199">
        <v>45706</v>
      </c>
      <c r="B2538" s="202" t="s">
        <v>1925</v>
      </c>
      <c r="C2538" s="200" t="s">
        <v>307</v>
      </c>
      <c r="D2538" s="204">
        <v>-29000</v>
      </c>
      <c r="E2538" s="201">
        <v>45689</v>
      </c>
      <c r="F2538" s="200" t="s">
        <v>296</v>
      </c>
      <c r="G2538" s="200" t="s">
        <v>522</v>
      </c>
      <c r="H2538" s="200" t="s">
        <v>326</v>
      </c>
    </row>
    <row r="2539" spans="1:9" ht="15" customHeight="1">
      <c r="A2539" s="199">
        <v>45706</v>
      </c>
      <c r="B2539" s="202" t="s">
        <v>1925</v>
      </c>
      <c r="C2539" s="200" t="s">
        <v>307</v>
      </c>
      <c r="D2539" s="204">
        <v>-30000</v>
      </c>
      <c r="E2539" s="201">
        <v>45689</v>
      </c>
      <c r="F2539" s="655" t="s">
        <v>395</v>
      </c>
      <c r="G2539" s="531" t="s">
        <v>395</v>
      </c>
      <c r="H2539" s="200" t="s">
        <v>268</v>
      </c>
      <c r="I2539" s="673"/>
    </row>
    <row r="2540" spans="1:9" ht="15" customHeight="1">
      <c r="A2540" s="199">
        <v>45706</v>
      </c>
      <c r="B2540" s="202" t="s">
        <v>1925</v>
      </c>
      <c r="C2540" s="200" t="s">
        <v>307</v>
      </c>
      <c r="D2540" s="204">
        <v>-60000</v>
      </c>
      <c r="E2540" s="201">
        <v>45689</v>
      </c>
      <c r="F2540" s="200" t="s">
        <v>296</v>
      </c>
      <c r="G2540" s="200" t="s">
        <v>328</v>
      </c>
      <c r="H2540" s="200" t="s">
        <v>268</v>
      </c>
    </row>
    <row r="2541" spans="1:9" ht="15" customHeight="1">
      <c r="A2541" s="199">
        <v>45706</v>
      </c>
      <c r="B2541" s="202" t="s">
        <v>1925</v>
      </c>
      <c r="C2541" s="200" t="s">
        <v>307</v>
      </c>
      <c r="D2541" s="204">
        <v>-321000</v>
      </c>
      <c r="E2541" s="201">
        <v>45689</v>
      </c>
      <c r="F2541" s="200" t="s">
        <v>296</v>
      </c>
      <c r="G2541" s="200" t="s">
        <v>411</v>
      </c>
      <c r="H2541" s="200" t="s">
        <v>268</v>
      </c>
    </row>
    <row r="2542" spans="1:9" ht="15" customHeight="1">
      <c r="A2542" s="199">
        <v>45706</v>
      </c>
      <c r="B2542" s="202" t="s">
        <v>1925</v>
      </c>
      <c r="C2542" s="200" t="s">
        <v>307</v>
      </c>
      <c r="D2542" s="204">
        <v>-362656</v>
      </c>
      <c r="E2542" s="201">
        <v>45689</v>
      </c>
      <c r="F2542" s="200" t="s">
        <v>296</v>
      </c>
      <c r="G2542" s="200" t="s">
        <v>337</v>
      </c>
      <c r="H2542" s="200" t="s">
        <v>326</v>
      </c>
    </row>
    <row r="2543" spans="1:9" ht="15" customHeight="1">
      <c r="A2543" s="199">
        <v>45706</v>
      </c>
      <c r="B2543" s="202" t="s">
        <v>1925</v>
      </c>
      <c r="C2543" s="200" t="s">
        <v>307</v>
      </c>
      <c r="D2543" s="204">
        <v>-89000</v>
      </c>
      <c r="E2543" s="201">
        <v>45689</v>
      </c>
      <c r="F2543" s="200" t="s">
        <v>296</v>
      </c>
      <c r="G2543" s="200" t="s">
        <v>984</v>
      </c>
      <c r="H2543" s="200" t="s">
        <v>268</v>
      </c>
    </row>
    <row r="2544" spans="1:9" ht="15" customHeight="1">
      <c r="A2544" s="199">
        <v>45706</v>
      </c>
      <c r="B2544" s="202" t="s">
        <v>1925</v>
      </c>
      <c r="C2544" s="200" t="s">
        <v>372</v>
      </c>
      <c r="D2544" s="204">
        <v>-10840</v>
      </c>
      <c r="E2544" s="201">
        <v>45689</v>
      </c>
      <c r="F2544" s="200" t="s">
        <v>296</v>
      </c>
      <c r="G2544" s="200" t="s">
        <v>337</v>
      </c>
      <c r="H2544" s="200" t="s">
        <v>326</v>
      </c>
    </row>
    <row r="2545" spans="1:9" ht="15" customHeight="1">
      <c r="A2545" s="199">
        <v>45706</v>
      </c>
      <c r="B2545" s="202" t="s">
        <v>1925</v>
      </c>
      <c r="C2545" s="200" t="s">
        <v>372</v>
      </c>
      <c r="D2545" s="204">
        <v>-6504</v>
      </c>
      <c r="E2545" s="201">
        <v>45689</v>
      </c>
      <c r="F2545" s="200" t="s">
        <v>296</v>
      </c>
      <c r="G2545" s="200" t="s">
        <v>337</v>
      </c>
      <c r="H2545" s="200" t="s">
        <v>326</v>
      </c>
    </row>
    <row r="2546" spans="1:9" ht="15" customHeight="1">
      <c r="A2546" s="199">
        <v>45335</v>
      </c>
      <c r="B2546" s="202" t="s">
        <v>2259</v>
      </c>
      <c r="C2546" s="200" t="s">
        <v>307</v>
      </c>
      <c r="D2546" s="204">
        <v>-51000</v>
      </c>
      <c r="E2546" s="201">
        <v>45689</v>
      </c>
      <c r="F2546" s="200" t="s">
        <v>296</v>
      </c>
      <c r="G2546" s="200" t="s">
        <v>411</v>
      </c>
      <c r="H2546" s="200" t="s">
        <v>268</v>
      </c>
      <c r="I2546" s="200" t="s">
        <v>1899</v>
      </c>
    </row>
    <row r="2547" spans="1:9" ht="15" customHeight="1">
      <c r="A2547" s="199">
        <v>45335</v>
      </c>
      <c r="B2547" s="202" t="s">
        <v>2260</v>
      </c>
      <c r="C2547" s="200" t="s">
        <v>307</v>
      </c>
      <c r="D2547" s="204">
        <v>-7000</v>
      </c>
      <c r="E2547" s="201">
        <v>45689</v>
      </c>
      <c r="F2547" s="200" t="s">
        <v>297</v>
      </c>
      <c r="G2547" s="200" t="s">
        <v>1578</v>
      </c>
      <c r="H2547" s="200" t="s">
        <v>268</v>
      </c>
      <c r="I2547" s="200" t="s">
        <v>1899</v>
      </c>
    </row>
    <row r="2548" spans="1:9" ht="15" customHeight="1">
      <c r="A2548" s="199">
        <v>45335</v>
      </c>
      <c r="B2548" s="202" t="s">
        <v>2261</v>
      </c>
      <c r="C2548" s="200" t="s">
        <v>307</v>
      </c>
      <c r="D2548" s="204">
        <v>-6300</v>
      </c>
      <c r="E2548" s="201">
        <v>45689</v>
      </c>
      <c r="F2548" s="200" t="s">
        <v>296</v>
      </c>
      <c r="G2548" s="200" t="s">
        <v>411</v>
      </c>
      <c r="H2548" s="200" t="s">
        <v>268</v>
      </c>
      <c r="I2548" s="200" t="s">
        <v>1899</v>
      </c>
    </row>
    <row r="2549" spans="1:9" ht="15" customHeight="1">
      <c r="A2549" s="199">
        <v>45335</v>
      </c>
      <c r="B2549" s="202" t="s">
        <v>2262</v>
      </c>
      <c r="C2549" s="200" t="s">
        <v>307</v>
      </c>
      <c r="D2549" s="204">
        <v>-83700</v>
      </c>
      <c r="E2549" s="201">
        <v>45689</v>
      </c>
      <c r="F2549" s="200" t="s">
        <v>296</v>
      </c>
      <c r="G2549" s="200" t="s">
        <v>411</v>
      </c>
      <c r="H2549" s="200" t="s">
        <v>342</v>
      </c>
      <c r="I2549" s="200" t="s">
        <v>1899</v>
      </c>
    </row>
    <row r="2550" spans="1:9" ht="15" customHeight="1">
      <c r="A2550" s="199">
        <v>45335</v>
      </c>
      <c r="B2550" s="202" t="s">
        <v>2263</v>
      </c>
      <c r="C2550" s="200" t="s">
        <v>307</v>
      </c>
      <c r="D2550" s="204">
        <v>-6500</v>
      </c>
      <c r="E2550" s="201">
        <v>45689</v>
      </c>
      <c r="F2550" s="200" t="s">
        <v>296</v>
      </c>
      <c r="G2550" s="200" t="s">
        <v>411</v>
      </c>
      <c r="H2550" s="200" t="s">
        <v>268</v>
      </c>
      <c r="I2550" s="200" t="s">
        <v>1899</v>
      </c>
    </row>
    <row r="2551" spans="1:9" ht="15" customHeight="1">
      <c r="A2551" s="199">
        <v>45335</v>
      </c>
      <c r="B2551" s="202" t="s">
        <v>2264</v>
      </c>
      <c r="C2551" s="200" t="s">
        <v>307</v>
      </c>
      <c r="D2551" s="204">
        <v>-7200</v>
      </c>
      <c r="E2551" s="201">
        <v>45689</v>
      </c>
      <c r="F2551" s="200" t="s">
        <v>296</v>
      </c>
      <c r="G2551" s="200" t="s">
        <v>411</v>
      </c>
      <c r="H2551" s="200" t="s">
        <v>268</v>
      </c>
      <c r="I2551" s="200" t="s">
        <v>1899</v>
      </c>
    </row>
    <row r="2552" spans="1:9" ht="15" customHeight="1">
      <c r="A2552" s="199">
        <v>45339</v>
      </c>
      <c r="B2552" s="202" t="s">
        <v>2265</v>
      </c>
      <c r="C2552" s="200" t="s">
        <v>307</v>
      </c>
      <c r="D2552" s="204">
        <v>-34000</v>
      </c>
      <c r="E2552" s="201">
        <v>45689</v>
      </c>
      <c r="F2552" s="200" t="s">
        <v>296</v>
      </c>
      <c r="G2552" s="200" t="s">
        <v>411</v>
      </c>
      <c r="H2552" s="200" t="s">
        <v>268</v>
      </c>
      <c r="I2552" s="200" t="s">
        <v>1899</v>
      </c>
    </row>
    <row r="2553" spans="1:9" ht="15" customHeight="1">
      <c r="A2553" s="199">
        <v>45339</v>
      </c>
      <c r="B2553" s="202" t="s">
        <v>2266</v>
      </c>
      <c r="C2553" s="200" t="s">
        <v>307</v>
      </c>
      <c r="D2553" s="204">
        <v>-31000</v>
      </c>
      <c r="E2553" s="201">
        <v>45689</v>
      </c>
      <c r="F2553" s="200" t="s">
        <v>296</v>
      </c>
      <c r="G2553" s="200" t="s">
        <v>411</v>
      </c>
      <c r="H2553" s="200" t="s">
        <v>342</v>
      </c>
      <c r="I2553" s="200" t="s">
        <v>1899</v>
      </c>
    </row>
    <row r="2554" spans="1:9" ht="15" customHeight="1">
      <c r="A2554" s="199">
        <v>45339</v>
      </c>
      <c r="B2554" s="202" t="s">
        <v>2267</v>
      </c>
      <c r="C2554" s="200" t="s">
        <v>307</v>
      </c>
      <c r="D2554" s="204">
        <v>-7000</v>
      </c>
      <c r="E2554" s="201">
        <v>45689</v>
      </c>
      <c r="F2554" s="200" t="s">
        <v>296</v>
      </c>
      <c r="G2554" s="200" t="s">
        <v>411</v>
      </c>
      <c r="H2554" s="200" t="s">
        <v>268</v>
      </c>
      <c r="I2554" s="200" t="s">
        <v>1899</v>
      </c>
    </row>
    <row r="2555" spans="1:9" ht="15" customHeight="1">
      <c r="A2555" s="199">
        <v>45339</v>
      </c>
      <c r="B2555" s="202" t="s">
        <v>2260</v>
      </c>
      <c r="C2555" s="200" t="s">
        <v>307</v>
      </c>
      <c r="D2555" s="204">
        <v>-6500</v>
      </c>
      <c r="E2555" s="201">
        <v>45689</v>
      </c>
      <c r="F2555" s="200" t="s">
        <v>296</v>
      </c>
      <c r="G2555" s="200" t="s">
        <v>411</v>
      </c>
      <c r="H2555" s="200" t="s">
        <v>268</v>
      </c>
      <c r="I2555" s="200" t="s">
        <v>1899</v>
      </c>
    </row>
    <row r="2556" spans="1:9" ht="15" customHeight="1">
      <c r="A2556" s="199">
        <v>45339</v>
      </c>
      <c r="B2556" s="202" t="s">
        <v>2268</v>
      </c>
      <c r="C2556" s="200" t="s">
        <v>307</v>
      </c>
      <c r="D2556" s="204">
        <v>-20000</v>
      </c>
      <c r="E2556" s="201">
        <v>45689</v>
      </c>
      <c r="F2556" s="200" t="s">
        <v>296</v>
      </c>
      <c r="G2556" s="200" t="s">
        <v>411</v>
      </c>
      <c r="H2556" s="200" t="s">
        <v>346</v>
      </c>
      <c r="I2556" s="200" t="s">
        <v>1899</v>
      </c>
    </row>
    <row r="2557" spans="1:9" ht="15" customHeight="1">
      <c r="A2557" s="199">
        <v>45339</v>
      </c>
      <c r="B2557" s="202" t="s">
        <v>2262</v>
      </c>
      <c r="C2557" s="200" t="s">
        <v>307</v>
      </c>
      <c r="D2557" s="204">
        <v>-36000</v>
      </c>
      <c r="E2557" s="201">
        <v>45689</v>
      </c>
      <c r="F2557" s="200" t="s">
        <v>296</v>
      </c>
      <c r="G2557" s="200" t="s">
        <v>411</v>
      </c>
      <c r="H2557" s="200" t="s">
        <v>268</v>
      </c>
      <c r="I2557" s="200" t="s">
        <v>1899</v>
      </c>
    </row>
    <row r="2558" spans="1:9" ht="15" customHeight="1">
      <c r="A2558" s="199">
        <v>45339</v>
      </c>
      <c r="B2558" s="202" t="s">
        <v>2269</v>
      </c>
      <c r="C2558" s="200" t="s">
        <v>307</v>
      </c>
      <c r="D2558" s="204">
        <v>-6500</v>
      </c>
      <c r="E2558" s="201">
        <v>45689</v>
      </c>
      <c r="F2558" s="200" t="s">
        <v>296</v>
      </c>
      <c r="G2558" s="200" t="s">
        <v>411</v>
      </c>
      <c r="H2558" s="200" t="s">
        <v>268</v>
      </c>
      <c r="I2558" s="200" t="s">
        <v>1899</v>
      </c>
    </row>
    <row r="2559" spans="1:9" ht="15" customHeight="1">
      <c r="A2559" s="199">
        <v>45339</v>
      </c>
      <c r="B2559" s="202" t="s">
        <v>2270</v>
      </c>
      <c r="C2559" s="200" t="s">
        <v>307</v>
      </c>
      <c r="D2559" s="204">
        <v>-17000</v>
      </c>
      <c r="E2559" s="201">
        <v>45689</v>
      </c>
      <c r="F2559" s="200" t="s">
        <v>296</v>
      </c>
      <c r="G2559" s="200" t="s">
        <v>411</v>
      </c>
      <c r="H2559" s="200" t="s">
        <v>268</v>
      </c>
      <c r="I2559" s="200" t="s">
        <v>1899</v>
      </c>
    </row>
    <row r="2560" spans="1:9" ht="15" customHeight="1">
      <c r="A2560" s="199">
        <v>45708</v>
      </c>
      <c r="B2560" s="202" t="s">
        <v>327</v>
      </c>
      <c r="C2560" s="200" t="s">
        <v>307</v>
      </c>
      <c r="D2560" s="204">
        <v>-31000</v>
      </c>
      <c r="E2560" s="201">
        <v>45689</v>
      </c>
      <c r="F2560" s="200" t="s">
        <v>296</v>
      </c>
      <c r="G2560" s="200" t="s">
        <v>984</v>
      </c>
      <c r="H2560" s="200" t="s">
        <v>268</v>
      </c>
    </row>
    <row r="2561" spans="1:9" ht="15" customHeight="1">
      <c r="A2561" s="199">
        <v>45708</v>
      </c>
      <c r="B2561" s="202" t="s">
        <v>327</v>
      </c>
      <c r="C2561" s="200" t="s">
        <v>307</v>
      </c>
      <c r="D2561" s="204">
        <v>-24000</v>
      </c>
      <c r="E2561" s="201">
        <v>45689</v>
      </c>
      <c r="F2561" s="200" t="s">
        <v>296</v>
      </c>
      <c r="G2561" s="200" t="s">
        <v>328</v>
      </c>
      <c r="H2561" s="200" t="s">
        <v>268</v>
      </c>
    </row>
    <row r="2562" spans="1:9" ht="15" customHeight="1">
      <c r="A2562" s="199">
        <v>45708</v>
      </c>
      <c r="B2562" s="202" t="s">
        <v>327</v>
      </c>
      <c r="C2562" s="200" t="s">
        <v>307</v>
      </c>
      <c r="D2562" s="204">
        <v>-63000</v>
      </c>
      <c r="E2562" s="201">
        <v>45689</v>
      </c>
      <c r="F2562" s="200" t="s">
        <v>297</v>
      </c>
      <c r="G2562" s="200" t="s">
        <v>1313</v>
      </c>
      <c r="H2562" s="200" t="s">
        <v>268</v>
      </c>
    </row>
    <row r="2563" spans="1:9" ht="15" customHeight="1">
      <c r="A2563" s="199">
        <v>45708</v>
      </c>
      <c r="B2563" s="202" t="s">
        <v>327</v>
      </c>
      <c r="C2563" s="200" t="s">
        <v>307</v>
      </c>
      <c r="D2563" s="204">
        <v>-64440</v>
      </c>
      <c r="E2563" s="201">
        <v>45689</v>
      </c>
      <c r="F2563" s="200" t="s">
        <v>395</v>
      </c>
      <c r="G2563" s="531" t="s">
        <v>395</v>
      </c>
      <c r="H2563" s="200" t="s">
        <v>268</v>
      </c>
      <c r="I2563" s="673"/>
    </row>
    <row r="2564" spans="1:9" ht="15" customHeight="1">
      <c r="A2564" s="199">
        <v>45708</v>
      </c>
      <c r="B2564" s="202" t="s">
        <v>327</v>
      </c>
      <c r="C2564" s="200" t="s">
        <v>307</v>
      </c>
      <c r="D2564" s="204">
        <v>-28000</v>
      </c>
      <c r="E2564" s="201">
        <v>45689</v>
      </c>
      <c r="F2564" s="200" t="s">
        <v>296</v>
      </c>
      <c r="G2564" s="200" t="s">
        <v>2271</v>
      </c>
      <c r="H2564" s="200" t="s">
        <v>268</v>
      </c>
    </row>
    <row r="2565" spans="1:9" ht="15" customHeight="1">
      <c r="A2565" s="199">
        <v>45708</v>
      </c>
      <c r="B2565" s="202" t="s">
        <v>327</v>
      </c>
      <c r="C2565" s="200" t="s">
        <v>307</v>
      </c>
      <c r="D2565" s="204">
        <v>-42000</v>
      </c>
      <c r="E2565" s="201">
        <v>45689</v>
      </c>
      <c r="F2565" s="200" t="s">
        <v>296</v>
      </c>
      <c r="G2565" s="200" t="s">
        <v>411</v>
      </c>
      <c r="H2565" s="200" t="s">
        <v>268</v>
      </c>
    </row>
    <row r="2566" spans="1:9" ht="15" customHeight="1">
      <c r="A2566" s="199">
        <v>45708</v>
      </c>
      <c r="B2566" s="202" t="s">
        <v>327</v>
      </c>
      <c r="C2566" s="200" t="s">
        <v>307</v>
      </c>
      <c r="D2566" s="204">
        <v>-14000</v>
      </c>
      <c r="E2566" s="201">
        <v>45689</v>
      </c>
      <c r="F2566" s="200" t="s">
        <v>296</v>
      </c>
      <c r="G2566" s="200" t="s">
        <v>337</v>
      </c>
      <c r="H2566" s="200" t="s">
        <v>326</v>
      </c>
    </row>
    <row r="2567" spans="1:9" ht="15" customHeight="1">
      <c r="A2567" s="199">
        <v>45708</v>
      </c>
      <c r="B2567" s="202" t="s">
        <v>327</v>
      </c>
      <c r="C2567" s="200" t="s">
        <v>307</v>
      </c>
      <c r="D2567" s="204">
        <v>-14000</v>
      </c>
      <c r="E2567" s="201">
        <v>45689</v>
      </c>
      <c r="F2567" s="200" t="s">
        <v>256</v>
      </c>
      <c r="G2567" s="200" t="s">
        <v>256</v>
      </c>
      <c r="H2567" s="200" t="s">
        <v>268</v>
      </c>
    </row>
    <row r="2568" spans="1:9" ht="15" customHeight="1">
      <c r="A2568" s="199">
        <v>45708</v>
      </c>
      <c r="B2568" s="202" t="s">
        <v>327</v>
      </c>
      <c r="C2568" s="200" t="s">
        <v>372</v>
      </c>
      <c r="D2568" s="204">
        <v>-2850</v>
      </c>
      <c r="E2568" s="201">
        <v>45689</v>
      </c>
      <c r="F2568" s="200" t="s">
        <v>395</v>
      </c>
      <c r="G2568" s="531" t="s">
        <v>395</v>
      </c>
      <c r="H2568" s="200" t="s">
        <v>268</v>
      </c>
      <c r="I2568" s="673"/>
    </row>
    <row r="2569" spans="1:9" ht="15" customHeight="1">
      <c r="A2569" s="199">
        <v>45708</v>
      </c>
      <c r="B2569" s="202" t="s">
        <v>327</v>
      </c>
      <c r="C2569" s="200" t="s">
        <v>372</v>
      </c>
      <c r="D2569" s="204">
        <v>-1710</v>
      </c>
      <c r="E2569" s="201">
        <v>45689</v>
      </c>
      <c r="F2569" s="200" t="s">
        <v>395</v>
      </c>
      <c r="G2569" s="531" t="s">
        <v>395</v>
      </c>
      <c r="H2569" s="200" t="s">
        <v>268</v>
      </c>
      <c r="I2569" s="673"/>
    </row>
    <row r="2570" spans="1:9" ht="15" customHeight="1">
      <c r="A2570" s="199">
        <v>45705</v>
      </c>
      <c r="B2570" s="202" t="s">
        <v>2272</v>
      </c>
      <c r="C2570" s="200" t="s">
        <v>307</v>
      </c>
      <c r="D2570" s="204">
        <v>-32000</v>
      </c>
      <c r="E2570" s="201">
        <v>45689</v>
      </c>
      <c r="F2570" s="200" t="s">
        <v>297</v>
      </c>
      <c r="G2570" s="200" t="s">
        <v>1578</v>
      </c>
      <c r="H2570" s="200" t="s">
        <v>268</v>
      </c>
      <c r="I2570" s="200" t="s">
        <v>718</v>
      </c>
    </row>
    <row r="2571" spans="1:9" ht="15" customHeight="1">
      <c r="A2571" s="199">
        <v>45705</v>
      </c>
      <c r="B2571" s="202" t="s">
        <v>1705</v>
      </c>
      <c r="C2571" s="200" t="s">
        <v>307</v>
      </c>
      <c r="D2571" s="204">
        <v>-12000</v>
      </c>
      <c r="E2571" s="201">
        <v>45689</v>
      </c>
      <c r="F2571" s="200" t="s">
        <v>296</v>
      </c>
      <c r="G2571" s="200" t="s">
        <v>411</v>
      </c>
      <c r="H2571" s="200" t="s">
        <v>342</v>
      </c>
      <c r="I2571" s="200" t="s">
        <v>718</v>
      </c>
    </row>
    <row r="2572" spans="1:9" ht="15" customHeight="1">
      <c r="A2572" s="199">
        <v>45705</v>
      </c>
      <c r="B2572" s="202" t="s">
        <v>1701</v>
      </c>
      <c r="C2572" s="200" t="s">
        <v>307</v>
      </c>
      <c r="D2572" s="204">
        <v>-15000</v>
      </c>
      <c r="E2572" s="201">
        <v>45689</v>
      </c>
      <c r="F2572" s="200" t="s">
        <v>296</v>
      </c>
      <c r="G2572" s="200" t="s">
        <v>411</v>
      </c>
      <c r="H2572" s="200" t="s">
        <v>342</v>
      </c>
      <c r="I2572" s="200" t="s">
        <v>718</v>
      </c>
    </row>
    <row r="2573" spans="1:9" ht="15" customHeight="1">
      <c r="A2573" s="199">
        <v>45705</v>
      </c>
      <c r="B2573" s="202" t="s">
        <v>2273</v>
      </c>
      <c r="C2573" s="200" t="s">
        <v>307</v>
      </c>
      <c r="D2573" s="204">
        <v>-13000</v>
      </c>
      <c r="E2573" s="201">
        <v>45689</v>
      </c>
      <c r="F2573" s="200" t="s">
        <v>296</v>
      </c>
      <c r="G2573" s="200" t="s">
        <v>411</v>
      </c>
      <c r="H2573" s="200" t="s">
        <v>268</v>
      </c>
      <c r="I2573" s="200" t="s">
        <v>718</v>
      </c>
    </row>
    <row r="2574" spans="1:9" ht="15" customHeight="1">
      <c r="A2574" s="199">
        <v>45705</v>
      </c>
      <c r="B2574" s="202" t="s">
        <v>2274</v>
      </c>
      <c r="C2574" s="200" t="s">
        <v>307</v>
      </c>
      <c r="D2574" s="204">
        <v>-68000</v>
      </c>
      <c r="E2574" s="201">
        <v>45689</v>
      </c>
      <c r="F2574" s="200" t="s">
        <v>296</v>
      </c>
      <c r="G2574" s="200" t="s">
        <v>984</v>
      </c>
      <c r="H2574" s="200" t="s">
        <v>346</v>
      </c>
    </row>
    <row r="2575" spans="1:9" ht="15" customHeight="1">
      <c r="A2575" s="199">
        <v>45695</v>
      </c>
      <c r="B2575" s="202" t="s">
        <v>1743</v>
      </c>
      <c r="C2575" s="200" t="s">
        <v>307</v>
      </c>
      <c r="D2575" s="204">
        <v>-9910</v>
      </c>
      <c r="E2575" s="201">
        <v>45689</v>
      </c>
      <c r="F2575" s="200" t="s">
        <v>256</v>
      </c>
      <c r="G2575" s="200" t="s">
        <v>256</v>
      </c>
      <c r="H2575" s="200" t="s">
        <v>269</v>
      </c>
    </row>
    <row r="2576" spans="1:9" ht="15" customHeight="1">
      <c r="A2576" s="199">
        <v>45699</v>
      </c>
      <c r="B2576" s="202" t="s">
        <v>1745</v>
      </c>
      <c r="C2576" s="200" t="s">
        <v>307</v>
      </c>
      <c r="D2576" s="204">
        <v>-47000</v>
      </c>
      <c r="E2576" s="201">
        <v>45689</v>
      </c>
      <c r="F2576" s="200" t="s">
        <v>256</v>
      </c>
      <c r="G2576" s="200" t="s">
        <v>256</v>
      </c>
      <c r="H2576" s="200" t="s">
        <v>269</v>
      </c>
      <c r="I2576" s="200" t="s">
        <v>209</v>
      </c>
    </row>
    <row r="2577" spans="1:9" ht="15" customHeight="1">
      <c r="A2577" s="199">
        <v>45700</v>
      </c>
      <c r="B2577" s="202" t="s">
        <v>1745</v>
      </c>
      <c r="C2577" s="200" t="s">
        <v>307</v>
      </c>
      <c r="D2577" s="204">
        <v>-18000</v>
      </c>
      <c r="E2577" s="201">
        <v>45689</v>
      </c>
      <c r="F2577" s="200" t="s">
        <v>256</v>
      </c>
      <c r="G2577" s="200" t="s">
        <v>256</v>
      </c>
      <c r="H2577" s="200" t="s">
        <v>269</v>
      </c>
      <c r="I2577" s="200" t="s">
        <v>209</v>
      </c>
    </row>
    <row r="2578" spans="1:9" ht="15" customHeight="1">
      <c r="A2578" s="199">
        <v>45700</v>
      </c>
      <c r="B2578" s="202" t="s">
        <v>1743</v>
      </c>
      <c r="C2578" s="200" t="s">
        <v>307</v>
      </c>
      <c r="D2578" s="204">
        <v>-24000</v>
      </c>
      <c r="E2578" s="201">
        <v>45689</v>
      </c>
      <c r="F2578" s="200" t="s">
        <v>256</v>
      </c>
      <c r="G2578" s="200" t="s">
        <v>256</v>
      </c>
      <c r="H2578" s="200" t="s">
        <v>269</v>
      </c>
      <c r="I2578" s="200" t="s">
        <v>209</v>
      </c>
    </row>
    <row r="2579" spans="1:9" ht="15" customHeight="1">
      <c r="A2579" s="199">
        <v>45701</v>
      </c>
      <c r="B2579" s="202" t="s">
        <v>1743</v>
      </c>
      <c r="C2579" s="200" t="s">
        <v>307</v>
      </c>
      <c r="D2579" s="204">
        <v>-56800</v>
      </c>
      <c r="E2579" s="201">
        <v>45689</v>
      </c>
      <c r="F2579" s="200" t="s">
        <v>256</v>
      </c>
      <c r="G2579" s="200" t="s">
        <v>256</v>
      </c>
      <c r="H2579" s="200" t="s">
        <v>269</v>
      </c>
      <c r="I2579" s="200" t="s">
        <v>209</v>
      </c>
    </row>
    <row r="2580" spans="1:9" ht="15" customHeight="1">
      <c r="A2580" s="199">
        <v>45703</v>
      </c>
      <c r="B2580" s="202" t="s">
        <v>2275</v>
      </c>
      <c r="C2580" s="200" t="s">
        <v>307</v>
      </c>
      <c r="D2580" s="204">
        <v>-18000</v>
      </c>
      <c r="E2580" s="201">
        <v>45689</v>
      </c>
      <c r="F2580" s="200" t="s">
        <v>256</v>
      </c>
      <c r="G2580" s="200" t="s">
        <v>256</v>
      </c>
      <c r="H2580" s="200" t="s">
        <v>269</v>
      </c>
      <c r="I2580" s="200" t="s">
        <v>2276</v>
      </c>
    </row>
    <row r="2581" spans="1:9" ht="15" customHeight="1">
      <c r="A2581" s="199">
        <v>45702</v>
      </c>
      <c r="B2581" s="202" t="s">
        <v>2275</v>
      </c>
      <c r="C2581" s="200" t="s">
        <v>307</v>
      </c>
      <c r="D2581" s="204">
        <v>-21300</v>
      </c>
      <c r="E2581" s="201">
        <v>45689</v>
      </c>
      <c r="F2581" s="200" t="s">
        <v>256</v>
      </c>
      <c r="G2581" s="200" t="s">
        <v>256</v>
      </c>
      <c r="H2581" s="200" t="s">
        <v>269</v>
      </c>
      <c r="I2581" s="200" t="s">
        <v>2276</v>
      </c>
    </row>
    <row r="2582" spans="1:9" ht="15" customHeight="1">
      <c r="A2582" s="199">
        <v>45701</v>
      </c>
      <c r="B2582" s="202" t="s">
        <v>2275</v>
      </c>
      <c r="C2582" s="200" t="s">
        <v>307</v>
      </c>
      <c r="D2582" s="204">
        <v>-19500</v>
      </c>
      <c r="E2582" s="201">
        <v>45689</v>
      </c>
      <c r="F2582" s="200" t="s">
        <v>256</v>
      </c>
      <c r="G2582" s="200" t="s">
        <v>256</v>
      </c>
      <c r="H2582" s="200" t="s">
        <v>269</v>
      </c>
      <c r="I2582" s="200" t="s">
        <v>2276</v>
      </c>
    </row>
    <row r="2583" spans="1:9" ht="15" customHeight="1">
      <c r="A2583" s="199">
        <v>45703</v>
      </c>
      <c r="B2583" s="202" t="s">
        <v>2275</v>
      </c>
      <c r="C2583" s="200" t="s">
        <v>307</v>
      </c>
      <c r="D2583" s="204">
        <v>-25000</v>
      </c>
      <c r="E2583" s="201">
        <v>45689</v>
      </c>
      <c r="F2583" s="200" t="s">
        <v>256</v>
      </c>
      <c r="G2583" s="200" t="s">
        <v>256</v>
      </c>
      <c r="H2583" s="200" t="s">
        <v>269</v>
      </c>
      <c r="I2583" s="200" t="s">
        <v>2276</v>
      </c>
    </row>
    <row r="2584" spans="1:9" ht="15" customHeight="1">
      <c r="A2584" s="199">
        <v>45699</v>
      </c>
      <c r="B2584" s="202" t="s">
        <v>2275</v>
      </c>
      <c r="C2584" s="200" t="s">
        <v>307</v>
      </c>
      <c r="D2584" s="204">
        <v>-27000</v>
      </c>
      <c r="E2584" s="201">
        <v>45689</v>
      </c>
      <c r="F2584" s="200" t="s">
        <v>256</v>
      </c>
      <c r="G2584" s="200" t="s">
        <v>256</v>
      </c>
      <c r="H2584" s="200" t="s">
        <v>269</v>
      </c>
      <c r="I2584" s="200" t="s">
        <v>2276</v>
      </c>
    </row>
    <row r="2585" spans="1:9" ht="15" customHeight="1">
      <c r="A2585" s="199">
        <v>45703</v>
      </c>
      <c r="B2585" s="202" t="s">
        <v>2275</v>
      </c>
      <c r="C2585" s="200" t="s">
        <v>307</v>
      </c>
      <c r="D2585" s="204">
        <v>-18200</v>
      </c>
      <c r="E2585" s="201">
        <v>45689</v>
      </c>
      <c r="F2585" s="200" t="s">
        <v>256</v>
      </c>
      <c r="G2585" s="200" t="s">
        <v>256</v>
      </c>
      <c r="H2585" s="200" t="s">
        <v>269</v>
      </c>
      <c r="I2585" s="200" t="s">
        <v>2276</v>
      </c>
    </row>
    <row r="2586" spans="1:9" ht="15" customHeight="1">
      <c r="A2586" s="199">
        <v>45704</v>
      </c>
      <c r="B2586" s="202" t="s">
        <v>2275</v>
      </c>
      <c r="C2586" s="200" t="s">
        <v>307</v>
      </c>
      <c r="D2586" s="204">
        <v>-32000</v>
      </c>
      <c r="E2586" s="201">
        <v>45689</v>
      </c>
      <c r="F2586" s="200" t="s">
        <v>256</v>
      </c>
      <c r="G2586" s="200" t="s">
        <v>256</v>
      </c>
      <c r="H2586" s="200" t="s">
        <v>269</v>
      </c>
      <c r="I2586" s="200" t="s">
        <v>2276</v>
      </c>
    </row>
    <row r="2587" spans="1:9" ht="15" customHeight="1">
      <c r="A2587" s="199">
        <v>45704</v>
      </c>
      <c r="B2587" s="202" t="s">
        <v>2277</v>
      </c>
      <c r="C2587" s="200" t="s">
        <v>307</v>
      </c>
      <c r="D2587" s="204">
        <v>-10100</v>
      </c>
      <c r="E2587" s="201">
        <v>45689</v>
      </c>
      <c r="F2587" s="200" t="s">
        <v>256</v>
      </c>
      <c r="G2587" s="200" t="s">
        <v>256</v>
      </c>
      <c r="H2587" s="200" t="s">
        <v>269</v>
      </c>
      <c r="I2587" s="200" t="s">
        <v>2276</v>
      </c>
    </row>
    <row r="2588" spans="1:9" ht="15" customHeight="1">
      <c r="A2588" s="199">
        <v>45704</v>
      </c>
      <c r="B2588" s="202" t="s">
        <v>2275</v>
      </c>
      <c r="C2588" s="200" t="s">
        <v>307</v>
      </c>
      <c r="D2588" s="204">
        <v>-22000</v>
      </c>
      <c r="E2588" s="201">
        <v>45689</v>
      </c>
      <c r="F2588" s="200" t="s">
        <v>256</v>
      </c>
      <c r="G2588" s="200" t="s">
        <v>256</v>
      </c>
      <c r="H2588" s="200" t="s">
        <v>269</v>
      </c>
      <c r="I2588" s="200" t="s">
        <v>2276</v>
      </c>
    </row>
    <row r="2589" spans="1:9" ht="15" customHeight="1">
      <c r="A2589" s="199">
        <v>45704</v>
      </c>
      <c r="B2589" s="202" t="s">
        <v>2275</v>
      </c>
      <c r="C2589" s="200" t="s">
        <v>307</v>
      </c>
      <c r="D2589" s="204">
        <v>-20000</v>
      </c>
      <c r="E2589" s="201">
        <v>45689</v>
      </c>
      <c r="F2589" s="200" t="s">
        <v>256</v>
      </c>
      <c r="G2589" s="200" t="s">
        <v>256</v>
      </c>
      <c r="H2589" s="200" t="s">
        <v>269</v>
      </c>
      <c r="I2589" s="200" t="s">
        <v>2276</v>
      </c>
    </row>
    <row r="2590" spans="1:9" ht="15" customHeight="1">
      <c r="A2590" s="199">
        <v>45705</v>
      </c>
      <c r="B2590" s="202" t="s">
        <v>2275</v>
      </c>
      <c r="C2590" s="200" t="s">
        <v>307</v>
      </c>
      <c r="D2590" s="204">
        <v>-20000</v>
      </c>
      <c r="E2590" s="201">
        <v>45689</v>
      </c>
      <c r="F2590" s="200" t="s">
        <v>256</v>
      </c>
      <c r="G2590" s="200" t="s">
        <v>256</v>
      </c>
      <c r="H2590" s="200" t="s">
        <v>269</v>
      </c>
      <c r="I2590" s="200" t="s">
        <v>2276</v>
      </c>
    </row>
    <row r="2591" spans="1:9" ht="15" customHeight="1">
      <c r="A2591" s="199">
        <v>45702</v>
      </c>
      <c r="B2591" s="202" t="s">
        <v>2275</v>
      </c>
      <c r="C2591" s="200" t="s">
        <v>307</v>
      </c>
      <c r="D2591" s="204">
        <v>-20000</v>
      </c>
      <c r="E2591" s="201">
        <v>45689</v>
      </c>
      <c r="F2591" s="200" t="s">
        <v>256</v>
      </c>
      <c r="G2591" s="200" t="s">
        <v>256</v>
      </c>
      <c r="H2591" s="200" t="s">
        <v>269</v>
      </c>
      <c r="I2591" s="200" t="s">
        <v>2276</v>
      </c>
    </row>
    <row r="2592" spans="1:9" ht="15" customHeight="1">
      <c r="A2592" s="199">
        <v>45701</v>
      </c>
      <c r="B2592" s="202" t="s">
        <v>2275</v>
      </c>
      <c r="C2592" s="200" t="s">
        <v>307</v>
      </c>
      <c r="D2592" s="204">
        <v>-20000</v>
      </c>
      <c r="E2592" s="201">
        <v>45689</v>
      </c>
      <c r="F2592" s="200" t="s">
        <v>256</v>
      </c>
      <c r="G2592" s="200" t="s">
        <v>256</v>
      </c>
      <c r="H2592" s="200" t="s">
        <v>269</v>
      </c>
      <c r="I2592" s="200" t="s">
        <v>2276</v>
      </c>
    </row>
    <row r="2593" spans="1:9" ht="15" customHeight="1">
      <c r="A2593" s="199">
        <v>45700</v>
      </c>
      <c r="B2593" s="202" t="s">
        <v>2275</v>
      </c>
      <c r="C2593" s="200" t="s">
        <v>307</v>
      </c>
      <c r="D2593" s="204">
        <v>-20000</v>
      </c>
      <c r="E2593" s="201">
        <v>45689</v>
      </c>
      <c r="F2593" s="200" t="s">
        <v>256</v>
      </c>
      <c r="G2593" s="200" t="s">
        <v>256</v>
      </c>
      <c r="H2593" s="200" t="s">
        <v>269</v>
      </c>
      <c r="I2593" s="200" t="s">
        <v>2276</v>
      </c>
    </row>
    <row r="2594" spans="1:9" ht="15" customHeight="1">
      <c r="A2594" s="199">
        <v>45705</v>
      </c>
      <c r="B2594" s="202" t="s">
        <v>2275</v>
      </c>
      <c r="C2594" s="200" t="s">
        <v>307</v>
      </c>
      <c r="D2594" s="204">
        <v>-25000</v>
      </c>
      <c r="E2594" s="201">
        <v>45689</v>
      </c>
      <c r="F2594" s="200" t="s">
        <v>256</v>
      </c>
      <c r="G2594" s="200" t="s">
        <v>256</v>
      </c>
      <c r="H2594" s="200" t="s">
        <v>269</v>
      </c>
      <c r="I2594" s="200" t="s">
        <v>2276</v>
      </c>
    </row>
    <row r="2595" spans="1:9" ht="15" customHeight="1">
      <c r="A2595" s="199">
        <v>45706</v>
      </c>
      <c r="B2595" s="202" t="s">
        <v>2275</v>
      </c>
      <c r="C2595" s="200" t="s">
        <v>307</v>
      </c>
      <c r="D2595" s="204">
        <v>-30000</v>
      </c>
      <c r="E2595" s="201">
        <v>45689</v>
      </c>
      <c r="F2595" s="200" t="s">
        <v>256</v>
      </c>
      <c r="G2595" s="200" t="s">
        <v>256</v>
      </c>
      <c r="H2595" s="200" t="s">
        <v>269</v>
      </c>
      <c r="I2595" s="200" t="s">
        <v>2276</v>
      </c>
    </row>
    <row r="2596" spans="1:9" ht="15" customHeight="1">
      <c r="A2596" s="199">
        <v>45700</v>
      </c>
      <c r="B2596" s="202" t="s">
        <v>2275</v>
      </c>
      <c r="C2596" s="200" t="s">
        <v>307</v>
      </c>
      <c r="D2596" s="204">
        <v>-32500</v>
      </c>
      <c r="E2596" s="201">
        <v>45689</v>
      </c>
      <c r="F2596" s="200" t="s">
        <v>256</v>
      </c>
      <c r="G2596" s="200" t="s">
        <v>256</v>
      </c>
      <c r="H2596" s="200" t="s">
        <v>269</v>
      </c>
      <c r="I2596" s="200" t="s">
        <v>2276</v>
      </c>
    </row>
    <row r="2597" spans="1:9" ht="15" customHeight="1">
      <c r="A2597" s="199">
        <v>45698</v>
      </c>
      <c r="B2597" s="202" t="s">
        <v>2275</v>
      </c>
      <c r="C2597" s="200" t="s">
        <v>307</v>
      </c>
      <c r="D2597" s="204">
        <v>-18000</v>
      </c>
      <c r="E2597" s="201">
        <v>45689</v>
      </c>
      <c r="F2597" s="200" t="s">
        <v>256</v>
      </c>
      <c r="G2597" s="200" t="s">
        <v>256</v>
      </c>
      <c r="H2597" s="200" t="s">
        <v>269</v>
      </c>
      <c r="I2597" s="200" t="s">
        <v>2276</v>
      </c>
    </row>
    <row r="2598" spans="1:9" ht="15" customHeight="1">
      <c r="A2598" s="199">
        <v>45699</v>
      </c>
      <c r="B2598" s="202" t="s">
        <v>2275</v>
      </c>
      <c r="C2598" s="200" t="s">
        <v>307</v>
      </c>
      <c r="D2598" s="204">
        <v>-14500</v>
      </c>
      <c r="E2598" s="201">
        <v>45689</v>
      </c>
      <c r="F2598" s="200" t="s">
        <v>256</v>
      </c>
      <c r="G2598" s="200" t="s">
        <v>256</v>
      </c>
      <c r="H2598" s="200" t="s">
        <v>269</v>
      </c>
      <c r="I2598" s="200" t="s">
        <v>2276</v>
      </c>
    </row>
    <row r="2599" spans="1:9" ht="15" customHeight="1">
      <c r="A2599" s="199">
        <v>45701</v>
      </c>
      <c r="B2599" s="202" t="s">
        <v>2275</v>
      </c>
      <c r="C2599" s="200" t="s">
        <v>307</v>
      </c>
      <c r="D2599" s="204">
        <v>-14500</v>
      </c>
      <c r="E2599" s="201">
        <v>45689</v>
      </c>
      <c r="F2599" s="200" t="s">
        <v>256</v>
      </c>
      <c r="G2599" s="200" t="s">
        <v>256</v>
      </c>
      <c r="H2599" s="200" t="s">
        <v>269</v>
      </c>
      <c r="I2599" s="200" t="s">
        <v>2276</v>
      </c>
    </row>
    <row r="2600" spans="1:9" ht="15" customHeight="1">
      <c r="A2600" s="199">
        <v>45705</v>
      </c>
      <c r="B2600" s="202" t="s">
        <v>2275</v>
      </c>
      <c r="C2600" s="200" t="s">
        <v>307</v>
      </c>
      <c r="D2600" s="204">
        <v>-14500</v>
      </c>
      <c r="E2600" s="201">
        <v>45689</v>
      </c>
      <c r="F2600" s="200" t="s">
        <v>256</v>
      </c>
      <c r="G2600" s="200" t="s">
        <v>256</v>
      </c>
      <c r="H2600" s="200" t="s">
        <v>269</v>
      </c>
      <c r="I2600" s="200" t="s">
        <v>2276</v>
      </c>
    </row>
    <row r="2601" spans="1:9" ht="15" customHeight="1">
      <c r="A2601" s="199">
        <v>45706</v>
      </c>
      <c r="B2601" s="202" t="s">
        <v>2275</v>
      </c>
      <c r="C2601" s="200" t="s">
        <v>307</v>
      </c>
      <c r="D2601" s="204">
        <v>-4500</v>
      </c>
      <c r="E2601" s="201">
        <v>45689</v>
      </c>
      <c r="F2601" s="200" t="s">
        <v>256</v>
      </c>
      <c r="G2601" s="200" t="s">
        <v>256</v>
      </c>
      <c r="H2601" s="200" t="s">
        <v>269</v>
      </c>
      <c r="I2601" s="200" t="s">
        <v>2276</v>
      </c>
    </row>
    <row r="2602" spans="1:9" ht="15" customHeight="1">
      <c r="A2602" s="199">
        <v>45706</v>
      </c>
      <c r="B2602" s="202" t="s">
        <v>2275</v>
      </c>
      <c r="C2602" s="200" t="s">
        <v>307</v>
      </c>
      <c r="D2602" s="204">
        <v>-4500</v>
      </c>
      <c r="E2602" s="201">
        <v>45689</v>
      </c>
      <c r="F2602" s="200" t="s">
        <v>256</v>
      </c>
      <c r="G2602" s="200" t="s">
        <v>256</v>
      </c>
      <c r="H2602" s="200" t="s">
        <v>269</v>
      </c>
      <c r="I2602" s="200" t="s">
        <v>2276</v>
      </c>
    </row>
    <row r="2603" spans="1:9" ht="15" customHeight="1">
      <c r="A2603" s="199">
        <v>45706</v>
      </c>
      <c r="B2603" s="202" t="s">
        <v>2275</v>
      </c>
      <c r="C2603" s="200" t="s">
        <v>307</v>
      </c>
      <c r="D2603" s="204">
        <v>-4000</v>
      </c>
      <c r="E2603" s="201">
        <v>45689</v>
      </c>
      <c r="F2603" s="200" t="s">
        <v>256</v>
      </c>
      <c r="G2603" s="200" t="s">
        <v>256</v>
      </c>
      <c r="H2603" s="200" t="s">
        <v>269</v>
      </c>
      <c r="I2603" s="200" t="s">
        <v>2276</v>
      </c>
    </row>
    <row r="2604" spans="1:9" ht="15" customHeight="1">
      <c r="A2604" s="199">
        <v>45706</v>
      </c>
      <c r="B2604" s="202" t="s">
        <v>2275</v>
      </c>
      <c r="C2604" s="200" t="s">
        <v>307</v>
      </c>
      <c r="D2604" s="204">
        <v>-3500</v>
      </c>
      <c r="E2604" s="201">
        <v>45689</v>
      </c>
      <c r="F2604" s="200" t="s">
        <v>256</v>
      </c>
      <c r="G2604" s="200" t="s">
        <v>256</v>
      </c>
      <c r="H2604" s="200" t="s">
        <v>269</v>
      </c>
      <c r="I2604" s="200" t="s">
        <v>2276</v>
      </c>
    </row>
    <row r="2605" spans="1:9" ht="15" customHeight="1">
      <c r="A2605" s="199">
        <v>45707</v>
      </c>
      <c r="B2605" s="202" t="s">
        <v>2278</v>
      </c>
      <c r="C2605" s="200" t="s">
        <v>307</v>
      </c>
      <c r="D2605" s="204">
        <v>-129263</v>
      </c>
      <c r="E2605" s="201">
        <v>45689</v>
      </c>
      <c r="F2605" s="200" t="s">
        <v>256</v>
      </c>
      <c r="G2605" s="200" t="s">
        <v>256</v>
      </c>
      <c r="H2605" s="200" t="s">
        <v>269</v>
      </c>
      <c r="I2605" s="200" t="s">
        <v>2276</v>
      </c>
    </row>
    <row r="2606" spans="1:9" ht="15" customHeight="1">
      <c r="A2606" s="199">
        <v>45707</v>
      </c>
      <c r="B2606" s="202" t="s">
        <v>2275</v>
      </c>
      <c r="C2606" s="200" t="s">
        <v>307</v>
      </c>
      <c r="D2606" s="204">
        <v>-20000</v>
      </c>
      <c r="E2606" s="201">
        <v>45689</v>
      </c>
      <c r="F2606" s="200" t="s">
        <v>256</v>
      </c>
      <c r="G2606" s="200" t="s">
        <v>256</v>
      </c>
      <c r="H2606" s="200" t="s">
        <v>269</v>
      </c>
      <c r="I2606" s="200" t="s">
        <v>2276</v>
      </c>
    </row>
    <row r="2607" spans="1:9" ht="15" customHeight="1">
      <c r="A2607" s="199">
        <v>45707</v>
      </c>
      <c r="B2607" s="202" t="s">
        <v>2275</v>
      </c>
      <c r="C2607" s="200" t="s">
        <v>307</v>
      </c>
      <c r="D2607" s="204">
        <v>-19500</v>
      </c>
      <c r="E2607" s="201">
        <v>45689</v>
      </c>
      <c r="F2607" s="200" t="s">
        <v>256</v>
      </c>
      <c r="G2607" s="200" t="s">
        <v>256</v>
      </c>
      <c r="H2607" s="200" t="s">
        <v>269</v>
      </c>
      <c r="I2607" s="200" t="s">
        <v>2276</v>
      </c>
    </row>
    <row r="2608" spans="1:9" ht="15" customHeight="1">
      <c r="A2608" s="199">
        <v>45708</v>
      </c>
      <c r="B2608" s="202" t="s">
        <v>2275</v>
      </c>
      <c r="C2608" s="200" t="s">
        <v>307</v>
      </c>
      <c r="D2608" s="204">
        <v>-2600</v>
      </c>
      <c r="E2608" s="201">
        <v>45689</v>
      </c>
      <c r="F2608" s="200" t="s">
        <v>256</v>
      </c>
      <c r="G2608" s="200" t="s">
        <v>256</v>
      </c>
      <c r="H2608" s="200" t="s">
        <v>269</v>
      </c>
      <c r="I2608" s="200" t="s">
        <v>2276</v>
      </c>
    </row>
    <row r="2609" spans="1:9" ht="15" customHeight="1">
      <c r="A2609" s="199">
        <v>45708</v>
      </c>
      <c r="B2609" s="202" t="s">
        <v>2275</v>
      </c>
      <c r="C2609" s="200" t="s">
        <v>307</v>
      </c>
      <c r="D2609" s="204">
        <v>-4500</v>
      </c>
      <c r="E2609" s="201">
        <v>45689</v>
      </c>
      <c r="F2609" s="200" t="s">
        <v>256</v>
      </c>
      <c r="G2609" s="200" t="s">
        <v>256</v>
      </c>
      <c r="H2609" s="200" t="s">
        <v>269</v>
      </c>
      <c r="I2609" s="200" t="s">
        <v>2276</v>
      </c>
    </row>
    <row r="2610" spans="1:9" ht="15" customHeight="1">
      <c r="A2610" s="199">
        <v>45708</v>
      </c>
      <c r="B2610" s="202" t="s">
        <v>2275</v>
      </c>
      <c r="C2610" s="200" t="s">
        <v>307</v>
      </c>
      <c r="D2610" s="204">
        <v>-20000</v>
      </c>
      <c r="E2610" s="201">
        <v>45689</v>
      </c>
      <c r="F2610" s="200" t="s">
        <v>256</v>
      </c>
      <c r="G2610" s="200" t="s">
        <v>256</v>
      </c>
      <c r="H2610" s="200" t="s">
        <v>269</v>
      </c>
      <c r="I2610" s="200" t="s">
        <v>2276</v>
      </c>
    </row>
    <row r="2611" spans="1:9" ht="15" customHeight="1">
      <c r="A2611" s="199">
        <v>45709</v>
      </c>
      <c r="B2611" s="202" t="s">
        <v>2275</v>
      </c>
      <c r="C2611" s="200" t="s">
        <v>307</v>
      </c>
      <c r="D2611" s="204">
        <v>-14500</v>
      </c>
      <c r="E2611" s="201">
        <v>45689</v>
      </c>
      <c r="F2611" s="200" t="s">
        <v>256</v>
      </c>
      <c r="G2611" s="200" t="s">
        <v>256</v>
      </c>
      <c r="H2611" s="200" t="s">
        <v>269</v>
      </c>
      <c r="I2611" s="200" t="s">
        <v>2276</v>
      </c>
    </row>
    <row r="2612" spans="1:9" ht="15" customHeight="1">
      <c r="A2612" s="199">
        <v>45709</v>
      </c>
      <c r="B2612" s="202" t="s">
        <v>2275</v>
      </c>
      <c r="C2612" s="200" t="s">
        <v>307</v>
      </c>
      <c r="D2612" s="204">
        <v>-23000</v>
      </c>
      <c r="E2612" s="201">
        <v>45689</v>
      </c>
      <c r="F2612" s="200" t="s">
        <v>256</v>
      </c>
      <c r="G2612" s="200" t="s">
        <v>256</v>
      </c>
      <c r="H2612" s="200" t="s">
        <v>269</v>
      </c>
      <c r="I2612" s="704" t="s">
        <v>2276</v>
      </c>
    </row>
    <row r="2613" spans="1:9" ht="15" customHeight="1">
      <c r="A2613" s="199">
        <v>45709</v>
      </c>
      <c r="B2613" s="202" t="s">
        <v>2279</v>
      </c>
      <c r="C2613" s="200" t="s">
        <v>204</v>
      </c>
      <c r="D2613" s="649">
        <v>-1424391</v>
      </c>
      <c r="E2613" s="201">
        <v>45689</v>
      </c>
      <c r="F2613" s="200" t="s">
        <v>296</v>
      </c>
      <c r="G2613" s="200" t="s">
        <v>522</v>
      </c>
      <c r="H2613" s="200" t="s">
        <v>370</v>
      </c>
    </row>
    <row r="2614" spans="1:9" ht="15" customHeight="1">
      <c r="A2614" s="199">
        <v>45709</v>
      </c>
      <c r="B2614" s="202" t="s">
        <v>2280</v>
      </c>
      <c r="C2614" s="200" t="s">
        <v>204</v>
      </c>
      <c r="D2614" s="649">
        <v>-25895848</v>
      </c>
      <c r="E2614" s="201">
        <v>45689</v>
      </c>
      <c r="F2614" s="200" t="s">
        <v>256</v>
      </c>
      <c r="G2614" s="200" t="s">
        <v>256</v>
      </c>
      <c r="H2614" s="200" t="s">
        <v>260</v>
      </c>
      <c r="I2614" s="673"/>
    </row>
    <row r="2615" spans="1:9" ht="15" customHeight="1">
      <c r="A2615" s="199">
        <v>45708</v>
      </c>
      <c r="B2615" s="199" t="s">
        <v>2281</v>
      </c>
      <c r="C2615" s="200" t="s">
        <v>204</v>
      </c>
      <c r="D2615" s="649">
        <v>-249900</v>
      </c>
      <c r="E2615" s="201">
        <v>45689</v>
      </c>
      <c r="F2615" s="200" t="s">
        <v>256</v>
      </c>
      <c r="G2615" s="200" t="s">
        <v>107</v>
      </c>
      <c r="H2615" s="200" t="s">
        <v>121</v>
      </c>
    </row>
    <row r="2616" spans="1:9" ht="15" customHeight="1">
      <c r="A2616" s="199">
        <v>45708</v>
      </c>
      <c r="B2616" s="202" t="s">
        <v>2282</v>
      </c>
      <c r="C2616" s="200" t="s">
        <v>204</v>
      </c>
      <c r="D2616" s="649">
        <v>-490500</v>
      </c>
      <c r="E2616" s="201">
        <v>45689</v>
      </c>
      <c r="F2616" s="200" t="s">
        <v>256</v>
      </c>
      <c r="G2616" s="200" t="s">
        <v>107</v>
      </c>
      <c r="H2616" s="200" t="s">
        <v>121</v>
      </c>
    </row>
    <row r="2617" spans="1:9" ht="15" customHeight="1">
      <c r="A2617" s="199">
        <v>45708</v>
      </c>
      <c r="B2617" s="202" t="s">
        <v>2283</v>
      </c>
      <c r="C2617" s="200" t="s">
        <v>204</v>
      </c>
      <c r="D2617" s="649">
        <v>-511500</v>
      </c>
      <c r="E2617" s="201">
        <v>45689</v>
      </c>
      <c r="F2617" s="200" t="s">
        <v>296</v>
      </c>
      <c r="G2617" s="200" t="s">
        <v>341</v>
      </c>
      <c r="H2617" s="200" t="s">
        <v>342</v>
      </c>
    </row>
    <row r="2618" spans="1:9" ht="15" customHeight="1">
      <c r="A2618" s="199">
        <v>45708</v>
      </c>
      <c r="B2618" s="202" t="s">
        <v>2284</v>
      </c>
      <c r="C2618" s="200" t="s">
        <v>204</v>
      </c>
      <c r="D2618" s="649">
        <v>-511500</v>
      </c>
      <c r="E2618" s="201">
        <v>45689</v>
      </c>
      <c r="F2618" s="200" t="s">
        <v>296</v>
      </c>
      <c r="G2618" s="200" t="s">
        <v>341</v>
      </c>
      <c r="H2618" s="200" t="s">
        <v>342</v>
      </c>
    </row>
    <row r="2619" spans="1:9" ht="15" customHeight="1">
      <c r="A2619" s="199">
        <v>45708</v>
      </c>
      <c r="B2619" s="202" t="s">
        <v>2285</v>
      </c>
      <c r="C2619" s="200" t="s">
        <v>204</v>
      </c>
      <c r="D2619" s="649">
        <v>-468300</v>
      </c>
      <c r="E2619" s="201">
        <v>45689</v>
      </c>
      <c r="F2619" s="200" t="s">
        <v>296</v>
      </c>
      <c r="G2619" s="200" t="s">
        <v>341</v>
      </c>
      <c r="H2619" s="200" t="s">
        <v>342</v>
      </c>
    </row>
    <row r="2620" spans="1:9" ht="15" customHeight="1">
      <c r="A2620" s="199">
        <v>45708</v>
      </c>
      <c r="B2620" s="202" t="s">
        <v>2286</v>
      </c>
      <c r="C2620" s="200" t="s">
        <v>204</v>
      </c>
      <c r="D2620" s="649">
        <v>-828100</v>
      </c>
      <c r="E2620" s="201">
        <v>45689</v>
      </c>
      <c r="F2620" s="200" t="s">
        <v>296</v>
      </c>
      <c r="G2620" s="200" t="s">
        <v>341</v>
      </c>
      <c r="H2620" s="200" t="s">
        <v>342</v>
      </c>
    </row>
    <row r="2621" spans="1:9" ht="15" customHeight="1">
      <c r="A2621" s="199">
        <v>45708</v>
      </c>
      <c r="B2621" s="202" t="s">
        <v>2287</v>
      </c>
      <c r="C2621" s="200" t="s">
        <v>204</v>
      </c>
      <c r="D2621" s="649">
        <v>-92900</v>
      </c>
      <c r="E2621" s="201">
        <v>45689</v>
      </c>
      <c r="F2621" s="200" t="s">
        <v>296</v>
      </c>
      <c r="G2621" s="200" t="s">
        <v>1362</v>
      </c>
      <c r="H2621" s="200" t="s">
        <v>567</v>
      </c>
    </row>
    <row r="2622" spans="1:9" ht="15" customHeight="1">
      <c r="A2622" s="199">
        <v>45708</v>
      </c>
      <c r="B2622" s="202" t="s">
        <v>2288</v>
      </c>
      <c r="C2622" s="200" t="s">
        <v>204</v>
      </c>
      <c r="D2622" s="649">
        <v>-1021700</v>
      </c>
      <c r="E2622" s="201">
        <v>45689</v>
      </c>
      <c r="F2622" s="200" t="s">
        <v>296</v>
      </c>
      <c r="G2622" s="200" t="s">
        <v>341</v>
      </c>
      <c r="H2622" s="200" t="s">
        <v>567</v>
      </c>
    </row>
    <row r="2623" spans="1:9" ht="15" customHeight="1">
      <c r="A2623" s="199">
        <v>45708</v>
      </c>
      <c r="B2623" s="202" t="s">
        <v>2289</v>
      </c>
      <c r="C2623" s="200" t="s">
        <v>204</v>
      </c>
      <c r="D2623" s="649">
        <v>-361200</v>
      </c>
      <c r="E2623" s="201">
        <v>45689</v>
      </c>
      <c r="F2623" s="200" t="s">
        <v>296</v>
      </c>
      <c r="G2623" s="200" t="s">
        <v>328</v>
      </c>
      <c r="H2623" s="200" t="s">
        <v>567</v>
      </c>
    </row>
    <row r="2624" spans="1:9" ht="15" customHeight="1">
      <c r="A2624" s="199">
        <v>45708</v>
      </c>
      <c r="B2624" s="202" t="s">
        <v>2289</v>
      </c>
      <c r="C2624" s="200" t="s">
        <v>204</v>
      </c>
      <c r="D2624" s="649">
        <v>-361200</v>
      </c>
      <c r="E2624" s="201">
        <v>45689</v>
      </c>
      <c r="F2624" s="200" t="s">
        <v>296</v>
      </c>
      <c r="G2624" s="200" t="s">
        <v>482</v>
      </c>
      <c r="H2624" s="200" t="s">
        <v>567</v>
      </c>
    </row>
    <row r="2625" spans="1:8" ht="15" customHeight="1">
      <c r="A2625" s="199">
        <v>45708</v>
      </c>
      <c r="B2625" s="202" t="s">
        <v>2289</v>
      </c>
      <c r="C2625" s="200" t="s">
        <v>204</v>
      </c>
      <c r="D2625" s="649">
        <v>-361200</v>
      </c>
      <c r="E2625" s="201">
        <v>45689</v>
      </c>
      <c r="F2625" s="200" t="s">
        <v>296</v>
      </c>
      <c r="G2625" s="200" t="s">
        <v>392</v>
      </c>
      <c r="H2625" s="200" t="s">
        <v>567</v>
      </c>
    </row>
    <row r="2626" spans="1:8" ht="15" customHeight="1">
      <c r="A2626" s="199">
        <v>45708</v>
      </c>
      <c r="B2626" s="202" t="s">
        <v>2290</v>
      </c>
      <c r="C2626" s="200" t="s">
        <v>204</v>
      </c>
      <c r="D2626" s="649">
        <v>-344766.66666666669</v>
      </c>
      <c r="E2626" s="201">
        <v>45689</v>
      </c>
      <c r="F2626" s="200" t="s">
        <v>296</v>
      </c>
      <c r="G2626" s="200" t="s">
        <v>328</v>
      </c>
      <c r="H2626" s="200" t="s">
        <v>567</v>
      </c>
    </row>
    <row r="2627" spans="1:8" ht="15" customHeight="1">
      <c r="A2627" s="199">
        <v>45708</v>
      </c>
      <c r="B2627" s="202" t="s">
        <v>2290</v>
      </c>
      <c r="C2627" s="200" t="s">
        <v>204</v>
      </c>
      <c r="D2627" s="649">
        <v>-344766.66666666669</v>
      </c>
      <c r="E2627" s="201">
        <v>45689</v>
      </c>
      <c r="F2627" s="200" t="s">
        <v>296</v>
      </c>
      <c r="G2627" s="200" t="s">
        <v>482</v>
      </c>
      <c r="H2627" s="200" t="s">
        <v>567</v>
      </c>
    </row>
    <row r="2628" spans="1:8" ht="15" customHeight="1">
      <c r="A2628" s="199">
        <v>45708</v>
      </c>
      <c r="B2628" s="202" t="s">
        <v>2290</v>
      </c>
      <c r="C2628" s="200" t="s">
        <v>204</v>
      </c>
      <c r="D2628" s="649">
        <v>-344766.66666666669</v>
      </c>
      <c r="E2628" s="201">
        <v>45689</v>
      </c>
      <c r="F2628" s="200" t="s">
        <v>296</v>
      </c>
      <c r="G2628" s="200" t="s">
        <v>392</v>
      </c>
      <c r="H2628" s="200" t="s">
        <v>567</v>
      </c>
    </row>
    <row r="2629" spans="1:8" ht="15" customHeight="1">
      <c r="A2629" s="199">
        <v>45708</v>
      </c>
      <c r="B2629" s="202" t="s">
        <v>2291</v>
      </c>
      <c r="C2629" s="200" t="s">
        <v>204</v>
      </c>
      <c r="D2629" s="649">
        <v>-779800</v>
      </c>
      <c r="E2629" s="201">
        <v>45689</v>
      </c>
      <c r="F2629" s="200" t="s">
        <v>296</v>
      </c>
      <c r="G2629" s="200" t="s">
        <v>328</v>
      </c>
      <c r="H2629" s="200" t="s">
        <v>567</v>
      </c>
    </row>
    <row r="2630" spans="1:8" ht="15" customHeight="1">
      <c r="A2630" s="199">
        <v>45708</v>
      </c>
      <c r="B2630" s="202" t="s">
        <v>2291</v>
      </c>
      <c r="C2630" s="200" t="s">
        <v>204</v>
      </c>
      <c r="D2630" s="649">
        <v>-779800</v>
      </c>
      <c r="E2630" s="201">
        <v>45689</v>
      </c>
      <c r="F2630" s="200" t="s">
        <v>296</v>
      </c>
      <c r="G2630" s="200" t="s">
        <v>482</v>
      </c>
      <c r="H2630" s="200" t="s">
        <v>567</v>
      </c>
    </row>
    <row r="2631" spans="1:8" ht="15" customHeight="1">
      <c r="A2631" s="199">
        <v>45708</v>
      </c>
      <c r="B2631" s="202" t="s">
        <v>2291</v>
      </c>
      <c r="C2631" s="200" t="s">
        <v>204</v>
      </c>
      <c r="D2631" s="649">
        <v>-779800</v>
      </c>
      <c r="E2631" s="201">
        <v>45689</v>
      </c>
      <c r="F2631" s="200" t="s">
        <v>296</v>
      </c>
      <c r="G2631" s="200" t="s">
        <v>392</v>
      </c>
      <c r="H2631" s="200" t="s">
        <v>567</v>
      </c>
    </row>
    <row r="2632" spans="1:8" ht="15" customHeight="1">
      <c r="A2632" s="199">
        <v>45708</v>
      </c>
      <c r="B2632" s="202" t="s">
        <v>2292</v>
      </c>
      <c r="C2632" s="200" t="s">
        <v>204</v>
      </c>
      <c r="D2632" s="649">
        <v>-257300</v>
      </c>
      <c r="E2632" s="201">
        <v>45689</v>
      </c>
      <c r="F2632" s="200" t="s">
        <v>296</v>
      </c>
      <c r="G2632" s="200" t="s">
        <v>328</v>
      </c>
      <c r="H2632" s="200" t="s">
        <v>567</v>
      </c>
    </row>
    <row r="2633" spans="1:8" ht="15" customHeight="1">
      <c r="A2633" s="199">
        <v>45708</v>
      </c>
      <c r="B2633" s="202" t="s">
        <v>2292</v>
      </c>
      <c r="C2633" s="200" t="s">
        <v>204</v>
      </c>
      <c r="D2633" s="649">
        <v>-257300</v>
      </c>
      <c r="E2633" s="201">
        <v>45689</v>
      </c>
      <c r="F2633" s="200" t="s">
        <v>296</v>
      </c>
      <c r="G2633" s="200" t="s">
        <v>482</v>
      </c>
      <c r="H2633" s="200" t="s">
        <v>567</v>
      </c>
    </row>
    <row r="2634" spans="1:8" ht="15" customHeight="1">
      <c r="A2634" s="199">
        <v>45708</v>
      </c>
      <c r="B2634" s="202" t="s">
        <v>2292</v>
      </c>
      <c r="C2634" s="200" t="s">
        <v>204</v>
      </c>
      <c r="D2634" s="649">
        <v>-257300</v>
      </c>
      <c r="E2634" s="201">
        <v>45689</v>
      </c>
      <c r="F2634" s="200" t="s">
        <v>296</v>
      </c>
      <c r="G2634" s="200" t="s">
        <v>392</v>
      </c>
      <c r="H2634" s="200" t="s">
        <v>567</v>
      </c>
    </row>
    <row r="2635" spans="1:8" ht="15" customHeight="1">
      <c r="A2635" s="199">
        <v>45708</v>
      </c>
      <c r="B2635" s="202" t="s">
        <v>2293</v>
      </c>
      <c r="C2635" s="200" t="s">
        <v>204</v>
      </c>
      <c r="D2635" s="649">
        <v>-968100</v>
      </c>
      <c r="E2635" s="201">
        <v>45689</v>
      </c>
      <c r="F2635" s="655" t="s">
        <v>296</v>
      </c>
      <c r="G2635" s="655" t="s">
        <v>337</v>
      </c>
      <c r="H2635" s="655" t="s">
        <v>338</v>
      </c>
    </row>
    <row r="2636" spans="1:8" ht="15" customHeight="1">
      <c r="A2636" s="199">
        <v>45708</v>
      </c>
      <c r="B2636" s="202" t="s">
        <v>2294</v>
      </c>
      <c r="C2636" s="200" t="s">
        <v>204</v>
      </c>
      <c r="D2636" s="649">
        <v>-146966.66666666666</v>
      </c>
      <c r="E2636" s="201">
        <v>45689</v>
      </c>
      <c r="F2636" s="200" t="s">
        <v>296</v>
      </c>
      <c r="G2636" s="200" t="s">
        <v>328</v>
      </c>
      <c r="H2636" s="200" t="s">
        <v>567</v>
      </c>
    </row>
    <row r="2637" spans="1:8" ht="15" customHeight="1">
      <c r="A2637" s="199">
        <v>45708</v>
      </c>
      <c r="B2637" s="202" t="s">
        <v>2294</v>
      </c>
      <c r="C2637" s="200" t="s">
        <v>204</v>
      </c>
      <c r="D2637" s="649">
        <v>-146966.66666666666</v>
      </c>
      <c r="E2637" s="201">
        <v>45689</v>
      </c>
      <c r="F2637" s="200" t="s">
        <v>296</v>
      </c>
      <c r="G2637" s="200" t="s">
        <v>482</v>
      </c>
      <c r="H2637" s="200" t="s">
        <v>567</v>
      </c>
    </row>
    <row r="2638" spans="1:8" ht="15" customHeight="1">
      <c r="A2638" s="199">
        <v>45708</v>
      </c>
      <c r="B2638" s="202" t="s">
        <v>2294</v>
      </c>
      <c r="C2638" s="200" t="s">
        <v>204</v>
      </c>
      <c r="D2638" s="649">
        <v>-146966.66666666666</v>
      </c>
      <c r="E2638" s="201">
        <v>45689</v>
      </c>
      <c r="F2638" s="200" t="s">
        <v>296</v>
      </c>
      <c r="G2638" s="200" t="s">
        <v>392</v>
      </c>
      <c r="H2638" s="200" t="s">
        <v>567</v>
      </c>
    </row>
    <row r="2639" spans="1:8" ht="15" customHeight="1">
      <c r="A2639" s="199">
        <v>45708</v>
      </c>
      <c r="B2639" s="202" t="s">
        <v>2295</v>
      </c>
      <c r="C2639" s="200" t="s">
        <v>204</v>
      </c>
      <c r="D2639" s="649">
        <v>-897900</v>
      </c>
      <c r="E2639" s="201">
        <v>45689</v>
      </c>
      <c r="F2639" s="200" t="s">
        <v>256</v>
      </c>
      <c r="G2639" s="200" t="s">
        <v>107</v>
      </c>
      <c r="H2639" s="200" t="s">
        <v>121</v>
      </c>
    </row>
    <row r="2640" spans="1:8" ht="15" customHeight="1">
      <c r="A2640" s="199">
        <v>45708</v>
      </c>
      <c r="B2640" s="202" t="s">
        <v>2296</v>
      </c>
      <c r="C2640" s="200" t="s">
        <v>204</v>
      </c>
      <c r="D2640" s="649">
        <v>-185800</v>
      </c>
      <c r="E2640" s="201">
        <v>45689</v>
      </c>
      <c r="F2640" s="655" t="s">
        <v>296</v>
      </c>
      <c r="G2640" s="200" t="s">
        <v>1362</v>
      </c>
      <c r="H2640" s="200" t="s">
        <v>567</v>
      </c>
    </row>
    <row r="2641" spans="1:9" ht="15" customHeight="1">
      <c r="A2641" s="199">
        <v>45708</v>
      </c>
      <c r="B2641" s="202" t="s">
        <v>2297</v>
      </c>
      <c r="C2641" s="200" t="s">
        <v>204</v>
      </c>
      <c r="D2641" s="649">
        <v>-205866.66666666666</v>
      </c>
      <c r="E2641" s="201">
        <v>45689</v>
      </c>
      <c r="F2641" s="200" t="s">
        <v>296</v>
      </c>
      <c r="G2641" s="200" t="s">
        <v>328</v>
      </c>
      <c r="H2641" s="200" t="s">
        <v>567</v>
      </c>
    </row>
    <row r="2642" spans="1:9" ht="15" customHeight="1">
      <c r="A2642" s="199">
        <v>45708</v>
      </c>
      <c r="B2642" s="202" t="s">
        <v>2297</v>
      </c>
      <c r="C2642" s="200" t="s">
        <v>204</v>
      </c>
      <c r="D2642" s="649">
        <v>-205866.66666666666</v>
      </c>
      <c r="E2642" s="201">
        <v>45689</v>
      </c>
      <c r="F2642" s="200" t="s">
        <v>296</v>
      </c>
      <c r="G2642" s="200" t="s">
        <v>482</v>
      </c>
      <c r="H2642" s="200" t="s">
        <v>567</v>
      </c>
    </row>
    <row r="2643" spans="1:9" ht="15" customHeight="1">
      <c r="A2643" s="199">
        <v>45708</v>
      </c>
      <c r="B2643" s="202" t="s">
        <v>2297</v>
      </c>
      <c r="C2643" s="200" t="s">
        <v>204</v>
      </c>
      <c r="D2643" s="649">
        <v>-205866.66666666666</v>
      </c>
      <c r="E2643" s="201">
        <v>45689</v>
      </c>
      <c r="F2643" s="200" t="s">
        <v>296</v>
      </c>
      <c r="G2643" s="200" t="s">
        <v>392</v>
      </c>
      <c r="H2643" s="200" t="s">
        <v>567</v>
      </c>
    </row>
    <row r="2644" spans="1:9" ht="15" customHeight="1">
      <c r="A2644" s="199">
        <v>45708</v>
      </c>
      <c r="B2644" s="202" t="s">
        <v>2298</v>
      </c>
      <c r="C2644" s="200" t="s">
        <v>204</v>
      </c>
      <c r="D2644" s="649">
        <v>-1021700</v>
      </c>
      <c r="E2644" s="201">
        <v>45689</v>
      </c>
      <c r="F2644" s="655" t="s">
        <v>296</v>
      </c>
      <c r="G2644" s="655" t="s">
        <v>341</v>
      </c>
      <c r="H2644" s="200" t="s">
        <v>567</v>
      </c>
    </row>
    <row r="2645" spans="1:9" ht="15" customHeight="1">
      <c r="A2645" s="199">
        <v>45708</v>
      </c>
      <c r="B2645" s="202" t="s">
        <v>2299</v>
      </c>
      <c r="C2645" s="200" t="s">
        <v>204</v>
      </c>
      <c r="D2645" s="649">
        <v>-102200</v>
      </c>
      <c r="E2645" s="201">
        <v>45689</v>
      </c>
      <c r="F2645" s="200" t="s">
        <v>296</v>
      </c>
      <c r="G2645" s="200" t="s">
        <v>328</v>
      </c>
      <c r="H2645" s="200" t="s">
        <v>567</v>
      </c>
    </row>
    <row r="2646" spans="1:9" ht="15" customHeight="1">
      <c r="A2646" s="199">
        <v>45708</v>
      </c>
      <c r="B2646" s="202" t="s">
        <v>2299</v>
      </c>
      <c r="C2646" s="200" t="s">
        <v>204</v>
      </c>
      <c r="D2646" s="649">
        <v>-102200</v>
      </c>
      <c r="E2646" s="201">
        <v>45689</v>
      </c>
      <c r="F2646" s="200" t="s">
        <v>296</v>
      </c>
      <c r="G2646" s="200" t="s">
        <v>482</v>
      </c>
      <c r="H2646" s="200" t="s">
        <v>567</v>
      </c>
    </row>
    <row r="2647" spans="1:9" ht="15" customHeight="1">
      <c r="A2647" s="199">
        <v>45708</v>
      </c>
      <c r="B2647" s="202" t="s">
        <v>2299</v>
      </c>
      <c r="C2647" s="200" t="s">
        <v>204</v>
      </c>
      <c r="D2647" s="649">
        <v>-102200</v>
      </c>
      <c r="E2647" s="201">
        <v>45689</v>
      </c>
      <c r="F2647" s="200" t="s">
        <v>296</v>
      </c>
      <c r="G2647" s="200" t="s">
        <v>392</v>
      </c>
      <c r="H2647" s="200" t="s">
        <v>567</v>
      </c>
    </row>
    <row r="2648" spans="1:9" ht="15" customHeight="1">
      <c r="A2648" s="199">
        <v>45708</v>
      </c>
      <c r="B2648" s="202" t="s">
        <v>2300</v>
      </c>
      <c r="C2648" s="200" t="s">
        <v>204</v>
      </c>
      <c r="D2648" s="649">
        <v>-234700</v>
      </c>
      <c r="E2648" s="201">
        <v>45689</v>
      </c>
      <c r="F2648" s="200" t="s">
        <v>296</v>
      </c>
      <c r="G2648" s="200" t="s">
        <v>337</v>
      </c>
      <c r="H2648" s="200" t="s">
        <v>338</v>
      </c>
      <c r="I2648" s="704"/>
    </row>
    <row r="2649" spans="1:9" ht="15" customHeight="1">
      <c r="A2649" s="199">
        <v>45708</v>
      </c>
      <c r="B2649" s="202" t="s">
        <v>2300</v>
      </c>
      <c r="C2649" s="200" t="s">
        <v>204</v>
      </c>
      <c r="D2649" s="649">
        <v>-234700</v>
      </c>
      <c r="E2649" s="201">
        <v>45689</v>
      </c>
      <c r="F2649" s="200" t="s">
        <v>296</v>
      </c>
      <c r="G2649" s="200" t="s">
        <v>44</v>
      </c>
      <c r="H2649" s="200" t="s">
        <v>338</v>
      </c>
      <c r="I2649" s="704"/>
    </row>
    <row r="2650" spans="1:9" ht="15" customHeight="1">
      <c r="A2650" s="199">
        <v>45708</v>
      </c>
      <c r="B2650" s="202" t="s">
        <v>2300</v>
      </c>
      <c r="C2650" s="200" t="s">
        <v>204</v>
      </c>
      <c r="D2650" s="649">
        <v>-234700</v>
      </c>
      <c r="E2650" s="201">
        <v>45689</v>
      </c>
      <c r="F2650" s="200" t="s">
        <v>296</v>
      </c>
      <c r="G2650" s="200" t="s">
        <v>522</v>
      </c>
      <c r="H2650" s="200" t="s">
        <v>338</v>
      </c>
    </row>
    <row r="2651" spans="1:9" ht="15" customHeight="1">
      <c r="A2651" s="199">
        <v>45708</v>
      </c>
      <c r="B2651" s="202" t="s">
        <v>2301</v>
      </c>
      <c r="C2651" s="200" t="s">
        <v>204</v>
      </c>
      <c r="D2651" s="649">
        <v>-170266.66666666666</v>
      </c>
      <c r="E2651" s="201">
        <v>45689</v>
      </c>
      <c r="F2651" s="200" t="s">
        <v>296</v>
      </c>
      <c r="G2651" s="200" t="s">
        <v>328</v>
      </c>
      <c r="H2651" s="200" t="s">
        <v>567</v>
      </c>
      <c r="I2651" s="673"/>
    </row>
    <row r="2652" spans="1:9" ht="15" customHeight="1">
      <c r="A2652" s="199">
        <v>45708</v>
      </c>
      <c r="B2652" s="202" t="s">
        <v>2301</v>
      </c>
      <c r="C2652" s="200" t="s">
        <v>204</v>
      </c>
      <c r="D2652" s="649">
        <v>-170266.66666666666</v>
      </c>
      <c r="E2652" s="201">
        <v>45689</v>
      </c>
      <c r="F2652" s="200" t="s">
        <v>296</v>
      </c>
      <c r="G2652" s="200" t="s">
        <v>482</v>
      </c>
      <c r="H2652" s="200" t="s">
        <v>567</v>
      </c>
    </row>
    <row r="2653" spans="1:9" ht="15" customHeight="1">
      <c r="A2653" s="199">
        <v>45708</v>
      </c>
      <c r="B2653" s="202" t="s">
        <v>2301</v>
      </c>
      <c r="C2653" s="200" t="s">
        <v>204</v>
      </c>
      <c r="D2653" s="649">
        <v>-170266.66666666666</v>
      </c>
      <c r="E2653" s="201">
        <v>45689</v>
      </c>
      <c r="F2653" s="200" t="s">
        <v>296</v>
      </c>
      <c r="G2653" s="200" t="s">
        <v>392</v>
      </c>
      <c r="H2653" s="200" t="s">
        <v>567</v>
      </c>
    </row>
    <row r="2654" spans="1:9" ht="15" customHeight="1">
      <c r="A2654" s="199">
        <v>45708</v>
      </c>
      <c r="B2654" s="202" t="s">
        <v>2302</v>
      </c>
      <c r="C2654" s="200" t="s">
        <v>204</v>
      </c>
      <c r="D2654" s="649">
        <v>-338100</v>
      </c>
      <c r="E2654" s="201">
        <v>45689</v>
      </c>
      <c r="F2654" s="655" t="s">
        <v>296</v>
      </c>
      <c r="G2654" s="655" t="s">
        <v>337</v>
      </c>
      <c r="H2654" s="655" t="s">
        <v>429</v>
      </c>
    </row>
    <row r="2655" spans="1:9" ht="15" customHeight="1">
      <c r="A2655" s="199">
        <v>45708</v>
      </c>
      <c r="B2655" s="202" t="s">
        <v>2303</v>
      </c>
      <c r="C2655" s="200" t="s">
        <v>204</v>
      </c>
      <c r="D2655" s="649">
        <v>-990800</v>
      </c>
      <c r="E2655" s="201">
        <v>45689</v>
      </c>
      <c r="F2655" s="655" t="s">
        <v>296</v>
      </c>
      <c r="G2655" s="655" t="s">
        <v>453</v>
      </c>
      <c r="H2655" s="655" t="s">
        <v>923</v>
      </c>
    </row>
    <row r="2656" spans="1:9" ht="15" customHeight="1">
      <c r="A2656" s="199">
        <v>45708</v>
      </c>
      <c r="B2656" s="202" t="s">
        <v>2304</v>
      </c>
      <c r="C2656" s="200" t="s">
        <v>204</v>
      </c>
      <c r="D2656" s="649">
        <v>-1189700</v>
      </c>
      <c r="E2656" s="201">
        <v>45689</v>
      </c>
      <c r="F2656" s="200" t="s">
        <v>296</v>
      </c>
      <c r="G2656" s="655" t="s">
        <v>453</v>
      </c>
      <c r="H2656" s="655" t="s">
        <v>923</v>
      </c>
    </row>
    <row r="2657" spans="1:8" ht="15" customHeight="1">
      <c r="A2657" s="199">
        <v>45708</v>
      </c>
      <c r="B2657" s="202" t="s">
        <v>2305</v>
      </c>
      <c r="C2657" s="200" t="s">
        <v>204</v>
      </c>
      <c r="D2657" s="649">
        <v>-907400</v>
      </c>
      <c r="E2657" s="201">
        <v>45689</v>
      </c>
      <c r="F2657" s="200" t="s">
        <v>296</v>
      </c>
      <c r="G2657" s="655" t="s">
        <v>453</v>
      </c>
      <c r="H2657" s="655" t="s">
        <v>923</v>
      </c>
    </row>
    <row r="2658" spans="1:8" ht="15" customHeight="1">
      <c r="A2658" s="199">
        <v>45708</v>
      </c>
      <c r="B2658" s="202" t="s">
        <v>2306</v>
      </c>
      <c r="C2658" s="200" t="s">
        <v>204</v>
      </c>
      <c r="D2658" s="649">
        <v>-733100</v>
      </c>
      <c r="E2658" s="201">
        <v>45689</v>
      </c>
      <c r="F2658" s="200" t="s">
        <v>296</v>
      </c>
      <c r="G2658" s="655" t="s">
        <v>453</v>
      </c>
      <c r="H2658" s="655" t="s">
        <v>923</v>
      </c>
    </row>
    <row r="2659" spans="1:8" ht="15" customHeight="1">
      <c r="A2659" s="199">
        <v>45708</v>
      </c>
      <c r="B2659" s="202" t="s">
        <v>2307</v>
      </c>
      <c r="C2659" s="200" t="s">
        <v>204</v>
      </c>
      <c r="D2659" s="649">
        <v>-267800</v>
      </c>
      <c r="E2659" s="201">
        <v>45689</v>
      </c>
      <c r="F2659" s="200" t="s">
        <v>256</v>
      </c>
      <c r="G2659" s="200" t="s">
        <v>256</v>
      </c>
      <c r="H2659" s="200" t="s">
        <v>121</v>
      </c>
    </row>
    <row r="2660" spans="1:8" ht="15" customHeight="1">
      <c r="A2660" s="199">
        <v>45708</v>
      </c>
      <c r="B2660" s="202" t="s">
        <v>2308</v>
      </c>
      <c r="C2660" s="200" t="s">
        <v>204</v>
      </c>
      <c r="D2660" s="649">
        <v>-380100</v>
      </c>
      <c r="E2660" s="201">
        <v>45689</v>
      </c>
      <c r="F2660" s="200" t="s">
        <v>256</v>
      </c>
      <c r="G2660" s="200" t="s">
        <v>256</v>
      </c>
      <c r="H2660" s="200" t="s">
        <v>121</v>
      </c>
    </row>
    <row r="2661" spans="1:8" ht="15" customHeight="1">
      <c r="A2661" s="199">
        <v>45708</v>
      </c>
      <c r="B2661" s="202" t="s">
        <v>2309</v>
      </c>
      <c r="C2661" s="200" t="s">
        <v>204</v>
      </c>
      <c r="D2661" s="649">
        <v>-161800</v>
      </c>
      <c r="E2661" s="201">
        <v>45689</v>
      </c>
      <c r="F2661" s="200" t="s">
        <v>256</v>
      </c>
      <c r="G2661" s="200" t="s">
        <v>256</v>
      </c>
      <c r="H2661" s="200" t="s">
        <v>121</v>
      </c>
    </row>
    <row r="2662" spans="1:8" ht="15" customHeight="1">
      <c r="A2662" s="199">
        <v>45708</v>
      </c>
      <c r="B2662" s="202" t="s">
        <v>2310</v>
      </c>
      <c r="C2662" s="200" t="s">
        <v>204</v>
      </c>
      <c r="D2662" s="649">
        <v>-3175600</v>
      </c>
      <c r="E2662" s="201">
        <v>45689</v>
      </c>
      <c r="F2662" s="200" t="s">
        <v>256</v>
      </c>
      <c r="G2662" s="200" t="s">
        <v>256</v>
      </c>
      <c r="H2662" s="200" t="s">
        <v>121</v>
      </c>
    </row>
    <row r="2663" spans="1:8" ht="15" customHeight="1">
      <c r="A2663" s="199">
        <v>45708</v>
      </c>
      <c r="B2663" s="202" t="s">
        <v>2311</v>
      </c>
      <c r="C2663" s="200" t="s">
        <v>204</v>
      </c>
      <c r="D2663" s="649">
        <v>-3175600</v>
      </c>
      <c r="E2663" s="201">
        <v>45689</v>
      </c>
      <c r="F2663" s="200" t="s">
        <v>256</v>
      </c>
      <c r="G2663" s="200" t="s">
        <v>256</v>
      </c>
      <c r="H2663" s="200" t="s">
        <v>121</v>
      </c>
    </row>
    <row r="2664" spans="1:8" ht="15" customHeight="1">
      <c r="A2664" s="199">
        <v>45708</v>
      </c>
      <c r="B2664" s="202" t="s">
        <v>2312</v>
      </c>
      <c r="C2664" s="200" t="s">
        <v>204</v>
      </c>
      <c r="D2664" s="649">
        <v>-1226100</v>
      </c>
      <c r="E2664" s="201">
        <v>45689</v>
      </c>
      <c r="F2664" s="200" t="s">
        <v>256</v>
      </c>
      <c r="G2664" s="200" t="s">
        <v>256</v>
      </c>
      <c r="H2664" s="200" t="s">
        <v>121</v>
      </c>
    </row>
    <row r="2665" spans="1:8" ht="15" customHeight="1">
      <c r="A2665" s="199">
        <v>45708</v>
      </c>
      <c r="B2665" s="202" t="s">
        <v>2313</v>
      </c>
      <c r="C2665" s="200" t="s">
        <v>204</v>
      </c>
      <c r="D2665" s="649">
        <v>-564100</v>
      </c>
      <c r="E2665" s="201">
        <v>45689</v>
      </c>
      <c r="F2665" s="200" t="s">
        <v>256</v>
      </c>
      <c r="G2665" s="200" t="s">
        <v>256</v>
      </c>
      <c r="H2665" s="200" t="s">
        <v>121</v>
      </c>
    </row>
    <row r="2666" spans="1:8" ht="15" customHeight="1">
      <c r="A2666" s="199">
        <v>45708</v>
      </c>
      <c r="B2666" s="202" t="s">
        <v>2314</v>
      </c>
      <c r="C2666" s="200" t="s">
        <v>204</v>
      </c>
      <c r="D2666" s="649">
        <v>-267800</v>
      </c>
      <c r="E2666" s="201">
        <v>45689</v>
      </c>
      <c r="F2666" s="200" t="s">
        <v>256</v>
      </c>
      <c r="G2666" s="200" t="s">
        <v>256</v>
      </c>
      <c r="H2666" s="200" t="s">
        <v>121</v>
      </c>
    </row>
    <row r="2667" spans="1:8" ht="15" customHeight="1">
      <c r="A2667" s="199">
        <v>45708</v>
      </c>
      <c r="B2667" s="202" t="s">
        <v>2315</v>
      </c>
      <c r="C2667" s="200" t="s">
        <v>204</v>
      </c>
      <c r="D2667" s="649">
        <v>-1339000</v>
      </c>
      <c r="E2667" s="201">
        <v>45689</v>
      </c>
      <c r="F2667" s="200" t="s">
        <v>256</v>
      </c>
      <c r="G2667" s="200" t="s">
        <v>256</v>
      </c>
      <c r="H2667" s="200" t="s">
        <v>121</v>
      </c>
    </row>
    <row r="2668" spans="1:8" ht="15" customHeight="1">
      <c r="A2668" s="199">
        <v>45708</v>
      </c>
      <c r="B2668" s="202" t="s">
        <v>2316</v>
      </c>
      <c r="C2668" s="200" t="s">
        <v>204</v>
      </c>
      <c r="D2668" s="649">
        <v>-349300</v>
      </c>
      <c r="E2668" s="201">
        <v>45689</v>
      </c>
      <c r="F2668" s="200" t="s">
        <v>256</v>
      </c>
      <c r="G2668" s="200" t="s">
        <v>256</v>
      </c>
      <c r="H2668" s="200" t="s">
        <v>121</v>
      </c>
    </row>
    <row r="2669" spans="1:8" ht="15" customHeight="1">
      <c r="A2669" s="199">
        <v>45708</v>
      </c>
      <c r="B2669" s="202" t="s">
        <v>2317</v>
      </c>
      <c r="C2669" s="200" t="s">
        <v>204</v>
      </c>
      <c r="D2669" s="649">
        <v>-428700</v>
      </c>
      <c r="E2669" s="201">
        <v>45689</v>
      </c>
      <c r="F2669" s="200" t="s">
        <v>256</v>
      </c>
      <c r="G2669" s="200" t="s">
        <v>256</v>
      </c>
      <c r="H2669" s="200" t="s">
        <v>121</v>
      </c>
    </row>
    <row r="2670" spans="1:8" ht="15" customHeight="1">
      <c r="A2670" s="199">
        <v>45708</v>
      </c>
      <c r="B2670" s="202" t="s">
        <v>2318</v>
      </c>
      <c r="C2670" s="200" t="s">
        <v>204</v>
      </c>
      <c r="D2670" s="649">
        <v>-334300</v>
      </c>
      <c r="E2670" s="201">
        <v>45689</v>
      </c>
      <c r="F2670" s="200" t="s">
        <v>256</v>
      </c>
      <c r="G2670" s="200" t="s">
        <v>256</v>
      </c>
      <c r="H2670" s="200" t="s">
        <v>121</v>
      </c>
    </row>
    <row r="2671" spans="1:8" ht="15" customHeight="1">
      <c r="A2671" s="199">
        <v>45708</v>
      </c>
      <c r="B2671" s="202" t="s">
        <v>2319</v>
      </c>
      <c r="C2671" s="200" t="s">
        <v>204</v>
      </c>
      <c r="D2671" s="649">
        <v>-347600</v>
      </c>
      <c r="E2671" s="201">
        <v>45689</v>
      </c>
      <c r="F2671" s="200" t="s">
        <v>256</v>
      </c>
      <c r="G2671" s="200" t="s">
        <v>256</v>
      </c>
      <c r="H2671" s="200" t="s">
        <v>121</v>
      </c>
    </row>
    <row r="2672" spans="1:8" ht="15" customHeight="1">
      <c r="A2672" s="199">
        <v>45708</v>
      </c>
      <c r="B2672" s="202" t="s">
        <v>2320</v>
      </c>
      <c r="C2672" s="200" t="s">
        <v>204</v>
      </c>
      <c r="D2672" s="649">
        <v>-75400</v>
      </c>
      <c r="E2672" s="201">
        <v>45689</v>
      </c>
      <c r="F2672" s="200" t="s">
        <v>256</v>
      </c>
      <c r="G2672" s="200" t="s">
        <v>256</v>
      </c>
      <c r="H2672" s="200" t="s">
        <v>121</v>
      </c>
    </row>
    <row r="2673" spans="1:8" ht="15" customHeight="1">
      <c r="A2673" s="199">
        <v>45708</v>
      </c>
      <c r="B2673" s="202" t="s">
        <v>2321</v>
      </c>
      <c r="C2673" s="200" t="s">
        <v>204</v>
      </c>
      <c r="D2673" s="649">
        <v>-557300</v>
      </c>
      <c r="E2673" s="201">
        <v>45689</v>
      </c>
      <c r="F2673" s="200" t="s">
        <v>256</v>
      </c>
      <c r="G2673" s="200" t="s">
        <v>256</v>
      </c>
      <c r="H2673" s="200" t="s">
        <v>121</v>
      </c>
    </row>
    <row r="2674" spans="1:8" ht="15" customHeight="1">
      <c r="A2674" s="199">
        <v>45708</v>
      </c>
      <c r="B2674" s="202" t="s">
        <v>2322</v>
      </c>
      <c r="C2674" s="200" t="s">
        <v>204</v>
      </c>
      <c r="D2674" s="649">
        <v>-858300</v>
      </c>
      <c r="E2674" s="201">
        <v>45689</v>
      </c>
      <c r="F2674" s="200" t="s">
        <v>256</v>
      </c>
      <c r="G2674" s="200" t="s">
        <v>256</v>
      </c>
      <c r="H2674" s="200" t="s">
        <v>121</v>
      </c>
    </row>
    <row r="2675" spans="1:8" ht="15" customHeight="1">
      <c r="A2675" s="199">
        <v>45708</v>
      </c>
      <c r="B2675" s="202" t="s">
        <v>2323</v>
      </c>
      <c r="C2675" s="200" t="s">
        <v>204</v>
      </c>
      <c r="D2675" s="649">
        <v>-178000</v>
      </c>
      <c r="E2675" s="201">
        <v>45689</v>
      </c>
      <c r="F2675" s="200" t="s">
        <v>256</v>
      </c>
      <c r="G2675" s="200" t="s">
        <v>256</v>
      </c>
      <c r="H2675" s="200" t="s">
        <v>121</v>
      </c>
    </row>
    <row r="2676" spans="1:8" ht="15" customHeight="1">
      <c r="A2676" s="199">
        <v>45708</v>
      </c>
      <c r="B2676" s="202" t="s">
        <v>2324</v>
      </c>
      <c r="C2676" s="200" t="s">
        <v>204</v>
      </c>
      <c r="D2676" s="649">
        <v>-1894600</v>
      </c>
      <c r="E2676" s="201">
        <v>45689</v>
      </c>
      <c r="F2676" s="200" t="s">
        <v>256</v>
      </c>
      <c r="G2676" s="200" t="s">
        <v>107</v>
      </c>
      <c r="H2676" s="200" t="s">
        <v>121</v>
      </c>
    </row>
    <row r="2677" spans="1:8" ht="15" customHeight="1">
      <c r="A2677" s="199">
        <v>45708</v>
      </c>
      <c r="B2677" s="202" t="s">
        <v>2325</v>
      </c>
      <c r="C2677" s="200" t="s">
        <v>204</v>
      </c>
      <c r="D2677" s="649">
        <v>-564100</v>
      </c>
      <c r="E2677" s="201">
        <v>45689</v>
      </c>
      <c r="F2677" s="200" t="s">
        <v>256</v>
      </c>
      <c r="G2677" s="200" t="s">
        <v>107</v>
      </c>
      <c r="H2677" s="200" t="s">
        <v>121</v>
      </c>
    </row>
    <row r="2678" spans="1:8" ht="15" customHeight="1">
      <c r="A2678" s="199">
        <v>45708</v>
      </c>
      <c r="B2678" s="202" t="s">
        <v>2326</v>
      </c>
      <c r="C2678" s="200" t="s">
        <v>204</v>
      </c>
      <c r="D2678" s="649">
        <v>-1027800</v>
      </c>
      <c r="E2678" s="201">
        <v>45689</v>
      </c>
      <c r="F2678" s="200" t="s">
        <v>256</v>
      </c>
      <c r="G2678" s="200" t="s">
        <v>107</v>
      </c>
      <c r="H2678" s="200" t="s">
        <v>121</v>
      </c>
    </row>
    <row r="2679" spans="1:8" ht="15" customHeight="1">
      <c r="A2679" s="199">
        <v>45708</v>
      </c>
      <c r="B2679" s="202" t="s">
        <v>2327</v>
      </c>
      <c r="C2679" s="200" t="s">
        <v>204</v>
      </c>
      <c r="D2679" s="649">
        <v>-417900</v>
      </c>
      <c r="E2679" s="201">
        <v>45689</v>
      </c>
      <c r="F2679" s="200" t="s">
        <v>296</v>
      </c>
      <c r="G2679" s="200" t="s">
        <v>328</v>
      </c>
      <c r="H2679" s="200" t="s">
        <v>342</v>
      </c>
    </row>
    <row r="2680" spans="1:8" ht="15" customHeight="1">
      <c r="A2680" s="199">
        <v>45708</v>
      </c>
      <c r="B2680" s="202" t="s">
        <v>2328</v>
      </c>
      <c r="C2680" s="200" t="s">
        <v>204</v>
      </c>
      <c r="D2680" s="649">
        <v>-417900</v>
      </c>
      <c r="E2680" s="201">
        <v>45689</v>
      </c>
      <c r="F2680" s="655" t="s">
        <v>296</v>
      </c>
      <c r="G2680" s="655" t="s">
        <v>482</v>
      </c>
      <c r="H2680" s="655" t="s">
        <v>342</v>
      </c>
    </row>
    <row r="2681" spans="1:8" ht="15" customHeight="1">
      <c r="A2681" s="199">
        <v>45708</v>
      </c>
      <c r="B2681" s="202" t="s">
        <v>2329</v>
      </c>
      <c r="C2681" s="200" t="s">
        <v>204</v>
      </c>
      <c r="D2681" s="649">
        <v>-407500</v>
      </c>
      <c r="E2681" s="201">
        <v>45689</v>
      </c>
      <c r="F2681" s="655" t="s">
        <v>296</v>
      </c>
      <c r="G2681" s="655" t="s">
        <v>328</v>
      </c>
      <c r="H2681" s="655" t="s">
        <v>342</v>
      </c>
    </row>
    <row r="2682" spans="1:8" ht="15" customHeight="1">
      <c r="A2682" s="199">
        <v>45708</v>
      </c>
      <c r="B2682" s="202" t="s">
        <v>2330</v>
      </c>
      <c r="C2682" s="200" t="s">
        <v>204</v>
      </c>
      <c r="D2682" s="649">
        <v>-417900</v>
      </c>
      <c r="E2682" s="201">
        <v>45689</v>
      </c>
      <c r="F2682" s="655" t="s">
        <v>296</v>
      </c>
      <c r="G2682" s="655" t="s">
        <v>328</v>
      </c>
      <c r="H2682" s="655" t="s">
        <v>342</v>
      </c>
    </row>
    <row r="2683" spans="1:8" ht="15" customHeight="1">
      <c r="A2683" s="199">
        <v>45708</v>
      </c>
      <c r="B2683" s="202" t="s">
        <v>2331</v>
      </c>
      <c r="C2683" s="200" t="s">
        <v>204</v>
      </c>
      <c r="D2683" s="649">
        <v>-362400</v>
      </c>
      <c r="E2683" s="201">
        <v>45689</v>
      </c>
      <c r="F2683" s="200" t="s">
        <v>256</v>
      </c>
      <c r="G2683" s="200" t="s">
        <v>256</v>
      </c>
      <c r="H2683" s="200" t="s">
        <v>121</v>
      </c>
    </row>
    <row r="2684" spans="1:8" ht="15" customHeight="1">
      <c r="A2684" s="199">
        <v>45708</v>
      </c>
      <c r="B2684" s="202" t="s">
        <v>2332</v>
      </c>
      <c r="C2684" s="200" t="s">
        <v>204</v>
      </c>
      <c r="D2684" s="649">
        <v>-417900</v>
      </c>
      <c r="E2684" s="201">
        <v>45689</v>
      </c>
      <c r="F2684" s="655" t="s">
        <v>296</v>
      </c>
      <c r="G2684" s="655" t="s">
        <v>482</v>
      </c>
      <c r="H2684" s="655" t="s">
        <v>342</v>
      </c>
    </row>
    <row r="2685" spans="1:8" ht="15" customHeight="1">
      <c r="A2685" s="199">
        <v>45708</v>
      </c>
      <c r="B2685" s="202" t="s">
        <v>2333</v>
      </c>
      <c r="C2685" s="200" t="s">
        <v>204</v>
      </c>
      <c r="D2685" s="649">
        <v>-407500</v>
      </c>
      <c r="E2685" s="201">
        <v>45689</v>
      </c>
      <c r="F2685" s="200" t="s">
        <v>296</v>
      </c>
      <c r="G2685" s="200" t="s">
        <v>328</v>
      </c>
      <c r="H2685" s="200" t="s">
        <v>342</v>
      </c>
    </row>
    <row r="2686" spans="1:8" ht="15" customHeight="1">
      <c r="A2686" s="199">
        <v>45708</v>
      </c>
      <c r="B2686" s="202" t="s">
        <v>2334</v>
      </c>
      <c r="C2686" s="200" t="s">
        <v>204</v>
      </c>
      <c r="D2686" s="649">
        <v>-707300</v>
      </c>
      <c r="E2686" s="201">
        <v>45689</v>
      </c>
      <c r="F2686" s="655" t="s">
        <v>296</v>
      </c>
      <c r="G2686" s="531" t="s">
        <v>392</v>
      </c>
      <c r="H2686" s="655" t="s">
        <v>342</v>
      </c>
    </row>
    <row r="2687" spans="1:8" ht="15" customHeight="1">
      <c r="A2687" s="199">
        <v>45708</v>
      </c>
      <c r="B2687" s="202" t="s">
        <v>2335</v>
      </c>
      <c r="C2687" s="200" t="s">
        <v>204</v>
      </c>
      <c r="D2687" s="649">
        <v>-417900</v>
      </c>
      <c r="E2687" s="201">
        <v>45689</v>
      </c>
      <c r="F2687" s="655" t="s">
        <v>296</v>
      </c>
      <c r="G2687" s="655" t="s">
        <v>328</v>
      </c>
      <c r="H2687" s="655" t="s">
        <v>342</v>
      </c>
    </row>
    <row r="2688" spans="1:8" ht="15" customHeight="1">
      <c r="A2688" s="199">
        <v>45708</v>
      </c>
      <c r="B2688" s="202" t="s">
        <v>2336</v>
      </c>
      <c r="C2688" s="200" t="s">
        <v>204</v>
      </c>
      <c r="D2688" s="649">
        <v>-732300</v>
      </c>
      <c r="E2688" s="201">
        <v>45689</v>
      </c>
      <c r="F2688" s="200" t="s">
        <v>296</v>
      </c>
      <c r="G2688" s="200" t="s">
        <v>482</v>
      </c>
      <c r="H2688" s="200" t="s">
        <v>342</v>
      </c>
    </row>
    <row r="2689" spans="1:9" ht="15" customHeight="1">
      <c r="A2689" s="199">
        <v>45708</v>
      </c>
      <c r="B2689" s="202" t="s">
        <v>2337</v>
      </c>
      <c r="C2689" s="200" t="s">
        <v>204</v>
      </c>
      <c r="D2689" s="649">
        <v>-415200</v>
      </c>
      <c r="E2689" s="201">
        <v>45689</v>
      </c>
      <c r="F2689" s="200" t="s">
        <v>256</v>
      </c>
      <c r="G2689" s="200" t="s">
        <v>256</v>
      </c>
      <c r="H2689" s="200" t="s">
        <v>121</v>
      </c>
    </row>
    <row r="2690" spans="1:9" ht="15" customHeight="1">
      <c r="A2690" s="199">
        <v>45708</v>
      </c>
      <c r="B2690" s="202" t="s">
        <v>2338</v>
      </c>
      <c r="C2690" s="200" t="s">
        <v>204</v>
      </c>
      <c r="D2690" s="649">
        <v>-417900</v>
      </c>
      <c r="E2690" s="201">
        <v>45689</v>
      </c>
      <c r="F2690" s="655" t="s">
        <v>296</v>
      </c>
      <c r="G2690" s="655" t="s">
        <v>328</v>
      </c>
      <c r="H2690" s="655" t="s">
        <v>342</v>
      </c>
    </row>
    <row r="2691" spans="1:9" ht="15" customHeight="1">
      <c r="A2691" s="199">
        <v>45708</v>
      </c>
      <c r="B2691" s="202" t="s">
        <v>2339</v>
      </c>
      <c r="C2691" s="200" t="s">
        <v>204</v>
      </c>
      <c r="D2691" s="649">
        <v>-428600</v>
      </c>
      <c r="E2691" s="201">
        <v>45689</v>
      </c>
      <c r="F2691" s="655" t="s">
        <v>296</v>
      </c>
      <c r="G2691" s="655" t="s">
        <v>482</v>
      </c>
      <c r="H2691" s="655" t="s">
        <v>342</v>
      </c>
    </row>
    <row r="2692" spans="1:9" ht="15" customHeight="1">
      <c r="A2692" s="199">
        <v>45708</v>
      </c>
      <c r="B2692" s="202" t="s">
        <v>2340</v>
      </c>
      <c r="C2692" s="200" t="s">
        <v>204</v>
      </c>
      <c r="D2692" s="649">
        <v>-417900</v>
      </c>
      <c r="E2692" s="201">
        <v>45689</v>
      </c>
      <c r="F2692" s="655" t="s">
        <v>296</v>
      </c>
      <c r="G2692" s="655" t="s">
        <v>482</v>
      </c>
      <c r="H2692" s="655" t="s">
        <v>342</v>
      </c>
    </row>
    <row r="2693" spans="1:9" ht="15" customHeight="1">
      <c r="A2693" s="199">
        <v>45708</v>
      </c>
      <c r="B2693" s="202" t="s">
        <v>2341</v>
      </c>
      <c r="C2693" s="200" t="s">
        <v>204</v>
      </c>
      <c r="D2693" s="649">
        <v>-412700</v>
      </c>
      <c r="E2693" s="201">
        <v>45689</v>
      </c>
      <c r="F2693" s="655" t="s">
        <v>296</v>
      </c>
      <c r="G2693" s="531" t="s">
        <v>392</v>
      </c>
      <c r="H2693" s="655" t="s">
        <v>342</v>
      </c>
    </row>
    <row r="2694" spans="1:9" ht="15" customHeight="1">
      <c r="A2694" s="199">
        <v>45708</v>
      </c>
      <c r="B2694" s="202" t="s">
        <v>2342</v>
      </c>
      <c r="C2694" s="200" t="s">
        <v>204</v>
      </c>
      <c r="D2694" s="649">
        <v>-440900</v>
      </c>
      <c r="E2694" s="201">
        <v>45689</v>
      </c>
      <c r="F2694" s="200" t="s">
        <v>296</v>
      </c>
      <c r="G2694" s="200" t="s">
        <v>392</v>
      </c>
      <c r="H2694" s="200" t="s">
        <v>342</v>
      </c>
    </row>
    <row r="2695" spans="1:9" ht="15" customHeight="1">
      <c r="A2695" s="199">
        <v>45708</v>
      </c>
      <c r="B2695" s="202" t="s">
        <v>2343</v>
      </c>
      <c r="C2695" s="200" t="s">
        <v>204</v>
      </c>
      <c r="D2695" s="649">
        <v>-732300</v>
      </c>
      <c r="E2695" s="201">
        <v>45689</v>
      </c>
      <c r="F2695" s="200" t="s">
        <v>296</v>
      </c>
      <c r="G2695" s="200" t="s">
        <v>328</v>
      </c>
      <c r="H2695" s="200" t="s">
        <v>342</v>
      </c>
    </row>
    <row r="2696" spans="1:9" ht="15" customHeight="1">
      <c r="A2696" s="199">
        <v>45708</v>
      </c>
      <c r="B2696" s="202" t="s">
        <v>2344</v>
      </c>
      <c r="C2696" s="200" t="s">
        <v>204</v>
      </c>
      <c r="D2696" s="649">
        <v>-421500</v>
      </c>
      <c r="E2696" s="201">
        <v>45689</v>
      </c>
      <c r="F2696" s="655" t="s">
        <v>296</v>
      </c>
      <c r="G2696" s="531" t="s">
        <v>392</v>
      </c>
      <c r="H2696" s="655" t="s">
        <v>342</v>
      </c>
    </row>
    <row r="2697" spans="1:9" ht="15" customHeight="1">
      <c r="A2697" s="199">
        <v>45708</v>
      </c>
      <c r="B2697" s="202" t="s">
        <v>2345</v>
      </c>
      <c r="C2697" s="200" t="s">
        <v>204</v>
      </c>
      <c r="D2697" s="649">
        <v>-469700</v>
      </c>
      <c r="E2697" s="201">
        <v>45689</v>
      </c>
      <c r="F2697" s="200" t="s">
        <v>296</v>
      </c>
      <c r="G2697" s="200" t="s">
        <v>328</v>
      </c>
      <c r="H2697" s="200" t="s">
        <v>342</v>
      </c>
    </row>
    <row r="2698" spans="1:9" ht="15" customHeight="1">
      <c r="A2698" s="199">
        <v>45708</v>
      </c>
      <c r="B2698" s="202" t="s">
        <v>2346</v>
      </c>
      <c r="C2698" s="200" t="s">
        <v>204</v>
      </c>
      <c r="D2698" s="649">
        <v>-469700</v>
      </c>
      <c r="E2698" s="201">
        <v>45689</v>
      </c>
      <c r="F2698" s="655" t="s">
        <v>296</v>
      </c>
      <c r="G2698" s="655" t="s">
        <v>482</v>
      </c>
      <c r="H2698" s="655" t="s">
        <v>342</v>
      </c>
    </row>
    <row r="2699" spans="1:9" ht="15" customHeight="1">
      <c r="A2699" s="199">
        <v>45708</v>
      </c>
      <c r="B2699" s="202" t="s">
        <v>2347</v>
      </c>
      <c r="C2699" s="200" t="s">
        <v>204</v>
      </c>
      <c r="D2699" s="649">
        <v>-102200</v>
      </c>
      <c r="E2699" s="201">
        <v>45689</v>
      </c>
      <c r="F2699" s="200" t="s">
        <v>296</v>
      </c>
      <c r="G2699" s="200" t="s">
        <v>328</v>
      </c>
      <c r="H2699" s="200" t="s">
        <v>567</v>
      </c>
    </row>
    <row r="2700" spans="1:9" ht="15" customHeight="1">
      <c r="A2700" s="199">
        <v>45708</v>
      </c>
      <c r="B2700" s="202" t="s">
        <v>2347</v>
      </c>
      <c r="C2700" s="200" t="s">
        <v>204</v>
      </c>
      <c r="D2700" s="649">
        <v>-102200</v>
      </c>
      <c r="E2700" s="201">
        <v>45689</v>
      </c>
      <c r="F2700" s="200" t="s">
        <v>296</v>
      </c>
      <c r="G2700" s="200" t="s">
        <v>482</v>
      </c>
      <c r="H2700" s="200" t="s">
        <v>567</v>
      </c>
    </row>
    <row r="2701" spans="1:9" ht="15" customHeight="1">
      <c r="A2701" s="199">
        <v>45708</v>
      </c>
      <c r="B2701" s="202" t="s">
        <v>2347</v>
      </c>
      <c r="C2701" s="200" t="s">
        <v>204</v>
      </c>
      <c r="D2701" s="649">
        <v>-102200</v>
      </c>
      <c r="E2701" s="201">
        <v>45689</v>
      </c>
      <c r="F2701" s="200" t="s">
        <v>296</v>
      </c>
      <c r="G2701" s="200" t="s">
        <v>392</v>
      </c>
      <c r="H2701" s="200" t="s">
        <v>567</v>
      </c>
      <c r="I2701" s="705" t="s">
        <v>329</v>
      </c>
    </row>
    <row r="2702" spans="1:9" ht="15" customHeight="1">
      <c r="A2702" s="199">
        <v>45708</v>
      </c>
      <c r="B2702" s="202" t="s">
        <v>2348</v>
      </c>
      <c r="C2702" s="200" t="s">
        <v>204</v>
      </c>
      <c r="D2702" s="649">
        <v>-205800</v>
      </c>
      <c r="E2702" s="201">
        <v>45689</v>
      </c>
      <c r="F2702" s="655" t="s">
        <v>296</v>
      </c>
      <c r="G2702" s="655" t="s">
        <v>522</v>
      </c>
      <c r="H2702" s="655" t="s">
        <v>1213</v>
      </c>
    </row>
    <row r="2703" spans="1:9" ht="15" customHeight="1">
      <c r="A2703" s="199">
        <v>45708</v>
      </c>
      <c r="B2703" s="202" t="s">
        <v>2349</v>
      </c>
      <c r="C2703" s="200" t="s">
        <v>204</v>
      </c>
      <c r="D2703" s="649">
        <v>-205800</v>
      </c>
      <c r="E2703" s="201">
        <v>45689</v>
      </c>
      <c r="F2703" s="655" t="s">
        <v>296</v>
      </c>
      <c r="G2703" s="655" t="s">
        <v>522</v>
      </c>
      <c r="H2703" s="655" t="s">
        <v>1213</v>
      </c>
    </row>
    <row r="2704" spans="1:9" ht="15" customHeight="1">
      <c r="A2704" s="199">
        <v>45708</v>
      </c>
      <c r="B2704" s="202" t="s">
        <v>2350</v>
      </c>
      <c r="C2704" s="200" t="s">
        <v>204</v>
      </c>
      <c r="D2704" s="649">
        <v>-530000</v>
      </c>
      <c r="E2704" s="201">
        <v>45689</v>
      </c>
      <c r="F2704" s="655" t="s">
        <v>296</v>
      </c>
      <c r="G2704" s="655" t="s">
        <v>337</v>
      </c>
      <c r="H2704" s="655" t="s">
        <v>429</v>
      </c>
      <c r="I2704" s="673"/>
    </row>
    <row r="2705" spans="1:9" ht="15" customHeight="1">
      <c r="A2705" s="199">
        <v>45708</v>
      </c>
      <c r="B2705" s="202" t="s">
        <v>2351</v>
      </c>
      <c r="C2705" s="200" t="s">
        <v>204</v>
      </c>
      <c r="D2705" s="649">
        <v>-448900</v>
      </c>
      <c r="E2705" s="201">
        <v>45689</v>
      </c>
      <c r="F2705" s="655" t="s">
        <v>296</v>
      </c>
      <c r="G2705" s="655" t="s">
        <v>337</v>
      </c>
      <c r="H2705" s="655" t="s">
        <v>429</v>
      </c>
    </row>
    <row r="2706" spans="1:9" ht="15" customHeight="1">
      <c r="A2706" s="199">
        <v>45708</v>
      </c>
      <c r="B2706" s="202" t="s">
        <v>2352</v>
      </c>
      <c r="C2706" s="200" t="s">
        <v>204</v>
      </c>
      <c r="D2706" s="649">
        <v>-191100</v>
      </c>
      <c r="E2706" s="201">
        <v>45689</v>
      </c>
      <c r="F2706" s="655" t="s">
        <v>296</v>
      </c>
      <c r="G2706" s="655" t="s">
        <v>337</v>
      </c>
      <c r="H2706" s="655" t="s">
        <v>429</v>
      </c>
      <c r="I2706" s="184"/>
    </row>
    <row r="2707" spans="1:9" ht="15" customHeight="1">
      <c r="A2707" s="199">
        <v>45708</v>
      </c>
      <c r="B2707" s="202" t="s">
        <v>2353</v>
      </c>
      <c r="C2707" s="200" t="s">
        <v>204</v>
      </c>
      <c r="D2707" s="649">
        <v>-205800</v>
      </c>
      <c r="E2707" s="201">
        <v>45689</v>
      </c>
      <c r="F2707" s="655" t="s">
        <v>296</v>
      </c>
      <c r="G2707" s="655" t="s">
        <v>522</v>
      </c>
      <c r="H2707" s="655" t="s">
        <v>1213</v>
      </c>
    </row>
    <row r="2708" spans="1:9" ht="15" customHeight="1">
      <c r="A2708" s="199">
        <v>45708</v>
      </c>
      <c r="B2708" s="202" t="s">
        <v>2354</v>
      </c>
      <c r="C2708" s="200" t="s">
        <v>204</v>
      </c>
      <c r="D2708" s="649">
        <v>-205800</v>
      </c>
      <c r="E2708" s="201">
        <v>45689</v>
      </c>
      <c r="F2708" s="655" t="s">
        <v>296</v>
      </c>
      <c r="G2708" s="655" t="s">
        <v>44</v>
      </c>
      <c r="H2708" s="655" t="s">
        <v>429</v>
      </c>
      <c r="I2708" s="673"/>
    </row>
    <row r="2709" spans="1:9" ht="15" customHeight="1">
      <c r="A2709" s="199">
        <v>45708</v>
      </c>
      <c r="B2709" s="202" t="s">
        <v>2355</v>
      </c>
      <c r="C2709" s="200" t="s">
        <v>204</v>
      </c>
      <c r="D2709" s="649">
        <v>-417900</v>
      </c>
      <c r="E2709" s="201">
        <v>45689</v>
      </c>
      <c r="F2709" s="655" t="s">
        <v>296</v>
      </c>
      <c r="G2709" s="655" t="s">
        <v>337</v>
      </c>
      <c r="H2709" s="655" t="s">
        <v>429</v>
      </c>
      <c r="I2709" s="184"/>
    </row>
    <row r="2710" spans="1:9" ht="15" customHeight="1">
      <c r="A2710" s="199">
        <v>45708</v>
      </c>
      <c r="B2710" s="202" t="s">
        <v>2356</v>
      </c>
      <c r="C2710" s="200" t="s">
        <v>204</v>
      </c>
      <c r="D2710" s="649">
        <v>-417900</v>
      </c>
      <c r="E2710" s="201">
        <v>45689</v>
      </c>
      <c r="F2710" s="655" t="s">
        <v>296</v>
      </c>
      <c r="G2710" s="655" t="s">
        <v>44</v>
      </c>
      <c r="H2710" s="655" t="s">
        <v>429</v>
      </c>
    </row>
    <row r="2711" spans="1:9" ht="15" customHeight="1">
      <c r="A2711" s="199">
        <v>45708</v>
      </c>
      <c r="B2711" s="202" t="s">
        <v>2357</v>
      </c>
      <c r="C2711" s="200" t="s">
        <v>204</v>
      </c>
      <c r="D2711" s="649">
        <v>-448900</v>
      </c>
      <c r="E2711" s="201">
        <v>45689</v>
      </c>
      <c r="F2711" s="655" t="s">
        <v>296</v>
      </c>
      <c r="G2711" s="655" t="s">
        <v>337</v>
      </c>
      <c r="H2711" s="655" t="s">
        <v>429</v>
      </c>
      <c r="I2711" s="184"/>
    </row>
    <row r="2712" spans="1:9" ht="15" customHeight="1">
      <c r="A2712" s="199">
        <v>45708</v>
      </c>
      <c r="B2712" s="202" t="s">
        <v>2358</v>
      </c>
      <c r="C2712" s="200" t="s">
        <v>204</v>
      </c>
      <c r="D2712" s="649">
        <v>-338100</v>
      </c>
      <c r="E2712" s="201">
        <v>45689</v>
      </c>
      <c r="F2712" s="655" t="s">
        <v>296</v>
      </c>
      <c r="G2712" s="655" t="s">
        <v>44</v>
      </c>
      <c r="H2712" s="655" t="s">
        <v>429</v>
      </c>
      <c r="I2712" s="704"/>
    </row>
    <row r="2713" spans="1:9" ht="15" customHeight="1">
      <c r="A2713" s="199">
        <v>45708</v>
      </c>
      <c r="B2713" s="202" t="s">
        <v>2359</v>
      </c>
      <c r="C2713" s="200" t="s">
        <v>204</v>
      </c>
      <c r="D2713" s="649">
        <v>-323400</v>
      </c>
      <c r="E2713" s="201">
        <v>45689</v>
      </c>
      <c r="F2713" s="655" t="s">
        <v>296</v>
      </c>
      <c r="G2713" s="655" t="s">
        <v>522</v>
      </c>
      <c r="H2713" s="655" t="s">
        <v>1213</v>
      </c>
    </row>
    <row r="2714" spans="1:9" ht="15" customHeight="1">
      <c r="A2714" s="199">
        <v>45708</v>
      </c>
      <c r="B2714" s="202" t="s">
        <v>2360</v>
      </c>
      <c r="C2714" s="200" t="s">
        <v>204</v>
      </c>
      <c r="D2714" s="649">
        <v>-448900</v>
      </c>
      <c r="E2714" s="201">
        <v>45689</v>
      </c>
      <c r="F2714" s="655" t="s">
        <v>296</v>
      </c>
      <c r="G2714" s="655" t="s">
        <v>337</v>
      </c>
      <c r="H2714" s="655" t="s">
        <v>429</v>
      </c>
      <c r="I2714" s="184"/>
    </row>
    <row r="2715" spans="1:9" ht="15" customHeight="1">
      <c r="A2715" s="199">
        <v>45708</v>
      </c>
      <c r="B2715" s="202" t="s">
        <v>2361</v>
      </c>
      <c r="C2715" s="200" t="s">
        <v>204</v>
      </c>
      <c r="D2715" s="649">
        <v>-417900</v>
      </c>
      <c r="E2715" s="201">
        <v>45689</v>
      </c>
      <c r="F2715" s="655" t="s">
        <v>296</v>
      </c>
      <c r="G2715" s="655" t="s">
        <v>44</v>
      </c>
      <c r="H2715" s="655" t="s">
        <v>429</v>
      </c>
      <c r="I2715" s="704"/>
    </row>
    <row r="2716" spans="1:9" ht="15" customHeight="1">
      <c r="A2716" s="199">
        <v>45708</v>
      </c>
      <c r="B2716" s="202" t="s">
        <v>2362</v>
      </c>
      <c r="C2716" s="200" t="s">
        <v>204</v>
      </c>
      <c r="D2716" s="649">
        <v>-338100</v>
      </c>
      <c r="E2716" s="201">
        <v>45689</v>
      </c>
      <c r="F2716" s="655" t="s">
        <v>296</v>
      </c>
      <c r="G2716" s="655" t="s">
        <v>522</v>
      </c>
      <c r="H2716" s="655" t="s">
        <v>1213</v>
      </c>
    </row>
    <row r="2717" spans="1:9" ht="15" customHeight="1">
      <c r="A2717" s="199">
        <v>45708</v>
      </c>
      <c r="B2717" s="202" t="s">
        <v>2363</v>
      </c>
      <c r="C2717" s="200" t="s">
        <v>204</v>
      </c>
      <c r="D2717" s="649">
        <v>-448900</v>
      </c>
      <c r="E2717" s="201">
        <v>45689</v>
      </c>
      <c r="F2717" s="655" t="s">
        <v>296</v>
      </c>
      <c r="G2717" s="655" t="s">
        <v>337</v>
      </c>
      <c r="H2717" s="655" t="s">
        <v>429</v>
      </c>
      <c r="I2717" s="184"/>
    </row>
    <row r="2718" spans="1:9" ht="15" customHeight="1">
      <c r="A2718" s="199">
        <v>45708</v>
      </c>
      <c r="B2718" s="202" t="s">
        <v>2364</v>
      </c>
      <c r="C2718" s="200" t="s">
        <v>204</v>
      </c>
      <c r="D2718" s="649">
        <v>-448900</v>
      </c>
      <c r="E2718" s="201">
        <v>45689</v>
      </c>
      <c r="F2718" s="655" t="s">
        <v>296</v>
      </c>
      <c r="G2718" s="655" t="s">
        <v>522</v>
      </c>
      <c r="H2718" s="655" t="s">
        <v>1213</v>
      </c>
    </row>
    <row r="2719" spans="1:9" ht="15" customHeight="1">
      <c r="A2719" s="199">
        <v>45708</v>
      </c>
      <c r="B2719" s="202" t="s">
        <v>2365</v>
      </c>
      <c r="C2719" s="200" t="s">
        <v>204</v>
      </c>
      <c r="D2719" s="649">
        <v>-610400</v>
      </c>
      <c r="E2719" s="201">
        <v>45689</v>
      </c>
      <c r="F2719" s="655" t="s">
        <v>296</v>
      </c>
      <c r="G2719" s="655" t="s">
        <v>44</v>
      </c>
      <c r="H2719" s="655" t="s">
        <v>429</v>
      </c>
      <c r="I2719" s="673"/>
    </row>
    <row r="2720" spans="1:9" ht="15" customHeight="1">
      <c r="A2720" s="199">
        <v>45708</v>
      </c>
      <c r="B2720" s="202" t="s">
        <v>2366</v>
      </c>
      <c r="C2720" s="200" t="s">
        <v>204</v>
      </c>
      <c r="D2720" s="649">
        <v>-448900</v>
      </c>
      <c r="E2720" s="201">
        <v>45689</v>
      </c>
      <c r="F2720" s="655" t="s">
        <v>296</v>
      </c>
      <c r="G2720" s="655" t="s">
        <v>337</v>
      </c>
      <c r="H2720" s="655" t="s">
        <v>429</v>
      </c>
      <c r="I2720" s="184"/>
    </row>
    <row r="2721" spans="1:9" ht="15" customHeight="1">
      <c r="A2721" s="199">
        <v>45708</v>
      </c>
      <c r="B2721" s="202" t="s">
        <v>2367</v>
      </c>
      <c r="C2721" s="200" t="s">
        <v>204</v>
      </c>
      <c r="D2721" s="649">
        <v>-338100</v>
      </c>
      <c r="E2721" s="201">
        <v>45689</v>
      </c>
      <c r="F2721" s="655" t="s">
        <v>296</v>
      </c>
      <c r="G2721" s="655" t="s">
        <v>522</v>
      </c>
      <c r="H2721" s="655" t="s">
        <v>1213</v>
      </c>
    </row>
    <row r="2722" spans="1:9" ht="15" customHeight="1">
      <c r="A2722" s="199">
        <v>45708</v>
      </c>
      <c r="B2722" s="202" t="s">
        <v>2368</v>
      </c>
      <c r="C2722" s="200" t="s">
        <v>204</v>
      </c>
      <c r="D2722" s="649">
        <v>-410800</v>
      </c>
      <c r="E2722" s="201">
        <v>45689</v>
      </c>
      <c r="F2722" s="655" t="s">
        <v>296</v>
      </c>
      <c r="G2722" s="655" t="s">
        <v>337</v>
      </c>
      <c r="H2722" s="655" t="s">
        <v>429</v>
      </c>
      <c r="I2722" s="184"/>
    </row>
    <row r="2723" spans="1:9" ht="15" customHeight="1">
      <c r="A2723" s="199">
        <v>45708</v>
      </c>
      <c r="B2723" s="202" t="s">
        <v>2369</v>
      </c>
      <c r="C2723" s="200" t="s">
        <v>204</v>
      </c>
      <c r="D2723" s="649">
        <v>-448900</v>
      </c>
      <c r="E2723" s="201">
        <v>45689</v>
      </c>
      <c r="F2723" s="655" t="s">
        <v>296</v>
      </c>
      <c r="G2723" s="655" t="s">
        <v>522</v>
      </c>
      <c r="H2723" s="655" t="s">
        <v>1213</v>
      </c>
    </row>
    <row r="2724" spans="1:9" ht="15" customHeight="1">
      <c r="A2724" s="199">
        <v>45708</v>
      </c>
      <c r="B2724" s="202" t="s">
        <v>2370</v>
      </c>
      <c r="C2724" s="200" t="s">
        <v>204</v>
      </c>
      <c r="D2724" s="649">
        <v>-205800</v>
      </c>
      <c r="E2724" s="201">
        <v>45689</v>
      </c>
      <c r="F2724" s="655" t="s">
        <v>296</v>
      </c>
      <c r="G2724" s="655" t="s">
        <v>522</v>
      </c>
      <c r="H2724" s="655" t="s">
        <v>1213</v>
      </c>
    </row>
    <row r="2725" spans="1:9" ht="15" customHeight="1">
      <c r="A2725" s="199">
        <v>45708</v>
      </c>
      <c r="B2725" s="202" t="s">
        <v>2371</v>
      </c>
      <c r="C2725" s="200" t="s">
        <v>204</v>
      </c>
      <c r="D2725" s="649">
        <v>-340600</v>
      </c>
      <c r="E2725" s="201">
        <v>45689</v>
      </c>
      <c r="F2725" s="655" t="s">
        <v>296</v>
      </c>
      <c r="G2725" s="655" t="s">
        <v>522</v>
      </c>
      <c r="H2725" s="655" t="s">
        <v>338</v>
      </c>
    </row>
    <row r="2726" spans="1:9" ht="15" customHeight="1">
      <c r="A2726" s="199">
        <v>45708</v>
      </c>
      <c r="B2726" s="202" t="s">
        <v>2372</v>
      </c>
      <c r="C2726" s="200" t="s">
        <v>204</v>
      </c>
      <c r="D2726" s="649">
        <v>-593600</v>
      </c>
      <c r="E2726" s="201">
        <v>45689</v>
      </c>
      <c r="F2726" s="655" t="s">
        <v>296</v>
      </c>
      <c r="G2726" s="655" t="s">
        <v>337</v>
      </c>
      <c r="H2726" s="200" t="s">
        <v>338</v>
      </c>
      <c r="I2726" s="184"/>
    </row>
    <row r="2727" spans="1:9" ht="15" customHeight="1">
      <c r="A2727" s="199">
        <v>45708</v>
      </c>
      <c r="B2727" s="202" t="s">
        <v>2373</v>
      </c>
      <c r="C2727" s="200" t="s">
        <v>204</v>
      </c>
      <c r="D2727" s="649">
        <v>-1320200</v>
      </c>
      <c r="E2727" s="201">
        <v>45689</v>
      </c>
      <c r="F2727" s="655" t="s">
        <v>296</v>
      </c>
      <c r="G2727" s="655" t="s">
        <v>522</v>
      </c>
      <c r="H2727" s="655" t="s">
        <v>429</v>
      </c>
    </row>
    <row r="2728" spans="1:9" ht="15" customHeight="1">
      <c r="A2728" s="199">
        <v>45708</v>
      </c>
      <c r="B2728" s="202" t="s">
        <v>2374</v>
      </c>
      <c r="C2728" s="200" t="s">
        <v>204</v>
      </c>
      <c r="D2728" s="649">
        <v>-330700</v>
      </c>
      <c r="E2728" s="201">
        <v>45689</v>
      </c>
      <c r="F2728" s="655" t="s">
        <v>296</v>
      </c>
      <c r="G2728" s="655" t="s">
        <v>337</v>
      </c>
      <c r="H2728" s="655" t="s">
        <v>429</v>
      </c>
      <c r="I2728" s="184"/>
    </row>
    <row r="2729" spans="1:9" ht="15" customHeight="1">
      <c r="A2729" s="199">
        <v>45708</v>
      </c>
      <c r="B2729" s="202" t="s">
        <v>2375</v>
      </c>
      <c r="C2729" s="200" t="s">
        <v>204</v>
      </c>
      <c r="D2729" s="649">
        <v>-448900</v>
      </c>
      <c r="E2729" s="201">
        <v>45689</v>
      </c>
      <c r="F2729" s="655" t="s">
        <v>296</v>
      </c>
      <c r="G2729" s="655" t="s">
        <v>337</v>
      </c>
      <c r="H2729" s="655" t="s">
        <v>429</v>
      </c>
      <c r="I2729" s="184"/>
    </row>
    <row r="2730" spans="1:9" ht="15" customHeight="1">
      <c r="A2730" s="199">
        <v>45708</v>
      </c>
      <c r="B2730" s="202" t="s">
        <v>2376</v>
      </c>
      <c r="C2730" s="200" t="s">
        <v>204</v>
      </c>
      <c r="D2730" s="649">
        <v>-205800</v>
      </c>
      <c r="E2730" s="201">
        <v>45689</v>
      </c>
      <c r="F2730" s="655" t="s">
        <v>296</v>
      </c>
      <c r="G2730" s="655" t="s">
        <v>44</v>
      </c>
      <c r="H2730" s="655" t="s">
        <v>429</v>
      </c>
    </row>
    <row r="2731" spans="1:9" ht="15" customHeight="1">
      <c r="A2731" s="199">
        <v>45708</v>
      </c>
      <c r="B2731" s="202" t="s">
        <v>2377</v>
      </c>
      <c r="C2731" s="200" t="s">
        <v>204</v>
      </c>
      <c r="D2731" s="649">
        <v>-205800</v>
      </c>
      <c r="E2731" s="201">
        <v>45689</v>
      </c>
      <c r="F2731" s="655" t="s">
        <v>296</v>
      </c>
      <c r="G2731" s="655" t="s">
        <v>337</v>
      </c>
      <c r="H2731" s="655" t="s">
        <v>429</v>
      </c>
      <c r="I2731" s="184"/>
    </row>
    <row r="2732" spans="1:9" ht="15" customHeight="1">
      <c r="A2732" s="199">
        <v>45708</v>
      </c>
      <c r="B2732" s="202" t="s">
        <v>2378</v>
      </c>
      <c r="C2732" s="200" t="s">
        <v>204</v>
      </c>
      <c r="D2732" s="649">
        <v>-205800</v>
      </c>
      <c r="E2732" s="201">
        <v>45689</v>
      </c>
      <c r="F2732" s="655" t="s">
        <v>296</v>
      </c>
      <c r="G2732" s="655" t="s">
        <v>337</v>
      </c>
      <c r="H2732" s="655" t="s">
        <v>429</v>
      </c>
      <c r="I2732" s="184"/>
    </row>
    <row r="2733" spans="1:9" ht="15" customHeight="1">
      <c r="A2733" s="199">
        <v>45708</v>
      </c>
      <c r="B2733" s="202" t="s">
        <v>2379</v>
      </c>
      <c r="C2733" s="200" t="s">
        <v>204</v>
      </c>
      <c r="D2733" s="649">
        <v>-530000</v>
      </c>
      <c r="E2733" s="201">
        <v>45689</v>
      </c>
      <c r="F2733" s="655" t="s">
        <v>296</v>
      </c>
      <c r="G2733" s="655" t="s">
        <v>522</v>
      </c>
      <c r="H2733" s="655" t="s">
        <v>1213</v>
      </c>
    </row>
    <row r="2734" spans="1:9" ht="15" customHeight="1">
      <c r="A2734" s="199">
        <v>45708</v>
      </c>
      <c r="B2734" s="202" t="s">
        <v>2380</v>
      </c>
      <c r="C2734" s="200" t="s">
        <v>204</v>
      </c>
      <c r="D2734" s="649">
        <v>-205800</v>
      </c>
      <c r="E2734" s="201">
        <v>45689</v>
      </c>
      <c r="F2734" s="655" t="s">
        <v>296</v>
      </c>
      <c r="G2734" s="655" t="s">
        <v>522</v>
      </c>
      <c r="H2734" s="655" t="s">
        <v>1213</v>
      </c>
    </row>
    <row r="2735" spans="1:9" ht="15" customHeight="1">
      <c r="A2735" s="199">
        <v>45708</v>
      </c>
      <c r="B2735" s="202" t="s">
        <v>2381</v>
      </c>
      <c r="C2735" s="200" t="s">
        <v>204</v>
      </c>
      <c r="D2735" s="649">
        <v>-205800</v>
      </c>
      <c r="E2735" s="201">
        <v>45689</v>
      </c>
      <c r="F2735" s="655" t="s">
        <v>296</v>
      </c>
      <c r="G2735" s="655" t="s">
        <v>337</v>
      </c>
      <c r="H2735" s="655" t="s">
        <v>429</v>
      </c>
      <c r="I2735" s="184"/>
    </row>
    <row r="2736" spans="1:9" ht="15" customHeight="1">
      <c r="A2736" s="199">
        <v>45708</v>
      </c>
      <c r="B2736" s="202" t="s">
        <v>2382</v>
      </c>
      <c r="C2736" s="200" t="s">
        <v>204</v>
      </c>
      <c r="D2736" s="649">
        <v>-417900</v>
      </c>
      <c r="E2736" s="201">
        <v>45689</v>
      </c>
      <c r="F2736" s="655" t="s">
        <v>296</v>
      </c>
      <c r="G2736" s="655" t="s">
        <v>337</v>
      </c>
      <c r="H2736" s="655" t="s">
        <v>429</v>
      </c>
      <c r="I2736" s="184"/>
    </row>
    <row r="2737" spans="1:9" ht="15" customHeight="1">
      <c r="A2737" s="199">
        <v>45708</v>
      </c>
      <c r="B2737" s="202" t="s">
        <v>2383</v>
      </c>
      <c r="C2737" s="200" t="s">
        <v>204</v>
      </c>
      <c r="D2737" s="649">
        <v>-205800</v>
      </c>
      <c r="E2737" s="201">
        <v>45689</v>
      </c>
      <c r="F2737" s="655" t="s">
        <v>296</v>
      </c>
      <c r="G2737" s="655" t="s">
        <v>44</v>
      </c>
      <c r="H2737" s="655" t="s">
        <v>429</v>
      </c>
      <c r="I2737" s="704"/>
    </row>
    <row r="2738" spans="1:9" ht="15" customHeight="1">
      <c r="A2738" s="199">
        <v>45708</v>
      </c>
      <c r="B2738" s="202" t="s">
        <v>2384</v>
      </c>
      <c r="C2738" s="200" t="s">
        <v>204</v>
      </c>
      <c r="D2738" s="649">
        <v>-205800</v>
      </c>
      <c r="E2738" s="201">
        <v>45689</v>
      </c>
      <c r="F2738" s="655" t="s">
        <v>296</v>
      </c>
      <c r="G2738" s="655" t="s">
        <v>522</v>
      </c>
      <c r="H2738" s="655" t="s">
        <v>1213</v>
      </c>
    </row>
    <row r="2739" spans="1:9" ht="15" customHeight="1">
      <c r="A2739" s="199">
        <v>45708</v>
      </c>
      <c r="B2739" s="202" t="s">
        <v>2385</v>
      </c>
      <c r="C2739" s="200" t="s">
        <v>204</v>
      </c>
      <c r="D2739" s="649">
        <v>-417900</v>
      </c>
      <c r="E2739" s="201">
        <v>45689</v>
      </c>
      <c r="F2739" s="655" t="s">
        <v>296</v>
      </c>
      <c r="G2739" s="655" t="s">
        <v>337</v>
      </c>
      <c r="H2739" s="655" t="s">
        <v>429</v>
      </c>
      <c r="I2739" s="184"/>
    </row>
    <row r="2740" spans="1:9" ht="15" customHeight="1">
      <c r="A2740" s="199">
        <v>45708</v>
      </c>
      <c r="B2740" s="202" t="s">
        <v>2386</v>
      </c>
      <c r="C2740" s="200" t="s">
        <v>204</v>
      </c>
      <c r="D2740" s="649">
        <v>-323400</v>
      </c>
      <c r="E2740" s="201">
        <v>45689</v>
      </c>
      <c r="F2740" s="655" t="s">
        <v>296</v>
      </c>
      <c r="G2740" s="655" t="s">
        <v>44</v>
      </c>
      <c r="H2740" s="655" t="s">
        <v>429</v>
      </c>
    </row>
    <row r="2741" spans="1:9" ht="15" customHeight="1">
      <c r="A2741" s="199">
        <v>45708</v>
      </c>
      <c r="B2741" s="202" t="s">
        <v>2387</v>
      </c>
      <c r="C2741" s="200" t="s">
        <v>204</v>
      </c>
      <c r="D2741" s="649">
        <v>-403700</v>
      </c>
      <c r="E2741" s="201">
        <v>45689</v>
      </c>
      <c r="F2741" s="655" t="s">
        <v>296</v>
      </c>
      <c r="G2741" s="655" t="s">
        <v>44</v>
      </c>
      <c r="H2741" s="655" t="s">
        <v>429</v>
      </c>
    </row>
    <row r="2742" spans="1:9" ht="15" customHeight="1">
      <c r="A2742" s="199">
        <v>45708</v>
      </c>
      <c r="B2742" s="202" t="s">
        <v>2388</v>
      </c>
      <c r="C2742" s="200" t="s">
        <v>204</v>
      </c>
      <c r="D2742" s="649">
        <v>-338100</v>
      </c>
      <c r="E2742" s="201">
        <v>45689</v>
      </c>
      <c r="F2742" s="655" t="s">
        <v>296</v>
      </c>
      <c r="G2742" s="655" t="s">
        <v>44</v>
      </c>
      <c r="H2742" s="655" t="s">
        <v>429</v>
      </c>
    </row>
    <row r="2743" spans="1:9" ht="15" customHeight="1">
      <c r="A2743" s="199">
        <v>45708</v>
      </c>
      <c r="B2743" s="745" t="s">
        <v>2389</v>
      </c>
      <c r="C2743" s="200" t="s">
        <v>204</v>
      </c>
      <c r="D2743" s="649">
        <v>-340600</v>
      </c>
      <c r="E2743" s="201">
        <v>45689</v>
      </c>
      <c r="F2743" s="655" t="s">
        <v>296</v>
      </c>
      <c r="G2743" s="655" t="s">
        <v>337</v>
      </c>
      <c r="H2743" s="200" t="s">
        <v>338</v>
      </c>
      <c r="I2743" s="184"/>
    </row>
    <row r="2744" spans="1:9" ht="15" customHeight="1">
      <c r="A2744" s="199">
        <v>45708</v>
      </c>
      <c r="B2744" s="202" t="s">
        <v>2390</v>
      </c>
      <c r="C2744" s="200" t="s">
        <v>204</v>
      </c>
      <c r="D2744" s="649">
        <v>-403800</v>
      </c>
      <c r="E2744" s="201">
        <v>45689</v>
      </c>
      <c r="F2744" s="655" t="s">
        <v>296</v>
      </c>
      <c r="G2744" s="655" t="s">
        <v>337</v>
      </c>
      <c r="H2744" s="655" t="s">
        <v>429</v>
      </c>
      <c r="I2744" s="184"/>
    </row>
    <row r="2745" spans="1:9" ht="15" customHeight="1">
      <c r="A2745" s="199">
        <v>45708</v>
      </c>
      <c r="B2745" s="202" t="s">
        <v>2391</v>
      </c>
      <c r="C2745" s="200" t="s">
        <v>204</v>
      </c>
      <c r="D2745" s="649">
        <v>-968100</v>
      </c>
      <c r="E2745" s="201">
        <v>45689</v>
      </c>
      <c r="F2745" s="655" t="s">
        <v>296</v>
      </c>
      <c r="G2745" s="655" t="s">
        <v>44</v>
      </c>
      <c r="H2745" s="655" t="s">
        <v>338</v>
      </c>
    </row>
    <row r="2746" spans="1:9" ht="15" customHeight="1">
      <c r="A2746" s="199">
        <v>45708</v>
      </c>
      <c r="B2746" s="202" t="s">
        <v>2392</v>
      </c>
      <c r="C2746" s="200" t="s">
        <v>204</v>
      </c>
      <c r="D2746" s="649">
        <v>-323400</v>
      </c>
      <c r="E2746" s="201">
        <v>45689</v>
      </c>
      <c r="F2746" s="655" t="s">
        <v>296</v>
      </c>
      <c r="G2746" s="655" t="s">
        <v>44</v>
      </c>
      <c r="H2746" s="655" t="s">
        <v>429</v>
      </c>
      <c r="I2746" s="704"/>
    </row>
    <row r="2747" spans="1:9" ht="15" customHeight="1">
      <c r="A2747" s="199">
        <v>45708</v>
      </c>
      <c r="B2747" s="202" t="s">
        <v>2393</v>
      </c>
      <c r="C2747" s="200" t="s">
        <v>204</v>
      </c>
      <c r="D2747" s="649">
        <v>-417900</v>
      </c>
      <c r="E2747" s="201">
        <v>45689</v>
      </c>
      <c r="F2747" s="655" t="s">
        <v>296</v>
      </c>
      <c r="G2747" s="655" t="s">
        <v>522</v>
      </c>
      <c r="H2747" s="655" t="s">
        <v>1213</v>
      </c>
    </row>
    <row r="2748" spans="1:9" ht="15" customHeight="1">
      <c r="A2748" s="199">
        <v>45708</v>
      </c>
      <c r="B2748" s="202" t="s">
        <v>2394</v>
      </c>
      <c r="C2748" s="200" t="s">
        <v>204</v>
      </c>
      <c r="D2748" s="649">
        <v>-205800</v>
      </c>
      <c r="E2748" s="201">
        <v>45689</v>
      </c>
      <c r="F2748" s="655" t="s">
        <v>296</v>
      </c>
      <c r="G2748" s="655" t="s">
        <v>44</v>
      </c>
      <c r="H2748" s="655" t="s">
        <v>429</v>
      </c>
      <c r="I2748" s="673"/>
    </row>
    <row r="2749" spans="1:9" ht="15" customHeight="1">
      <c r="A2749" s="199">
        <v>45708</v>
      </c>
      <c r="B2749" s="202" t="s">
        <v>2395</v>
      </c>
      <c r="C2749" s="200" t="s">
        <v>204</v>
      </c>
      <c r="D2749" s="649">
        <v>-448900</v>
      </c>
      <c r="E2749" s="201">
        <v>45689</v>
      </c>
      <c r="F2749" s="655" t="s">
        <v>296</v>
      </c>
      <c r="G2749" s="655" t="s">
        <v>337</v>
      </c>
      <c r="H2749" s="655" t="s">
        <v>429</v>
      </c>
      <c r="I2749" s="184"/>
    </row>
    <row r="2750" spans="1:9" ht="15" customHeight="1">
      <c r="A2750" s="199">
        <v>45708</v>
      </c>
      <c r="B2750" s="202" t="s">
        <v>2396</v>
      </c>
      <c r="C2750" s="200" t="s">
        <v>204</v>
      </c>
      <c r="D2750" s="649">
        <v>-359100</v>
      </c>
      <c r="E2750" s="201">
        <v>45689</v>
      </c>
      <c r="F2750" s="655" t="s">
        <v>296</v>
      </c>
      <c r="G2750" s="655" t="s">
        <v>337</v>
      </c>
      <c r="H2750" s="655" t="s">
        <v>429</v>
      </c>
      <c r="I2750" s="184"/>
    </row>
    <row r="2751" spans="1:9" ht="15" customHeight="1">
      <c r="A2751" s="199">
        <v>45708</v>
      </c>
      <c r="B2751" s="202" t="s">
        <v>2397</v>
      </c>
      <c r="C2751" s="200" t="s">
        <v>204</v>
      </c>
      <c r="D2751" s="649">
        <v>-205800</v>
      </c>
      <c r="E2751" s="201">
        <v>45689</v>
      </c>
      <c r="F2751" s="655" t="s">
        <v>296</v>
      </c>
      <c r="G2751" s="655" t="s">
        <v>522</v>
      </c>
      <c r="H2751" s="655" t="s">
        <v>1213</v>
      </c>
    </row>
    <row r="2752" spans="1:9" ht="15" customHeight="1">
      <c r="A2752" s="199">
        <v>45708</v>
      </c>
      <c r="B2752" s="202" t="s">
        <v>2398</v>
      </c>
      <c r="C2752" s="200" t="s">
        <v>204</v>
      </c>
      <c r="D2752" s="649">
        <v>-205800</v>
      </c>
      <c r="E2752" s="201">
        <v>45689</v>
      </c>
      <c r="F2752" s="655" t="s">
        <v>296</v>
      </c>
      <c r="G2752" s="655" t="s">
        <v>337</v>
      </c>
      <c r="H2752" s="655" t="s">
        <v>429</v>
      </c>
      <c r="I2752" s="184"/>
    </row>
    <row r="2753" spans="1:9" ht="15" customHeight="1">
      <c r="A2753" s="199">
        <v>45708</v>
      </c>
      <c r="B2753" s="202" t="s">
        <v>2399</v>
      </c>
      <c r="C2753" s="200" t="s">
        <v>204</v>
      </c>
      <c r="D2753" s="649">
        <v>-417900</v>
      </c>
      <c r="E2753" s="201">
        <v>45689</v>
      </c>
      <c r="F2753" s="655" t="s">
        <v>296</v>
      </c>
      <c r="G2753" s="655" t="s">
        <v>44</v>
      </c>
      <c r="H2753" s="655" t="s">
        <v>429</v>
      </c>
    </row>
    <row r="2754" spans="1:9" ht="15" customHeight="1">
      <c r="A2754" s="199">
        <v>45708</v>
      </c>
      <c r="B2754" s="202" t="s">
        <v>2400</v>
      </c>
      <c r="C2754" s="200" t="s">
        <v>204</v>
      </c>
      <c r="D2754" s="649">
        <v>-323400</v>
      </c>
      <c r="E2754" s="201">
        <v>45689</v>
      </c>
      <c r="F2754" s="655" t="s">
        <v>296</v>
      </c>
      <c r="G2754" s="655" t="s">
        <v>44</v>
      </c>
      <c r="H2754" s="655" t="s">
        <v>429</v>
      </c>
    </row>
    <row r="2755" spans="1:9" ht="15" customHeight="1">
      <c r="A2755" s="199">
        <v>45708</v>
      </c>
      <c r="B2755" s="202" t="s">
        <v>2401</v>
      </c>
      <c r="C2755" s="200" t="s">
        <v>204</v>
      </c>
      <c r="D2755" s="649">
        <v>-417900</v>
      </c>
      <c r="E2755" s="201">
        <v>45689</v>
      </c>
      <c r="F2755" s="655" t="s">
        <v>296</v>
      </c>
      <c r="G2755" s="655" t="s">
        <v>44</v>
      </c>
      <c r="H2755" s="655" t="s">
        <v>429</v>
      </c>
      <c r="I2755" s="704"/>
    </row>
    <row r="2756" spans="1:9" ht="15" customHeight="1">
      <c r="A2756" s="199">
        <v>45708</v>
      </c>
      <c r="B2756" s="202" t="s">
        <v>2402</v>
      </c>
      <c r="C2756" s="200" t="s">
        <v>204</v>
      </c>
      <c r="D2756" s="649">
        <v>-205800</v>
      </c>
      <c r="E2756" s="201">
        <v>45689</v>
      </c>
      <c r="F2756" s="655" t="s">
        <v>296</v>
      </c>
      <c r="G2756" s="655" t="s">
        <v>522</v>
      </c>
      <c r="H2756" s="655" t="s">
        <v>1213</v>
      </c>
    </row>
    <row r="2757" spans="1:9" ht="15" customHeight="1">
      <c r="A2757" s="199">
        <v>45708</v>
      </c>
      <c r="B2757" s="202" t="s">
        <v>2403</v>
      </c>
      <c r="C2757" s="200" t="s">
        <v>204</v>
      </c>
      <c r="D2757" s="649">
        <v>-882100</v>
      </c>
      <c r="E2757" s="201">
        <v>45689</v>
      </c>
      <c r="F2757" s="655" t="s">
        <v>296</v>
      </c>
      <c r="G2757" s="655" t="s">
        <v>337</v>
      </c>
      <c r="H2757" s="655" t="s">
        <v>429</v>
      </c>
      <c r="I2757" s="184"/>
    </row>
    <row r="2758" spans="1:9" ht="15" customHeight="1">
      <c r="A2758" s="199">
        <v>45708</v>
      </c>
      <c r="B2758" s="202" t="s">
        <v>2404</v>
      </c>
      <c r="C2758" s="200" t="s">
        <v>204</v>
      </c>
      <c r="D2758" s="649">
        <v>-764700</v>
      </c>
      <c r="E2758" s="201">
        <v>45689</v>
      </c>
      <c r="F2758" s="655" t="s">
        <v>296</v>
      </c>
      <c r="G2758" s="655" t="s">
        <v>522</v>
      </c>
      <c r="H2758" s="655" t="s">
        <v>1213</v>
      </c>
    </row>
    <row r="2759" spans="1:9" ht="15" customHeight="1">
      <c r="A2759" s="199">
        <v>45708</v>
      </c>
      <c r="B2759" s="202" t="s">
        <v>2405</v>
      </c>
      <c r="C2759" s="200" t="s">
        <v>204</v>
      </c>
      <c r="D2759" s="649">
        <v>-530000</v>
      </c>
      <c r="E2759" s="201">
        <v>45689</v>
      </c>
      <c r="F2759" s="655" t="s">
        <v>296</v>
      </c>
      <c r="G2759" s="655" t="s">
        <v>337</v>
      </c>
      <c r="H2759" s="655" t="s">
        <v>429</v>
      </c>
      <c r="I2759" s="184"/>
    </row>
    <row r="2760" spans="1:9" ht="15" customHeight="1">
      <c r="A2760" s="199">
        <v>45708</v>
      </c>
      <c r="B2760" s="202" t="s">
        <v>2406</v>
      </c>
      <c r="C2760" s="200" t="s">
        <v>204</v>
      </c>
      <c r="D2760" s="649">
        <v>-338100</v>
      </c>
      <c r="E2760" s="201">
        <v>45689</v>
      </c>
      <c r="F2760" s="655" t="s">
        <v>296</v>
      </c>
      <c r="G2760" s="655" t="s">
        <v>44</v>
      </c>
      <c r="H2760" s="655" t="s">
        <v>429</v>
      </c>
    </row>
    <row r="2761" spans="1:9" ht="15" customHeight="1">
      <c r="A2761" s="199">
        <v>45708</v>
      </c>
      <c r="B2761" s="202" t="s">
        <v>2407</v>
      </c>
      <c r="C2761" s="200" t="s">
        <v>204</v>
      </c>
      <c r="D2761" s="649">
        <v>-205800</v>
      </c>
      <c r="E2761" s="201">
        <v>45689</v>
      </c>
      <c r="F2761" s="655" t="s">
        <v>296</v>
      </c>
      <c r="G2761" s="655" t="s">
        <v>337</v>
      </c>
      <c r="H2761" s="655" t="s">
        <v>429</v>
      </c>
      <c r="I2761" s="184"/>
    </row>
    <row r="2762" spans="1:9" ht="15" customHeight="1">
      <c r="A2762" s="199">
        <v>45708</v>
      </c>
      <c r="B2762" s="202" t="s">
        <v>2408</v>
      </c>
      <c r="C2762" s="200" t="s">
        <v>204</v>
      </c>
      <c r="D2762" s="649">
        <v>-417900</v>
      </c>
      <c r="E2762" s="201">
        <v>45689</v>
      </c>
      <c r="F2762" s="655" t="s">
        <v>296</v>
      </c>
      <c r="G2762" s="655" t="s">
        <v>337</v>
      </c>
      <c r="H2762" s="655" t="s">
        <v>429</v>
      </c>
      <c r="I2762" s="184"/>
    </row>
    <row r="2763" spans="1:9" ht="15" customHeight="1">
      <c r="A2763" s="199">
        <v>45708</v>
      </c>
      <c r="B2763" s="202" t="s">
        <v>2409</v>
      </c>
      <c r="C2763" s="200" t="s">
        <v>204</v>
      </c>
      <c r="D2763" s="649">
        <v>-338100</v>
      </c>
      <c r="E2763" s="201">
        <v>45689</v>
      </c>
      <c r="F2763" s="655" t="s">
        <v>296</v>
      </c>
      <c r="G2763" s="655" t="s">
        <v>44</v>
      </c>
      <c r="H2763" s="655" t="s">
        <v>429</v>
      </c>
    </row>
    <row r="2764" spans="1:9" ht="15" customHeight="1">
      <c r="A2764" s="199">
        <v>45708</v>
      </c>
      <c r="B2764" s="202" t="s">
        <v>2410</v>
      </c>
      <c r="C2764" s="200" t="s">
        <v>204</v>
      </c>
      <c r="D2764" s="649">
        <v>-303500</v>
      </c>
      <c r="E2764" s="201">
        <v>45689</v>
      </c>
      <c r="F2764" s="655" t="s">
        <v>296</v>
      </c>
      <c r="G2764" s="655" t="s">
        <v>44</v>
      </c>
      <c r="H2764" s="655" t="s">
        <v>429</v>
      </c>
    </row>
    <row r="2765" spans="1:9" ht="15" customHeight="1">
      <c r="A2765" s="199">
        <v>45708</v>
      </c>
      <c r="B2765" s="202" t="s">
        <v>2411</v>
      </c>
      <c r="C2765" s="200" t="s">
        <v>204</v>
      </c>
      <c r="D2765" s="649">
        <v>-338100</v>
      </c>
      <c r="E2765" s="201">
        <v>45689</v>
      </c>
      <c r="F2765" s="655" t="s">
        <v>296</v>
      </c>
      <c r="G2765" s="655" t="s">
        <v>44</v>
      </c>
      <c r="H2765" s="655" t="s">
        <v>429</v>
      </c>
      <c r="I2765" s="704"/>
    </row>
    <row r="2766" spans="1:9" ht="15" customHeight="1">
      <c r="A2766" s="199">
        <v>45708</v>
      </c>
      <c r="B2766" s="202" t="s">
        <v>2412</v>
      </c>
      <c r="C2766" s="200" t="s">
        <v>204</v>
      </c>
      <c r="D2766" s="649">
        <v>-205800</v>
      </c>
      <c r="E2766" s="201">
        <v>45689</v>
      </c>
      <c r="F2766" s="655" t="s">
        <v>296</v>
      </c>
      <c r="G2766" s="655" t="s">
        <v>522</v>
      </c>
      <c r="H2766" s="655" t="s">
        <v>1213</v>
      </c>
    </row>
    <row r="2767" spans="1:9" ht="15" customHeight="1">
      <c r="A2767" s="199">
        <v>45708</v>
      </c>
      <c r="B2767" s="202" t="s">
        <v>2413</v>
      </c>
      <c r="C2767" s="200" t="s">
        <v>204</v>
      </c>
      <c r="D2767" s="649">
        <v>-338100</v>
      </c>
      <c r="E2767" s="201">
        <v>45689</v>
      </c>
      <c r="F2767" s="655" t="s">
        <v>296</v>
      </c>
      <c r="G2767" s="655" t="s">
        <v>44</v>
      </c>
      <c r="H2767" s="655" t="s">
        <v>429</v>
      </c>
      <c r="I2767" s="673"/>
    </row>
    <row r="2768" spans="1:9" ht="15" customHeight="1">
      <c r="A2768" s="199">
        <v>45708</v>
      </c>
      <c r="B2768" s="202" t="s">
        <v>2414</v>
      </c>
      <c r="C2768" s="200" t="s">
        <v>204</v>
      </c>
      <c r="D2768" s="649">
        <v>-213700</v>
      </c>
      <c r="E2768" s="201">
        <v>45689</v>
      </c>
      <c r="F2768" s="655" t="s">
        <v>296</v>
      </c>
      <c r="G2768" s="655" t="s">
        <v>337</v>
      </c>
      <c r="H2768" s="702" t="s">
        <v>429</v>
      </c>
      <c r="I2768" s="184"/>
    </row>
    <row r="2769" spans="1:9" ht="15" customHeight="1">
      <c r="A2769" s="199">
        <v>45708</v>
      </c>
      <c r="B2769" s="202" t="s">
        <v>2415</v>
      </c>
      <c r="C2769" s="200" t="s">
        <v>204</v>
      </c>
      <c r="D2769" s="649">
        <v>-616100</v>
      </c>
      <c r="E2769" s="201">
        <v>45689</v>
      </c>
      <c r="F2769" s="655" t="s">
        <v>296</v>
      </c>
      <c r="G2769" s="655" t="s">
        <v>44</v>
      </c>
      <c r="H2769" s="655" t="s">
        <v>429</v>
      </c>
    </row>
    <row r="2770" spans="1:9" ht="15" customHeight="1">
      <c r="A2770" s="199">
        <v>45708</v>
      </c>
      <c r="B2770" s="202" t="s">
        <v>2416</v>
      </c>
      <c r="C2770" s="200" t="s">
        <v>204</v>
      </c>
      <c r="D2770" s="649">
        <v>-323400</v>
      </c>
      <c r="E2770" s="201">
        <v>45689</v>
      </c>
      <c r="F2770" s="655" t="s">
        <v>296</v>
      </c>
      <c r="G2770" s="655" t="s">
        <v>44</v>
      </c>
      <c r="H2770" s="655" t="s">
        <v>429</v>
      </c>
    </row>
    <row r="2771" spans="1:9" ht="15" customHeight="1">
      <c r="A2771" s="199">
        <v>45707</v>
      </c>
      <c r="B2771" s="202" t="s">
        <v>2417</v>
      </c>
      <c r="C2771" s="200" t="s">
        <v>204</v>
      </c>
      <c r="D2771" s="658">
        <v>248011038</v>
      </c>
      <c r="E2771" s="201">
        <v>45689</v>
      </c>
      <c r="F2771" s="200" t="s">
        <v>983</v>
      </c>
      <c r="G2771" s="200" t="s">
        <v>2418</v>
      </c>
      <c r="I2771" s="673"/>
    </row>
    <row r="2772" spans="1:9" ht="15" customHeight="1">
      <c r="A2772" s="199">
        <v>45707</v>
      </c>
      <c r="B2772" s="202" t="s">
        <v>2419</v>
      </c>
      <c r="C2772" s="200" t="s">
        <v>204</v>
      </c>
      <c r="D2772" s="658">
        <v>50000000</v>
      </c>
      <c r="E2772" s="201">
        <v>45689</v>
      </c>
      <c r="F2772" s="200" t="s">
        <v>652</v>
      </c>
      <c r="G2772" s="200" t="s">
        <v>44</v>
      </c>
    </row>
    <row r="2773" spans="1:9" ht="15" customHeight="1">
      <c r="A2773" s="199">
        <v>45707</v>
      </c>
      <c r="B2773" s="202" t="s">
        <v>1974</v>
      </c>
      <c r="C2773" s="200" t="s">
        <v>204</v>
      </c>
      <c r="D2773" s="658">
        <v>50000000</v>
      </c>
      <c r="E2773" s="201">
        <v>45689</v>
      </c>
      <c r="F2773" s="200" t="s">
        <v>652</v>
      </c>
      <c r="G2773" s="200" t="s">
        <v>522</v>
      </c>
    </row>
    <row r="2774" spans="1:9" ht="15" customHeight="1">
      <c r="A2774" s="199">
        <v>45706</v>
      </c>
      <c r="B2774" s="202" t="s">
        <v>2420</v>
      </c>
      <c r="C2774" s="200" t="s">
        <v>204</v>
      </c>
      <c r="D2774" s="658">
        <v>1323992</v>
      </c>
      <c r="E2774" s="201">
        <v>45689</v>
      </c>
      <c r="F2774" s="200" t="s">
        <v>297</v>
      </c>
      <c r="G2774" s="200" t="s">
        <v>80</v>
      </c>
      <c r="H2774" s="200" t="s">
        <v>839</v>
      </c>
      <c r="I2774" s="648" t="s">
        <v>329</v>
      </c>
    </row>
    <row r="2775" spans="1:9" ht="15" customHeight="1">
      <c r="A2775" s="199">
        <v>45706</v>
      </c>
      <c r="B2775" s="202" t="s">
        <v>2420</v>
      </c>
      <c r="C2775" s="200" t="s">
        <v>204</v>
      </c>
      <c r="D2775" s="658">
        <v>1323992</v>
      </c>
      <c r="E2775" s="201">
        <v>45689</v>
      </c>
      <c r="F2775" s="200" t="s">
        <v>296</v>
      </c>
      <c r="G2775" s="200" t="s">
        <v>2271</v>
      </c>
      <c r="H2775" s="200" t="s">
        <v>839</v>
      </c>
    </row>
    <row r="2776" spans="1:9" ht="15" customHeight="1">
      <c r="A2776" s="199">
        <v>45705</v>
      </c>
      <c r="B2776" s="202" t="s">
        <v>2421</v>
      </c>
      <c r="C2776" s="200" t="s">
        <v>314</v>
      </c>
      <c r="D2776" s="658">
        <v>632248</v>
      </c>
      <c r="E2776" s="201">
        <v>45689</v>
      </c>
      <c r="F2776" s="200" t="s">
        <v>295</v>
      </c>
    </row>
    <row r="2777" spans="1:9" ht="15" customHeight="1">
      <c r="A2777" s="199">
        <v>45705</v>
      </c>
      <c r="B2777" s="202" t="s">
        <v>2422</v>
      </c>
      <c r="C2777" s="200" t="s">
        <v>314</v>
      </c>
      <c r="D2777" s="658">
        <v>1000000</v>
      </c>
      <c r="E2777" s="201">
        <v>45689</v>
      </c>
      <c r="F2777" s="200" t="s">
        <v>983</v>
      </c>
      <c r="G2777" s="200" t="s">
        <v>411</v>
      </c>
    </row>
    <row r="2778" spans="1:9" ht="15" customHeight="1">
      <c r="A2778" s="199">
        <v>45705</v>
      </c>
      <c r="B2778" s="202" t="s">
        <v>2422</v>
      </c>
      <c r="C2778" s="200" t="s">
        <v>314</v>
      </c>
      <c r="D2778" s="658">
        <v>3000000</v>
      </c>
      <c r="E2778" s="201">
        <v>45689</v>
      </c>
      <c r="F2778" s="200" t="s">
        <v>983</v>
      </c>
      <c r="G2778" s="200" t="s">
        <v>411</v>
      </c>
    </row>
    <row r="2779" spans="1:9" ht="15" customHeight="1">
      <c r="A2779" s="199">
        <v>45705</v>
      </c>
      <c r="B2779" s="202" t="s">
        <v>2422</v>
      </c>
      <c r="C2779" s="200" t="s">
        <v>314</v>
      </c>
      <c r="D2779" s="658">
        <v>3000000</v>
      </c>
      <c r="E2779" s="201">
        <v>45689</v>
      </c>
      <c r="F2779" s="200" t="s">
        <v>983</v>
      </c>
      <c r="G2779" s="200" t="s">
        <v>411</v>
      </c>
    </row>
    <row r="2780" spans="1:9" ht="15" customHeight="1">
      <c r="A2780" s="199">
        <v>45705</v>
      </c>
      <c r="B2780" s="202" t="s">
        <v>2422</v>
      </c>
      <c r="C2780" s="200" t="s">
        <v>314</v>
      </c>
      <c r="D2780" s="658">
        <v>3000000</v>
      </c>
      <c r="E2780" s="201">
        <v>45689</v>
      </c>
      <c r="F2780" s="200" t="s">
        <v>983</v>
      </c>
      <c r="G2780" s="200" t="s">
        <v>411</v>
      </c>
    </row>
    <row r="2781" spans="1:9" ht="15" customHeight="1">
      <c r="A2781" s="199">
        <v>45707</v>
      </c>
      <c r="B2781" s="202" t="s">
        <v>2422</v>
      </c>
      <c r="C2781" s="200" t="s">
        <v>314</v>
      </c>
      <c r="D2781" s="658">
        <v>2000000</v>
      </c>
      <c r="E2781" s="201">
        <v>45689</v>
      </c>
      <c r="F2781" s="200" t="s">
        <v>983</v>
      </c>
      <c r="G2781" s="200" t="s">
        <v>411</v>
      </c>
    </row>
    <row r="2782" spans="1:9" ht="15" customHeight="1">
      <c r="A2782" s="199">
        <v>45707</v>
      </c>
      <c r="B2782" s="202" t="s">
        <v>2422</v>
      </c>
      <c r="C2782" s="200" t="s">
        <v>314</v>
      </c>
      <c r="D2782" s="658">
        <v>3000000</v>
      </c>
      <c r="E2782" s="201">
        <v>45689</v>
      </c>
      <c r="F2782" s="200" t="s">
        <v>983</v>
      </c>
      <c r="G2782" s="200" t="s">
        <v>411</v>
      </c>
    </row>
    <row r="2783" spans="1:9" ht="15" customHeight="1">
      <c r="A2783" s="199">
        <v>45707</v>
      </c>
      <c r="B2783" s="202" t="s">
        <v>2423</v>
      </c>
      <c r="C2783" s="200" t="s">
        <v>314</v>
      </c>
      <c r="D2783" s="658">
        <v>5308372</v>
      </c>
      <c r="E2783" s="201">
        <v>45689</v>
      </c>
      <c r="F2783" s="200" t="s">
        <v>295</v>
      </c>
    </row>
    <row r="2784" spans="1:9" ht="15" customHeight="1">
      <c r="A2784" s="199">
        <v>45706</v>
      </c>
      <c r="B2784" s="202" t="s">
        <v>2424</v>
      </c>
      <c r="C2784" s="200" t="s">
        <v>136</v>
      </c>
      <c r="D2784" s="649">
        <v>194880</v>
      </c>
      <c r="E2784" s="201">
        <v>45689</v>
      </c>
      <c r="F2784" s="200" t="s">
        <v>295</v>
      </c>
    </row>
    <row r="2785" spans="1:8" ht="15" customHeight="1">
      <c r="A2785" s="199">
        <v>45706</v>
      </c>
      <c r="B2785" s="202" t="s">
        <v>2425</v>
      </c>
      <c r="C2785" s="200" t="s">
        <v>136</v>
      </c>
      <c r="D2785" s="649">
        <v>4437666</v>
      </c>
      <c r="E2785" s="201">
        <v>45689</v>
      </c>
      <c r="F2785" s="200" t="s">
        <v>295</v>
      </c>
    </row>
    <row r="2786" spans="1:8" ht="15" customHeight="1">
      <c r="A2786" s="199">
        <v>45706</v>
      </c>
      <c r="B2786" s="202" t="s">
        <v>2424</v>
      </c>
      <c r="C2786" s="200" t="s">
        <v>136</v>
      </c>
      <c r="D2786" s="649">
        <v>2065000</v>
      </c>
      <c r="E2786" s="201">
        <v>45689</v>
      </c>
      <c r="F2786" s="200" t="s">
        <v>295</v>
      </c>
    </row>
    <row r="2787" spans="1:8" ht="15" customHeight="1">
      <c r="A2787" s="199">
        <v>45703</v>
      </c>
      <c r="B2787" s="202" t="s">
        <v>666</v>
      </c>
      <c r="C2787" s="200" t="s">
        <v>398</v>
      </c>
      <c r="D2787" s="204">
        <v>-123500</v>
      </c>
      <c r="E2787" s="201">
        <v>45689</v>
      </c>
      <c r="F2787" s="200" t="s">
        <v>256</v>
      </c>
      <c r="G2787" s="200" t="s">
        <v>256</v>
      </c>
      <c r="H2787" s="541" t="s">
        <v>266</v>
      </c>
    </row>
    <row r="2788" spans="1:8" ht="15" customHeight="1">
      <c r="A2788" s="199">
        <v>45705</v>
      </c>
      <c r="B2788" s="202" t="s">
        <v>2426</v>
      </c>
      <c r="C2788" s="200" t="s">
        <v>398</v>
      </c>
      <c r="D2788" s="204">
        <v>-27000</v>
      </c>
      <c r="E2788" s="201">
        <v>45689</v>
      </c>
      <c r="F2788" s="200" t="s">
        <v>256</v>
      </c>
      <c r="G2788" s="200" t="s">
        <v>107</v>
      </c>
      <c r="H2788" s="200" t="s">
        <v>277</v>
      </c>
    </row>
    <row r="2789" spans="1:8" ht="15" customHeight="1">
      <c r="A2789" s="199">
        <v>45705</v>
      </c>
      <c r="B2789" s="202" t="s">
        <v>2427</v>
      </c>
      <c r="C2789" s="200" t="s">
        <v>398</v>
      </c>
      <c r="D2789" s="204">
        <v>-52400</v>
      </c>
      <c r="E2789" s="201">
        <v>45689</v>
      </c>
      <c r="F2789" s="200" t="s">
        <v>256</v>
      </c>
      <c r="G2789" s="200" t="s">
        <v>107</v>
      </c>
      <c r="H2789" s="200" t="s">
        <v>277</v>
      </c>
    </row>
    <row r="2790" spans="1:8" ht="15" customHeight="1">
      <c r="A2790" s="199">
        <v>45705</v>
      </c>
      <c r="B2790" s="202" t="s">
        <v>2428</v>
      </c>
      <c r="C2790" s="200" t="s">
        <v>398</v>
      </c>
      <c r="D2790" s="204">
        <v>-16500</v>
      </c>
      <c r="E2790" s="201">
        <v>45689</v>
      </c>
      <c r="F2790" s="200" t="s">
        <v>256</v>
      </c>
      <c r="G2790" s="200" t="s">
        <v>107</v>
      </c>
      <c r="H2790" s="200" t="s">
        <v>277</v>
      </c>
    </row>
    <row r="2791" spans="1:8" ht="15" customHeight="1">
      <c r="A2791" s="199">
        <v>45705</v>
      </c>
      <c r="B2791" s="202" t="s">
        <v>2428</v>
      </c>
      <c r="C2791" s="200" t="s">
        <v>398</v>
      </c>
      <c r="D2791" s="204">
        <v>-16000</v>
      </c>
      <c r="E2791" s="201">
        <v>45689</v>
      </c>
      <c r="F2791" s="200" t="s">
        <v>256</v>
      </c>
      <c r="G2791" s="200" t="s">
        <v>107</v>
      </c>
      <c r="H2791" s="200" t="s">
        <v>277</v>
      </c>
    </row>
    <row r="2792" spans="1:8" ht="15" customHeight="1">
      <c r="A2792" s="199">
        <v>45705</v>
      </c>
      <c r="B2792" s="202" t="s">
        <v>958</v>
      </c>
      <c r="C2792" s="200" t="s">
        <v>398</v>
      </c>
      <c r="D2792" s="204">
        <v>-128022</v>
      </c>
      <c r="E2792" s="201">
        <v>45689</v>
      </c>
      <c r="F2792" s="200" t="s">
        <v>256</v>
      </c>
      <c r="G2792" s="200" t="s">
        <v>256</v>
      </c>
      <c r="H2792" s="541" t="s">
        <v>266</v>
      </c>
    </row>
    <row r="2793" spans="1:8" ht="15" customHeight="1">
      <c r="A2793" s="199">
        <v>45706</v>
      </c>
      <c r="B2793" s="202" t="s">
        <v>2429</v>
      </c>
      <c r="C2793" s="200" t="s">
        <v>398</v>
      </c>
      <c r="D2793" s="204">
        <v>-129000</v>
      </c>
      <c r="E2793" s="201">
        <v>45689</v>
      </c>
      <c r="F2793" s="200" t="s">
        <v>256</v>
      </c>
      <c r="G2793" s="200" t="s">
        <v>107</v>
      </c>
      <c r="H2793" s="200" t="s">
        <v>277</v>
      </c>
    </row>
    <row r="2794" spans="1:8" ht="15" customHeight="1">
      <c r="A2794" s="199">
        <v>45706</v>
      </c>
      <c r="B2794" s="202" t="s">
        <v>2430</v>
      </c>
      <c r="C2794" s="200" t="s">
        <v>398</v>
      </c>
      <c r="D2794" s="204">
        <v>-186046</v>
      </c>
      <c r="E2794" s="201">
        <v>45689</v>
      </c>
      <c r="F2794" s="200" t="s">
        <v>256</v>
      </c>
      <c r="G2794" s="200" t="s">
        <v>256</v>
      </c>
      <c r="H2794" s="541" t="s">
        <v>266</v>
      </c>
    </row>
    <row r="2795" spans="1:8" ht="15" customHeight="1">
      <c r="A2795" s="199">
        <v>45706</v>
      </c>
      <c r="B2795" s="202" t="s">
        <v>2431</v>
      </c>
      <c r="C2795" s="200" t="s">
        <v>398</v>
      </c>
      <c r="D2795" s="204">
        <v>-20000</v>
      </c>
      <c r="E2795" s="201">
        <v>45689</v>
      </c>
      <c r="F2795" s="200" t="s">
        <v>256</v>
      </c>
      <c r="G2795" s="200" t="s">
        <v>107</v>
      </c>
      <c r="H2795" s="200" t="s">
        <v>277</v>
      </c>
    </row>
    <row r="2796" spans="1:8" ht="15" customHeight="1">
      <c r="A2796" s="199">
        <v>45707</v>
      </c>
      <c r="B2796" s="202" t="s">
        <v>2432</v>
      </c>
      <c r="C2796" s="200" t="s">
        <v>398</v>
      </c>
      <c r="D2796" s="204">
        <v>-73883</v>
      </c>
      <c r="E2796" s="201">
        <v>45689</v>
      </c>
      <c r="F2796" s="200" t="s">
        <v>298</v>
      </c>
    </row>
    <row r="2797" spans="1:8" ht="15" customHeight="1">
      <c r="A2797" s="199">
        <v>45707</v>
      </c>
      <c r="B2797" s="202" t="s">
        <v>2431</v>
      </c>
      <c r="C2797" s="200" t="s">
        <v>398</v>
      </c>
      <c r="D2797" s="204">
        <v>-143000</v>
      </c>
      <c r="E2797" s="201">
        <v>45689</v>
      </c>
      <c r="F2797" s="200" t="s">
        <v>256</v>
      </c>
      <c r="G2797" s="200" t="s">
        <v>107</v>
      </c>
      <c r="H2797" s="200" t="s">
        <v>277</v>
      </c>
    </row>
    <row r="2798" spans="1:8" ht="15" customHeight="1">
      <c r="A2798" s="199">
        <v>45707</v>
      </c>
      <c r="B2798" s="202" t="s">
        <v>2431</v>
      </c>
      <c r="C2798" s="200" t="s">
        <v>398</v>
      </c>
      <c r="D2798" s="204">
        <v>-98400</v>
      </c>
      <c r="E2798" s="201">
        <v>45689</v>
      </c>
      <c r="F2798" s="200" t="s">
        <v>256</v>
      </c>
      <c r="G2798" s="200" t="s">
        <v>107</v>
      </c>
      <c r="H2798" s="200" t="s">
        <v>277</v>
      </c>
    </row>
    <row r="2799" spans="1:8" ht="15" customHeight="1">
      <c r="A2799" s="199">
        <v>45707</v>
      </c>
      <c r="B2799" s="202" t="s">
        <v>2433</v>
      </c>
      <c r="C2799" s="200" t="s">
        <v>398</v>
      </c>
      <c r="D2799" s="204">
        <v>-181722</v>
      </c>
      <c r="E2799" s="201">
        <v>45689</v>
      </c>
      <c r="F2799" s="200" t="s">
        <v>256</v>
      </c>
      <c r="G2799" s="200" t="s">
        <v>256</v>
      </c>
      <c r="H2799" s="541" t="s">
        <v>266</v>
      </c>
    </row>
    <row r="2800" spans="1:8" ht="15" customHeight="1">
      <c r="A2800" s="199">
        <v>45708</v>
      </c>
      <c r="B2800" s="202" t="s">
        <v>2434</v>
      </c>
      <c r="C2800" s="200" t="s">
        <v>398</v>
      </c>
      <c r="D2800" s="204">
        <v>-50400</v>
      </c>
      <c r="E2800" s="201">
        <v>45689</v>
      </c>
      <c r="F2800" s="200" t="s">
        <v>256</v>
      </c>
      <c r="G2800" s="200" t="s">
        <v>107</v>
      </c>
      <c r="H2800" s="200" t="s">
        <v>277</v>
      </c>
    </row>
    <row r="2801" spans="1:8" ht="15" customHeight="1">
      <c r="A2801" s="199">
        <v>45708</v>
      </c>
      <c r="B2801" s="202" t="s">
        <v>2435</v>
      </c>
      <c r="C2801" s="200" t="s">
        <v>398</v>
      </c>
      <c r="D2801" s="204">
        <v>-3692122.92</v>
      </c>
      <c r="E2801" s="201">
        <v>45689</v>
      </c>
      <c r="F2801" s="200" t="s">
        <v>256</v>
      </c>
      <c r="G2801" s="200" t="s">
        <v>256</v>
      </c>
      <c r="H2801" s="541" t="s">
        <v>266</v>
      </c>
    </row>
    <row r="2802" spans="1:8" ht="15" customHeight="1">
      <c r="A2802" s="199">
        <v>45702</v>
      </c>
      <c r="B2802" s="202" t="s">
        <v>2436</v>
      </c>
      <c r="C2802" s="200" t="s">
        <v>398</v>
      </c>
      <c r="D2802" s="204">
        <v>-380000</v>
      </c>
      <c r="E2802" s="201">
        <v>45689</v>
      </c>
      <c r="F2802" s="200" t="s">
        <v>256</v>
      </c>
      <c r="G2802" s="200" t="s">
        <v>107</v>
      </c>
      <c r="H2802" s="200" t="s">
        <v>777</v>
      </c>
    </row>
    <row r="2803" spans="1:8" ht="15" customHeight="1">
      <c r="A2803" s="199">
        <v>45702</v>
      </c>
      <c r="B2803" s="200" t="s">
        <v>2437</v>
      </c>
      <c r="C2803" s="200" t="s">
        <v>398</v>
      </c>
      <c r="D2803" s="703">
        <v>-98840</v>
      </c>
      <c r="E2803" s="201">
        <v>45689</v>
      </c>
      <c r="F2803" s="200" t="s">
        <v>256</v>
      </c>
      <c r="G2803" s="200" t="s">
        <v>107</v>
      </c>
      <c r="H2803" s="200" t="s">
        <v>9</v>
      </c>
    </row>
    <row r="2804" spans="1:8" ht="15" customHeight="1">
      <c r="A2804" s="199">
        <v>45702</v>
      </c>
      <c r="B2804" s="200" t="s">
        <v>2438</v>
      </c>
      <c r="C2804" s="200" t="s">
        <v>398</v>
      </c>
      <c r="D2804" s="703">
        <v>-123825</v>
      </c>
      <c r="E2804" s="201">
        <v>45689</v>
      </c>
      <c r="F2804" s="200" t="s">
        <v>256</v>
      </c>
      <c r="G2804" s="200" t="s">
        <v>107</v>
      </c>
      <c r="H2804" s="200" t="s">
        <v>9</v>
      </c>
    </row>
    <row r="2805" spans="1:8" ht="15" customHeight="1">
      <c r="A2805" s="199">
        <v>45705</v>
      </c>
      <c r="B2805" s="200" t="s">
        <v>2439</v>
      </c>
      <c r="C2805" s="200" t="s">
        <v>398</v>
      </c>
      <c r="D2805" s="703">
        <v>-7470</v>
      </c>
      <c r="E2805" s="201">
        <v>45689</v>
      </c>
      <c r="F2805" s="200" t="s">
        <v>256</v>
      </c>
      <c r="G2805" s="200" t="s">
        <v>107</v>
      </c>
      <c r="H2805" s="200" t="s">
        <v>9</v>
      </c>
    </row>
    <row r="2806" spans="1:8" ht="15" customHeight="1">
      <c r="A2806" s="199">
        <v>45705</v>
      </c>
      <c r="B2806" s="200" t="s">
        <v>2440</v>
      </c>
      <c r="C2806" s="200" t="s">
        <v>398</v>
      </c>
      <c r="D2806" s="703">
        <v>-7000</v>
      </c>
      <c r="E2806" s="201">
        <v>45689</v>
      </c>
      <c r="F2806" s="200" t="s">
        <v>256</v>
      </c>
      <c r="G2806" s="200" t="s">
        <v>107</v>
      </c>
      <c r="H2806" s="200" t="s">
        <v>277</v>
      </c>
    </row>
    <row r="2807" spans="1:8" ht="15" customHeight="1">
      <c r="A2807" s="199">
        <v>45709</v>
      </c>
      <c r="B2807" s="202" t="s">
        <v>2441</v>
      </c>
      <c r="C2807" s="200" t="s">
        <v>307</v>
      </c>
      <c r="D2807" s="204">
        <v>-107850</v>
      </c>
      <c r="E2807" s="201">
        <v>45689</v>
      </c>
      <c r="F2807" s="200" t="s">
        <v>256</v>
      </c>
      <c r="G2807" s="200" t="s">
        <v>256</v>
      </c>
      <c r="H2807" s="200" t="s">
        <v>263</v>
      </c>
    </row>
    <row r="2808" spans="1:8" ht="15" customHeight="1">
      <c r="A2808" s="199">
        <v>45709</v>
      </c>
      <c r="B2808" s="202" t="s">
        <v>2442</v>
      </c>
      <c r="C2808" s="200" t="s">
        <v>307</v>
      </c>
      <c r="D2808" s="204">
        <v>-10900</v>
      </c>
      <c r="E2808" s="201">
        <v>45689</v>
      </c>
      <c r="F2808" s="200" t="s">
        <v>256</v>
      </c>
      <c r="G2808" s="200" t="s">
        <v>256</v>
      </c>
      <c r="H2808" s="200" t="s">
        <v>263</v>
      </c>
    </row>
    <row r="2809" spans="1:8" ht="15" customHeight="1">
      <c r="A2809" s="199">
        <v>45701</v>
      </c>
      <c r="B2809" s="202" t="s">
        <v>2443</v>
      </c>
      <c r="C2809" s="200" t="s">
        <v>204</v>
      </c>
      <c r="D2809" s="649">
        <v>-227422.22222222222</v>
      </c>
      <c r="E2809" s="201">
        <v>45689</v>
      </c>
      <c r="F2809" s="200" t="s">
        <v>256</v>
      </c>
      <c r="G2809" s="200" t="s">
        <v>256</v>
      </c>
      <c r="H2809" s="200" t="s">
        <v>121</v>
      </c>
    </row>
    <row r="2810" spans="1:8" ht="15" customHeight="1">
      <c r="A2810" s="199">
        <v>45701</v>
      </c>
      <c r="B2810" s="202" t="s">
        <v>2444</v>
      </c>
      <c r="C2810" s="200" t="s">
        <v>204</v>
      </c>
      <c r="D2810" s="649">
        <v>-1087500</v>
      </c>
      <c r="E2810" s="201">
        <v>45689</v>
      </c>
      <c r="F2810" s="200" t="s">
        <v>256</v>
      </c>
      <c r="G2810" s="200" t="s">
        <v>256</v>
      </c>
      <c r="H2810" s="200" t="s">
        <v>121</v>
      </c>
    </row>
    <row r="2811" spans="1:8" ht="15" customHeight="1">
      <c r="A2811" s="199">
        <v>45701</v>
      </c>
      <c r="B2811" s="202" t="s">
        <v>2445</v>
      </c>
      <c r="C2811" s="200" t="s">
        <v>204</v>
      </c>
      <c r="D2811" s="649">
        <v>-3740746.6666666665</v>
      </c>
      <c r="E2811" s="201">
        <v>45689</v>
      </c>
      <c r="F2811" s="200" t="s">
        <v>256</v>
      </c>
      <c r="G2811" s="200" t="s">
        <v>256</v>
      </c>
      <c r="H2811" s="200" t="s">
        <v>121</v>
      </c>
    </row>
    <row r="2812" spans="1:8" ht="15" customHeight="1">
      <c r="A2812" s="199">
        <v>45701</v>
      </c>
      <c r="B2812" s="202" t="s">
        <v>2446</v>
      </c>
      <c r="C2812" s="200" t="s">
        <v>204</v>
      </c>
      <c r="D2812" s="649">
        <v>-227422.22222222222</v>
      </c>
      <c r="E2812" s="201">
        <v>45689</v>
      </c>
      <c r="F2812" s="200" t="s">
        <v>256</v>
      </c>
      <c r="G2812" s="200" t="s">
        <v>256</v>
      </c>
      <c r="H2812" s="200" t="s">
        <v>121</v>
      </c>
    </row>
    <row r="2813" spans="1:8" ht="15" customHeight="1">
      <c r="A2813" s="199">
        <v>45701</v>
      </c>
      <c r="B2813" s="202" t="s">
        <v>2447</v>
      </c>
      <c r="C2813" s="200" t="s">
        <v>204</v>
      </c>
      <c r="D2813" s="649">
        <v>-198994.44444444444</v>
      </c>
      <c r="E2813" s="201">
        <v>45689</v>
      </c>
      <c r="F2813" s="200" t="s">
        <v>256</v>
      </c>
      <c r="G2813" s="200" t="s">
        <v>256</v>
      </c>
      <c r="H2813" s="200" t="s">
        <v>121</v>
      </c>
    </row>
    <row r="2814" spans="1:8" ht="15" customHeight="1">
      <c r="A2814" s="199">
        <v>45701</v>
      </c>
      <c r="B2814" s="202" t="s">
        <v>2448</v>
      </c>
      <c r="C2814" s="200" t="s">
        <v>204</v>
      </c>
      <c r="D2814" s="649">
        <v>-1693477.7777777778</v>
      </c>
      <c r="E2814" s="201">
        <v>45689</v>
      </c>
      <c r="F2814" s="200" t="s">
        <v>256</v>
      </c>
      <c r="G2814" s="200" t="s">
        <v>256</v>
      </c>
      <c r="H2814" s="200" t="s">
        <v>121</v>
      </c>
    </row>
    <row r="2815" spans="1:8" ht="15" customHeight="1">
      <c r="A2815" s="199">
        <v>45701</v>
      </c>
      <c r="B2815" s="202" t="s">
        <v>2449</v>
      </c>
      <c r="C2815" s="200" t="s">
        <v>204</v>
      </c>
      <c r="D2815" s="649">
        <v>-381500</v>
      </c>
      <c r="E2815" s="201">
        <v>45689</v>
      </c>
      <c r="F2815" s="200" t="s">
        <v>256</v>
      </c>
      <c r="G2815" s="200" t="s">
        <v>256</v>
      </c>
      <c r="H2815" s="200" t="s">
        <v>121</v>
      </c>
    </row>
    <row r="2816" spans="1:8" ht="15" customHeight="1">
      <c r="A2816" s="199">
        <v>45701</v>
      </c>
      <c r="B2816" s="202" t="s">
        <v>2450</v>
      </c>
      <c r="C2816" s="200" t="s">
        <v>204</v>
      </c>
      <c r="D2816" s="649">
        <v>-324970.34222222224</v>
      </c>
      <c r="E2816" s="201">
        <v>45689</v>
      </c>
      <c r="F2816" s="200" t="s">
        <v>256</v>
      </c>
      <c r="G2816" s="200" t="s">
        <v>256</v>
      </c>
      <c r="H2816" s="200" t="s">
        <v>121</v>
      </c>
    </row>
    <row r="2817" spans="1:9" ht="15" customHeight="1">
      <c r="A2817" s="199">
        <v>45701</v>
      </c>
      <c r="B2817" s="202" t="s">
        <v>2451</v>
      </c>
      <c r="C2817" s="200" t="s">
        <v>204</v>
      </c>
      <c r="D2817" s="649">
        <v>-10500000</v>
      </c>
      <c r="E2817" s="201">
        <v>45689</v>
      </c>
      <c r="F2817" s="200" t="s">
        <v>256</v>
      </c>
      <c r="G2817" s="200" t="s">
        <v>256</v>
      </c>
      <c r="H2817" s="200" t="s">
        <v>121</v>
      </c>
    </row>
    <row r="2818" spans="1:9" ht="15" customHeight="1">
      <c r="A2818" s="199">
        <v>45701</v>
      </c>
      <c r="B2818" s="202" t="s">
        <v>2452</v>
      </c>
      <c r="C2818" s="200" t="s">
        <v>204</v>
      </c>
      <c r="D2818" s="649">
        <v>-970605.5555555555</v>
      </c>
      <c r="E2818" s="201">
        <v>45689</v>
      </c>
      <c r="F2818" s="200" t="s">
        <v>256</v>
      </c>
      <c r="G2818" s="200" t="s">
        <v>256</v>
      </c>
      <c r="H2818" s="200" t="s">
        <v>121</v>
      </c>
    </row>
    <row r="2819" spans="1:9" ht="15" customHeight="1">
      <c r="A2819" s="199">
        <v>45701</v>
      </c>
      <c r="B2819" s="202" t="s">
        <v>2453</v>
      </c>
      <c r="C2819" s="200" t="s">
        <v>204</v>
      </c>
      <c r="D2819" s="649">
        <v>-1510791.75</v>
      </c>
      <c r="E2819" s="201">
        <v>45689</v>
      </c>
      <c r="F2819" s="200" t="s">
        <v>256</v>
      </c>
      <c r="G2819" s="200" t="s">
        <v>256</v>
      </c>
      <c r="H2819" s="200" t="s">
        <v>121</v>
      </c>
    </row>
    <row r="2820" spans="1:9" ht="15" customHeight="1">
      <c r="A2820" s="199">
        <v>45701</v>
      </c>
      <c r="B2820" s="202" t="s">
        <v>2454</v>
      </c>
      <c r="C2820" s="200" t="s">
        <v>204</v>
      </c>
      <c r="D2820" s="649">
        <v>-4400000</v>
      </c>
      <c r="E2820" s="201">
        <v>45689</v>
      </c>
      <c r="F2820" s="200" t="s">
        <v>256</v>
      </c>
      <c r="G2820" s="200" t="s">
        <v>256</v>
      </c>
      <c r="H2820" s="200" t="s">
        <v>121</v>
      </c>
    </row>
    <row r="2821" spans="1:9" ht="15" customHeight="1">
      <c r="A2821" s="199">
        <v>45701</v>
      </c>
      <c r="B2821" s="202" t="s">
        <v>2455</v>
      </c>
      <c r="C2821" s="200" t="s">
        <v>204</v>
      </c>
      <c r="D2821" s="649">
        <v>-10500000</v>
      </c>
      <c r="E2821" s="201">
        <v>45689</v>
      </c>
      <c r="F2821" s="200" t="s">
        <v>256</v>
      </c>
      <c r="G2821" s="200" t="s">
        <v>256</v>
      </c>
      <c r="H2821" s="200" t="s">
        <v>121</v>
      </c>
    </row>
    <row r="2822" spans="1:9" ht="15" customHeight="1">
      <c r="A2822" s="199">
        <v>45701</v>
      </c>
      <c r="B2822" s="202" t="s">
        <v>2456</v>
      </c>
      <c r="C2822" s="200" t="s">
        <v>204</v>
      </c>
      <c r="D2822" s="649">
        <v>-1826159.2777777778</v>
      </c>
      <c r="E2822" s="201">
        <v>45689</v>
      </c>
      <c r="F2822" s="200" t="s">
        <v>256</v>
      </c>
      <c r="G2822" s="200" t="s">
        <v>107</v>
      </c>
      <c r="H2822" s="200" t="s">
        <v>121</v>
      </c>
    </row>
    <row r="2823" spans="1:9" ht="15" customHeight="1">
      <c r="A2823" s="199">
        <v>45701</v>
      </c>
      <c r="B2823" s="202" t="s">
        <v>2457</v>
      </c>
      <c r="C2823" s="200" t="s">
        <v>204</v>
      </c>
      <c r="D2823" s="649">
        <v>-8002620.694444444</v>
      </c>
      <c r="E2823" s="201">
        <v>45689</v>
      </c>
      <c r="F2823" s="200" t="s">
        <v>256</v>
      </c>
      <c r="G2823" s="200" t="s">
        <v>107</v>
      </c>
      <c r="H2823" s="200" t="s">
        <v>121</v>
      </c>
    </row>
    <row r="2824" spans="1:9" ht="15" customHeight="1">
      <c r="A2824" s="199">
        <v>45701</v>
      </c>
      <c r="B2824" s="202" t="s">
        <v>2458</v>
      </c>
      <c r="C2824" s="200" t="s">
        <v>204</v>
      </c>
      <c r="D2824" s="649">
        <v>-290000</v>
      </c>
      <c r="E2824" s="201">
        <v>45689</v>
      </c>
      <c r="F2824" s="200" t="s">
        <v>256</v>
      </c>
      <c r="G2824" s="200" t="s">
        <v>107</v>
      </c>
      <c r="H2824" s="200" t="s">
        <v>121</v>
      </c>
      <c r="I2824" s="704"/>
    </row>
    <row r="2825" spans="1:9" ht="15" customHeight="1">
      <c r="A2825" s="199">
        <v>45701</v>
      </c>
      <c r="B2825" s="202" t="s">
        <v>2459</v>
      </c>
      <c r="C2825" s="200" t="s">
        <v>204</v>
      </c>
      <c r="D2825" s="649">
        <v>-1116649.1666666667</v>
      </c>
      <c r="E2825" s="201">
        <v>45689</v>
      </c>
      <c r="F2825" s="200" t="s">
        <v>296</v>
      </c>
      <c r="G2825" s="200" t="s">
        <v>44</v>
      </c>
      <c r="H2825" s="200" t="s">
        <v>429</v>
      </c>
    </row>
    <row r="2826" spans="1:9" ht="15" customHeight="1">
      <c r="A2826" s="199">
        <v>45701</v>
      </c>
      <c r="B2826" s="202" t="s">
        <v>2460</v>
      </c>
      <c r="C2826" s="200" t="s">
        <v>204</v>
      </c>
      <c r="D2826" s="649">
        <v>-357377.77777777775</v>
      </c>
      <c r="E2826" s="201">
        <v>45689</v>
      </c>
      <c r="F2826" s="200" t="s">
        <v>296</v>
      </c>
      <c r="G2826" s="200" t="s">
        <v>44</v>
      </c>
      <c r="H2826" s="200" t="s">
        <v>429</v>
      </c>
    </row>
    <row r="2827" spans="1:9" ht="15" customHeight="1">
      <c r="A2827" s="199">
        <v>45701</v>
      </c>
      <c r="B2827" s="202" t="s">
        <v>2461</v>
      </c>
      <c r="C2827" s="200" t="s">
        <v>204</v>
      </c>
      <c r="D2827" s="649">
        <v>-1057463.611111111</v>
      </c>
      <c r="E2827" s="201">
        <v>45689</v>
      </c>
      <c r="F2827" s="200" t="s">
        <v>296</v>
      </c>
      <c r="G2827" s="200" t="s">
        <v>44</v>
      </c>
      <c r="H2827" s="200" t="s">
        <v>429</v>
      </c>
    </row>
    <row r="2828" spans="1:9" ht="15" customHeight="1">
      <c r="A2828" s="199">
        <v>45701</v>
      </c>
      <c r="B2828" s="202" t="s">
        <v>2462</v>
      </c>
      <c r="C2828" s="200" t="s">
        <v>204</v>
      </c>
      <c r="D2828" s="649">
        <v>-357377.77777777775</v>
      </c>
      <c r="E2828" s="201">
        <v>45689</v>
      </c>
      <c r="F2828" s="200" t="s">
        <v>296</v>
      </c>
      <c r="G2828" s="200" t="s">
        <v>44</v>
      </c>
      <c r="H2828" s="200" t="s">
        <v>429</v>
      </c>
    </row>
    <row r="2829" spans="1:9" ht="15" customHeight="1">
      <c r="A2829" s="199">
        <v>45701</v>
      </c>
      <c r="B2829" s="202" t="s">
        <v>2463</v>
      </c>
      <c r="C2829" s="200" t="s">
        <v>204</v>
      </c>
      <c r="D2829" s="649">
        <v>-776416.66666666663</v>
      </c>
      <c r="E2829" s="201">
        <v>45689</v>
      </c>
      <c r="F2829" s="200" t="s">
        <v>296</v>
      </c>
      <c r="G2829" s="200" t="s">
        <v>44</v>
      </c>
      <c r="H2829" s="655" t="s">
        <v>338</v>
      </c>
    </row>
    <row r="2830" spans="1:9" ht="15" customHeight="1">
      <c r="A2830" s="199">
        <v>45701</v>
      </c>
      <c r="B2830" s="202" t="s">
        <v>2464</v>
      </c>
      <c r="C2830" s="200" t="s">
        <v>204</v>
      </c>
      <c r="D2830" s="649">
        <v>-1340727.9722222222</v>
      </c>
      <c r="E2830" s="201">
        <v>45689</v>
      </c>
      <c r="F2830" s="200" t="s">
        <v>296</v>
      </c>
      <c r="G2830" s="200" t="s">
        <v>44</v>
      </c>
      <c r="H2830" s="200" t="s">
        <v>429</v>
      </c>
      <c r="I2830" s="673"/>
    </row>
    <row r="2831" spans="1:9" ht="15" customHeight="1">
      <c r="A2831" s="199">
        <v>45701</v>
      </c>
      <c r="B2831" s="202" t="s">
        <v>2465</v>
      </c>
      <c r="C2831" s="200" t="s">
        <v>204</v>
      </c>
      <c r="D2831" s="649">
        <v>-503577.77777777775</v>
      </c>
      <c r="E2831" s="201">
        <v>45689</v>
      </c>
      <c r="F2831" s="200" t="s">
        <v>296</v>
      </c>
      <c r="G2831" s="200" t="s">
        <v>44</v>
      </c>
      <c r="H2831" s="200" t="s">
        <v>429</v>
      </c>
    </row>
    <row r="2832" spans="1:9" ht="15" customHeight="1">
      <c r="A2832" s="199">
        <v>45701</v>
      </c>
      <c r="B2832" s="202" t="s">
        <v>2466</v>
      </c>
      <c r="C2832" s="200" t="s">
        <v>204</v>
      </c>
      <c r="D2832" s="649">
        <v>-1459712.168888889</v>
      </c>
      <c r="E2832" s="201">
        <v>45689</v>
      </c>
      <c r="F2832" s="200" t="s">
        <v>296</v>
      </c>
      <c r="G2832" s="200" t="s">
        <v>337</v>
      </c>
      <c r="H2832" s="200" t="s">
        <v>429</v>
      </c>
    </row>
    <row r="2833" spans="1:8" ht="15" customHeight="1">
      <c r="A2833" s="199">
        <v>45701</v>
      </c>
      <c r="B2833" s="202" t="s">
        <v>2467</v>
      </c>
      <c r="C2833" s="200" t="s">
        <v>204</v>
      </c>
      <c r="D2833" s="649">
        <v>-1178483.361111111</v>
      </c>
      <c r="E2833" s="201">
        <v>45689</v>
      </c>
      <c r="F2833" s="200" t="s">
        <v>296</v>
      </c>
      <c r="G2833" s="200" t="s">
        <v>337</v>
      </c>
      <c r="H2833" s="200" t="s">
        <v>429</v>
      </c>
    </row>
    <row r="2834" spans="1:8" ht="15" customHeight="1">
      <c r="A2834" s="199">
        <v>45701</v>
      </c>
      <c r="B2834" s="202" t="s">
        <v>2468</v>
      </c>
      <c r="C2834" s="200" t="s">
        <v>204</v>
      </c>
      <c r="D2834" s="649">
        <v>-1227477.7777777778</v>
      </c>
      <c r="E2834" s="201">
        <v>45689</v>
      </c>
      <c r="F2834" s="200" t="s">
        <v>296</v>
      </c>
      <c r="G2834" s="200" t="s">
        <v>337</v>
      </c>
      <c r="H2834" s="200" t="s">
        <v>429</v>
      </c>
    </row>
    <row r="2835" spans="1:8" ht="15" customHeight="1">
      <c r="A2835" s="199">
        <v>45701</v>
      </c>
      <c r="B2835" s="202" t="s">
        <v>2469</v>
      </c>
      <c r="C2835" s="200" t="s">
        <v>204</v>
      </c>
      <c r="D2835" s="649">
        <v>-503577.77777777775</v>
      </c>
      <c r="E2835" s="201">
        <v>45689</v>
      </c>
      <c r="F2835" s="200" t="s">
        <v>296</v>
      </c>
      <c r="G2835" s="200" t="s">
        <v>337</v>
      </c>
      <c r="H2835" s="200" t="s">
        <v>429</v>
      </c>
    </row>
    <row r="2836" spans="1:8" ht="15" customHeight="1">
      <c r="A2836" s="199">
        <v>45701</v>
      </c>
      <c r="B2836" s="202" t="s">
        <v>2470</v>
      </c>
      <c r="C2836" s="200" t="s">
        <v>204</v>
      </c>
      <c r="D2836" s="649">
        <v>-357377.77777777775</v>
      </c>
      <c r="E2836" s="201">
        <v>45689</v>
      </c>
      <c r="F2836" s="200" t="s">
        <v>296</v>
      </c>
      <c r="G2836" s="200" t="s">
        <v>337</v>
      </c>
      <c r="H2836" s="200" t="s">
        <v>429</v>
      </c>
    </row>
    <row r="2837" spans="1:8" ht="15" customHeight="1">
      <c r="A2837" s="199">
        <v>45701</v>
      </c>
      <c r="B2837" s="202" t="s">
        <v>2471</v>
      </c>
      <c r="C2837" s="200" t="s">
        <v>204</v>
      </c>
      <c r="D2837" s="649">
        <v>-1088785.1122222221</v>
      </c>
      <c r="E2837" s="201">
        <v>45689</v>
      </c>
      <c r="F2837" s="200" t="s">
        <v>296</v>
      </c>
      <c r="G2837" s="200" t="s">
        <v>337</v>
      </c>
      <c r="H2837" s="200" t="s">
        <v>429</v>
      </c>
    </row>
    <row r="2838" spans="1:8" ht="15" customHeight="1">
      <c r="A2838" s="199">
        <v>45701</v>
      </c>
      <c r="B2838" s="202" t="s">
        <v>2472</v>
      </c>
      <c r="C2838" s="200" t="s">
        <v>204</v>
      </c>
      <c r="D2838" s="649">
        <v>-1056887.361111111</v>
      </c>
      <c r="E2838" s="201">
        <v>45689</v>
      </c>
      <c r="F2838" s="200" t="s">
        <v>296</v>
      </c>
      <c r="G2838" s="200" t="s">
        <v>337</v>
      </c>
      <c r="H2838" s="200" t="s">
        <v>429</v>
      </c>
    </row>
    <row r="2839" spans="1:8" ht="15" customHeight="1">
      <c r="A2839" s="199">
        <v>45701</v>
      </c>
      <c r="B2839" s="202" t="s">
        <v>2473</v>
      </c>
      <c r="C2839" s="200" t="s">
        <v>204</v>
      </c>
      <c r="D2839" s="649">
        <v>-638771.91666666663</v>
      </c>
      <c r="E2839" s="201">
        <v>45689</v>
      </c>
      <c r="F2839" s="200" t="s">
        <v>296</v>
      </c>
      <c r="G2839" s="200" t="s">
        <v>337</v>
      </c>
      <c r="H2839" s="200" t="s">
        <v>429</v>
      </c>
    </row>
    <row r="2840" spans="1:8" ht="15" customHeight="1">
      <c r="A2840" s="199">
        <v>45701</v>
      </c>
      <c r="B2840" s="202" t="s">
        <v>2474</v>
      </c>
      <c r="C2840" s="200" t="s">
        <v>204</v>
      </c>
      <c r="D2840" s="649">
        <v>-455433.19444444444</v>
      </c>
      <c r="E2840" s="201">
        <v>45689</v>
      </c>
      <c r="F2840" s="200" t="s">
        <v>296</v>
      </c>
      <c r="G2840" s="200" t="s">
        <v>337</v>
      </c>
      <c r="H2840" s="200" t="s">
        <v>429</v>
      </c>
    </row>
    <row r="2841" spans="1:8" ht="15" customHeight="1">
      <c r="A2841" s="199">
        <v>45701</v>
      </c>
      <c r="B2841" s="202" t="s">
        <v>2475</v>
      </c>
      <c r="C2841" s="200" t="s">
        <v>204</v>
      </c>
      <c r="D2841" s="649">
        <v>-647105.25</v>
      </c>
      <c r="E2841" s="201">
        <v>45689</v>
      </c>
      <c r="F2841" s="200" t="s">
        <v>296</v>
      </c>
      <c r="G2841" s="200" t="s">
        <v>337</v>
      </c>
      <c r="H2841" s="200" t="s">
        <v>429</v>
      </c>
    </row>
    <row r="2842" spans="1:8" ht="15" customHeight="1">
      <c r="A2842" s="199">
        <v>45701</v>
      </c>
      <c r="B2842" s="202" t="s">
        <v>2476</v>
      </c>
      <c r="C2842" s="200" t="s">
        <v>204</v>
      </c>
      <c r="D2842" s="649">
        <v>-516666.52777777775</v>
      </c>
      <c r="E2842" s="201">
        <v>45689</v>
      </c>
      <c r="F2842" s="200" t="s">
        <v>296</v>
      </c>
      <c r="G2842" s="200" t="s">
        <v>337</v>
      </c>
      <c r="H2842" s="200" t="s">
        <v>429</v>
      </c>
    </row>
    <row r="2843" spans="1:8" ht="15" customHeight="1">
      <c r="A2843" s="199">
        <v>45701</v>
      </c>
      <c r="B2843" s="202" t="s">
        <v>2477</v>
      </c>
      <c r="C2843" s="200" t="s">
        <v>204</v>
      </c>
      <c r="D2843" s="649">
        <v>-455433.19444444444</v>
      </c>
      <c r="E2843" s="201">
        <v>45689</v>
      </c>
      <c r="F2843" s="200" t="s">
        <v>296</v>
      </c>
      <c r="G2843" s="200" t="s">
        <v>337</v>
      </c>
      <c r="H2843" s="200" t="s">
        <v>429</v>
      </c>
    </row>
    <row r="2844" spans="1:8" ht="15" customHeight="1">
      <c r="A2844" s="199">
        <v>45701</v>
      </c>
      <c r="B2844" s="202" t="s">
        <v>2478</v>
      </c>
      <c r="C2844" s="200" t="s">
        <v>204</v>
      </c>
      <c r="D2844" s="649">
        <v>-638771.91666666663</v>
      </c>
      <c r="E2844" s="201">
        <v>45689</v>
      </c>
      <c r="F2844" s="200" t="s">
        <v>296</v>
      </c>
      <c r="G2844" s="200" t="s">
        <v>337</v>
      </c>
      <c r="H2844" s="200" t="s">
        <v>429</v>
      </c>
    </row>
    <row r="2845" spans="1:8" ht="15" customHeight="1">
      <c r="A2845" s="199">
        <v>45701</v>
      </c>
      <c r="B2845" s="202" t="s">
        <v>2479</v>
      </c>
      <c r="C2845" s="200" t="s">
        <v>204</v>
      </c>
      <c r="D2845" s="649">
        <v>-4000000</v>
      </c>
      <c r="E2845" s="201">
        <v>45689</v>
      </c>
      <c r="F2845" s="200" t="s">
        <v>296</v>
      </c>
      <c r="G2845" s="200" t="s">
        <v>337</v>
      </c>
      <c r="H2845" s="200" t="s">
        <v>429</v>
      </c>
    </row>
    <row r="2846" spans="1:8" ht="15" customHeight="1">
      <c r="A2846" s="199">
        <v>45701</v>
      </c>
      <c r="B2846" s="202" t="s">
        <v>2480</v>
      </c>
      <c r="C2846" s="200" t="s">
        <v>204</v>
      </c>
      <c r="D2846" s="649">
        <v>-1060344.8169444446</v>
      </c>
      <c r="E2846" s="201">
        <v>45689</v>
      </c>
      <c r="F2846" s="200" t="s">
        <v>296</v>
      </c>
      <c r="G2846" s="200" t="s">
        <v>337</v>
      </c>
      <c r="H2846" s="200" t="s">
        <v>429</v>
      </c>
    </row>
    <row r="2847" spans="1:8" ht="15" customHeight="1">
      <c r="A2847" s="199">
        <v>45701</v>
      </c>
      <c r="B2847" s="202" t="s">
        <v>2481</v>
      </c>
      <c r="C2847" s="200" t="s">
        <v>204</v>
      </c>
      <c r="D2847" s="649">
        <v>-503577.77777777775</v>
      </c>
      <c r="E2847" s="201">
        <v>45689</v>
      </c>
      <c r="F2847" s="200" t="s">
        <v>296</v>
      </c>
      <c r="G2847" s="200" t="s">
        <v>337</v>
      </c>
      <c r="H2847" s="200" t="s">
        <v>429</v>
      </c>
    </row>
    <row r="2848" spans="1:8" ht="15" customHeight="1">
      <c r="A2848" s="199">
        <v>45701</v>
      </c>
      <c r="B2848" s="202" t="s">
        <v>2482</v>
      </c>
      <c r="C2848" s="200" t="s">
        <v>204</v>
      </c>
      <c r="D2848" s="649">
        <v>-503577.77777777775</v>
      </c>
      <c r="E2848" s="201">
        <v>45689</v>
      </c>
      <c r="F2848" s="200" t="s">
        <v>296</v>
      </c>
      <c r="G2848" s="200" t="s">
        <v>337</v>
      </c>
      <c r="H2848" s="200" t="s">
        <v>429</v>
      </c>
    </row>
    <row r="2849" spans="1:9" ht="15" customHeight="1">
      <c r="A2849" s="199">
        <v>45701</v>
      </c>
      <c r="B2849" s="202" t="s">
        <v>2483</v>
      </c>
      <c r="C2849" s="200" t="s">
        <v>204</v>
      </c>
      <c r="D2849" s="649">
        <v>-1095008.5080555554</v>
      </c>
      <c r="E2849" s="201">
        <v>45689</v>
      </c>
      <c r="F2849" s="200" t="s">
        <v>296</v>
      </c>
      <c r="G2849" s="200" t="s">
        <v>337</v>
      </c>
      <c r="H2849" s="200" t="s">
        <v>429</v>
      </c>
    </row>
    <row r="2850" spans="1:9" ht="15" customHeight="1">
      <c r="A2850" s="199">
        <v>45701</v>
      </c>
      <c r="B2850" s="202" t="s">
        <v>2484</v>
      </c>
      <c r="C2850" s="200" t="s">
        <v>204</v>
      </c>
      <c r="D2850" s="649">
        <v>-2723051.8333333335</v>
      </c>
      <c r="E2850" s="201">
        <v>45689</v>
      </c>
      <c r="F2850" s="200" t="s">
        <v>296</v>
      </c>
      <c r="G2850" s="200" t="s">
        <v>337</v>
      </c>
      <c r="H2850" s="200" t="s">
        <v>429</v>
      </c>
    </row>
    <row r="2851" spans="1:9" ht="15" customHeight="1">
      <c r="A2851" s="199">
        <v>45701</v>
      </c>
      <c r="B2851" s="202" t="s">
        <v>2485</v>
      </c>
      <c r="C2851" s="200" t="s">
        <v>204</v>
      </c>
      <c r="D2851" s="649">
        <v>-455433.19444444444</v>
      </c>
      <c r="E2851" s="201">
        <v>45689</v>
      </c>
      <c r="F2851" s="200" t="s">
        <v>296</v>
      </c>
      <c r="G2851" s="200" t="s">
        <v>337</v>
      </c>
      <c r="H2851" s="200" t="s">
        <v>429</v>
      </c>
      <c r="I2851" s="704"/>
    </row>
    <row r="2852" spans="1:9" ht="15" customHeight="1">
      <c r="A2852" s="199">
        <v>45701</v>
      </c>
      <c r="B2852" s="202" t="s">
        <v>2486</v>
      </c>
      <c r="C2852" s="200" t="s">
        <v>204</v>
      </c>
      <c r="D2852" s="649">
        <v>-654849.83333333337</v>
      </c>
      <c r="E2852" s="201">
        <v>45689</v>
      </c>
      <c r="F2852" s="200" t="s">
        <v>296</v>
      </c>
      <c r="G2852" s="200" t="s">
        <v>522</v>
      </c>
      <c r="H2852" s="200" t="s">
        <v>1213</v>
      </c>
    </row>
    <row r="2853" spans="1:9" ht="15" customHeight="1">
      <c r="A2853" s="199">
        <v>45701</v>
      </c>
      <c r="B2853" s="202" t="s">
        <v>2487</v>
      </c>
      <c r="C2853" s="200" t="s">
        <v>204</v>
      </c>
      <c r="D2853" s="649">
        <v>-1802529.1213888889</v>
      </c>
      <c r="E2853" s="201">
        <v>45689</v>
      </c>
      <c r="F2853" s="200" t="s">
        <v>296</v>
      </c>
      <c r="G2853" s="200" t="s">
        <v>522</v>
      </c>
      <c r="H2853" s="200" t="s">
        <v>1213</v>
      </c>
    </row>
    <row r="2854" spans="1:9" ht="15" customHeight="1">
      <c r="A2854" s="199">
        <v>45701</v>
      </c>
      <c r="B2854" s="202" t="s">
        <v>2488</v>
      </c>
      <c r="C2854" s="200" t="s">
        <v>204</v>
      </c>
      <c r="D2854" s="649">
        <v>-357377.77777777775</v>
      </c>
      <c r="E2854" s="201">
        <v>45689</v>
      </c>
      <c r="F2854" s="200" t="s">
        <v>296</v>
      </c>
      <c r="G2854" s="200" t="s">
        <v>522</v>
      </c>
      <c r="H2854" s="200" t="s">
        <v>1213</v>
      </c>
    </row>
    <row r="2855" spans="1:9" ht="15" customHeight="1">
      <c r="A2855" s="199">
        <v>45701</v>
      </c>
      <c r="B2855" s="202" t="s">
        <v>2489</v>
      </c>
      <c r="C2855" s="200" t="s">
        <v>204</v>
      </c>
      <c r="D2855" s="649">
        <v>-1227477.7777777778</v>
      </c>
      <c r="E2855" s="201">
        <v>45689</v>
      </c>
      <c r="F2855" s="200" t="s">
        <v>296</v>
      </c>
      <c r="G2855" s="200" t="s">
        <v>453</v>
      </c>
      <c r="H2855" s="200" t="s">
        <v>121</v>
      </c>
      <c r="I2855" s="673"/>
    </row>
    <row r="2856" spans="1:9" ht="15" customHeight="1">
      <c r="A2856" s="199">
        <v>45701</v>
      </c>
      <c r="B2856" s="202" t="s">
        <v>2490</v>
      </c>
      <c r="C2856" s="200" t="s">
        <v>204</v>
      </c>
      <c r="D2856" s="649">
        <v>-1494166.6666666667</v>
      </c>
      <c r="E2856" s="201">
        <v>45689</v>
      </c>
      <c r="F2856" s="200" t="s">
        <v>296</v>
      </c>
      <c r="G2856" s="200" t="s">
        <v>453</v>
      </c>
      <c r="H2856" s="200" t="s">
        <v>121</v>
      </c>
    </row>
    <row r="2857" spans="1:9" ht="15" customHeight="1">
      <c r="A2857" s="199">
        <v>45701</v>
      </c>
      <c r="B2857" s="202" t="s">
        <v>2491</v>
      </c>
      <c r="C2857" s="200" t="s">
        <v>204</v>
      </c>
      <c r="D2857" s="649">
        <v>-311111.11111111112</v>
      </c>
      <c r="E2857" s="201">
        <v>45689</v>
      </c>
      <c r="F2857" s="200" t="s">
        <v>296</v>
      </c>
      <c r="G2857" s="200" t="s">
        <v>453</v>
      </c>
      <c r="H2857" s="200" t="s">
        <v>121</v>
      </c>
    </row>
    <row r="2858" spans="1:9" ht="15" customHeight="1">
      <c r="A2858" s="199">
        <v>45701</v>
      </c>
      <c r="B2858" s="202" t="s">
        <v>2492</v>
      </c>
      <c r="C2858" s="200" t="s">
        <v>204</v>
      </c>
      <c r="D2858" s="649">
        <v>-3254000</v>
      </c>
      <c r="E2858" s="201">
        <v>45689</v>
      </c>
      <c r="F2858" s="200" t="s">
        <v>296</v>
      </c>
      <c r="G2858" s="200" t="s">
        <v>453</v>
      </c>
      <c r="H2858" s="200" t="s">
        <v>121</v>
      </c>
    </row>
    <row r="2859" spans="1:9" ht="15" customHeight="1">
      <c r="A2859" s="199">
        <v>45701</v>
      </c>
      <c r="B2859" s="202" t="s">
        <v>2493</v>
      </c>
      <c r="C2859" s="200" t="s">
        <v>204</v>
      </c>
      <c r="D2859" s="649">
        <v>-433774.41666666669</v>
      </c>
      <c r="E2859" s="201">
        <v>45689</v>
      </c>
      <c r="F2859" s="200" t="s">
        <v>296</v>
      </c>
      <c r="G2859" s="200" t="s">
        <v>341</v>
      </c>
      <c r="H2859" s="200" t="s">
        <v>342</v>
      </c>
    </row>
    <row r="2860" spans="1:9" ht="15" customHeight="1">
      <c r="A2860" s="199">
        <v>45701</v>
      </c>
      <c r="B2860" s="202" t="s">
        <v>2494</v>
      </c>
      <c r="C2860" s="200" t="s">
        <v>204</v>
      </c>
      <c r="D2860" s="649">
        <v>-770000</v>
      </c>
      <c r="E2860" s="201">
        <v>45689</v>
      </c>
      <c r="F2860" s="200" t="s">
        <v>256</v>
      </c>
      <c r="G2860" s="200" t="s">
        <v>107</v>
      </c>
      <c r="H2860" s="200" t="s">
        <v>121</v>
      </c>
    </row>
    <row r="2861" spans="1:9" ht="15" customHeight="1">
      <c r="A2861" s="199">
        <v>45701</v>
      </c>
      <c r="B2861" s="202" t="s">
        <v>2495</v>
      </c>
      <c r="C2861" s="200" t="s">
        <v>204</v>
      </c>
      <c r="D2861" s="649">
        <v>-433774.41666666669</v>
      </c>
      <c r="E2861" s="201">
        <v>45689</v>
      </c>
      <c r="F2861" s="200" t="s">
        <v>296</v>
      </c>
      <c r="G2861" s="200" t="s">
        <v>341</v>
      </c>
      <c r="H2861" s="200" t="s">
        <v>342</v>
      </c>
    </row>
    <row r="2862" spans="1:9" ht="15" customHeight="1">
      <c r="A2862" s="199">
        <v>45701</v>
      </c>
      <c r="B2862" s="202" t="s">
        <v>2496</v>
      </c>
      <c r="C2862" s="200" t="s">
        <v>204</v>
      </c>
      <c r="D2862" s="649">
        <v>-257777.77777777778</v>
      </c>
      <c r="E2862" s="201">
        <v>45689</v>
      </c>
      <c r="F2862" s="200" t="s">
        <v>296</v>
      </c>
      <c r="G2862" s="200" t="s">
        <v>341</v>
      </c>
      <c r="H2862" s="200" t="s">
        <v>342</v>
      </c>
    </row>
    <row r="2863" spans="1:9" ht="15" customHeight="1">
      <c r="A2863" s="199">
        <v>45701</v>
      </c>
      <c r="B2863" s="202" t="s">
        <v>2497</v>
      </c>
      <c r="C2863" s="200" t="s">
        <v>204</v>
      </c>
      <c r="D2863" s="649">
        <v>-691369.58333333337</v>
      </c>
      <c r="E2863" s="201">
        <v>45689</v>
      </c>
      <c r="F2863" s="200" t="s">
        <v>296</v>
      </c>
      <c r="G2863" s="200" t="s">
        <v>341</v>
      </c>
      <c r="H2863" s="200" t="s">
        <v>342</v>
      </c>
    </row>
    <row r="2864" spans="1:9" ht="15" customHeight="1">
      <c r="A2864" s="199">
        <v>45701</v>
      </c>
      <c r="B2864" s="202" t="s">
        <v>2498</v>
      </c>
      <c r="C2864" s="200" t="s">
        <v>204</v>
      </c>
      <c r="D2864" s="649">
        <v>-69250</v>
      </c>
      <c r="E2864" s="201">
        <v>45689</v>
      </c>
      <c r="F2864" s="200" t="s">
        <v>296</v>
      </c>
      <c r="G2864" s="200" t="s">
        <v>341</v>
      </c>
      <c r="H2864" s="200" t="s">
        <v>342</v>
      </c>
      <c r="I2864" s="648" t="s">
        <v>329</v>
      </c>
    </row>
    <row r="2865" spans="1:9" ht="15" customHeight="1">
      <c r="A2865" s="199">
        <v>45701</v>
      </c>
      <c r="B2865" s="202" t="s">
        <v>2499</v>
      </c>
      <c r="C2865" s="200" t="s">
        <v>204</v>
      </c>
      <c r="D2865" s="649">
        <v>-139431.48148148149</v>
      </c>
      <c r="E2865" s="201">
        <v>45689</v>
      </c>
      <c r="F2865" s="200" t="s">
        <v>296</v>
      </c>
      <c r="G2865" s="200" t="s">
        <v>2271</v>
      </c>
      <c r="H2865" s="200" t="s">
        <v>567</v>
      </c>
    </row>
    <row r="2866" spans="1:9" ht="15" customHeight="1">
      <c r="A2866" s="199">
        <v>45701</v>
      </c>
      <c r="B2866" s="202" t="s">
        <v>2499</v>
      </c>
      <c r="C2866" s="200" t="s">
        <v>204</v>
      </c>
      <c r="D2866" s="649">
        <v>-139431.48148148149</v>
      </c>
      <c r="E2866" s="201">
        <v>45689</v>
      </c>
      <c r="F2866" s="200" t="s">
        <v>296</v>
      </c>
      <c r="G2866" s="200" t="s">
        <v>45</v>
      </c>
      <c r="H2866" s="200" t="s">
        <v>567</v>
      </c>
    </row>
    <row r="2867" spans="1:9" ht="15" customHeight="1">
      <c r="A2867" s="199">
        <v>45701</v>
      </c>
      <c r="B2867" s="202" t="s">
        <v>2499</v>
      </c>
      <c r="C2867" s="200" t="s">
        <v>204</v>
      </c>
      <c r="D2867" s="649">
        <v>-139431.48148148149</v>
      </c>
      <c r="E2867" s="201">
        <v>45689</v>
      </c>
      <c r="F2867" s="200" t="s">
        <v>296</v>
      </c>
      <c r="G2867" s="200" t="s">
        <v>43</v>
      </c>
      <c r="H2867" s="200" t="s">
        <v>567</v>
      </c>
    </row>
    <row r="2868" spans="1:9" ht="15" customHeight="1">
      <c r="A2868" s="199">
        <v>45701</v>
      </c>
      <c r="B2868" s="202" t="s">
        <v>2499</v>
      </c>
      <c r="C2868" s="200" t="s">
        <v>204</v>
      </c>
      <c r="D2868" s="649">
        <v>-139431.48148148149</v>
      </c>
      <c r="E2868" s="201">
        <v>45689</v>
      </c>
      <c r="F2868" s="200" t="s">
        <v>296</v>
      </c>
      <c r="G2868" s="200" t="s">
        <v>328</v>
      </c>
      <c r="H2868" s="200" t="s">
        <v>567</v>
      </c>
    </row>
    <row r="2869" spans="1:9" ht="15" customHeight="1">
      <c r="A2869" s="199">
        <v>45701</v>
      </c>
      <c r="B2869" s="202" t="s">
        <v>2499</v>
      </c>
      <c r="C2869" s="200" t="s">
        <v>204</v>
      </c>
      <c r="D2869" s="649">
        <v>-139431.48148148149</v>
      </c>
      <c r="E2869" s="201">
        <v>45689</v>
      </c>
      <c r="F2869" s="200" t="s">
        <v>297</v>
      </c>
      <c r="G2869" s="200" t="s">
        <v>311</v>
      </c>
      <c r="H2869" s="200" t="s">
        <v>567</v>
      </c>
    </row>
    <row r="2870" spans="1:9" ht="15" customHeight="1">
      <c r="A2870" s="199">
        <v>45701</v>
      </c>
      <c r="B2870" s="202" t="s">
        <v>2499</v>
      </c>
      <c r="C2870" s="200" t="s">
        <v>204</v>
      </c>
      <c r="D2870" s="649">
        <v>-139431.48148148149</v>
      </c>
      <c r="E2870" s="201">
        <v>45689</v>
      </c>
      <c r="F2870" s="200" t="s">
        <v>297</v>
      </c>
      <c r="G2870" s="200" t="s">
        <v>75</v>
      </c>
      <c r="H2870" s="200" t="s">
        <v>567</v>
      </c>
    </row>
    <row r="2871" spans="1:9" ht="15" customHeight="1">
      <c r="A2871" s="199">
        <v>45701</v>
      </c>
      <c r="B2871" s="202" t="s">
        <v>2500</v>
      </c>
      <c r="C2871" s="200" t="s">
        <v>204</v>
      </c>
      <c r="D2871" s="649">
        <v>-195952.77777777778</v>
      </c>
      <c r="E2871" s="201">
        <v>45689</v>
      </c>
      <c r="F2871" s="200" t="s">
        <v>296</v>
      </c>
      <c r="G2871" s="200" t="s">
        <v>2271</v>
      </c>
      <c r="H2871" s="200" t="s">
        <v>567</v>
      </c>
    </row>
    <row r="2872" spans="1:9" ht="15" customHeight="1">
      <c r="A2872" s="199">
        <v>45701</v>
      </c>
      <c r="B2872" s="202" t="s">
        <v>2500</v>
      </c>
      <c r="C2872" s="200" t="s">
        <v>204</v>
      </c>
      <c r="D2872" s="649">
        <v>-195952.77777777778</v>
      </c>
      <c r="E2872" s="201">
        <v>45689</v>
      </c>
      <c r="F2872" s="200" t="s">
        <v>296</v>
      </c>
      <c r="G2872" s="200" t="s">
        <v>45</v>
      </c>
      <c r="H2872" s="200" t="s">
        <v>567</v>
      </c>
    </row>
    <row r="2873" spans="1:9" ht="15" customHeight="1">
      <c r="A2873" s="199">
        <v>45701</v>
      </c>
      <c r="B2873" s="202" t="s">
        <v>2500</v>
      </c>
      <c r="C2873" s="200" t="s">
        <v>204</v>
      </c>
      <c r="D2873" s="649">
        <v>-195952.77777777778</v>
      </c>
      <c r="E2873" s="201">
        <v>45689</v>
      </c>
      <c r="F2873" s="200" t="s">
        <v>296</v>
      </c>
      <c r="G2873" s="200" t="s">
        <v>43</v>
      </c>
      <c r="H2873" s="200" t="s">
        <v>567</v>
      </c>
    </row>
    <row r="2874" spans="1:9" ht="15" customHeight="1">
      <c r="A2874" s="199">
        <v>45701</v>
      </c>
      <c r="B2874" s="202" t="s">
        <v>2500</v>
      </c>
      <c r="C2874" s="200" t="s">
        <v>204</v>
      </c>
      <c r="D2874" s="649">
        <v>-195952.77777777778</v>
      </c>
      <c r="E2874" s="201">
        <v>45689</v>
      </c>
      <c r="F2874" s="200" t="s">
        <v>296</v>
      </c>
      <c r="G2874" s="200" t="s">
        <v>328</v>
      </c>
      <c r="H2874" s="200" t="s">
        <v>567</v>
      </c>
    </row>
    <row r="2875" spans="1:9" ht="15" customHeight="1">
      <c r="A2875" s="199">
        <v>45701</v>
      </c>
      <c r="B2875" s="202" t="s">
        <v>2500</v>
      </c>
      <c r="C2875" s="200" t="s">
        <v>204</v>
      </c>
      <c r="D2875" s="649">
        <v>-195952.77777777778</v>
      </c>
      <c r="E2875" s="201">
        <v>45689</v>
      </c>
      <c r="F2875" s="200" t="s">
        <v>297</v>
      </c>
      <c r="G2875" s="200" t="s">
        <v>311</v>
      </c>
      <c r="H2875" s="200" t="s">
        <v>567</v>
      </c>
    </row>
    <row r="2876" spans="1:9" ht="15" customHeight="1">
      <c r="A2876" s="199">
        <v>45701</v>
      </c>
      <c r="B2876" s="202" t="s">
        <v>2500</v>
      </c>
      <c r="C2876" s="200" t="s">
        <v>204</v>
      </c>
      <c r="D2876" s="649">
        <v>-195952.77777777778</v>
      </c>
      <c r="E2876" s="201">
        <v>45689</v>
      </c>
      <c r="F2876" s="200" t="s">
        <v>297</v>
      </c>
      <c r="G2876" s="200" t="s">
        <v>75</v>
      </c>
      <c r="H2876" s="200" t="s">
        <v>567</v>
      </c>
    </row>
    <row r="2877" spans="1:9" ht="15" customHeight="1">
      <c r="A2877" s="199">
        <v>45701</v>
      </c>
      <c r="B2877" s="202" t="s">
        <v>2501</v>
      </c>
      <c r="C2877" s="200" t="s">
        <v>204</v>
      </c>
      <c r="D2877" s="649">
        <v>-213500</v>
      </c>
      <c r="E2877" s="201">
        <v>45689</v>
      </c>
      <c r="F2877" s="200" t="s">
        <v>296</v>
      </c>
      <c r="G2877" s="200" t="s">
        <v>337</v>
      </c>
      <c r="H2877" s="655" t="s">
        <v>338</v>
      </c>
      <c r="I2877" s="648" t="s">
        <v>329</v>
      </c>
    </row>
    <row r="2878" spans="1:9" ht="15" customHeight="1">
      <c r="A2878" s="199">
        <v>45701</v>
      </c>
      <c r="B2878" s="202" t="s">
        <v>2501</v>
      </c>
      <c r="C2878" s="200" t="s">
        <v>204</v>
      </c>
      <c r="D2878" s="649">
        <v>-213500</v>
      </c>
      <c r="E2878" s="201">
        <v>45689</v>
      </c>
      <c r="F2878" s="200" t="s">
        <v>296</v>
      </c>
      <c r="G2878" s="200" t="s">
        <v>44</v>
      </c>
      <c r="H2878" s="655" t="s">
        <v>338</v>
      </c>
      <c r="I2878" s="705" t="s">
        <v>329</v>
      </c>
    </row>
    <row r="2879" spans="1:9" ht="15" customHeight="1">
      <c r="A2879" s="199">
        <v>45701</v>
      </c>
      <c r="B2879" s="202" t="s">
        <v>2501</v>
      </c>
      <c r="C2879" s="200" t="s">
        <v>204</v>
      </c>
      <c r="D2879" s="649">
        <v>-213500</v>
      </c>
      <c r="E2879" s="201">
        <v>45689</v>
      </c>
      <c r="F2879" s="200" t="s">
        <v>296</v>
      </c>
      <c r="G2879" s="200" t="s">
        <v>522</v>
      </c>
      <c r="H2879" s="655" t="s">
        <v>338</v>
      </c>
      <c r="I2879" s="648" t="s">
        <v>329</v>
      </c>
    </row>
    <row r="2880" spans="1:9" ht="15" customHeight="1">
      <c r="A2880" s="199">
        <v>45701</v>
      </c>
      <c r="B2880" s="202" t="s">
        <v>2502</v>
      </c>
      <c r="C2880" s="200" t="s">
        <v>204</v>
      </c>
      <c r="D2880" s="649">
        <v>-443666.66666666669</v>
      </c>
      <c r="E2880" s="201">
        <v>45689</v>
      </c>
      <c r="F2880" s="200" t="s">
        <v>296</v>
      </c>
      <c r="G2880" s="200" t="s">
        <v>2271</v>
      </c>
      <c r="H2880" s="200" t="s">
        <v>567</v>
      </c>
      <c r="I2880" s="673"/>
    </row>
    <row r="2881" spans="1:8" ht="15" customHeight="1">
      <c r="A2881" s="199">
        <v>45701</v>
      </c>
      <c r="B2881" s="202" t="s">
        <v>2502</v>
      </c>
      <c r="C2881" s="200" t="s">
        <v>204</v>
      </c>
      <c r="D2881" s="649">
        <v>-443666.66666666669</v>
      </c>
      <c r="E2881" s="201">
        <v>45689</v>
      </c>
      <c r="F2881" s="200" t="s">
        <v>296</v>
      </c>
      <c r="G2881" s="200" t="s">
        <v>45</v>
      </c>
      <c r="H2881" s="200" t="s">
        <v>567</v>
      </c>
    </row>
    <row r="2882" spans="1:8" ht="15" customHeight="1">
      <c r="A2882" s="199">
        <v>45701</v>
      </c>
      <c r="B2882" s="202" t="s">
        <v>2502</v>
      </c>
      <c r="C2882" s="200" t="s">
        <v>204</v>
      </c>
      <c r="D2882" s="649">
        <v>-443666.66666666669</v>
      </c>
      <c r="E2882" s="201">
        <v>45689</v>
      </c>
      <c r="F2882" s="200" t="s">
        <v>296</v>
      </c>
      <c r="G2882" s="200" t="s">
        <v>43</v>
      </c>
      <c r="H2882" s="200" t="s">
        <v>567</v>
      </c>
    </row>
    <row r="2883" spans="1:8" ht="15" customHeight="1">
      <c r="A2883" s="199">
        <v>45701</v>
      </c>
      <c r="B2883" s="202" t="s">
        <v>2502</v>
      </c>
      <c r="C2883" s="200" t="s">
        <v>204</v>
      </c>
      <c r="D2883" s="649">
        <v>-443666.66666666669</v>
      </c>
      <c r="E2883" s="201">
        <v>45689</v>
      </c>
      <c r="F2883" s="200" t="s">
        <v>296</v>
      </c>
      <c r="G2883" s="200" t="s">
        <v>328</v>
      </c>
      <c r="H2883" s="200" t="s">
        <v>567</v>
      </c>
    </row>
    <row r="2884" spans="1:8" ht="15" customHeight="1">
      <c r="A2884" s="199">
        <v>45701</v>
      </c>
      <c r="B2884" s="202" t="s">
        <v>2502</v>
      </c>
      <c r="C2884" s="200" t="s">
        <v>204</v>
      </c>
      <c r="D2884" s="649">
        <v>-443666.66666666669</v>
      </c>
      <c r="E2884" s="201">
        <v>45689</v>
      </c>
      <c r="F2884" s="200" t="s">
        <v>297</v>
      </c>
      <c r="G2884" s="200" t="s">
        <v>311</v>
      </c>
      <c r="H2884" s="200" t="s">
        <v>567</v>
      </c>
    </row>
    <row r="2885" spans="1:8" ht="15" customHeight="1">
      <c r="A2885" s="199">
        <v>45701</v>
      </c>
      <c r="B2885" s="202" t="s">
        <v>2502</v>
      </c>
      <c r="C2885" s="200" t="s">
        <v>204</v>
      </c>
      <c r="D2885" s="649">
        <v>-443666.66666666669</v>
      </c>
      <c r="E2885" s="201">
        <v>45689</v>
      </c>
      <c r="F2885" s="200" t="s">
        <v>297</v>
      </c>
      <c r="G2885" s="200" t="s">
        <v>75</v>
      </c>
      <c r="H2885" s="200" t="s">
        <v>567</v>
      </c>
    </row>
    <row r="2886" spans="1:8" ht="15" customHeight="1">
      <c r="A2886" s="199">
        <v>45701</v>
      </c>
      <c r="B2886" s="202" t="s">
        <v>2503</v>
      </c>
      <c r="C2886" s="200" t="s">
        <v>204</v>
      </c>
      <c r="D2886" s="649">
        <v>-288266.66666666669</v>
      </c>
      <c r="E2886" s="201">
        <v>45689</v>
      </c>
      <c r="F2886" s="200" t="s">
        <v>296</v>
      </c>
      <c r="G2886" s="200" t="s">
        <v>2271</v>
      </c>
      <c r="H2886" s="200" t="s">
        <v>567</v>
      </c>
    </row>
    <row r="2887" spans="1:8" ht="15" customHeight="1">
      <c r="A2887" s="199">
        <v>45701</v>
      </c>
      <c r="B2887" s="202" t="s">
        <v>2503</v>
      </c>
      <c r="C2887" s="200" t="s">
        <v>204</v>
      </c>
      <c r="D2887" s="649">
        <v>-288266.66666666669</v>
      </c>
      <c r="E2887" s="201">
        <v>45689</v>
      </c>
      <c r="F2887" s="200" t="s">
        <v>296</v>
      </c>
      <c r="G2887" s="200" t="s">
        <v>45</v>
      </c>
      <c r="H2887" s="200" t="s">
        <v>567</v>
      </c>
    </row>
    <row r="2888" spans="1:8" ht="15" customHeight="1">
      <c r="A2888" s="199">
        <v>45701</v>
      </c>
      <c r="B2888" s="202" t="s">
        <v>2503</v>
      </c>
      <c r="C2888" s="200" t="s">
        <v>204</v>
      </c>
      <c r="D2888" s="649">
        <v>-288266.66666666669</v>
      </c>
      <c r="E2888" s="201">
        <v>45689</v>
      </c>
      <c r="F2888" s="200" t="s">
        <v>296</v>
      </c>
      <c r="G2888" s="200" t="s">
        <v>43</v>
      </c>
      <c r="H2888" s="200" t="s">
        <v>567</v>
      </c>
    </row>
    <row r="2889" spans="1:8" ht="15" customHeight="1">
      <c r="A2889" s="199">
        <v>45701</v>
      </c>
      <c r="B2889" s="202" t="s">
        <v>2503</v>
      </c>
      <c r="C2889" s="200" t="s">
        <v>204</v>
      </c>
      <c r="D2889" s="649">
        <v>-288266.66666666669</v>
      </c>
      <c r="E2889" s="201">
        <v>45689</v>
      </c>
      <c r="F2889" s="200" t="s">
        <v>296</v>
      </c>
      <c r="G2889" s="200" t="s">
        <v>328</v>
      </c>
      <c r="H2889" s="200" t="s">
        <v>567</v>
      </c>
    </row>
    <row r="2890" spans="1:8" ht="15" customHeight="1">
      <c r="A2890" s="199">
        <v>45701</v>
      </c>
      <c r="B2890" s="202" t="s">
        <v>2503</v>
      </c>
      <c r="C2890" s="200" t="s">
        <v>204</v>
      </c>
      <c r="D2890" s="649">
        <v>-288266.66666666669</v>
      </c>
      <c r="E2890" s="201">
        <v>45689</v>
      </c>
      <c r="F2890" s="200" t="s">
        <v>297</v>
      </c>
      <c r="G2890" s="200" t="s">
        <v>311</v>
      </c>
      <c r="H2890" s="200" t="s">
        <v>567</v>
      </c>
    </row>
    <row r="2891" spans="1:8" ht="15" customHeight="1">
      <c r="A2891" s="199">
        <v>45701</v>
      </c>
      <c r="B2891" s="202" t="s">
        <v>2503</v>
      </c>
      <c r="C2891" s="200" t="s">
        <v>204</v>
      </c>
      <c r="D2891" s="649">
        <v>-288266.66666666669</v>
      </c>
      <c r="E2891" s="201">
        <v>45689</v>
      </c>
      <c r="F2891" s="200" t="s">
        <v>297</v>
      </c>
      <c r="G2891" s="200" t="s">
        <v>75</v>
      </c>
      <c r="H2891" s="200" t="s">
        <v>567</v>
      </c>
    </row>
    <row r="2892" spans="1:8" ht="15" customHeight="1">
      <c r="A2892" s="199">
        <v>45701</v>
      </c>
      <c r="B2892" s="202" t="s">
        <v>2504</v>
      </c>
      <c r="C2892" s="200" t="s">
        <v>204</v>
      </c>
      <c r="D2892" s="649">
        <v>-317899.81944444444</v>
      </c>
      <c r="E2892" s="201">
        <v>45689</v>
      </c>
      <c r="F2892" s="200" t="s">
        <v>296</v>
      </c>
      <c r="G2892" s="200" t="s">
        <v>2271</v>
      </c>
      <c r="H2892" s="200" t="s">
        <v>567</v>
      </c>
    </row>
    <row r="2893" spans="1:8" ht="15" customHeight="1">
      <c r="A2893" s="199">
        <v>45701</v>
      </c>
      <c r="B2893" s="202" t="s">
        <v>2504</v>
      </c>
      <c r="C2893" s="200" t="s">
        <v>204</v>
      </c>
      <c r="D2893" s="649">
        <v>-317899.81944444444</v>
      </c>
      <c r="E2893" s="201">
        <v>45689</v>
      </c>
      <c r="F2893" s="200" t="s">
        <v>296</v>
      </c>
      <c r="G2893" s="200" t="s">
        <v>45</v>
      </c>
      <c r="H2893" s="200" t="s">
        <v>567</v>
      </c>
    </row>
    <row r="2894" spans="1:8" ht="15" customHeight="1">
      <c r="A2894" s="199">
        <v>45701</v>
      </c>
      <c r="B2894" s="202" t="s">
        <v>2504</v>
      </c>
      <c r="C2894" s="200" t="s">
        <v>204</v>
      </c>
      <c r="D2894" s="649">
        <v>-317899.81944444444</v>
      </c>
      <c r="E2894" s="201">
        <v>45689</v>
      </c>
      <c r="F2894" s="200" t="s">
        <v>296</v>
      </c>
      <c r="G2894" s="200" t="s">
        <v>43</v>
      </c>
      <c r="H2894" s="200" t="s">
        <v>567</v>
      </c>
    </row>
    <row r="2895" spans="1:8" ht="15" customHeight="1">
      <c r="A2895" s="199">
        <v>45701</v>
      </c>
      <c r="B2895" s="202" t="s">
        <v>2504</v>
      </c>
      <c r="C2895" s="200" t="s">
        <v>204</v>
      </c>
      <c r="D2895" s="649">
        <v>-317899.81944444444</v>
      </c>
      <c r="E2895" s="201">
        <v>45689</v>
      </c>
      <c r="F2895" s="200" t="s">
        <v>296</v>
      </c>
      <c r="G2895" s="200" t="s">
        <v>328</v>
      </c>
      <c r="H2895" s="200" t="s">
        <v>567</v>
      </c>
    </row>
    <row r="2896" spans="1:8" ht="15" customHeight="1">
      <c r="A2896" s="199">
        <v>45701</v>
      </c>
      <c r="B2896" s="202" t="s">
        <v>2504</v>
      </c>
      <c r="C2896" s="200" t="s">
        <v>204</v>
      </c>
      <c r="D2896" s="649">
        <v>-317899.81944444444</v>
      </c>
      <c r="E2896" s="201">
        <v>45689</v>
      </c>
      <c r="F2896" s="200" t="s">
        <v>297</v>
      </c>
      <c r="G2896" s="200" t="s">
        <v>311</v>
      </c>
      <c r="H2896" s="200" t="s">
        <v>567</v>
      </c>
    </row>
    <row r="2897" spans="1:8" ht="15" customHeight="1">
      <c r="A2897" s="199">
        <v>45701</v>
      </c>
      <c r="B2897" s="202" t="s">
        <v>2504</v>
      </c>
      <c r="C2897" s="200" t="s">
        <v>204</v>
      </c>
      <c r="D2897" s="649">
        <v>-317899.81944444444</v>
      </c>
      <c r="E2897" s="201">
        <v>45689</v>
      </c>
      <c r="F2897" s="200" t="s">
        <v>297</v>
      </c>
      <c r="G2897" s="200" t="s">
        <v>75</v>
      </c>
      <c r="H2897" s="200" t="s">
        <v>567</v>
      </c>
    </row>
    <row r="2898" spans="1:8" ht="15" customHeight="1">
      <c r="A2898" s="199">
        <v>45701</v>
      </c>
      <c r="B2898" s="202" t="s">
        <v>2505</v>
      </c>
      <c r="C2898" s="200" t="s">
        <v>204</v>
      </c>
      <c r="D2898" s="649">
        <v>-524583.33333333337</v>
      </c>
      <c r="E2898" s="201">
        <v>45689</v>
      </c>
      <c r="F2898" s="200" t="s">
        <v>296</v>
      </c>
      <c r="G2898" s="200" t="s">
        <v>2271</v>
      </c>
      <c r="H2898" s="200" t="s">
        <v>567</v>
      </c>
    </row>
    <row r="2899" spans="1:8" ht="15" customHeight="1">
      <c r="A2899" s="199">
        <v>45701</v>
      </c>
      <c r="B2899" s="202" t="s">
        <v>2505</v>
      </c>
      <c r="C2899" s="200" t="s">
        <v>204</v>
      </c>
      <c r="D2899" s="649">
        <v>-524583.33333333337</v>
      </c>
      <c r="E2899" s="201">
        <v>45689</v>
      </c>
      <c r="F2899" s="200" t="s">
        <v>296</v>
      </c>
      <c r="G2899" s="200" t="s">
        <v>45</v>
      </c>
      <c r="H2899" s="200" t="s">
        <v>567</v>
      </c>
    </row>
    <row r="2900" spans="1:8" ht="15" customHeight="1">
      <c r="A2900" s="199">
        <v>45701</v>
      </c>
      <c r="B2900" s="202" t="s">
        <v>2505</v>
      </c>
      <c r="C2900" s="200" t="s">
        <v>204</v>
      </c>
      <c r="D2900" s="649">
        <v>-524583.33333333337</v>
      </c>
      <c r="E2900" s="201">
        <v>45689</v>
      </c>
      <c r="F2900" s="200" t="s">
        <v>296</v>
      </c>
      <c r="G2900" s="200" t="s">
        <v>43</v>
      </c>
      <c r="H2900" s="200" t="s">
        <v>567</v>
      </c>
    </row>
    <row r="2901" spans="1:8" ht="15" customHeight="1">
      <c r="A2901" s="199">
        <v>45701</v>
      </c>
      <c r="B2901" s="202" t="s">
        <v>2505</v>
      </c>
      <c r="C2901" s="200" t="s">
        <v>204</v>
      </c>
      <c r="D2901" s="649">
        <v>-524583.33333333337</v>
      </c>
      <c r="E2901" s="201">
        <v>45689</v>
      </c>
      <c r="F2901" s="200" t="s">
        <v>296</v>
      </c>
      <c r="G2901" s="200" t="s">
        <v>328</v>
      </c>
      <c r="H2901" s="200" t="s">
        <v>567</v>
      </c>
    </row>
    <row r="2902" spans="1:8" ht="15" customHeight="1">
      <c r="A2902" s="199">
        <v>45701</v>
      </c>
      <c r="B2902" s="202" t="s">
        <v>2505</v>
      </c>
      <c r="C2902" s="200" t="s">
        <v>204</v>
      </c>
      <c r="D2902" s="649">
        <v>-524583.33333333337</v>
      </c>
      <c r="E2902" s="201">
        <v>45689</v>
      </c>
      <c r="F2902" s="200" t="s">
        <v>297</v>
      </c>
      <c r="G2902" s="200" t="s">
        <v>311</v>
      </c>
      <c r="H2902" s="200" t="s">
        <v>567</v>
      </c>
    </row>
    <row r="2903" spans="1:8" ht="15" customHeight="1">
      <c r="A2903" s="199">
        <v>45701</v>
      </c>
      <c r="B2903" s="202" t="s">
        <v>2505</v>
      </c>
      <c r="C2903" s="200" t="s">
        <v>204</v>
      </c>
      <c r="D2903" s="649">
        <v>-524583.33333333337</v>
      </c>
      <c r="E2903" s="201">
        <v>45689</v>
      </c>
      <c r="F2903" s="200" t="s">
        <v>297</v>
      </c>
      <c r="G2903" s="200" t="s">
        <v>75</v>
      </c>
      <c r="H2903" s="200" t="s">
        <v>567</v>
      </c>
    </row>
    <row r="2904" spans="1:8" ht="15" customHeight="1">
      <c r="A2904" s="199">
        <v>45701</v>
      </c>
      <c r="B2904" s="202" t="s">
        <v>2506</v>
      </c>
      <c r="C2904" s="200" t="s">
        <v>204</v>
      </c>
      <c r="D2904" s="649">
        <v>-246369.79166666666</v>
      </c>
      <c r="E2904" s="201">
        <v>45689</v>
      </c>
      <c r="F2904" s="200" t="s">
        <v>296</v>
      </c>
      <c r="G2904" s="200" t="s">
        <v>2271</v>
      </c>
      <c r="H2904" s="200" t="s">
        <v>567</v>
      </c>
    </row>
    <row r="2905" spans="1:8" ht="15" customHeight="1">
      <c r="A2905" s="199">
        <v>45701</v>
      </c>
      <c r="B2905" s="202" t="s">
        <v>2506</v>
      </c>
      <c r="C2905" s="200" t="s">
        <v>204</v>
      </c>
      <c r="D2905" s="649">
        <v>-246369.79166666666</v>
      </c>
      <c r="E2905" s="201">
        <v>45689</v>
      </c>
      <c r="F2905" s="200" t="s">
        <v>296</v>
      </c>
      <c r="G2905" s="200" t="s">
        <v>45</v>
      </c>
      <c r="H2905" s="200" t="s">
        <v>567</v>
      </c>
    </row>
    <row r="2906" spans="1:8" ht="15" customHeight="1">
      <c r="A2906" s="199">
        <v>45701</v>
      </c>
      <c r="B2906" s="202" t="s">
        <v>2506</v>
      </c>
      <c r="C2906" s="200" t="s">
        <v>204</v>
      </c>
      <c r="D2906" s="649">
        <v>-246369.79166666666</v>
      </c>
      <c r="E2906" s="201">
        <v>45689</v>
      </c>
      <c r="F2906" s="200" t="s">
        <v>296</v>
      </c>
      <c r="G2906" s="200" t="s">
        <v>43</v>
      </c>
      <c r="H2906" s="200" t="s">
        <v>567</v>
      </c>
    </row>
    <row r="2907" spans="1:8" ht="15" customHeight="1">
      <c r="A2907" s="199">
        <v>45701</v>
      </c>
      <c r="B2907" s="202" t="s">
        <v>2506</v>
      </c>
      <c r="C2907" s="200" t="s">
        <v>204</v>
      </c>
      <c r="D2907" s="649">
        <v>-246369.79166666666</v>
      </c>
      <c r="E2907" s="201">
        <v>45689</v>
      </c>
      <c r="F2907" s="200" t="s">
        <v>296</v>
      </c>
      <c r="G2907" s="200" t="s">
        <v>328</v>
      </c>
      <c r="H2907" s="200" t="s">
        <v>567</v>
      </c>
    </row>
    <row r="2908" spans="1:8" ht="15" customHeight="1">
      <c r="A2908" s="199">
        <v>45701</v>
      </c>
      <c r="B2908" s="202" t="s">
        <v>2506</v>
      </c>
      <c r="C2908" s="200" t="s">
        <v>204</v>
      </c>
      <c r="D2908" s="649">
        <v>-246369.79166666666</v>
      </c>
      <c r="E2908" s="201">
        <v>45689</v>
      </c>
      <c r="F2908" s="200" t="s">
        <v>297</v>
      </c>
      <c r="G2908" s="200" t="s">
        <v>311</v>
      </c>
      <c r="H2908" s="200" t="s">
        <v>567</v>
      </c>
    </row>
    <row r="2909" spans="1:8" ht="15" customHeight="1">
      <c r="A2909" s="199">
        <v>45701</v>
      </c>
      <c r="B2909" s="202" t="s">
        <v>2506</v>
      </c>
      <c r="C2909" s="200" t="s">
        <v>204</v>
      </c>
      <c r="D2909" s="649">
        <v>-246369.79166666666</v>
      </c>
      <c r="E2909" s="201">
        <v>45689</v>
      </c>
      <c r="F2909" s="200" t="s">
        <v>297</v>
      </c>
      <c r="G2909" s="200" t="s">
        <v>75</v>
      </c>
      <c r="H2909" s="200" t="s">
        <v>567</v>
      </c>
    </row>
    <row r="2910" spans="1:8" ht="15" customHeight="1">
      <c r="A2910" s="199">
        <v>45701</v>
      </c>
      <c r="B2910" s="202" t="s">
        <v>2507</v>
      </c>
      <c r="C2910" s="200" t="s">
        <v>204</v>
      </c>
      <c r="D2910" s="649">
        <v>-60916.666666666664</v>
      </c>
      <c r="E2910" s="201">
        <v>45689</v>
      </c>
      <c r="F2910" s="200" t="s">
        <v>296</v>
      </c>
      <c r="G2910" s="200" t="s">
        <v>2271</v>
      </c>
      <c r="H2910" s="200" t="s">
        <v>342</v>
      </c>
    </row>
    <row r="2911" spans="1:8" ht="15" customHeight="1">
      <c r="A2911" s="199">
        <v>45701</v>
      </c>
      <c r="B2911" s="202" t="s">
        <v>2507</v>
      </c>
      <c r="C2911" s="200" t="s">
        <v>204</v>
      </c>
      <c r="D2911" s="649">
        <v>-60916.666666666664</v>
      </c>
      <c r="E2911" s="201">
        <v>45689</v>
      </c>
      <c r="F2911" s="200" t="s">
        <v>296</v>
      </c>
      <c r="G2911" s="200" t="s">
        <v>45</v>
      </c>
      <c r="H2911" s="200" t="s">
        <v>342</v>
      </c>
    </row>
    <row r="2912" spans="1:8" ht="15" customHeight="1">
      <c r="A2912" s="199">
        <v>45701</v>
      </c>
      <c r="B2912" s="202" t="s">
        <v>2507</v>
      </c>
      <c r="C2912" s="200" t="s">
        <v>204</v>
      </c>
      <c r="D2912" s="649">
        <v>-60916.666666666664</v>
      </c>
      <c r="E2912" s="201">
        <v>45689</v>
      </c>
      <c r="F2912" s="200" t="s">
        <v>296</v>
      </c>
      <c r="G2912" s="200" t="s">
        <v>43</v>
      </c>
      <c r="H2912" s="200" t="s">
        <v>342</v>
      </c>
    </row>
    <row r="2913" spans="1:8" ht="15" customHeight="1">
      <c r="A2913" s="199">
        <v>45701</v>
      </c>
      <c r="B2913" s="202" t="s">
        <v>2507</v>
      </c>
      <c r="C2913" s="200" t="s">
        <v>204</v>
      </c>
      <c r="D2913" s="649">
        <v>-60916.666666666664</v>
      </c>
      <c r="E2913" s="201">
        <v>45689</v>
      </c>
      <c r="F2913" s="200" t="s">
        <v>296</v>
      </c>
      <c r="G2913" s="200" t="s">
        <v>328</v>
      </c>
      <c r="H2913" s="200" t="s">
        <v>342</v>
      </c>
    </row>
    <row r="2914" spans="1:8" ht="15" customHeight="1">
      <c r="A2914" s="199">
        <v>45701</v>
      </c>
      <c r="B2914" s="202" t="s">
        <v>2507</v>
      </c>
      <c r="C2914" s="200" t="s">
        <v>204</v>
      </c>
      <c r="D2914" s="649">
        <v>-60916.666666666664</v>
      </c>
      <c r="E2914" s="201">
        <v>45689</v>
      </c>
      <c r="F2914" s="200" t="s">
        <v>297</v>
      </c>
      <c r="G2914" s="200" t="s">
        <v>311</v>
      </c>
      <c r="H2914" s="200" t="s">
        <v>342</v>
      </c>
    </row>
    <row r="2915" spans="1:8" ht="15" customHeight="1">
      <c r="A2915" s="199">
        <v>45701</v>
      </c>
      <c r="B2915" s="202" t="s">
        <v>2507</v>
      </c>
      <c r="C2915" s="200" t="s">
        <v>204</v>
      </c>
      <c r="D2915" s="649">
        <v>-60916.666666666664</v>
      </c>
      <c r="E2915" s="201">
        <v>45689</v>
      </c>
      <c r="F2915" s="200" t="s">
        <v>297</v>
      </c>
      <c r="G2915" s="200" t="s">
        <v>75</v>
      </c>
      <c r="H2915" s="200" t="s">
        <v>342</v>
      </c>
    </row>
    <row r="2916" spans="1:8" ht="15" customHeight="1">
      <c r="A2916" s="199">
        <v>45701</v>
      </c>
      <c r="B2916" s="202" t="s">
        <v>2508</v>
      </c>
      <c r="C2916" s="200" t="s">
        <v>204</v>
      </c>
      <c r="D2916" s="649">
        <v>-142460.07870370371</v>
      </c>
      <c r="E2916" s="201">
        <v>45689</v>
      </c>
      <c r="F2916" s="200" t="s">
        <v>296</v>
      </c>
      <c r="G2916" s="200" t="s">
        <v>2271</v>
      </c>
      <c r="H2916" s="200" t="s">
        <v>342</v>
      </c>
    </row>
    <row r="2917" spans="1:8" ht="15" customHeight="1">
      <c r="A2917" s="199">
        <v>45701</v>
      </c>
      <c r="B2917" s="202" t="s">
        <v>2508</v>
      </c>
      <c r="C2917" s="200" t="s">
        <v>204</v>
      </c>
      <c r="D2917" s="649">
        <v>-142460.07870370371</v>
      </c>
      <c r="E2917" s="201">
        <v>45689</v>
      </c>
      <c r="F2917" s="200" t="s">
        <v>296</v>
      </c>
      <c r="G2917" s="200" t="s">
        <v>45</v>
      </c>
      <c r="H2917" s="200" t="s">
        <v>342</v>
      </c>
    </row>
    <row r="2918" spans="1:8" ht="15" customHeight="1">
      <c r="A2918" s="199">
        <v>45701</v>
      </c>
      <c r="B2918" s="202" t="s">
        <v>2508</v>
      </c>
      <c r="C2918" s="200" t="s">
        <v>204</v>
      </c>
      <c r="D2918" s="649">
        <v>-142460.07870370371</v>
      </c>
      <c r="E2918" s="201">
        <v>45689</v>
      </c>
      <c r="F2918" s="200" t="s">
        <v>296</v>
      </c>
      <c r="G2918" s="200" t="s">
        <v>43</v>
      </c>
      <c r="H2918" s="200" t="s">
        <v>342</v>
      </c>
    </row>
    <row r="2919" spans="1:8" ht="15" customHeight="1">
      <c r="A2919" s="199">
        <v>45701</v>
      </c>
      <c r="B2919" s="202" t="s">
        <v>2508</v>
      </c>
      <c r="C2919" s="200" t="s">
        <v>204</v>
      </c>
      <c r="D2919" s="649">
        <v>-142460.07870370371</v>
      </c>
      <c r="E2919" s="201">
        <v>45689</v>
      </c>
      <c r="F2919" s="200" t="s">
        <v>296</v>
      </c>
      <c r="G2919" s="200" t="s">
        <v>328</v>
      </c>
      <c r="H2919" s="200" t="s">
        <v>342</v>
      </c>
    </row>
    <row r="2920" spans="1:8" ht="15" customHeight="1">
      <c r="A2920" s="199">
        <v>45701</v>
      </c>
      <c r="B2920" s="202" t="s">
        <v>2508</v>
      </c>
      <c r="C2920" s="200" t="s">
        <v>204</v>
      </c>
      <c r="D2920" s="649">
        <v>-142460.07870370371</v>
      </c>
      <c r="E2920" s="201">
        <v>45689</v>
      </c>
      <c r="F2920" s="200" t="s">
        <v>297</v>
      </c>
      <c r="G2920" s="200" t="s">
        <v>311</v>
      </c>
      <c r="H2920" s="200" t="s">
        <v>342</v>
      </c>
    </row>
    <row r="2921" spans="1:8" ht="15" customHeight="1">
      <c r="A2921" s="199">
        <v>45701</v>
      </c>
      <c r="B2921" s="202" t="s">
        <v>2508</v>
      </c>
      <c r="C2921" s="200" t="s">
        <v>204</v>
      </c>
      <c r="D2921" s="649">
        <v>-142460.07870370371</v>
      </c>
      <c r="E2921" s="201">
        <v>45689</v>
      </c>
      <c r="F2921" s="200" t="s">
        <v>297</v>
      </c>
      <c r="G2921" s="200" t="s">
        <v>75</v>
      </c>
      <c r="H2921" s="200" t="s">
        <v>342</v>
      </c>
    </row>
    <row r="2922" spans="1:8" ht="15" customHeight="1">
      <c r="A2922" s="199">
        <v>45701</v>
      </c>
      <c r="B2922" s="202" t="s">
        <v>2509</v>
      </c>
      <c r="C2922" s="200" t="s">
        <v>204</v>
      </c>
      <c r="D2922" s="649">
        <v>-140020.24537037036</v>
      </c>
      <c r="E2922" s="201">
        <v>45689</v>
      </c>
      <c r="F2922" s="200" t="s">
        <v>296</v>
      </c>
      <c r="G2922" s="200" t="s">
        <v>2271</v>
      </c>
      <c r="H2922" s="200" t="s">
        <v>342</v>
      </c>
    </row>
    <row r="2923" spans="1:8" ht="15" customHeight="1">
      <c r="A2923" s="199">
        <v>45701</v>
      </c>
      <c r="B2923" s="202" t="s">
        <v>2509</v>
      </c>
      <c r="C2923" s="200" t="s">
        <v>204</v>
      </c>
      <c r="D2923" s="649">
        <v>-140020.24537037036</v>
      </c>
      <c r="E2923" s="201">
        <v>45689</v>
      </c>
      <c r="F2923" s="200" t="s">
        <v>296</v>
      </c>
      <c r="G2923" s="200" t="s">
        <v>45</v>
      </c>
      <c r="H2923" s="200" t="s">
        <v>342</v>
      </c>
    </row>
    <row r="2924" spans="1:8" ht="15" customHeight="1">
      <c r="A2924" s="199">
        <v>45701</v>
      </c>
      <c r="B2924" s="202" t="s">
        <v>2509</v>
      </c>
      <c r="C2924" s="200" t="s">
        <v>204</v>
      </c>
      <c r="D2924" s="649">
        <v>-140020.24537037036</v>
      </c>
      <c r="E2924" s="201">
        <v>45689</v>
      </c>
      <c r="F2924" s="200" t="s">
        <v>296</v>
      </c>
      <c r="G2924" s="200" t="s">
        <v>43</v>
      </c>
      <c r="H2924" s="200" t="s">
        <v>342</v>
      </c>
    </row>
    <row r="2925" spans="1:8" ht="15" customHeight="1">
      <c r="A2925" s="199">
        <v>45701</v>
      </c>
      <c r="B2925" s="202" t="s">
        <v>2509</v>
      </c>
      <c r="C2925" s="200" t="s">
        <v>204</v>
      </c>
      <c r="D2925" s="649">
        <v>-140020.24537037036</v>
      </c>
      <c r="E2925" s="201">
        <v>45689</v>
      </c>
      <c r="F2925" s="200" t="s">
        <v>296</v>
      </c>
      <c r="G2925" s="200" t="s">
        <v>328</v>
      </c>
      <c r="H2925" s="200" t="s">
        <v>342</v>
      </c>
    </row>
    <row r="2926" spans="1:8" ht="15" customHeight="1">
      <c r="A2926" s="199">
        <v>45701</v>
      </c>
      <c r="B2926" s="202" t="s">
        <v>2509</v>
      </c>
      <c r="C2926" s="200" t="s">
        <v>204</v>
      </c>
      <c r="D2926" s="649">
        <v>-140020.24537037036</v>
      </c>
      <c r="E2926" s="201">
        <v>45689</v>
      </c>
      <c r="F2926" s="200" t="s">
        <v>297</v>
      </c>
      <c r="G2926" s="200" t="s">
        <v>311</v>
      </c>
      <c r="H2926" s="200" t="s">
        <v>342</v>
      </c>
    </row>
    <row r="2927" spans="1:8" ht="15" customHeight="1">
      <c r="A2927" s="199">
        <v>45701</v>
      </c>
      <c r="B2927" s="202" t="s">
        <v>2509</v>
      </c>
      <c r="C2927" s="200" t="s">
        <v>204</v>
      </c>
      <c r="D2927" s="649">
        <v>-140020.24537037036</v>
      </c>
      <c r="E2927" s="201">
        <v>45689</v>
      </c>
      <c r="F2927" s="200" t="s">
        <v>297</v>
      </c>
      <c r="G2927" s="200" t="s">
        <v>75</v>
      </c>
      <c r="H2927" s="200" t="s">
        <v>342</v>
      </c>
    </row>
    <row r="2928" spans="1:8" ht="15" customHeight="1">
      <c r="A2928" s="199">
        <v>45701</v>
      </c>
      <c r="B2928" s="202" t="s">
        <v>2510</v>
      </c>
      <c r="C2928" s="200" t="s">
        <v>204</v>
      </c>
      <c r="D2928" s="649">
        <v>-1070000</v>
      </c>
      <c r="E2928" s="201">
        <v>45689</v>
      </c>
      <c r="F2928" s="200" t="s">
        <v>296</v>
      </c>
      <c r="G2928" s="200" t="s">
        <v>2271</v>
      </c>
      <c r="H2928" s="200" t="s">
        <v>342</v>
      </c>
    </row>
    <row r="2929" spans="1:8" ht="15" customHeight="1">
      <c r="A2929" s="199">
        <v>45701</v>
      </c>
      <c r="B2929" s="202" t="s">
        <v>2510</v>
      </c>
      <c r="C2929" s="200" t="s">
        <v>204</v>
      </c>
      <c r="D2929" s="649">
        <v>-1070000</v>
      </c>
      <c r="E2929" s="201">
        <v>45689</v>
      </c>
      <c r="F2929" s="200" t="s">
        <v>296</v>
      </c>
      <c r="G2929" s="200" t="s">
        <v>45</v>
      </c>
      <c r="H2929" s="200" t="s">
        <v>342</v>
      </c>
    </row>
    <row r="2930" spans="1:8" ht="15" customHeight="1">
      <c r="A2930" s="199">
        <v>45701</v>
      </c>
      <c r="B2930" s="202" t="s">
        <v>2510</v>
      </c>
      <c r="C2930" s="200" t="s">
        <v>204</v>
      </c>
      <c r="D2930" s="649">
        <v>-1070000</v>
      </c>
      <c r="E2930" s="201">
        <v>45689</v>
      </c>
      <c r="F2930" s="200" t="s">
        <v>296</v>
      </c>
      <c r="G2930" s="200" t="s">
        <v>43</v>
      </c>
      <c r="H2930" s="200" t="s">
        <v>342</v>
      </c>
    </row>
    <row r="2931" spans="1:8" ht="15" customHeight="1">
      <c r="A2931" s="199">
        <v>45701</v>
      </c>
      <c r="B2931" s="202" t="s">
        <v>2510</v>
      </c>
      <c r="C2931" s="200" t="s">
        <v>204</v>
      </c>
      <c r="D2931" s="649">
        <v>-1070000</v>
      </c>
      <c r="E2931" s="201">
        <v>45689</v>
      </c>
      <c r="F2931" s="200" t="s">
        <v>296</v>
      </c>
      <c r="G2931" s="200" t="s">
        <v>328</v>
      </c>
      <c r="H2931" s="200" t="s">
        <v>342</v>
      </c>
    </row>
    <row r="2932" spans="1:8" ht="15" customHeight="1">
      <c r="A2932" s="199">
        <v>45701</v>
      </c>
      <c r="B2932" s="202" t="s">
        <v>2510</v>
      </c>
      <c r="C2932" s="200" t="s">
        <v>204</v>
      </c>
      <c r="D2932" s="649">
        <v>-1070000</v>
      </c>
      <c r="E2932" s="201">
        <v>45689</v>
      </c>
      <c r="F2932" s="200" t="s">
        <v>297</v>
      </c>
      <c r="G2932" s="200" t="s">
        <v>311</v>
      </c>
      <c r="H2932" s="200" t="s">
        <v>342</v>
      </c>
    </row>
    <row r="2933" spans="1:8" ht="15" customHeight="1">
      <c r="A2933" s="199">
        <v>45701</v>
      </c>
      <c r="B2933" s="202" t="s">
        <v>2510</v>
      </c>
      <c r="C2933" s="200" t="s">
        <v>204</v>
      </c>
      <c r="D2933" s="649">
        <v>-1070000</v>
      </c>
      <c r="E2933" s="201">
        <v>45689</v>
      </c>
      <c r="F2933" s="200" t="s">
        <v>297</v>
      </c>
      <c r="G2933" s="200" t="s">
        <v>75</v>
      </c>
      <c r="H2933" s="200" t="s">
        <v>342</v>
      </c>
    </row>
    <row r="2934" spans="1:8" ht="15" customHeight="1">
      <c r="A2934" s="199">
        <v>45701</v>
      </c>
      <c r="B2934" s="202" t="s">
        <v>2511</v>
      </c>
      <c r="C2934" s="200" t="s">
        <v>204</v>
      </c>
      <c r="D2934" s="649">
        <v>-225551.23458333337</v>
      </c>
      <c r="E2934" s="201">
        <v>45689</v>
      </c>
      <c r="F2934" s="200" t="s">
        <v>296</v>
      </c>
      <c r="G2934" s="200" t="s">
        <v>2271</v>
      </c>
      <c r="H2934" s="200" t="s">
        <v>342</v>
      </c>
    </row>
    <row r="2935" spans="1:8" ht="15" customHeight="1">
      <c r="A2935" s="199">
        <v>45701</v>
      </c>
      <c r="B2935" s="202" t="s">
        <v>2511</v>
      </c>
      <c r="C2935" s="200" t="s">
        <v>204</v>
      </c>
      <c r="D2935" s="649">
        <v>-225551.23458333337</v>
      </c>
      <c r="E2935" s="201">
        <v>45689</v>
      </c>
      <c r="F2935" s="200" t="s">
        <v>296</v>
      </c>
      <c r="G2935" s="200" t="s">
        <v>45</v>
      </c>
      <c r="H2935" s="200" t="s">
        <v>342</v>
      </c>
    </row>
    <row r="2936" spans="1:8" ht="15" customHeight="1">
      <c r="A2936" s="199">
        <v>45701</v>
      </c>
      <c r="B2936" s="202" t="s">
        <v>2511</v>
      </c>
      <c r="C2936" s="200" t="s">
        <v>204</v>
      </c>
      <c r="D2936" s="649">
        <v>-225551.23458333337</v>
      </c>
      <c r="E2936" s="201">
        <v>45689</v>
      </c>
      <c r="F2936" s="200" t="s">
        <v>296</v>
      </c>
      <c r="G2936" s="200" t="s">
        <v>43</v>
      </c>
      <c r="H2936" s="200" t="s">
        <v>342</v>
      </c>
    </row>
    <row r="2937" spans="1:8" ht="15" customHeight="1">
      <c r="A2937" s="199">
        <v>45701</v>
      </c>
      <c r="B2937" s="202" t="s">
        <v>2511</v>
      </c>
      <c r="C2937" s="200" t="s">
        <v>204</v>
      </c>
      <c r="D2937" s="649">
        <v>-225551.23458333337</v>
      </c>
      <c r="E2937" s="201">
        <v>45689</v>
      </c>
      <c r="F2937" s="200" t="s">
        <v>296</v>
      </c>
      <c r="G2937" s="200" t="s">
        <v>328</v>
      </c>
      <c r="H2937" s="200" t="s">
        <v>342</v>
      </c>
    </row>
    <row r="2938" spans="1:8" ht="15" customHeight="1">
      <c r="A2938" s="199">
        <v>45701</v>
      </c>
      <c r="B2938" s="202" t="s">
        <v>2511</v>
      </c>
      <c r="C2938" s="200" t="s">
        <v>204</v>
      </c>
      <c r="D2938" s="649">
        <v>-225551.23458333337</v>
      </c>
      <c r="E2938" s="201">
        <v>45689</v>
      </c>
      <c r="F2938" s="200" t="s">
        <v>297</v>
      </c>
      <c r="G2938" s="200" t="s">
        <v>311</v>
      </c>
      <c r="H2938" s="200" t="s">
        <v>342</v>
      </c>
    </row>
    <row r="2939" spans="1:8" ht="15" customHeight="1">
      <c r="A2939" s="199">
        <v>45701</v>
      </c>
      <c r="B2939" s="202" t="s">
        <v>2511</v>
      </c>
      <c r="C2939" s="200" t="s">
        <v>204</v>
      </c>
      <c r="D2939" s="649">
        <v>-225551.23458333337</v>
      </c>
      <c r="E2939" s="201">
        <v>45689</v>
      </c>
      <c r="F2939" s="200" t="s">
        <v>297</v>
      </c>
      <c r="G2939" s="200" t="s">
        <v>75</v>
      </c>
      <c r="H2939" s="200" t="s">
        <v>342</v>
      </c>
    </row>
    <row r="2940" spans="1:8" ht="15" customHeight="1">
      <c r="A2940" s="199">
        <v>45701</v>
      </c>
      <c r="B2940" s="202" t="s">
        <v>2512</v>
      </c>
      <c r="C2940" s="200" t="s">
        <v>204</v>
      </c>
      <c r="D2940" s="649">
        <v>-244444.90277777778</v>
      </c>
      <c r="E2940" s="201">
        <v>45689</v>
      </c>
      <c r="F2940" s="200" t="s">
        <v>296</v>
      </c>
      <c r="G2940" s="200" t="s">
        <v>2271</v>
      </c>
      <c r="H2940" s="200" t="s">
        <v>342</v>
      </c>
    </row>
    <row r="2941" spans="1:8" ht="15" customHeight="1">
      <c r="A2941" s="199">
        <v>45701</v>
      </c>
      <c r="B2941" s="202" t="s">
        <v>2512</v>
      </c>
      <c r="C2941" s="200" t="s">
        <v>204</v>
      </c>
      <c r="D2941" s="649">
        <v>-244444.90277777778</v>
      </c>
      <c r="E2941" s="201">
        <v>45689</v>
      </c>
      <c r="F2941" s="200" t="s">
        <v>296</v>
      </c>
      <c r="G2941" s="200" t="s">
        <v>45</v>
      </c>
      <c r="H2941" s="200" t="s">
        <v>342</v>
      </c>
    </row>
    <row r="2942" spans="1:8" ht="15" customHeight="1">
      <c r="A2942" s="199">
        <v>45701</v>
      </c>
      <c r="B2942" s="202" t="s">
        <v>2512</v>
      </c>
      <c r="C2942" s="200" t="s">
        <v>204</v>
      </c>
      <c r="D2942" s="649">
        <v>-244444.90277777778</v>
      </c>
      <c r="E2942" s="201">
        <v>45689</v>
      </c>
      <c r="F2942" s="200" t="s">
        <v>296</v>
      </c>
      <c r="G2942" s="200" t="s">
        <v>43</v>
      </c>
      <c r="H2942" s="200" t="s">
        <v>342</v>
      </c>
    </row>
    <row r="2943" spans="1:8" ht="15" customHeight="1">
      <c r="A2943" s="199">
        <v>45701</v>
      </c>
      <c r="B2943" s="202" t="s">
        <v>2512</v>
      </c>
      <c r="C2943" s="200" t="s">
        <v>204</v>
      </c>
      <c r="D2943" s="649">
        <v>-244444.90277777778</v>
      </c>
      <c r="E2943" s="201">
        <v>45689</v>
      </c>
      <c r="F2943" s="200" t="s">
        <v>296</v>
      </c>
      <c r="G2943" s="200" t="s">
        <v>328</v>
      </c>
      <c r="H2943" s="200" t="s">
        <v>342</v>
      </c>
    </row>
    <row r="2944" spans="1:8" ht="15" customHeight="1">
      <c r="A2944" s="199">
        <v>45701</v>
      </c>
      <c r="B2944" s="202" t="s">
        <v>2512</v>
      </c>
      <c r="C2944" s="200" t="s">
        <v>204</v>
      </c>
      <c r="D2944" s="649">
        <v>-244444.90277777778</v>
      </c>
      <c r="E2944" s="201">
        <v>45689</v>
      </c>
      <c r="F2944" s="200" t="s">
        <v>297</v>
      </c>
      <c r="G2944" s="200" t="s">
        <v>311</v>
      </c>
      <c r="H2944" s="200" t="s">
        <v>342</v>
      </c>
    </row>
    <row r="2945" spans="1:8" ht="15" customHeight="1">
      <c r="A2945" s="199">
        <v>45701</v>
      </c>
      <c r="B2945" s="202" t="s">
        <v>2512</v>
      </c>
      <c r="C2945" s="200" t="s">
        <v>204</v>
      </c>
      <c r="D2945" s="649">
        <v>-244444.90277777778</v>
      </c>
      <c r="E2945" s="201">
        <v>45689</v>
      </c>
      <c r="F2945" s="200" t="s">
        <v>297</v>
      </c>
      <c r="G2945" s="200" t="s">
        <v>75</v>
      </c>
      <c r="H2945" s="200" t="s">
        <v>342</v>
      </c>
    </row>
    <row r="2946" spans="1:8" ht="15" customHeight="1">
      <c r="A2946" s="199">
        <v>45701</v>
      </c>
      <c r="B2946" s="202" t="s">
        <v>2513</v>
      </c>
      <c r="C2946" s="200" t="s">
        <v>204</v>
      </c>
      <c r="D2946" s="649">
        <v>-300496.38652777782</v>
      </c>
      <c r="E2946" s="201">
        <v>45689</v>
      </c>
      <c r="F2946" s="200" t="s">
        <v>296</v>
      </c>
      <c r="G2946" s="200" t="s">
        <v>2271</v>
      </c>
      <c r="H2946" s="200" t="s">
        <v>342</v>
      </c>
    </row>
    <row r="2947" spans="1:8" ht="15" customHeight="1">
      <c r="A2947" s="199">
        <v>45701</v>
      </c>
      <c r="B2947" s="202" t="s">
        <v>2513</v>
      </c>
      <c r="C2947" s="200" t="s">
        <v>204</v>
      </c>
      <c r="D2947" s="649">
        <v>-300496.38652777782</v>
      </c>
      <c r="E2947" s="201">
        <v>45689</v>
      </c>
      <c r="F2947" s="200" t="s">
        <v>296</v>
      </c>
      <c r="G2947" s="200" t="s">
        <v>45</v>
      </c>
      <c r="H2947" s="200" t="s">
        <v>342</v>
      </c>
    </row>
    <row r="2948" spans="1:8" ht="15" customHeight="1">
      <c r="A2948" s="199">
        <v>45701</v>
      </c>
      <c r="B2948" s="202" t="s">
        <v>2513</v>
      </c>
      <c r="C2948" s="200" t="s">
        <v>204</v>
      </c>
      <c r="D2948" s="649">
        <v>-300496.38652777782</v>
      </c>
      <c r="E2948" s="201">
        <v>45689</v>
      </c>
      <c r="F2948" s="200" t="s">
        <v>296</v>
      </c>
      <c r="G2948" s="200" t="s">
        <v>43</v>
      </c>
      <c r="H2948" s="200" t="s">
        <v>342</v>
      </c>
    </row>
    <row r="2949" spans="1:8" ht="15" customHeight="1">
      <c r="A2949" s="199">
        <v>45701</v>
      </c>
      <c r="B2949" s="202" t="s">
        <v>2513</v>
      </c>
      <c r="C2949" s="200" t="s">
        <v>204</v>
      </c>
      <c r="D2949" s="649">
        <v>-300496.38652777782</v>
      </c>
      <c r="E2949" s="201">
        <v>45689</v>
      </c>
      <c r="F2949" s="200" t="s">
        <v>296</v>
      </c>
      <c r="G2949" s="200" t="s">
        <v>328</v>
      </c>
      <c r="H2949" s="200" t="s">
        <v>342</v>
      </c>
    </row>
    <row r="2950" spans="1:8" ht="15" customHeight="1">
      <c r="A2950" s="199">
        <v>45701</v>
      </c>
      <c r="B2950" s="202" t="s">
        <v>2513</v>
      </c>
      <c r="C2950" s="200" t="s">
        <v>204</v>
      </c>
      <c r="D2950" s="649">
        <v>-300496.38652777782</v>
      </c>
      <c r="E2950" s="201">
        <v>45689</v>
      </c>
      <c r="F2950" s="200" t="s">
        <v>297</v>
      </c>
      <c r="G2950" s="200" t="s">
        <v>311</v>
      </c>
      <c r="H2950" s="200" t="s">
        <v>342</v>
      </c>
    </row>
    <row r="2951" spans="1:8" ht="15" customHeight="1">
      <c r="A2951" s="199">
        <v>45701</v>
      </c>
      <c r="B2951" s="202" t="s">
        <v>2513</v>
      </c>
      <c r="C2951" s="200" t="s">
        <v>204</v>
      </c>
      <c r="D2951" s="649">
        <v>-300496.38652777782</v>
      </c>
      <c r="E2951" s="201">
        <v>45689</v>
      </c>
      <c r="F2951" s="200" t="s">
        <v>297</v>
      </c>
      <c r="G2951" s="200" t="s">
        <v>75</v>
      </c>
      <c r="H2951" s="200" t="s">
        <v>342</v>
      </c>
    </row>
    <row r="2952" spans="1:8" ht="15" customHeight="1">
      <c r="A2952" s="199">
        <v>45701</v>
      </c>
      <c r="B2952" s="202" t="s">
        <v>2514</v>
      </c>
      <c r="C2952" s="200" t="s">
        <v>204</v>
      </c>
      <c r="D2952" s="649">
        <v>-224650.125</v>
      </c>
      <c r="E2952" s="201">
        <v>45689</v>
      </c>
      <c r="F2952" s="200" t="s">
        <v>296</v>
      </c>
      <c r="G2952" s="200" t="s">
        <v>2271</v>
      </c>
      <c r="H2952" s="200" t="s">
        <v>342</v>
      </c>
    </row>
    <row r="2953" spans="1:8" ht="15" customHeight="1">
      <c r="A2953" s="199">
        <v>45701</v>
      </c>
      <c r="B2953" s="202" t="s">
        <v>2514</v>
      </c>
      <c r="C2953" s="200" t="s">
        <v>204</v>
      </c>
      <c r="D2953" s="649">
        <v>-224650.125</v>
      </c>
      <c r="E2953" s="201">
        <v>45689</v>
      </c>
      <c r="F2953" s="200" t="s">
        <v>296</v>
      </c>
      <c r="G2953" s="200" t="s">
        <v>45</v>
      </c>
      <c r="H2953" s="200" t="s">
        <v>342</v>
      </c>
    </row>
    <row r="2954" spans="1:8" ht="15" customHeight="1">
      <c r="A2954" s="199">
        <v>45701</v>
      </c>
      <c r="B2954" s="202" t="s">
        <v>2514</v>
      </c>
      <c r="C2954" s="200" t="s">
        <v>204</v>
      </c>
      <c r="D2954" s="649">
        <v>-224650.125</v>
      </c>
      <c r="E2954" s="201">
        <v>45689</v>
      </c>
      <c r="F2954" s="200" t="s">
        <v>296</v>
      </c>
      <c r="G2954" s="200" t="s">
        <v>43</v>
      </c>
      <c r="H2954" s="200" t="s">
        <v>342</v>
      </c>
    </row>
    <row r="2955" spans="1:8" ht="15" customHeight="1">
      <c r="A2955" s="199">
        <v>45701</v>
      </c>
      <c r="B2955" s="202" t="s">
        <v>2514</v>
      </c>
      <c r="C2955" s="200" t="s">
        <v>204</v>
      </c>
      <c r="D2955" s="649">
        <v>-224650.125</v>
      </c>
      <c r="E2955" s="201">
        <v>45689</v>
      </c>
      <c r="F2955" s="200" t="s">
        <v>296</v>
      </c>
      <c r="G2955" s="200" t="s">
        <v>328</v>
      </c>
      <c r="H2955" s="200" t="s">
        <v>342</v>
      </c>
    </row>
    <row r="2956" spans="1:8" ht="15" customHeight="1">
      <c r="A2956" s="199">
        <v>45701</v>
      </c>
      <c r="B2956" s="202" t="s">
        <v>2514</v>
      </c>
      <c r="C2956" s="200" t="s">
        <v>204</v>
      </c>
      <c r="D2956" s="649">
        <v>-224650.125</v>
      </c>
      <c r="E2956" s="201">
        <v>45689</v>
      </c>
      <c r="F2956" s="200" t="s">
        <v>297</v>
      </c>
      <c r="G2956" s="200" t="s">
        <v>311</v>
      </c>
      <c r="H2956" s="200" t="s">
        <v>342</v>
      </c>
    </row>
    <row r="2957" spans="1:8" ht="15" customHeight="1">
      <c r="A2957" s="199">
        <v>45701</v>
      </c>
      <c r="B2957" s="202" t="s">
        <v>2514</v>
      </c>
      <c r="C2957" s="200" t="s">
        <v>204</v>
      </c>
      <c r="D2957" s="649">
        <v>-224650.125</v>
      </c>
      <c r="E2957" s="201">
        <v>45689</v>
      </c>
      <c r="F2957" s="200" t="s">
        <v>297</v>
      </c>
      <c r="G2957" s="200" t="s">
        <v>75</v>
      </c>
      <c r="H2957" s="200" t="s">
        <v>342</v>
      </c>
    </row>
    <row r="2958" spans="1:8" ht="15" customHeight="1">
      <c r="A2958" s="199">
        <v>45701</v>
      </c>
      <c r="B2958" s="202" t="s">
        <v>2515</v>
      </c>
      <c r="C2958" s="200" t="s">
        <v>204</v>
      </c>
      <c r="D2958" s="649">
        <v>-60916.666666666664</v>
      </c>
      <c r="E2958" s="201">
        <v>45689</v>
      </c>
      <c r="F2958" s="200" t="s">
        <v>296</v>
      </c>
      <c r="G2958" s="200" t="s">
        <v>2271</v>
      </c>
      <c r="H2958" s="200" t="s">
        <v>342</v>
      </c>
    </row>
    <row r="2959" spans="1:8" ht="15" customHeight="1">
      <c r="A2959" s="199">
        <v>45701</v>
      </c>
      <c r="B2959" s="202" t="s">
        <v>2515</v>
      </c>
      <c r="C2959" s="200" t="s">
        <v>204</v>
      </c>
      <c r="D2959" s="649">
        <v>-60916.666666666664</v>
      </c>
      <c r="E2959" s="201">
        <v>45689</v>
      </c>
      <c r="F2959" s="200" t="s">
        <v>296</v>
      </c>
      <c r="G2959" s="200" t="s">
        <v>45</v>
      </c>
      <c r="H2959" s="200" t="s">
        <v>342</v>
      </c>
    </row>
    <row r="2960" spans="1:8" ht="15" customHeight="1">
      <c r="A2960" s="199">
        <v>45701</v>
      </c>
      <c r="B2960" s="202" t="s">
        <v>2515</v>
      </c>
      <c r="C2960" s="200" t="s">
        <v>204</v>
      </c>
      <c r="D2960" s="649">
        <v>-60916.666666666664</v>
      </c>
      <c r="E2960" s="201">
        <v>45689</v>
      </c>
      <c r="F2960" s="200" t="s">
        <v>296</v>
      </c>
      <c r="G2960" s="200" t="s">
        <v>43</v>
      </c>
      <c r="H2960" s="200" t="s">
        <v>342</v>
      </c>
    </row>
    <row r="2961" spans="1:8" ht="15" customHeight="1">
      <c r="A2961" s="199">
        <v>45701</v>
      </c>
      <c r="B2961" s="202" t="s">
        <v>2515</v>
      </c>
      <c r="C2961" s="200" t="s">
        <v>204</v>
      </c>
      <c r="D2961" s="649">
        <v>-60916.666666666664</v>
      </c>
      <c r="E2961" s="201">
        <v>45689</v>
      </c>
      <c r="F2961" s="200" t="s">
        <v>296</v>
      </c>
      <c r="G2961" s="200" t="s">
        <v>328</v>
      </c>
      <c r="H2961" s="200" t="s">
        <v>342</v>
      </c>
    </row>
    <row r="2962" spans="1:8" ht="15" customHeight="1">
      <c r="A2962" s="199">
        <v>45701</v>
      </c>
      <c r="B2962" s="202" t="s">
        <v>2515</v>
      </c>
      <c r="C2962" s="200" t="s">
        <v>204</v>
      </c>
      <c r="D2962" s="649">
        <v>-60916.666666666664</v>
      </c>
      <c r="E2962" s="201">
        <v>45689</v>
      </c>
      <c r="F2962" s="200" t="s">
        <v>297</v>
      </c>
      <c r="G2962" s="200" t="s">
        <v>311</v>
      </c>
      <c r="H2962" s="200" t="s">
        <v>342</v>
      </c>
    </row>
    <row r="2963" spans="1:8" ht="15" customHeight="1">
      <c r="A2963" s="199">
        <v>45701</v>
      </c>
      <c r="B2963" s="202" t="s">
        <v>2515</v>
      </c>
      <c r="C2963" s="200" t="s">
        <v>204</v>
      </c>
      <c r="D2963" s="649">
        <v>-60916.666666666664</v>
      </c>
      <c r="E2963" s="201">
        <v>45689</v>
      </c>
      <c r="F2963" s="200" t="s">
        <v>297</v>
      </c>
      <c r="G2963" s="200" t="s">
        <v>75</v>
      </c>
      <c r="H2963" s="200" t="s">
        <v>342</v>
      </c>
    </row>
    <row r="2964" spans="1:8" ht="15" customHeight="1">
      <c r="A2964" s="199">
        <v>45701</v>
      </c>
      <c r="B2964" s="202" t="s">
        <v>2516</v>
      </c>
      <c r="C2964" s="200" t="s">
        <v>204</v>
      </c>
      <c r="D2964" s="649">
        <v>-140363.70370370371</v>
      </c>
      <c r="E2964" s="201">
        <v>45689</v>
      </c>
      <c r="F2964" s="200" t="s">
        <v>296</v>
      </c>
      <c r="G2964" s="200" t="s">
        <v>2271</v>
      </c>
      <c r="H2964" s="200" t="s">
        <v>342</v>
      </c>
    </row>
    <row r="2965" spans="1:8" ht="15" customHeight="1">
      <c r="A2965" s="199">
        <v>45701</v>
      </c>
      <c r="B2965" s="202" t="s">
        <v>2516</v>
      </c>
      <c r="C2965" s="200" t="s">
        <v>204</v>
      </c>
      <c r="D2965" s="649">
        <v>-140363.70370370371</v>
      </c>
      <c r="E2965" s="201">
        <v>45689</v>
      </c>
      <c r="F2965" s="200" t="s">
        <v>296</v>
      </c>
      <c r="G2965" s="200" t="s">
        <v>45</v>
      </c>
      <c r="H2965" s="200" t="s">
        <v>342</v>
      </c>
    </row>
    <row r="2966" spans="1:8" ht="15" customHeight="1">
      <c r="A2966" s="199">
        <v>45701</v>
      </c>
      <c r="B2966" s="202" t="s">
        <v>2516</v>
      </c>
      <c r="C2966" s="200" t="s">
        <v>204</v>
      </c>
      <c r="D2966" s="649">
        <v>-140363.70370370371</v>
      </c>
      <c r="E2966" s="201">
        <v>45689</v>
      </c>
      <c r="F2966" s="200" t="s">
        <v>296</v>
      </c>
      <c r="G2966" s="200" t="s">
        <v>43</v>
      </c>
      <c r="H2966" s="200" t="s">
        <v>342</v>
      </c>
    </row>
    <row r="2967" spans="1:8" ht="15" customHeight="1">
      <c r="A2967" s="199">
        <v>45701</v>
      </c>
      <c r="B2967" s="202" t="s">
        <v>2516</v>
      </c>
      <c r="C2967" s="200" t="s">
        <v>204</v>
      </c>
      <c r="D2967" s="649">
        <v>-140363.70370370371</v>
      </c>
      <c r="E2967" s="201">
        <v>45689</v>
      </c>
      <c r="F2967" s="200" t="s">
        <v>296</v>
      </c>
      <c r="G2967" s="200" t="s">
        <v>328</v>
      </c>
      <c r="H2967" s="200" t="s">
        <v>342</v>
      </c>
    </row>
    <row r="2968" spans="1:8" ht="15" customHeight="1">
      <c r="A2968" s="199">
        <v>45701</v>
      </c>
      <c r="B2968" s="202" t="s">
        <v>2516</v>
      </c>
      <c r="C2968" s="200" t="s">
        <v>204</v>
      </c>
      <c r="D2968" s="649">
        <v>-140363.70370370371</v>
      </c>
      <c r="E2968" s="201">
        <v>45689</v>
      </c>
      <c r="F2968" s="200" t="s">
        <v>297</v>
      </c>
      <c r="G2968" s="200" t="s">
        <v>311</v>
      </c>
      <c r="H2968" s="200" t="s">
        <v>342</v>
      </c>
    </row>
    <row r="2969" spans="1:8" ht="15" customHeight="1">
      <c r="A2969" s="199">
        <v>45701</v>
      </c>
      <c r="B2969" s="202" t="s">
        <v>2516</v>
      </c>
      <c r="C2969" s="200" t="s">
        <v>204</v>
      </c>
      <c r="D2969" s="649">
        <v>-140363.70370370371</v>
      </c>
      <c r="E2969" s="201">
        <v>45689</v>
      </c>
      <c r="F2969" s="200" t="s">
        <v>297</v>
      </c>
      <c r="G2969" s="200" t="s">
        <v>75</v>
      </c>
      <c r="H2969" s="200" t="s">
        <v>342</v>
      </c>
    </row>
    <row r="2970" spans="1:8" ht="15" customHeight="1">
      <c r="A2970" s="199">
        <v>45701</v>
      </c>
      <c r="B2970" s="202" t="s">
        <v>2517</v>
      </c>
      <c r="C2970" s="200" t="s">
        <v>204</v>
      </c>
      <c r="D2970" s="649">
        <v>-379874.22222222225</v>
      </c>
      <c r="E2970" s="201">
        <v>45689</v>
      </c>
      <c r="F2970" s="200" t="s">
        <v>296</v>
      </c>
      <c r="G2970" s="200" t="s">
        <v>2271</v>
      </c>
      <c r="H2970" s="200" t="s">
        <v>342</v>
      </c>
    </row>
    <row r="2971" spans="1:8" ht="15" customHeight="1">
      <c r="A2971" s="199">
        <v>45701</v>
      </c>
      <c r="B2971" s="202" t="s">
        <v>2517</v>
      </c>
      <c r="C2971" s="200" t="s">
        <v>204</v>
      </c>
      <c r="D2971" s="649">
        <v>-379874.22222222225</v>
      </c>
      <c r="E2971" s="201">
        <v>45689</v>
      </c>
      <c r="F2971" s="200" t="s">
        <v>296</v>
      </c>
      <c r="G2971" s="200" t="s">
        <v>45</v>
      </c>
      <c r="H2971" s="200" t="s">
        <v>342</v>
      </c>
    </row>
    <row r="2972" spans="1:8" ht="15" customHeight="1">
      <c r="A2972" s="199">
        <v>45701</v>
      </c>
      <c r="B2972" s="202" t="s">
        <v>2517</v>
      </c>
      <c r="C2972" s="200" t="s">
        <v>204</v>
      </c>
      <c r="D2972" s="649">
        <v>-379874.22222222225</v>
      </c>
      <c r="E2972" s="201">
        <v>45689</v>
      </c>
      <c r="F2972" s="200" t="s">
        <v>296</v>
      </c>
      <c r="G2972" s="200" t="s">
        <v>43</v>
      </c>
      <c r="H2972" s="200" t="s">
        <v>342</v>
      </c>
    </row>
    <row r="2973" spans="1:8" ht="15" customHeight="1">
      <c r="A2973" s="199">
        <v>45701</v>
      </c>
      <c r="B2973" s="202" t="s">
        <v>2517</v>
      </c>
      <c r="C2973" s="200" t="s">
        <v>204</v>
      </c>
      <c r="D2973" s="649">
        <v>-379874.22222222225</v>
      </c>
      <c r="E2973" s="201">
        <v>45689</v>
      </c>
      <c r="F2973" s="200" t="s">
        <v>296</v>
      </c>
      <c r="G2973" s="200" t="s">
        <v>328</v>
      </c>
      <c r="H2973" s="200" t="s">
        <v>342</v>
      </c>
    </row>
    <row r="2974" spans="1:8" ht="15" customHeight="1">
      <c r="A2974" s="199">
        <v>45701</v>
      </c>
      <c r="B2974" s="202" t="s">
        <v>2517</v>
      </c>
      <c r="C2974" s="200" t="s">
        <v>204</v>
      </c>
      <c r="D2974" s="649">
        <v>-379874.22222222225</v>
      </c>
      <c r="E2974" s="201">
        <v>45689</v>
      </c>
      <c r="F2974" s="200" t="s">
        <v>297</v>
      </c>
      <c r="G2974" s="200" t="s">
        <v>311</v>
      </c>
      <c r="H2974" s="200" t="s">
        <v>342</v>
      </c>
    </row>
    <row r="2975" spans="1:8" ht="15" customHeight="1">
      <c r="A2975" s="199">
        <v>45701</v>
      </c>
      <c r="B2975" s="202" t="s">
        <v>2517</v>
      </c>
      <c r="C2975" s="200" t="s">
        <v>204</v>
      </c>
      <c r="D2975" s="649">
        <v>-379874.22222222225</v>
      </c>
      <c r="E2975" s="201">
        <v>45689</v>
      </c>
      <c r="F2975" s="200" t="s">
        <v>297</v>
      </c>
      <c r="G2975" s="200" t="s">
        <v>75</v>
      </c>
      <c r="H2975" s="200" t="s">
        <v>342</v>
      </c>
    </row>
    <row r="2976" spans="1:8" ht="15" customHeight="1">
      <c r="A2976" s="199">
        <v>45701</v>
      </c>
      <c r="B2976" s="202" t="s">
        <v>2518</v>
      </c>
      <c r="C2976" s="200" t="s">
        <v>204</v>
      </c>
      <c r="D2976" s="649">
        <v>-275833.52777777781</v>
      </c>
      <c r="E2976" s="201">
        <v>45689</v>
      </c>
      <c r="F2976" s="200" t="s">
        <v>296</v>
      </c>
      <c r="G2976" s="200" t="s">
        <v>2271</v>
      </c>
      <c r="H2976" s="200" t="s">
        <v>342</v>
      </c>
    </row>
    <row r="2977" spans="1:9" ht="15" customHeight="1">
      <c r="A2977" s="199">
        <v>45701</v>
      </c>
      <c r="B2977" s="202" t="s">
        <v>2518</v>
      </c>
      <c r="C2977" s="200" t="s">
        <v>204</v>
      </c>
      <c r="D2977" s="649">
        <v>-275833.52777777781</v>
      </c>
      <c r="E2977" s="201">
        <v>45689</v>
      </c>
      <c r="F2977" s="200" t="s">
        <v>296</v>
      </c>
      <c r="G2977" s="200" t="s">
        <v>45</v>
      </c>
      <c r="H2977" s="200" t="s">
        <v>342</v>
      </c>
    </row>
    <row r="2978" spans="1:9" ht="15" customHeight="1">
      <c r="A2978" s="199">
        <v>45701</v>
      </c>
      <c r="B2978" s="202" t="s">
        <v>2518</v>
      </c>
      <c r="C2978" s="200" t="s">
        <v>204</v>
      </c>
      <c r="D2978" s="649">
        <v>-275833.52777777781</v>
      </c>
      <c r="E2978" s="201">
        <v>45689</v>
      </c>
      <c r="F2978" s="200" t="s">
        <v>296</v>
      </c>
      <c r="G2978" s="200" t="s">
        <v>43</v>
      </c>
      <c r="H2978" s="200" t="s">
        <v>342</v>
      </c>
    </row>
    <row r="2979" spans="1:9" ht="15" customHeight="1">
      <c r="A2979" s="199">
        <v>45701</v>
      </c>
      <c r="B2979" s="202" t="s">
        <v>2518</v>
      </c>
      <c r="C2979" s="200" t="s">
        <v>204</v>
      </c>
      <c r="D2979" s="649">
        <v>-275833.52777777781</v>
      </c>
      <c r="E2979" s="201">
        <v>45689</v>
      </c>
      <c r="F2979" s="200" t="s">
        <v>296</v>
      </c>
      <c r="G2979" s="200" t="s">
        <v>328</v>
      </c>
      <c r="H2979" s="200" t="s">
        <v>342</v>
      </c>
    </row>
    <row r="2980" spans="1:9" ht="15" customHeight="1">
      <c r="A2980" s="199">
        <v>45701</v>
      </c>
      <c r="B2980" s="202" t="s">
        <v>2518</v>
      </c>
      <c r="C2980" s="200" t="s">
        <v>204</v>
      </c>
      <c r="D2980" s="649">
        <v>-275833.52777777781</v>
      </c>
      <c r="E2980" s="201">
        <v>45689</v>
      </c>
      <c r="F2980" s="200" t="s">
        <v>297</v>
      </c>
      <c r="G2980" s="200" t="s">
        <v>311</v>
      </c>
      <c r="H2980" s="200" t="s">
        <v>342</v>
      </c>
    </row>
    <row r="2981" spans="1:9" ht="15" customHeight="1">
      <c r="A2981" s="199">
        <v>45701</v>
      </c>
      <c r="B2981" s="202" t="s">
        <v>2518</v>
      </c>
      <c r="C2981" s="200" t="s">
        <v>204</v>
      </c>
      <c r="D2981" s="649">
        <v>-275833.52777777781</v>
      </c>
      <c r="E2981" s="201">
        <v>45689</v>
      </c>
      <c r="F2981" s="200" t="s">
        <v>297</v>
      </c>
      <c r="G2981" s="200" t="s">
        <v>75</v>
      </c>
      <c r="H2981" s="200" t="s">
        <v>342</v>
      </c>
    </row>
    <row r="2982" spans="1:9" ht="15" customHeight="1">
      <c r="A2982" s="199">
        <v>45701</v>
      </c>
      <c r="B2982" s="202" t="s">
        <v>2519</v>
      </c>
      <c r="C2982" s="200" t="s">
        <v>204</v>
      </c>
      <c r="D2982" s="649">
        <v>-80545.37037037038</v>
      </c>
      <c r="E2982" s="201">
        <v>45689</v>
      </c>
      <c r="F2982" s="200" t="s">
        <v>296</v>
      </c>
      <c r="G2982" s="200" t="s">
        <v>2271</v>
      </c>
      <c r="H2982" s="200" t="s">
        <v>342</v>
      </c>
    </row>
    <row r="2983" spans="1:9" ht="15" customHeight="1">
      <c r="A2983" s="199">
        <v>45701</v>
      </c>
      <c r="B2983" s="202" t="s">
        <v>2519</v>
      </c>
      <c r="C2983" s="200" t="s">
        <v>204</v>
      </c>
      <c r="D2983" s="649">
        <v>-80545.37037037038</v>
      </c>
      <c r="E2983" s="201">
        <v>45689</v>
      </c>
      <c r="F2983" s="200" t="s">
        <v>296</v>
      </c>
      <c r="G2983" s="200" t="s">
        <v>45</v>
      </c>
      <c r="H2983" s="200" t="s">
        <v>342</v>
      </c>
    </row>
    <row r="2984" spans="1:9" ht="15" customHeight="1">
      <c r="A2984" s="199">
        <v>45701</v>
      </c>
      <c r="B2984" s="202" t="s">
        <v>2519</v>
      </c>
      <c r="C2984" s="200" t="s">
        <v>204</v>
      </c>
      <c r="D2984" s="649">
        <v>-80545.37037037038</v>
      </c>
      <c r="E2984" s="201">
        <v>45689</v>
      </c>
      <c r="F2984" s="200" t="s">
        <v>296</v>
      </c>
      <c r="G2984" s="200" t="s">
        <v>43</v>
      </c>
      <c r="H2984" s="200" t="s">
        <v>342</v>
      </c>
    </row>
    <row r="2985" spans="1:9" ht="15" customHeight="1">
      <c r="A2985" s="199">
        <v>45701</v>
      </c>
      <c r="B2985" s="202" t="s">
        <v>2519</v>
      </c>
      <c r="C2985" s="200" t="s">
        <v>204</v>
      </c>
      <c r="D2985" s="649">
        <v>-80545.37037037038</v>
      </c>
      <c r="E2985" s="201">
        <v>45689</v>
      </c>
      <c r="F2985" s="200" t="s">
        <v>296</v>
      </c>
      <c r="G2985" s="200" t="s">
        <v>328</v>
      </c>
      <c r="H2985" s="200" t="s">
        <v>342</v>
      </c>
    </row>
    <row r="2986" spans="1:9" ht="15" customHeight="1">
      <c r="A2986" s="199">
        <v>45701</v>
      </c>
      <c r="B2986" s="202" t="s">
        <v>2519</v>
      </c>
      <c r="C2986" s="200" t="s">
        <v>204</v>
      </c>
      <c r="D2986" s="649">
        <v>-80545.37037037038</v>
      </c>
      <c r="E2986" s="201">
        <v>45689</v>
      </c>
      <c r="F2986" s="200" t="s">
        <v>297</v>
      </c>
      <c r="G2986" s="200" t="s">
        <v>311</v>
      </c>
      <c r="H2986" s="200" t="s">
        <v>342</v>
      </c>
    </row>
    <row r="2987" spans="1:9" ht="15" customHeight="1">
      <c r="A2987" s="199">
        <v>45701</v>
      </c>
      <c r="B2987" s="202" t="s">
        <v>2519</v>
      </c>
      <c r="C2987" s="200" t="s">
        <v>204</v>
      </c>
      <c r="D2987" s="649">
        <v>-80545.37037037038</v>
      </c>
      <c r="E2987" s="201">
        <v>45689</v>
      </c>
      <c r="F2987" s="200" t="s">
        <v>297</v>
      </c>
      <c r="G2987" s="200" t="s">
        <v>75</v>
      </c>
      <c r="H2987" s="200" t="s">
        <v>342</v>
      </c>
    </row>
    <row r="2988" spans="1:9" ht="15" customHeight="1">
      <c r="A2988" s="199">
        <v>45701</v>
      </c>
      <c r="B2988" s="202" t="s">
        <v>2520</v>
      </c>
      <c r="C2988" s="200" t="s">
        <v>204</v>
      </c>
      <c r="D2988" s="649">
        <v>-60916.666666666664</v>
      </c>
      <c r="E2988" s="201">
        <v>45689</v>
      </c>
      <c r="F2988" s="200" t="s">
        <v>296</v>
      </c>
      <c r="G2988" s="200" t="s">
        <v>2271</v>
      </c>
      <c r="H2988" s="200" t="s">
        <v>342</v>
      </c>
    </row>
    <row r="2989" spans="1:9" ht="15" customHeight="1">
      <c r="A2989" s="199">
        <v>45701</v>
      </c>
      <c r="B2989" s="202" t="s">
        <v>2520</v>
      </c>
      <c r="C2989" s="200" t="s">
        <v>204</v>
      </c>
      <c r="D2989" s="649">
        <v>-60916.666666666664</v>
      </c>
      <c r="E2989" s="201">
        <v>45689</v>
      </c>
      <c r="F2989" s="200" t="s">
        <v>296</v>
      </c>
      <c r="G2989" s="200" t="s">
        <v>45</v>
      </c>
      <c r="H2989" s="200" t="s">
        <v>342</v>
      </c>
      <c r="I2989" s="648" t="s">
        <v>329</v>
      </c>
    </row>
    <row r="2990" spans="1:9" ht="15" customHeight="1">
      <c r="A2990" s="199">
        <v>45701</v>
      </c>
      <c r="B2990" s="202" t="s">
        <v>2520</v>
      </c>
      <c r="C2990" s="200" t="s">
        <v>204</v>
      </c>
      <c r="D2990" s="649">
        <v>-60916.666666666664</v>
      </c>
      <c r="E2990" s="201">
        <v>45689</v>
      </c>
      <c r="F2990" s="200" t="s">
        <v>296</v>
      </c>
      <c r="G2990" s="200" t="s">
        <v>43</v>
      </c>
      <c r="H2990" s="200" t="s">
        <v>342</v>
      </c>
      <c r="I2990" s="648" t="s">
        <v>329</v>
      </c>
    </row>
    <row r="2991" spans="1:9" ht="15" customHeight="1">
      <c r="A2991" s="199">
        <v>45701</v>
      </c>
      <c r="B2991" s="202" t="s">
        <v>2520</v>
      </c>
      <c r="C2991" s="200" t="s">
        <v>204</v>
      </c>
      <c r="D2991" s="649">
        <v>-60916.666666666664</v>
      </c>
      <c r="E2991" s="201">
        <v>45689</v>
      </c>
      <c r="F2991" s="200" t="s">
        <v>296</v>
      </c>
      <c r="G2991" s="200" t="s">
        <v>328</v>
      </c>
      <c r="H2991" s="200" t="s">
        <v>342</v>
      </c>
    </row>
    <row r="2992" spans="1:9" ht="15" customHeight="1">
      <c r="A2992" s="199">
        <v>45701</v>
      </c>
      <c r="B2992" s="202" t="s">
        <v>2520</v>
      </c>
      <c r="C2992" s="200" t="s">
        <v>204</v>
      </c>
      <c r="D2992" s="649">
        <v>-60916.666666666664</v>
      </c>
      <c r="E2992" s="201">
        <v>45689</v>
      </c>
      <c r="F2992" s="200" t="s">
        <v>297</v>
      </c>
      <c r="G2992" s="200" t="s">
        <v>311</v>
      </c>
      <c r="H2992" s="200" t="s">
        <v>342</v>
      </c>
      <c r="I2992" s="648" t="s">
        <v>329</v>
      </c>
    </row>
    <row r="2993" spans="1:9" ht="15" customHeight="1">
      <c r="A2993" s="199">
        <v>45701</v>
      </c>
      <c r="B2993" s="202" t="s">
        <v>2520</v>
      </c>
      <c r="C2993" s="200" t="s">
        <v>204</v>
      </c>
      <c r="D2993" s="649">
        <v>-60916.666666666664</v>
      </c>
      <c r="E2993" s="201">
        <v>45689</v>
      </c>
      <c r="F2993" s="200" t="s">
        <v>297</v>
      </c>
      <c r="G2993" s="200" t="s">
        <v>75</v>
      </c>
      <c r="H2993" s="200" t="s">
        <v>342</v>
      </c>
      <c r="I2993" s="648" t="s">
        <v>329</v>
      </c>
    </row>
    <row r="2994" spans="1:9" s="643" customFormat="1" ht="15" customHeight="1">
      <c r="A2994" s="640">
        <v>45709</v>
      </c>
      <c r="B2994" s="641" t="s">
        <v>2521</v>
      </c>
      <c r="C2994" s="641" t="s">
        <v>136</v>
      </c>
      <c r="D2994" s="649">
        <v>-250200</v>
      </c>
      <c r="E2994" s="644">
        <v>45689</v>
      </c>
      <c r="F2994" s="641" t="s">
        <v>296</v>
      </c>
      <c r="G2994" s="641" t="s">
        <v>1124</v>
      </c>
      <c r="H2994" s="641" t="s">
        <v>342</v>
      </c>
      <c r="I2994" s="641"/>
    </row>
    <row r="2995" spans="1:9" ht="15" customHeight="1">
      <c r="A2995" s="199">
        <v>45712</v>
      </c>
      <c r="B2995" s="202" t="s">
        <v>2522</v>
      </c>
      <c r="C2995" s="200" t="s">
        <v>136</v>
      </c>
      <c r="D2995" s="649">
        <v>-772740</v>
      </c>
      <c r="E2995" s="201">
        <v>45689</v>
      </c>
      <c r="F2995" s="200" t="s">
        <v>296</v>
      </c>
      <c r="G2995" s="200" t="s">
        <v>453</v>
      </c>
      <c r="H2995" s="200" t="s">
        <v>97</v>
      </c>
    </row>
    <row r="2996" spans="1:9" ht="15" customHeight="1">
      <c r="A2996" s="199">
        <v>45712</v>
      </c>
      <c r="B2996" s="202" t="s">
        <v>2523</v>
      </c>
      <c r="C2996" s="200" t="s">
        <v>136</v>
      </c>
      <c r="D2996" s="649">
        <v>-630240</v>
      </c>
      <c r="E2996" s="201">
        <v>45689</v>
      </c>
      <c r="F2996" s="200" t="s">
        <v>256</v>
      </c>
      <c r="G2996" s="200" t="s">
        <v>107</v>
      </c>
      <c r="H2996" s="200" t="s">
        <v>275</v>
      </c>
    </row>
    <row r="2997" spans="1:9" ht="15" customHeight="1">
      <c r="A2997" s="199">
        <v>45713</v>
      </c>
      <c r="B2997" s="202" t="s">
        <v>2524</v>
      </c>
      <c r="C2997" s="200" t="s">
        <v>136</v>
      </c>
      <c r="D2997" s="649">
        <v>-720000</v>
      </c>
      <c r="E2997" s="201">
        <v>45689</v>
      </c>
      <c r="F2997" s="200" t="s">
        <v>296</v>
      </c>
      <c r="G2997" s="200" t="s">
        <v>337</v>
      </c>
      <c r="H2997" s="200" t="s">
        <v>446</v>
      </c>
    </row>
    <row r="2998" spans="1:9" ht="15" customHeight="1">
      <c r="A2998" s="199">
        <v>45713</v>
      </c>
      <c r="B2998" s="202" t="s">
        <v>2525</v>
      </c>
      <c r="C2998" s="200" t="s">
        <v>372</v>
      </c>
      <c r="D2998" s="204">
        <v>-26114</v>
      </c>
      <c r="E2998" s="201">
        <v>45689</v>
      </c>
      <c r="F2998" s="200" t="s">
        <v>296</v>
      </c>
      <c r="G2998" s="200" t="s">
        <v>337</v>
      </c>
      <c r="H2998" s="200" t="s">
        <v>446</v>
      </c>
    </row>
    <row r="2999" spans="1:9" ht="15" customHeight="1">
      <c r="A2999" s="199">
        <v>45713</v>
      </c>
      <c r="B2999" s="202" t="s">
        <v>2524</v>
      </c>
      <c r="C2999" s="200" t="s">
        <v>136</v>
      </c>
      <c r="D2999" s="649">
        <v>-720000</v>
      </c>
      <c r="E2999" s="201">
        <v>45689</v>
      </c>
      <c r="F2999" s="200" t="s">
        <v>296</v>
      </c>
      <c r="G2999" s="200" t="s">
        <v>522</v>
      </c>
      <c r="H2999" s="200" t="s">
        <v>446</v>
      </c>
    </row>
    <row r="3000" spans="1:9" ht="15" customHeight="1">
      <c r="A3000" s="199">
        <v>45713</v>
      </c>
      <c r="B3000" s="202" t="s">
        <v>2525</v>
      </c>
      <c r="C3000" s="200" t="s">
        <v>372</v>
      </c>
      <c r="D3000" s="204">
        <v>-26114</v>
      </c>
      <c r="E3000" s="201">
        <v>45689</v>
      </c>
      <c r="F3000" s="200" t="s">
        <v>296</v>
      </c>
      <c r="G3000" s="200" t="s">
        <v>522</v>
      </c>
      <c r="H3000" s="200" t="s">
        <v>446</v>
      </c>
    </row>
    <row r="3001" spans="1:9" ht="15" customHeight="1">
      <c r="A3001" s="199">
        <v>45713</v>
      </c>
      <c r="B3001" s="202" t="s">
        <v>2524</v>
      </c>
      <c r="C3001" s="200" t="s">
        <v>136</v>
      </c>
      <c r="D3001" s="649">
        <v>-720000</v>
      </c>
      <c r="E3001" s="201">
        <v>45689</v>
      </c>
      <c r="F3001" s="200" t="s">
        <v>296</v>
      </c>
      <c r="G3001" s="200" t="s">
        <v>44</v>
      </c>
      <c r="H3001" s="200" t="s">
        <v>446</v>
      </c>
    </row>
    <row r="3002" spans="1:9" ht="15" customHeight="1">
      <c r="A3002" s="199">
        <v>45713</v>
      </c>
      <c r="B3002" s="202" t="s">
        <v>2525</v>
      </c>
      <c r="C3002" s="200" t="s">
        <v>372</v>
      </c>
      <c r="D3002" s="204">
        <v>-26114</v>
      </c>
      <c r="E3002" s="201">
        <v>45689</v>
      </c>
      <c r="F3002" s="200" t="s">
        <v>296</v>
      </c>
      <c r="G3002" s="200" t="s">
        <v>44</v>
      </c>
      <c r="H3002" s="200" t="s">
        <v>446</v>
      </c>
    </row>
    <row r="3003" spans="1:9" ht="15" customHeight="1">
      <c r="A3003" s="199">
        <v>45713</v>
      </c>
      <c r="B3003" s="202" t="s">
        <v>2526</v>
      </c>
      <c r="C3003" s="200" t="s">
        <v>136</v>
      </c>
      <c r="D3003" s="649">
        <v>-587200</v>
      </c>
      <c r="E3003" s="201">
        <v>45689</v>
      </c>
      <c r="F3003" s="200" t="s">
        <v>256</v>
      </c>
      <c r="G3003" s="200" t="s">
        <v>107</v>
      </c>
      <c r="H3003" s="200" t="s">
        <v>277</v>
      </c>
    </row>
    <row r="3004" spans="1:9" ht="15" customHeight="1">
      <c r="A3004" s="199">
        <v>45713</v>
      </c>
      <c r="B3004" s="722" t="s">
        <v>2527</v>
      </c>
      <c r="C3004" s="200" t="s">
        <v>136</v>
      </c>
      <c r="D3004" s="649">
        <v>-139280</v>
      </c>
      <c r="E3004" s="201">
        <v>45689</v>
      </c>
      <c r="F3004" s="200" t="s">
        <v>296</v>
      </c>
      <c r="G3004" s="200" t="s">
        <v>57</v>
      </c>
      <c r="H3004" s="200" t="s">
        <v>105</v>
      </c>
      <c r="I3004" s="200" t="s">
        <v>2528</v>
      </c>
    </row>
    <row r="3005" spans="1:9" ht="15" customHeight="1">
      <c r="A3005" s="199">
        <v>45713</v>
      </c>
      <c r="B3005" s="722" t="s">
        <v>2529</v>
      </c>
      <c r="C3005" s="200" t="s">
        <v>136</v>
      </c>
      <c r="D3005" s="649">
        <v>-5450</v>
      </c>
      <c r="E3005" s="201">
        <v>45689</v>
      </c>
      <c r="F3005" s="200" t="s">
        <v>296</v>
      </c>
      <c r="G3005" s="200" t="s">
        <v>57</v>
      </c>
      <c r="H3005" s="200" t="s">
        <v>105</v>
      </c>
      <c r="I3005" s="200" t="s">
        <v>2528</v>
      </c>
    </row>
    <row r="3006" spans="1:9" ht="15" customHeight="1">
      <c r="A3006" s="199">
        <v>45713</v>
      </c>
      <c r="B3006" s="722" t="s">
        <v>2530</v>
      </c>
      <c r="C3006" s="200" t="s">
        <v>136</v>
      </c>
      <c r="D3006" s="649">
        <v>-37000</v>
      </c>
      <c r="E3006" s="201">
        <v>45689</v>
      </c>
      <c r="F3006" s="200" t="s">
        <v>296</v>
      </c>
      <c r="G3006" s="200" t="s">
        <v>57</v>
      </c>
      <c r="H3006" s="200" t="s">
        <v>105</v>
      </c>
      <c r="I3006" s="200" t="s">
        <v>2528</v>
      </c>
    </row>
    <row r="3007" spans="1:9" ht="15" customHeight="1">
      <c r="A3007" s="199">
        <v>45713</v>
      </c>
      <c r="B3007" s="722" t="s">
        <v>2531</v>
      </c>
      <c r="C3007" s="200" t="s">
        <v>136</v>
      </c>
      <c r="D3007" s="649">
        <v>-15200</v>
      </c>
      <c r="E3007" s="201">
        <v>45689</v>
      </c>
      <c r="F3007" s="200" t="s">
        <v>296</v>
      </c>
      <c r="G3007" s="200" t="s">
        <v>57</v>
      </c>
      <c r="H3007" s="200" t="s">
        <v>105</v>
      </c>
      <c r="I3007" s="200" t="s">
        <v>2528</v>
      </c>
    </row>
    <row r="3008" spans="1:9" ht="15" customHeight="1">
      <c r="A3008" s="199">
        <v>45713</v>
      </c>
      <c r="B3008" s="722" t="s">
        <v>2532</v>
      </c>
      <c r="C3008" s="200" t="s">
        <v>136</v>
      </c>
      <c r="D3008" s="649">
        <v>-25400</v>
      </c>
      <c r="E3008" s="201">
        <v>45689</v>
      </c>
      <c r="F3008" s="200" t="s">
        <v>296</v>
      </c>
      <c r="G3008" s="200" t="s">
        <v>57</v>
      </c>
      <c r="H3008" s="200" t="s">
        <v>105</v>
      </c>
      <c r="I3008" s="200" t="s">
        <v>2528</v>
      </c>
    </row>
    <row r="3009" spans="1:9" ht="15" customHeight="1">
      <c r="A3009" s="199">
        <v>45713</v>
      </c>
      <c r="B3009" s="722" t="s">
        <v>2533</v>
      </c>
      <c r="C3009" s="200" t="s">
        <v>136</v>
      </c>
      <c r="D3009" s="649">
        <v>-70000</v>
      </c>
      <c r="E3009" s="201">
        <v>45689</v>
      </c>
      <c r="F3009" s="200" t="s">
        <v>296</v>
      </c>
      <c r="G3009" s="200" t="s">
        <v>57</v>
      </c>
      <c r="H3009" s="200" t="s">
        <v>105</v>
      </c>
      <c r="I3009" s="200" t="s">
        <v>2528</v>
      </c>
    </row>
    <row r="3010" spans="1:9" ht="15" customHeight="1">
      <c r="A3010" s="199">
        <v>45713</v>
      </c>
      <c r="B3010" s="722" t="s">
        <v>2534</v>
      </c>
      <c r="C3010" s="200" t="s">
        <v>136</v>
      </c>
      <c r="D3010" s="649">
        <v>-100000</v>
      </c>
      <c r="E3010" s="201">
        <v>45689</v>
      </c>
      <c r="F3010" s="200" t="s">
        <v>296</v>
      </c>
      <c r="G3010" s="200" t="s">
        <v>57</v>
      </c>
      <c r="H3010" s="200" t="s">
        <v>105</v>
      </c>
      <c r="I3010" s="200" t="s">
        <v>2528</v>
      </c>
    </row>
    <row r="3011" spans="1:9" ht="15" customHeight="1">
      <c r="A3011" s="199">
        <v>45713</v>
      </c>
      <c r="B3011" s="722" t="s">
        <v>2535</v>
      </c>
      <c r="C3011" s="200" t="s">
        <v>136</v>
      </c>
      <c r="D3011" s="649">
        <v>-14500</v>
      </c>
      <c r="E3011" s="201">
        <v>45689</v>
      </c>
      <c r="F3011" s="200" t="s">
        <v>296</v>
      </c>
      <c r="G3011" s="200" t="s">
        <v>57</v>
      </c>
      <c r="H3011" s="200" t="s">
        <v>105</v>
      </c>
      <c r="I3011" s="200" t="s">
        <v>2528</v>
      </c>
    </row>
    <row r="3012" spans="1:9" ht="15" customHeight="1">
      <c r="A3012" s="199">
        <v>45713</v>
      </c>
      <c r="B3012" s="722" t="s">
        <v>2536</v>
      </c>
      <c r="C3012" s="200" t="s">
        <v>136</v>
      </c>
      <c r="D3012" s="649">
        <v>-70004</v>
      </c>
      <c r="E3012" s="201">
        <v>45689</v>
      </c>
      <c r="F3012" s="200" t="s">
        <v>296</v>
      </c>
      <c r="G3012" s="200" t="s">
        <v>57</v>
      </c>
      <c r="H3012" s="200" t="s">
        <v>105</v>
      </c>
      <c r="I3012" s="200" t="s">
        <v>2528</v>
      </c>
    </row>
    <row r="3013" spans="1:9" ht="15" customHeight="1">
      <c r="A3013" s="199">
        <v>45715</v>
      </c>
      <c r="B3013" s="202" t="s">
        <v>1203</v>
      </c>
      <c r="C3013" s="200" t="s">
        <v>136</v>
      </c>
      <c r="D3013" s="649">
        <v>-1097885</v>
      </c>
      <c r="E3013" s="201">
        <v>45689</v>
      </c>
      <c r="F3013" s="200" t="s">
        <v>315</v>
      </c>
    </row>
    <row r="3014" spans="1:9" ht="15" customHeight="1">
      <c r="A3014" s="199">
        <v>45715</v>
      </c>
      <c r="B3014" s="202" t="s">
        <v>1203</v>
      </c>
      <c r="C3014" s="200" t="s">
        <v>136</v>
      </c>
      <c r="D3014" s="649">
        <v>-527171</v>
      </c>
      <c r="E3014" s="201">
        <v>45689</v>
      </c>
      <c r="F3014" s="200" t="s">
        <v>315</v>
      </c>
    </row>
    <row r="3015" spans="1:9" ht="15" customHeight="1">
      <c r="A3015" s="199">
        <v>45715</v>
      </c>
      <c r="B3015" s="202" t="s">
        <v>2537</v>
      </c>
      <c r="C3015" s="200" t="s">
        <v>136</v>
      </c>
      <c r="D3015" s="649">
        <v>-1963888</v>
      </c>
      <c r="E3015" s="201">
        <v>45689</v>
      </c>
      <c r="F3015" s="200" t="s">
        <v>315</v>
      </c>
    </row>
    <row r="3016" spans="1:9" ht="15" customHeight="1">
      <c r="A3016" s="199">
        <v>45715</v>
      </c>
      <c r="B3016" s="202" t="s">
        <v>2538</v>
      </c>
      <c r="C3016" s="200" t="s">
        <v>136</v>
      </c>
      <c r="D3016" s="649">
        <v>-233780</v>
      </c>
      <c r="E3016" s="201">
        <v>45689</v>
      </c>
      <c r="F3016" s="200" t="s">
        <v>256</v>
      </c>
      <c r="G3016" s="200" t="s">
        <v>107</v>
      </c>
      <c r="H3016" s="200" t="s">
        <v>777</v>
      </c>
      <c r="I3016" s="200" t="s">
        <v>1420</v>
      </c>
    </row>
    <row r="3017" spans="1:9" ht="15" customHeight="1">
      <c r="A3017" s="199">
        <v>45715</v>
      </c>
      <c r="B3017" s="202" t="s">
        <v>2539</v>
      </c>
      <c r="C3017" s="200" t="s">
        <v>136</v>
      </c>
      <c r="D3017" s="649">
        <v>-105000</v>
      </c>
      <c r="E3017" s="201">
        <v>45689</v>
      </c>
      <c r="F3017" s="200" t="s">
        <v>256</v>
      </c>
      <c r="G3017" s="200" t="s">
        <v>107</v>
      </c>
      <c r="H3017" s="200" t="s">
        <v>777</v>
      </c>
      <c r="I3017" s="200" t="s">
        <v>1420</v>
      </c>
    </row>
    <row r="3018" spans="1:9" ht="15" customHeight="1">
      <c r="A3018" s="199">
        <v>45692</v>
      </c>
      <c r="B3018" s="202" t="s">
        <v>2540</v>
      </c>
      <c r="C3018" s="200" t="s">
        <v>307</v>
      </c>
      <c r="D3018" s="204">
        <v>-15000</v>
      </c>
      <c r="E3018" s="201">
        <v>45689</v>
      </c>
      <c r="F3018" s="200" t="s">
        <v>296</v>
      </c>
      <c r="G3018" s="200" t="s">
        <v>453</v>
      </c>
      <c r="H3018" s="200" t="s">
        <v>97</v>
      </c>
      <c r="I3018" s="200" t="s">
        <v>211</v>
      </c>
    </row>
    <row r="3019" spans="1:9" ht="15" customHeight="1">
      <c r="A3019" s="199">
        <v>45692</v>
      </c>
      <c r="B3019" s="202" t="s">
        <v>2540</v>
      </c>
      <c r="C3019" s="200" t="s">
        <v>307</v>
      </c>
      <c r="D3019" s="204">
        <v>-13000</v>
      </c>
      <c r="E3019" s="201">
        <v>45689</v>
      </c>
      <c r="F3019" s="200" t="s">
        <v>296</v>
      </c>
      <c r="G3019" s="200" t="s">
        <v>453</v>
      </c>
      <c r="H3019" s="200" t="s">
        <v>97</v>
      </c>
      <c r="I3019" s="200" t="s">
        <v>211</v>
      </c>
    </row>
    <row r="3020" spans="1:9" ht="15" customHeight="1">
      <c r="A3020" s="199">
        <v>45692</v>
      </c>
      <c r="B3020" s="202" t="s">
        <v>2540</v>
      </c>
      <c r="C3020" s="200" t="s">
        <v>307</v>
      </c>
      <c r="D3020" s="204">
        <v>-62500</v>
      </c>
      <c r="E3020" s="201">
        <v>45689</v>
      </c>
      <c r="F3020" s="200" t="s">
        <v>296</v>
      </c>
      <c r="G3020" s="200" t="s">
        <v>453</v>
      </c>
      <c r="H3020" s="200" t="s">
        <v>97</v>
      </c>
      <c r="I3020" s="200" t="s">
        <v>211</v>
      </c>
    </row>
    <row r="3021" spans="1:9" ht="15" customHeight="1">
      <c r="A3021" s="199">
        <v>45692</v>
      </c>
      <c r="B3021" s="202" t="s">
        <v>2541</v>
      </c>
      <c r="C3021" s="200" t="s">
        <v>307</v>
      </c>
      <c r="D3021" s="204">
        <v>-19100</v>
      </c>
      <c r="E3021" s="201">
        <v>45689</v>
      </c>
      <c r="F3021" s="200" t="s">
        <v>296</v>
      </c>
      <c r="G3021" s="200" t="s">
        <v>453</v>
      </c>
      <c r="H3021" s="200" t="s">
        <v>97</v>
      </c>
      <c r="I3021" s="200" t="s">
        <v>211</v>
      </c>
    </row>
    <row r="3022" spans="1:9" ht="15" customHeight="1">
      <c r="A3022" s="199">
        <v>45692</v>
      </c>
      <c r="B3022" s="202" t="s">
        <v>2541</v>
      </c>
      <c r="C3022" s="200" t="s">
        <v>307</v>
      </c>
      <c r="D3022" s="204">
        <v>-21600</v>
      </c>
      <c r="E3022" s="201">
        <v>45689</v>
      </c>
      <c r="F3022" s="200" t="s">
        <v>296</v>
      </c>
      <c r="G3022" s="200" t="s">
        <v>453</v>
      </c>
      <c r="H3022" s="200" t="s">
        <v>97</v>
      </c>
      <c r="I3022" s="200" t="s">
        <v>211</v>
      </c>
    </row>
    <row r="3023" spans="1:9" ht="15" customHeight="1">
      <c r="A3023" s="199">
        <v>45692</v>
      </c>
      <c r="B3023" s="202" t="s">
        <v>2541</v>
      </c>
      <c r="C3023" s="200" t="s">
        <v>307</v>
      </c>
      <c r="D3023" s="204">
        <v>-12300</v>
      </c>
      <c r="E3023" s="201">
        <v>45689</v>
      </c>
      <c r="F3023" s="200" t="s">
        <v>296</v>
      </c>
      <c r="G3023" s="200" t="s">
        <v>453</v>
      </c>
      <c r="H3023" s="200" t="s">
        <v>97</v>
      </c>
      <c r="I3023" s="200" t="s">
        <v>211</v>
      </c>
    </row>
    <row r="3024" spans="1:9" ht="15" customHeight="1">
      <c r="A3024" s="199">
        <v>45692</v>
      </c>
      <c r="B3024" s="202" t="s">
        <v>2541</v>
      </c>
      <c r="C3024" s="200" t="s">
        <v>307</v>
      </c>
      <c r="D3024" s="204">
        <v>-15300</v>
      </c>
      <c r="E3024" s="201">
        <v>45689</v>
      </c>
      <c r="F3024" s="200" t="s">
        <v>296</v>
      </c>
      <c r="G3024" s="200" t="s">
        <v>453</v>
      </c>
      <c r="H3024" s="200" t="s">
        <v>97</v>
      </c>
      <c r="I3024" s="200" t="s">
        <v>211</v>
      </c>
    </row>
    <row r="3025" spans="1:9" ht="15" customHeight="1">
      <c r="A3025" s="199">
        <v>45692</v>
      </c>
      <c r="B3025" s="202" t="s">
        <v>2540</v>
      </c>
      <c r="C3025" s="200" t="s">
        <v>307</v>
      </c>
      <c r="D3025" s="204">
        <v>-13000</v>
      </c>
      <c r="E3025" s="201">
        <v>45689</v>
      </c>
      <c r="F3025" s="200" t="s">
        <v>296</v>
      </c>
      <c r="G3025" s="200" t="s">
        <v>453</v>
      </c>
      <c r="H3025" s="200" t="s">
        <v>97</v>
      </c>
      <c r="I3025" s="200" t="s">
        <v>211</v>
      </c>
    </row>
    <row r="3026" spans="1:9" ht="15" customHeight="1">
      <c r="A3026" s="199">
        <v>45693</v>
      </c>
      <c r="B3026" s="202" t="s">
        <v>1521</v>
      </c>
      <c r="C3026" s="200" t="s">
        <v>307</v>
      </c>
      <c r="D3026" s="204">
        <v>-152763</v>
      </c>
      <c r="E3026" s="201">
        <v>45689</v>
      </c>
      <c r="F3026" s="200" t="s">
        <v>296</v>
      </c>
      <c r="G3026" s="200" t="s">
        <v>453</v>
      </c>
      <c r="H3026" s="200" t="s">
        <v>97</v>
      </c>
      <c r="I3026" s="200" t="s">
        <v>211</v>
      </c>
    </row>
    <row r="3027" spans="1:9" ht="15" customHeight="1">
      <c r="A3027" s="199">
        <v>45693</v>
      </c>
      <c r="B3027" s="202" t="s">
        <v>2540</v>
      </c>
      <c r="C3027" s="200" t="s">
        <v>307</v>
      </c>
      <c r="D3027" s="204">
        <v>-427000</v>
      </c>
      <c r="E3027" s="201">
        <v>45689</v>
      </c>
      <c r="F3027" s="200" t="s">
        <v>296</v>
      </c>
      <c r="G3027" s="200" t="s">
        <v>453</v>
      </c>
      <c r="H3027" s="200" t="s">
        <v>97</v>
      </c>
      <c r="I3027" s="200" t="s">
        <v>211</v>
      </c>
    </row>
    <row r="3028" spans="1:9" ht="15" customHeight="1">
      <c r="A3028" s="199">
        <v>45694</v>
      </c>
      <c r="B3028" s="202" t="s">
        <v>2540</v>
      </c>
      <c r="C3028" s="200" t="s">
        <v>307</v>
      </c>
      <c r="D3028" s="204">
        <v>-55000</v>
      </c>
      <c r="E3028" s="201">
        <v>45689</v>
      </c>
      <c r="F3028" s="200" t="s">
        <v>296</v>
      </c>
      <c r="G3028" s="200" t="s">
        <v>453</v>
      </c>
      <c r="H3028" s="200" t="s">
        <v>97</v>
      </c>
      <c r="I3028" s="200" t="s">
        <v>211</v>
      </c>
    </row>
    <row r="3029" spans="1:9" ht="15" customHeight="1">
      <c r="A3029" s="199">
        <v>45694</v>
      </c>
      <c r="B3029" s="202" t="s">
        <v>2541</v>
      </c>
      <c r="C3029" s="200" t="s">
        <v>307</v>
      </c>
      <c r="D3029" s="204">
        <v>-13900</v>
      </c>
      <c r="E3029" s="201">
        <v>45689</v>
      </c>
      <c r="F3029" s="200" t="s">
        <v>296</v>
      </c>
      <c r="G3029" s="200" t="s">
        <v>453</v>
      </c>
      <c r="H3029" s="200" t="s">
        <v>97</v>
      </c>
      <c r="I3029" s="200" t="s">
        <v>211</v>
      </c>
    </row>
    <row r="3030" spans="1:9" ht="15" customHeight="1">
      <c r="A3030" s="199">
        <v>45694</v>
      </c>
      <c r="B3030" s="202" t="s">
        <v>2540</v>
      </c>
      <c r="C3030" s="200" t="s">
        <v>307</v>
      </c>
      <c r="D3030" s="204">
        <v>-14800</v>
      </c>
      <c r="E3030" s="201">
        <v>45689</v>
      </c>
      <c r="F3030" s="200" t="s">
        <v>296</v>
      </c>
      <c r="G3030" s="200" t="s">
        <v>453</v>
      </c>
      <c r="H3030" s="200" t="s">
        <v>97</v>
      </c>
      <c r="I3030" s="200" t="s">
        <v>211</v>
      </c>
    </row>
    <row r="3031" spans="1:9" ht="15" customHeight="1">
      <c r="A3031" s="199">
        <v>45695</v>
      </c>
      <c r="B3031" s="202" t="s">
        <v>1521</v>
      </c>
      <c r="C3031" s="200" t="s">
        <v>307</v>
      </c>
      <c r="D3031" s="204">
        <v>-155228</v>
      </c>
      <c r="E3031" s="201">
        <v>45689</v>
      </c>
      <c r="F3031" s="200" t="s">
        <v>296</v>
      </c>
      <c r="G3031" s="200" t="s">
        <v>453</v>
      </c>
      <c r="H3031" s="200" t="s">
        <v>97</v>
      </c>
      <c r="I3031" s="200" t="s">
        <v>211</v>
      </c>
    </row>
    <row r="3032" spans="1:9" ht="15" customHeight="1">
      <c r="A3032" s="199">
        <v>45695</v>
      </c>
      <c r="B3032" s="202" t="s">
        <v>2541</v>
      </c>
      <c r="C3032" s="200" t="s">
        <v>307</v>
      </c>
      <c r="D3032" s="204">
        <v>-13900</v>
      </c>
      <c r="E3032" s="201">
        <v>45689</v>
      </c>
      <c r="F3032" s="200" t="s">
        <v>296</v>
      </c>
      <c r="G3032" s="200" t="s">
        <v>453</v>
      </c>
      <c r="H3032" s="200" t="s">
        <v>97</v>
      </c>
      <c r="I3032" s="200" t="s">
        <v>211</v>
      </c>
    </row>
    <row r="3033" spans="1:9" ht="15" customHeight="1">
      <c r="A3033" s="199">
        <v>45695</v>
      </c>
      <c r="B3033" s="202" t="s">
        <v>2541</v>
      </c>
      <c r="C3033" s="200" t="s">
        <v>307</v>
      </c>
      <c r="D3033" s="204">
        <v>-11700</v>
      </c>
      <c r="E3033" s="201">
        <v>45689</v>
      </c>
      <c r="F3033" s="200" t="s">
        <v>296</v>
      </c>
      <c r="G3033" s="200" t="s">
        <v>453</v>
      </c>
      <c r="H3033" s="200" t="s">
        <v>97</v>
      </c>
      <c r="I3033" s="200" t="s">
        <v>211</v>
      </c>
    </row>
    <row r="3034" spans="1:9" ht="15" customHeight="1">
      <c r="A3034" s="199">
        <v>45695</v>
      </c>
      <c r="B3034" s="202" t="s">
        <v>2541</v>
      </c>
      <c r="C3034" s="200" t="s">
        <v>307</v>
      </c>
      <c r="D3034" s="204">
        <v>-11700</v>
      </c>
      <c r="E3034" s="201">
        <v>45689</v>
      </c>
      <c r="F3034" s="200" t="s">
        <v>296</v>
      </c>
      <c r="G3034" s="200" t="s">
        <v>453</v>
      </c>
      <c r="H3034" s="200" t="s">
        <v>97</v>
      </c>
      <c r="I3034" s="200" t="s">
        <v>211</v>
      </c>
    </row>
    <row r="3035" spans="1:9" ht="15" customHeight="1">
      <c r="A3035" s="199">
        <v>45696</v>
      </c>
      <c r="B3035" s="202" t="s">
        <v>2541</v>
      </c>
      <c r="C3035" s="200" t="s">
        <v>307</v>
      </c>
      <c r="D3035" s="204">
        <v>-13800</v>
      </c>
      <c r="E3035" s="201">
        <v>45689</v>
      </c>
      <c r="F3035" s="200" t="s">
        <v>296</v>
      </c>
      <c r="G3035" s="200" t="s">
        <v>453</v>
      </c>
      <c r="H3035" s="200" t="s">
        <v>97</v>
      </c>
      <c r="I3035" s="200" t="s">
        <v>211</v>
      </c>
    </row>
    <row r="3036" spans="1:9" ht="15" customHeight="1">
      <c r="A3036" s="199">
        <v>45696</v>
      </c>
      <c r="B3036" s="202" t="s">
        <v>2541</v>
      </c>
      <c r="C3036" s="200" t="s">
        <v>307</v>
      </c>
      <c r="D3036" s="204">
        <v>-6900</v>
      </c>
      <c r="E3036" s="201">
        <v>45689</v>
      </c>
      <c r="F3036" s="200" t="s">
        <v>296</v>
      </c>
      <c r="G3036" s="200" t="s">
        <v>453</v>
      </c>
      <c r="H3036" s="200" t="s">
        <v>97</v>
      </c>
      <c r="I3036" s="200" t="s">
        <v>211</v>
      </c>
    </row>
    <row r="3037" spans="1:9" ht="15" customHeight="1">
      <c r="A3037" s="199">
        <v>45696</v>
      </c>
      <c r="B3037" s="202" t="s">
        <v>2540</v>
      </c>
      <c r="C3037" s="200" t="s">
        <v>307</v>
      </c>
      <c r="D3037" s="204">
        <v>-25000</v>
      </c>
      <c r="E3037" s="201">
        <v>45689</v>
      </c>
      <c r="F3037" s="200" t="s">
        <v>296</v>
      </c>
      <c r="G3037" s="200" t="s">
        <v>453</v>
      </c>
      <c r="H3037" s="200" t="s">
        <v>97</v>
      </c>
      <c r="I3037" s="200" t="s">
        <v>211</v>
      </c>
    </row>
    <row r="3038" spans="1:9" ht="15" customHeight="1">
      <c r="A3038" s="199">
        <v>45696</v>
      </c>
      <c r="B3038" s="202" t="s">
        <v>2540</v>
      </c>
      <c r="C3038" s="200" t="s">
        <v>307</v>
      </c>
      <c r="D3038" s="204">
        <v>-42000</v>
      </c>
      <c r="E3038" s="201">
        <v>45689</v>
      </c>
      <c r="F3038" s="200" t="s">
        <v>296</v>
      </c>
      <c r="G3038" s="200" t="s">
        <v>453</v>
      </c>
      <c r="H3038" s="200" t="s">
        <v>97</v>
      </c>
      <c r="I3038" s="200" t="s">
        <v>211</v>
      </c>
    </row>
    <row r="3039" spans="1:9" ht="15" customHeight="1">
      <c r="A3039" s="199">
        <v>45698</v>
      </c>
      <c r="B3039" s="202" t="s">
        <v>2542</v>
      </c>
      <c r="C3039" s="200" t="s">
        <v>307</v>
      </c>
      <c r="D3039" s="204">
        <v>-180000</v>
      </c>
      <c r="E3039" s="201">
        <v>45689</v>
      </c>
      <c r="F3039" s="200" t="s">
        <v>296</v>
      </c>
      <c r="G3039" s="200" t="s">
        <v>453</v>
      </c>
      <c r="H3039" s="200" t="s">
        <v>97</v>
      </c>
      <c r="I3039" s="200" t="s">
        <v>211</v>
      </c>
    </row>
    <row r="3040" spans="1:9" ht="15" customHeight="1">
      <c r="A3040" s="199">
        <v>45698</v>
      </c>
      <c r="B3040" s="202" t="s">
        <v>2543</v>
      </c>
      <c r="C3040" s="200" t="s">
        <v>307</v>
      </c>
      <c r="D3040" s="204">
        <v>-140000</v>
      </c>
      <c r="E3040" s="201">
        <v>45689</v>
      </c>
      <c r="F3040" s="200" t="s">
        <v>296</v>
      </c>
      <c r="G3040" s="200" t="s">
        <v>453</v>
      </c>
      <c r="H3040" s="200" t="s">
        <v>97</v>
      </c>
      <c r="I3040" s="200" t="s">
        <v>211</v>
      </c>
    </row>
    <row r="3041" spans="1:9" ht="15" customHeight="1">
      <c r="A3041" s="199">
        <v>45698</v>
      </c>
      <c r="B3041" s="202" t="s">
        <v>2540</v>
      </c>
      <c r="C3041" s="200" t="s">
        <v>307</v>
      </c>
      <c r="D3041" s="204">
        <v>-23900</v>
      </c>
      <c r="E3041" s="201">
        <v>45689</v>
      </c>
      <c r="F3041" s="200" t="s">
        <v>296</v>
      </c>
      <c r="G3041" s="200" t="s">
        <v>453</v>
      </c>
      <c r="H3041" s="200" t="s">
        <v>97</v>
      </c>
      <c r="I3041" s="200" t="s">
        <v>211</v>
      </c>
    </row>
    <row r="3042" spans="1:9" ht="15" customHeight="1">
      <c r="A3042" s="199">
        <v>45698</v>
      </c>
      <c r="B3042" s="202" t="s">
        <v>2540</v>
      </c>
      <c r="C3042" s="200" t="s">
        <v>307</v>
      </c>
      <c r="D3042" s="204">
        <v>-40609</v>
      </c>
      <c r="E3042" s="201">
        <v>45689</v>
      </c>
      <c r="F3042" s="200" t="s">
        <v>296</v>
      </c>
      <c r="G3042" s="200" t="s">
        <v>453</v>
      </c>
      <c r="H3042" s="200" t="s">
        <v>97</v>
      </c>
      <c r="I3042" s="200" t="s">
        <v>211</v>
      </c>
    </row>
    <row r="3043" spans="1:9" ht="15" customHeight="1">
      <c r="A3043" s="199">
        <v>45698</v>
      </c>
      <c r="B3043" s="202" t="s">
        <v>2540</v>
      </c>
      <c r="C3043" s="200" t="s">
        <v>136</v>
      </c>
      <c r="D3043" s="649">
        <v>-41121</v>
      </c>
      <c r="E3043" s="201">
        <v>45689</v>
      </c>
      <c r="F3043" s="200" t="s">
        <v>296</v>
      </c>
      <c r="G3043" s="200" t="s">
        <v>453</v>
      </c>
      <c r="H3043" s="200" t="s">
        <v>97</v>
      </c>
      <c r="I3043" s="200" t="s">
        <v>211</v>
      </c>
    </row>
    <row r="3044" spans="1:9" ht="15" customHeight="1">
      <c r="A3044" s="199">
        <v>45698</v>
      </c>
      <c r="B3044" s="202" t="s">
        <v>2544</v>
      </c>
      <c r="C3044" s="200" t="s">
        <v>136</v>
      </c>
      <c r="D3044" s="649">
        <v>-120000</v>
      </c>
      <c r="E3044" s="201">
        <v>45689</v>
      </c>
      <c r="F3044" s="200" t="s">
        <v>296</v>
      </c>
      <c r="G3044" s="200" t="s">
        <v>453</v>
      </c>
      <c r="H3044" s="200" t="s">
        <v>97</v>
      </c>
      <c r="I3044" s="200" t="s">
        <v>211</v>
      </c>
    </row>
    <row r="3045" spans="1:9" ht="15" customHeight="1">
      <c r="A3045" s="199">
        <v>45693</v>
      </c>
      <c r="B3045" s="202" t="s">
        <v>2542</v>
      </c>
      <c r="C3045" s="200" t="s">
        <v>136</v>
      </c>
      <c r="D3045" s="649">
        <v>-240000</v>
      </c>
      <c r="E3045" s="201">
        <v>45689</v>
      </c>
      <c r="F3045" s="200" t="s">
        <v>296</v>
      </c>
      <c r="G3045" s="200" t="s">
        <v>453</v>
      </c>
      <c r="H3045" s="200" t="s">
        <v>97</v>
      </c>
      <c r="I3045" s="200" t="s">
        <v>211</v>
      </c>
    </row>
    <row r="3046" spans="1:9" ht="15" customHeight="1">
      <c r="A3046" s="199">
        <v>45695</v>
      </c>
      <c r="B3046" s="202" t="s">
        <v>2542</v>
      </c>
      <c r="C3046" s="200" t="s">
        <v>136</v>
      </c>
      <c r="D3046" s="649">
        <v>-140000</v>
      </c>
      <c r="E3046" s="201">
        <v>45689</v>
      </c>
      <c r="F3046" s="200" t="s">
        <v>296</v>
      </c>
      <c r="G3046" s="200" t="s">
        <v>453</v>
      </c>
      <c r="H3046" s="200" t="s">
        <v>97</v>
      </c>
      <c r="I3046" s="200" t="s">
        <v>211</v>
      </c>
    </row>
    <row r="3047" spans="1:9" ht="15" customHeight="1">
      <c r="A3047" s="199">
        <v>45695</v>
      </c>
      <c r="B3047" s="202" t="s">
        <v>2540</v>
      </c>
      <c r="C3047" s="200" t="s">
        <v>136</v>
      </c>
      <c r="D3047" s="649">
        <v>-55000</v>
      </c>
      <c r="E3047" s="201">
        <v>45689</v>
      </c>
      <c r="F3047" s="200" t="s">
        <v>296</v>
      </c>
      <c r="G3047" s="200" t="s">
        <v>453</v>
      </c>
      <c r="H3047" s="200" t="s">
        <v>97</v>
      </c>
      <c r="I3047" s="200" t="s">
        <v>211</v>
      </c>
    </row>
    <row r="3048" spans="1:9" ht="15" customHeight="1">
      <c r="A3048" s="199">
        <v>45694</v>
      </c>
      <c r="B3048" s="202" t="s">
        <v>2542</v>
      </c>
      <c r="C3048" s="200" t="s">
        <v>136</v>
      </c>
      <c r="D3048" s="649">
        <v>-200000</v>
      </c>
      <c r="E3048" s="201">
        <v>45689</v>
      </c>
      <c r="F3048" s="200" t="s">
        <v>296</v>
      </c>
      <c r="G3048" s="200" t="s">
        <v>453</v>
      </c>
      <c r="H3048" s="200" t="s">
        <v>97</v>
      </c>
      <c r="I3048" s="200" t="s">
        <v>211</v>
      </c>
    </row>
    <row r="3049" spans="1:9" ht="15" customHeight="1">
      <c r="A3049" s="199">
        <v>45700</v>
      </c>
      <c r="B3049" s="202" t="s">
        <v>2545</v>
      </c>
      <c r="C3049" s="200" t="s">
        <v>136</v>
      </c>
      <c r="D3049" s="649">
        <v>-32000</v>
      </c>
      <c r="E3049" s="201">
        <v>45689</v>
      </c>
      <c r="F3049" s="200" t="s">
        <v>296</v>
      </c>
      <c r="G3049" s="200" t="s">
        <v>453</v>
      </c>
      <c r="H3049" s="200" t="s">
        <v>97</v>
      </c>
      <c r="I3049" s="200" t="s">
        <v>211</v>
      </c>
    </row>
    <row r="3050" spans="1:9" ht="15" customHeight="1">
      <c r="A3050" s="199">
        <v>45701</v>
      </c>
      <c r="B3050" s="202" t="s">
        <v>2546</v>
      </c>
      <c r="C3050" s="200" t="s">
        <v>136</v>
      </c>
      <c r="D3050" s="649">
        <v>-220000</v>
      </c>
      <c r="E3050" s="201">
        <v>45689</v>
      </c>
      <c r="F3050" s="200" t="s">
        <v>296</v>
      </c>
      <c r="G3050" s="200" t="s">
        <v>453</v>
      </c>
      <c r="H3050" s="200" t="s">
        <v>97</v>
      </c>
      <c r="I3050" s="200" t="s">
        <v>211</v>
      </c>
    </row>
    <row r="3051" spans="1:9" ht="15" customHeight="1">
      <c r="A3051" s="199">
        <v>45691</v>
      </c>
      <c r="B3051" s="202" t="s">
        <v>2547</v>
      </c>
      <c r="C3051" s="200" t="s">
        <v>136</v>
      </c>
      <c r="D3051" s="649">
        <v>-35000</v>
      </c>
      <c r="E3051" s="201">
        <v>45689</v>
      </c>
      <c r="F3051" s="200" t="s">
        <v>256</v>
      </c>
      <c r="G3051" s="200" t="s">
        <v>256</v>
      </c>
      <c r="H3051" s="200" t="s">
        <v>269</v>
      </c>
      <c r="I3051" s="200" t="s">
        <v>209</v>
      </c>
    </row>
    <row r="3052" spans="1:9" ht="15" customHeight="1">
      <c r="A3052" s="199">
        <v>45691</v>
      </c>
      <c r="B3052" s="202" t="s">
        <v>2548</v>
      </c>
      <c r="C3052" s="200" t="s">
        <v>136</v>
      </c>
      <c r="D3052" s="649">
        <v>-17000</v>
      </c>
      <c r="E3052" s="201">
        <v>45689</v>
      </c>
      <c r="F3052" s="200" t="s">
        <v>256</v>
      </c>
      <c r="G3052" s="200" t="s">
        <v>256</v>
      </c>
      <c r="H3052" s="200" t="s">
        <v>269</v>
      </c>
      <c r="I3052" s="200" t="s">
        <v>209</v>
      </c>
    </row>
    <row r="3053" spans="1:9" ht="15" customHeight="1">
      <c r="A3053" s="199">
        <v>45691</v>
      </c>
      <c r="B3053" s="202" t="s">
        <v>2549</v>
      </c>
      <c r="C3053" s="200" t="s">
        <v>136</v>
      </c>
      <c r="D3053" s="649">
        <v>-13000</v>
      </c>
      <c r="E3053" s="201">
        <v>45689</v>
      </c>
      <c r="F3053" s="200" t="s">
        <v>256</v>
      </c>
      <c r="G3053" s="200" t="s">
        <v>256</v>
      </c>
      <c r="H3053" s="200" t="s">
        <v>269</v>
      </c>
      <c r="I3053" s="200" t="s">
        <v>209</v>
      </c>
    </row>
    <row r="3054" spans="1:9" ht="15" customHeight="1">
      <c r="A3054" s="199">
        <v>45691</v>
      </c>
      <c r="B3054" s="202" t="s">
        <v>2550</v>
      </c>
      <c r="C3054" s="200" t="s">
        <v>136</v>
      </c>
      <c r="D3054" s="649">
        <v>-33000</v>
      </c>
      <c r="E3054" s="201">
        <v>45689</v>
      </c>
      <c r="F3054" s="200" t="s">
        <v>256</v>
      </c>
      <c r="G3054" s="200" t="s">
        <v>256</v>
      </c>
      <c r="H3054" s="200" t="s">
        <v>269</v>
      </c>
      <c r="I3054" s="200" t="s">
        <v>209</v>
      </c>
    </row>
    <row r="3055" spans="1:9" ht="15" customHeight="1">
      <c r="A3055" s="199">
        <v>45691</v>
      </c>
      <c r="B3055" s="202" t="s">
        <v>1745</v>
      </c>
      <c r="C3055" s="200" t="s">
        <v>136</v>
      </c>
      <c r="D3055" s="649">
        <v>-39800</v>
      </c>
      <c r="E3055" s="201">
        <v>45689</v>
      </c>
      <c r="F3055" s="200" t="s">
        <v>256</v>
      </c>
      <c r="G3055" s="200" t="s">
        <v>256</v>
      </c>
      <c r="H3055" s="200" t="s">
        <v>269</v>
      </c>
      <c r="I3055" s="200" t="s">
        <v>209</v>
      </c>
    </row>
    <row r="3056" spans="1:9" ht="15" customHeight="1">
      <c r="A3056" s="199">
        <v>45691</v>
      </c>
      <c r="B3056" s="202" t="s">
        <v>1743</v>
      </c>
      <c r="C3056" s="200" t="s">
        <v>136</v>
      </c>
      <c r="D3056" s="649">
        <v>-30900</v>
      </c>
      <c r="E3056" s="201">
        <v>45689</v>
      </c>
      <c r="F3056" s="200" t="s">
        <v>256</v>
      </c>
      <c r="G3056" s="200" t="s">
        <v>256</v>
      </c>
      <c r="H3056" s="200" t="s">
        <v>269</v>
      </c>
      <c r="I3056" s="200" t="s">
        <v>209</v>
      </c>
    </row>
    <row r="3057" spans="1:9" ht="15" customHeight="1">
      <c r="A3057" s="199">
        <v>45691</v>
      </c>
      <c r="B3057" s="202" t="s">
        <v>2551</v>
      </c>
      <c r="C3057" s="200" t="s">
        <v>136</v>
      </c>
      <c r="D3057" s="649">
        <v>-35479</v>
      </c>
      <c r="E3057" s="201">
        <v>45689</v>
      </c>
      <c r="F3057" s="200" t="s">
        <v>256</v>
      </c>
      <c r="G3057" s="200" t="s">
        <v>256</v>
      </c>
      <c r="H3057" s="200" t="s">
        <v>269</v>
      </c>
      <c r="I3057" s="200" t="s">
        <v>209</v>
      </c>
    </row>
    <row r="3058" spans="1:9" ht="15" customHeight="1">
      <c r="A3058" s="199">
        <v>45692</v>
      </c>
      <c r="B3058" s="202" t="s">
        <v>2552</v>
      </c>
      <c r="C3058" s="200" t="s">
        <v>136</v>
      </c>
      <c r="D3058" s="649">
        <v>-21726</v>
      </c>
      <c r="E3058" s="201">
        <v>45689</v>
      </c>
      <c r="F3058" s="200" t="s">
        <v>256</v>
      </c>
      <c r="G3058" s="200" t="s">
        <v>256</v>
      </c>
      <c r="H3058" s="200" t="s">
        <v>269</v>
      </c>
      <c r="I3058" s="200" t="s">
        <v>209</v>
      </c>
    </row>
    <row r="3059" spans="1:9" ht="15" customHeight="1">
      <c r="A3059" s="199">
        <v>45692</v>
      </c>
      <c r="B3059" s="202" t="s">
        <v>1745</v>
      </c>
      <c r="C3059" s="200" t="s">
        <v>136</v>
      </c>
      <c r="D3059" s="649">
        <v>-30400</v>
      </c>
      <c r="E3059" s="201">
        <v>45689</v>
      </c>
      <c r="F3059" s="200" t="s">
        <v>256</v>
      </c>
      <c r="G3059" s="200" t="s">
        <v>256</v>
      </c>
      <c r="H3059" s="200" t="s">
        <v>269</v>
      </c>
      <c r="I3059" s="200" t="s">
        <v>209</v>
      </c>
    </row>
    <row r="3060" spans="1:9" ht="15" customHeight="1">
      <c r="A3060" s="199">
        <v>45692</v>
      </c>
      <c r="B3060" s="202" t="s">
        <v>2553</v>
      </c>
      <c r="C3060" s="200" t="s">
        <v>136</v>
      </c>
      <c r="D3060" s="649">
        <v>-17000</v>
      </c>
      <c r="E3060" s="201">
        <v>45689</v>
      </c>
      <c r="F3060" s="200" t="s">
        <v>256</v>
      </c>
      <c r="G3060" s="200" t="s">
        <v>256</v>
      </c>
      <c r="H3060" s="200" t="s">
        <v>269</v>
      </c>
      <c r="I3060" s="200" t="s">
        <v>209</v>
      </c>
    </row>
    <row r="3061" spans="1:9" ht="15" customHeight="1">
      <c r="A3061" s="199">
        <v>45692</v>
      </c>
      <c r="B3061" s="202" t="s">
        <v>2554</v>
      </c>
      <c r="C3061" s="200" t="s">
        <v>136</v>
      </c>
      <c r="D3061" s="649">
        <v>-15787</v>
      </c>
      <c r="E3061" s="201">
        <v>45689</v>
      </c>
      <c r="F3061" s="200" t="s">
        <v>256</v>
      </c>
      <c r="G3061" s="200" t="s">
        <v>256</v>
      </c>
      <c r="H3061" s="200" t="s">
        <v>269</v>
      </c>
      <c r="I3061" s="200" t="s">
        <v>209</v>
      </c>
    </row>
    <row r="3062" spans="1:9" ht="15" customHeight="1">
      <c r="A3062" s="199">
        <v>45693</v>
      </c>
      <c r="B3062" s="202" t="s">
        <v>2555</v>
      </c>
      <c r="C3062" s="200" t="s">
        <v>136</v>
      </c>
      <c r="D3062" s="649">
        <v>-10461</v>
      </c>
      <c r="E3062" s="201">
        <v>45689</v>
      </c>
      <c r="F3062" s="200" t="s">
        <v>256</v>
      </c>
      <c r="G3062" s="200" t="s">
        <v>256</v>
      </c>
      <c r="H3062" s="200" t="s">
        <v>269</v>
      </c>
      <c r="I3062" s="200" t="s">
        <v>209</v>
      </c>
    </row>
    <row r="3063" spans="1:9" ht="15" customHeight="1">
      <c r="A3063" s="199">
        <v>45693</v>
      </c>
      <c r="B3063" s="202" t="s">
        <v>1745</v>
      </c>
      <c r="C3063" s="200" t="s">
        <v>136</v>
      </c>
      <c r="D3063" s="649">
        <v>-39800</v>
      </c>
      <c r="E3063" s="201">
        <v>45689</v>
      </c>
      <c r="F3063" s="200" t="s">
        <v>256</v>
      </c>
      <c r="G3063" s="200" t="s">
        <v>256</v>
      </c>
      <c r="H3063" s="200" t="s">
        <v>269</v>
      </c>
      <c r="I3063" s="200" t="s">
        <v>209</v>
      </c>
    </row>
    <row r="3064" spans="1:9" ht="15" customHeight="1">
      <c r="A3064" s="199">
        <v>45694</v>
      </c>
      <c r="B3064" s="202" t="s">
        <v>2556</v>
      </c>
      <c r="C3064" s="200" t="s">
        <v>136</v>
      </c>
      <c r="D3064" s="649">
        <v>-250000</v>
      </c>
      <c r="E3064" s="201">
        <v>45689</v>
      </c>
      <c r="F3064" s="200" t="s">
        <v>256</v>
      </c>
      <c r="G3064" s="200" t="s">
        <v>256</v>
      </c>
      <c r="H3064" s="200" t="s">
        <v>269</v>
      </c>
      <c r="I3064" s="200" t="s">
        <v>209</v>
      </c>
    </row>
    <row r="3065" spans="1:9" ht="15" customHeight="1">
      <c r="A3065" s="199">
        <v>45694</v>
      </c>
      <c r="B3065" s="202" t="s">
        <v>1745</v>
      </c>
      <c r="C3065" s="200" t="s">
        <v>136</v>
      </c>
      <c r="D3065" s="649">
        <v>-31400</v>
      </c>
      <c r="E3065" s="201">
        <v>45689</v>
      </c>
      <c r="F3065" s="200" t="s">
        <v>256</v>
      </c>
      <c r="G3065" s="200" t="s">
        <v>256</v>
      </c>
      <c r="H3065" s="200" t="s">
        <v>269</v>
      </c>
      <c r="I3065" s="200" t="s">
        <v>209</v>
      </c>
    </row>
    <row r="3066" spans="1:9" ht="15" customHeight="1">
      <c r="A3066" s="199">
        <v>45694</v>
      </c>
      <c r="B3066" s="202" t="s">
        <v>2557</v>
      </c>
      <c r="C3066" s="200" t="s">
        <v>136</v>
      </c>
      <c r="D3066" s="649">
        <v>-11449</v>
      </c>
      <c r="E3066" s="201">
        <v>45689</v>
      </c>
      <c r="F3066" s="200" t="s">
        <v>256</v>
      </c>
      <c r="G3066" s="200" t="s">
        <v>256</v>
      </c>
      <c r="H3066" s="200" t="s">
        <v>269</v>
      </c>
      <c r="I3066" s="200" t="s">
        <v>209</v>
      </c>
    </row>
    <row r="3067" spans="1:9" ht="15" customHeight="1">
      <c r="A3067" s="199">
        <v>45694</v>
      </c>
      <c r="B3067" s="202" t="s">
        <v>1743</v>
      </c>
      <c r="C3067" s="200" t="s">
        <v>136</v>
      </c>
      <c r="D3067" s="649">
        <v>-27900</v>
      </c>
      <c r="E3067" s="201">
        <v>45689</v>
      </c>
      <c r="F3067" s="200" t="s">
        <v>256</v>
      </c>
      <c r="G3067" s="200" t="s">
        <v>256</v>
      </c>
      <c r="H3067" s="200" t="s">
        <v>269</v>
      </c>
      <c r="I3067" s="200" t="s">
        <v>209</v>
      </c>
    </row>
    <row r="3068" spans="1:9" ht="15" customHeight="1">
      <c r="A3068" s="199">
        <v>45695</v>
      </c>
      <c r="B3068" s="202" t="s">
        <v>2558</v>
      </c>
      <c r="C3068" s="200" t="s">
        <v>136</v>
      </c>
      <c r="D3068" s="649">
        <v>-13000</v>
      </c>
      <c r="E3068" s="201">
        <v>45689</v>
      </c>
      <c r="F3068" s="200" t="s">
        <v>256</v>
      </c>
      <c r="G3068" s="200" t="s">
        <v>256</v>
      </c>
      <c r="H3068" s="200" t="s">
        <v>269</v>
      </c>
      <c r="I3068" s="200" t="s">
        <v>209</v>
      </c>
    </row>
    <row r="3069" spans="1:9" ht="15" customHeight="1">
      <c r="A3069" s="199">
        <v>45695</v>
      </c>
      <c r="B3069" s="202" t="s">
        <v>1745</v>
      </c>
      <c r="C3069" s="200" t="s">
        <v>136</v>
      </c>
      <c r="D3069" s="649">
        <v>-33900</v>
      </c>
      <c r="E3069" s="201">
        <v>45689</v>
      </c>
      <c r="F3069" s="200" t="s">
        <v>256</v>
      </c>
      <c r="G3069" s="200" t="s">
        <v>256</v>
      </c>
      <c r="H3069" s="200" t="s">
        <v>269</v>
      </c>
      <c r="I3069" s="200" t="s">
        <v>209</v>
      </c>
    </row>
    <row r="3070" spans="1:9" ht="15" customHeight="1">
      <c r="A3070" s="199">
        <v>45695</v>
      </c>
      <c r="B3070" s="202" t="s">
        <v>1743</v>
      </c>
      <c r="C3070" s="200" t="s">
        <v>136</v>
      </c>
      <c r="D3070" s="649">
        <v>-18990</v>
      </c>
      <c r="E3070" s="201">
        <v>45689</v>
      </c>
      <c r="F3070" s="200" t="s">
        <v>256</v>
      </c>
      <c r="G3070" s="200" t="s">
        <v>256</v>
      </c>
      <c r="H3070" s="200" t="s">
        <v>269</v>
      </c>
      <c r="I3070" s="200" t="s">
        <v>209</v>
      </c>
    </row>
    <row r="3071" spans="1:9" ht="15" customHeight="1">
      <c r="A3071" s="199">
        <v>45701</v>
      </c>
      <c r="B3071" s="202" t="s">
        <v>2559</v>
      </c>
      <c r="C3071" s="200" t="s">
        <v>136</v>
      </c>
      <c r="D3071" s="649">
        <v>-20000</v>
      </c>
      <c r="E3071" s="201">
        <v>45689</v>
      </c>
      <c r="F3071" s="200" t="s">
        <v>296</v>
      </c>
      <c r="G3071" s="200" t="s">
        <v>1124</v>
      </c>
      <c r="H3071" s="200" t="s">
        <v>342</v>
      </c>
      <c r="I3071" s="200" t="s">
        <v>1776</v>
      </c>
    </row>
    <row r="3072" spans="1:9" ht="15" customHeight="1">
      <c r="A3072" s="199">
        <v>45705</v>
      </c>
      <c r="B3072" s="202" t="s">
        <v>1788</v>
      </c>
      <c r="C3072" s="200" t="s">
        <v>136</v>
      </c>
      <c r="D3072" s="649">
        <v>-22000</v>
      </c>
      <c r="E3072" s="201">
        <v>45689</v>
      </c>
      <c r="F3072" s="200" t="s">
        <v>296</v>
      </c>
      <c r="G3072" s="200" t="s">
        <v>1124</v>
      </c>
      <c r="H3072" s="200" t="s">
        <v>268</v>
      </c>
      <c r="I3072" s="200" t="s">
        <v>1776</v>
      </c>
    </row>
    <row r="3073" spans="1:9" ht="15" customHeight="1">
      <c r="A3073" s="199">
        <v>45705</v>
      </c>
      <c r="B3073" s="202" t="s">
        <v>2560</v>
      </c>
      <c r="C3073" s="200" t="s">
        <v>136</v>
      </c>
      <c r="D3073" s="649">
        <v>-20000</v>
      </c>
      <c r="E3073" s="201">
        <v>45689</v>
      </c>
      <c r="F3073" s="200" t="s">
        <v>296</v>
      </c>
      <c r="G3073" s="200" t="s">
        <v>1124</v>
      </c>
      <c r="H3073" s="200" t="s">
        <v>268</v>
      </c>
      <c r="I3073" s="200" t="s">
        <v>1776</v>
      </c>
    </row>
    <row r="3074" spans="1:9" ht="15" customHeight="1">
      <c r="A3074" s="199">
        <v>45705</v>
      </c>
      <c r="B3074" s="202" t="s">
        <v>2561</v>
      </c>
      <c r="C3074" s="200" t="s">
        <v>136</v>
      </c>
      <c r="D3074" s="649">
        <v>-20000</v>
      </c>
      <c r="E3074" s="201">
        <v>45689</v>
      </c>
      <c r="F3074" s="200" t="s">
        <v>296</v>
      </c>
      <c r="G3074" s="200" t="s">
        <v>1124</v>
      </c>
      <c r="H3074" s="200" t="s">
        <v>268</v>
      </c>
      <c r="I3074" s="200" t="s">
        <v>1776</v>
      </c>
    </row>
    <row r="3075" spans="1:9" ht="15" customHeight="1">
      <c r="A3075" s="199">
        <v>45705</v>
      </c>
      <c r="B3075" s="202" t="s">
        <v>2562</v>
      </c>
      <c r="C3075" s="200" t="s">
        <v>136</v>
      </c>
      <c r="D3075" s="649">
        <v>-17000</v>
      </c>
      <c r="E3075" s="201">
        <v>45689</v>
      </c>
      <c r="F3075" s="200" t="s">
        <v>296</v>
      </c>
      <c r="G3075" s="200" t="s">
        <v>1124</v>
      </c>
      <c r="H3075" s="200" t="s">
        <v>268</v>
      </c>
      <c r="I3075" s="200" t="s">
        <v>1776</v>
      </c>
    </row>
    <row r="3076" spans="1:9" ht="15" customHeight="1">
      <c r="A3076" s="199">
        <v>45705</v>
      </c>
      <c r="B3076" s="202" t="s">
        <v>2563</v>
      </c>
      <c r="C3076" s="200" t="s">
        <v>136</v>
      </c>
      <c r="D3076" s="649">
        <v>-20000</v>
      </c>
      <c r="E3076" s="201">
        <v>45689</v>
      </c>
      <c r="F3076" s="200" t="s">
        <v>296</v>
      </c>
      <c r="G3076" s="200" t="s">
        <v>1124</v>
      </c>
      <c r="H3076" s="200" t="s">
        <v>268</v>
      </c>
      <c r="I3076" s="200" t="s">
        <v>1776</v>
      </c>
    </row>
    <row r="3077" spans="1:9" ht="15" customHeight="1">
      <c r="A3077" s="199">
        <v>45705</v>
      </c>
      <c r="B3077" s="202" t="s">
        <v>498</v>
      </c>
      <c r="C3077" s="200" t="s">
        <v>136</v>
      </c>
      <c r="D3077" s="649">
        <v>-19900</v>
      </c>
      <c r="E3077" s="201">
        <v>45689</v>
      </c>
      <c r="F3077" s="200" t="s">
        <v>296</v>
      </c>
      <c r="G3077" s="200" t="s">
        <v>1124</v>
      </c>
      <c r="H3077" s="200" t="s">
        <v>342</v>
      </c>
      <c r="I3077" s="200" t="s">
        <v>1776</v>
      </c>
    </row>
    <row r="3078" spans="1:9" ht="15" customHeight="1">
      <c r="A3078" s="199">
        <v>45705</v>
      </c>
      <c r="B3078" s="202" t="s">
        <v>498</v>
      </c>
      <c r="C3078" s="200" t="s">
        <v>136</v>
      </c>
      <c r="D3078" s="649">
        <v>-9600</v>
      </c>
      <c r="E3078" s="201">
        <v>45689</v>
      </c>
      <c r="F3078" s="200" t="s">
        <v>296</v>
      </c>
      <c r="G3078" s="200" t="s">
        <v>1124</v>
      </c>
      <c r="H3078" s="200" t="s">
        <v>342</v>
      </c>
      <c r="I3078" s="200" t="s">
        <v>1776</v>
      </c>
    </row>
    <row r="3079" spans="1:9" ht="15" customHeight="1">
      <c r="A3079" s="199">
        <v>45705</v>
      </c>
      <c r="B3079" s="202" t="s">
        <v>2564</v>
      </c>
      <c r="C3079" s="200" t="s">
        <v>136</v>
      </c>
      <c r="D3079" s="649">
        <v>-330000</v>
      </c>
      <c r="E3079" s="201">
        <v>45689</v>
      </c>
      <c r="F3079" s="200" t="s">
        <v>296</v>
      </c>
      <c r="G3079" s="200" t="s">
        <v>1124</v>
      </c>
      <c r="H3079" s="200" t="s">
        <v>857</v>
      </c>
      <c r="I3079" s="200" t="s">
        <v>1776</v>
      </c>
    </row>
    <row r="3080" spans="1:9" ht="15" customHeight="1">
      <c r="A3080" s="199">
        <v>45705</v>
      </c>
      <c r="B3080" s="202" t="s">
        <v>1799</v>
      </c>
      <c r="C3080" s="200" t="s">
        <v>136</v>
      </c>
      <c r="D3080" s="649">
        <v>-180000</v>
      </c>
      <c r="E3080" s="201">
        <v>45689</v>
      </c>
      <c r="F3080" s="200" t="s">
        <v>296</v>
      </c>
      <c r="G3080" s="200" t="s">
        <v>1124</v>
      </c>
      <c r="H3080" s="200" t="s">
        <v>342</v>
      </c>
      <c r="I3080" s="200" t="s">
        <v>1776</v>
      </c>
    </row>
    <row r="3081" spans="1:9" ht="15" customHeight="1">
      <c r="A3081" s="199">
        <v>45705</v>
      </c>
      <c r="B3081" s="202" t="s">
        <v>356</v>
      </c>
      <c r="C3081" s="200" t="s">
        <v>136</v>
      </c>
      <c r="D3081" s="649">
        <v>-15850</v>
      </c>
      <c r="E3081" s="201">
        <v>45689</v>
      </c>
      <c r="F3081" s="200" t="s">
        <v>296</v>
      </c>
      <c r="G3081" s="200" t="s">
        <v>1124</v>
      </c>
      <c r="H3081" s="200" t="s">
        <v>268</v>
      </c>
      <c r="I3081" s="200" t="s">
        <v>1776</v>
      </c>
    </row>
    <row r="3082" spans="1:9" ht="15" customHeight="1">
      <c r="A3082" s="199">
        <v>45705</v>
      </c>
      <c r="B3082" s="202" t="s">
        <v>2565</v>
      </c>
      <c r="C3082" s="200" t="s">
        <v>136</v>
      </c>
      <c r="D3082" s="649">
        <v>-50000</v>
      </c>
      <c r="E3082" s="201">
        <v>45689</v>
      </c>
      <c r="F3082" s="200" t="s">
        <v>296</v>
      </c>
      <c r="G3082" s="200" t="s">
        <v>1124</v>
      </c>
      <c r="H3082" s="200" t="s">
        <v>342</v>
      </c>
      <c r="I3082" s="200" t="s">
        <v>1776</v>
      </c>
    </row>
    <row r="3083" spans="1:9" ht="15" customHeight="1">
      <c r="A3083" s="199">
        <v>45705</v>
      </c>
      <c r="B3083" s="202" t="s">
        <v>2566</v>
      </c>
      <c r="C3083" s="200" t="s">
        <v>136</v>
      </c>
      <c r="D3083" s="649">
        <v>-181000</v>
      </c>
      <c r="E3083" s="201">
        <v>45689</v>
      </c>
      <c r="F3083" s="200" t="s">
        <v>296</v>
      </c>
      <c r="G3083" s="200" t="s">
        <v>1124</v>
      </c>
      <c r="H3083" s="200" t="s">
        <v>350</v>
      </c>
      <c r="I3083" s="200" t="s">
        <v>1776</v>
      </c>
    </row>
    <row r="3084" spans="1:9" ht="15" customHeight="1">
      <c r="A3084" s="199">
        <v>45705</v>
      </c>
      <c r="B3084" s="202" t="s">
        <v>2567</v>
      </c>
      <c r="C3084" s="200" t="s">
        <v>136</v>
      </c>
      <c r="D3084" s="649">
        <v>-32000</v>
      </c>
      <c r="E3084" s="201">
        <v>45689</v>
      </c>
      <c r="F3084" s="200" t="s">
        <v>296</v>
      </c>
      <c r="G3084" s="200" t="s">
        <v>1124</v>
      </c>
      <c r="H3084" s="200" t="s">
        <v>350</v>
      </c>
      <c r="I3084" s="200" t="s">
        <v>1776</v>
      </c>
    </row>
    <row r="3085" spans="1:9" ht="15" customHeight="1">
      <c r="A3085" s="199">
        <v>45705</v>
      </c>
      <c r="B3085" s="202" t="s">
        <v>2568</v>
      </c>
      <c r="C3085" s="200" t="s">
        <v>136</v>
      </c>
      <c r="D3085" s="649">
        <v>-28000</v>
      </c>
      <c r="E3085" s="201">
        <v>45689</v>
      </c>
      <c r="F3085" s="200" t="s">
        <v>296</v>
      </c>
      <c r="G3085" s="200" t="s">
        <v>1124</v>
      </c>
      <c r="H3085" s="200" t="s">
        <v>857</v>
      </c>
      <c r="I3085" s="200" t="s">
        <v>1776</v>
      </c>
    </row>
    <row r="3086" spans="1:9" ht="15" customHeight="1">
      <c r="A3086" s="199">
        <v>45706</v>
      </c>
      <c r="B3086" s="202" t="s">
        <v>503</v>
      </c>
      <c r="C3086" s="200" t="s">
        <v>136</v>
      </c>
      <c r="D3086" s="649">
        <v>-8034</v>
      </c>
      <c r="E3086" s="201">
        <v>45689</v>
      </c>
      <c r="F3086" s="200" t="s">
        <v>296</v>
      </c>
      <c r="G3086" s="200" t="s">
        <v>1124</v>
      </c>
      <c r="H3086" s="200" t="s">
        <v>268</v>
      </c>
      <c r="I3086" s="200" t="s">
        <v>1776</v>
      </c>
    </row>
    <row r="3087" spans="1:9" ht="15" customHeight="1">
      <c r="A3087" s="199">
        <v>45706</v>
      </c>
      <c r="B3087" s="202" t="s">
        <v>2569</v>
      </c>
      <c r="C3087" s="200" t="s">
        <v>136</v>
      </c>
      <c r="D3087" s="649">
        <v>-120000</v>
      </c>
      <c r="E3087" s="201">
        <v>45689</v>
      </c>
      <c r="F3087" s="200" t="s">
        <v>296</v>
      </c>
      <c r="G3087" s="200" t="s">
        <v>1124</v>
      </c>
      <c r="H3087" s="200" t="s">
        <v>346</v>
      </c>
      <c r="I3087" s="200" t="s">
        <v>1776</v>
      </c>
    </row>
    <row r="3088" spans="1:9" ht="15" customHeight="1">
      <c r="A3088" s="199">
        <v>45706</v>
      </c>
      <c r="B3088" s="202" t="s">
        <v>498</v>
      </c>
      <c r="C3088" s="200" t="s">
        <v>136</v>
      </c>
      <c r="D3088" s="649">
        <v>-17400</v>
      </c>
      <c r="E3088" s="201">
        <v>45689</v>
      </c>
      <c r="F3088" s="200" t="s">
        <v>296</v>
      </c>
      <c r="G3088" s="200" t="s">
        <v>1124</v>
      </c>
      <c r="H3088" s="200" t="s">
        <v>342</v>
      </c>
      <c r="I3088" s="200" t="s">
        <v>1776</v>
      </c>
    </row>
    <row r="3089" spans="1:9" ht="15" customHeight="1">
      <c r="A3089" s="199">
        <v>45706</v>
      </c>
      <c r="B3089" s="202" t="s">
        <v>498</v>
      </c>
      <c r="C3089" s="200" t="s">
        <v>136</v>
      </c>
      <c r="D3089" s="649">
        <v>-10800</v>
      </c>
      <c r="E3089" s="201">
        <v>45689</v>
      </c>
      <c r="F3089" s="200" t="s">
        <v>296</v>
      </c>
      <c r="G3089" s="200" t="s">
        <v>1124</v>
      </c>
      <c r="H3089" s="200" t="s">
        <v>342</v>
      </c>
      <c r="I3089" s="200" t="s">
        <v>1776</v>
      </c>
    </row>
    <row r="3090" spans="1:9" ht="15" customHeight="1">
      <c r="A3090" s="199">
        <v>45706</v>
      </c>
      <c r="B3090" s="202" t="s">
        <v>2570</v>
      </c>
      <c r="C3090" s="200" t="s">
        <v>136</v>
      </c>
      <c r="D3090" s="649">
        <v>-20000</v>
      </c>
      <c r="E3090" s="201">
        <v>45689</v>
      </c>
      <c r="F3090" s="200" t="s">
        <v>296</v>
      </c>
      <c r="G3090" s="200" t="s">
        <v>1124</v>
      </c>
      <c r="H3090" s="200" t="s">
        <v>268</v>
      </c>
      <c r="I3090" s="200" t="s">
        <v>1776</v>
      </c>
    </row>
    <row r="3091" spans="1:9" ht="15" customHeight="1">
      <c r="A3091" s="199">
        <v>45706</v>
      </c>
      <c r="B3091" s="202" t="s">
        <v>2571</v>
      </c>
      <c r="C3091" s="200" t="s">
        <v>136</v>
      </c>
      <c r="D3091" s="649">
        <v>-16000</v>
      </c>
      <c r="E3091" s="201">
        <v>45689</v>
      </c>
      <c r="F3091" s="200" t="s">
        <v>296</v>
      </c>
      <c r="G3091" s="200" t="s">
        <v>1362</v>
      </c>
      <c r="H3091" s="200" t="s">
        <v>268</v>
      </c>
      <c r="I3091" s="200" t="s">
        <v>1776</v>
      </c>
    </row>
    <row r="3092" spans="1:9" ht="15" customHeight="1">
      <c r="A3092" s="199">
        <v>45706</v>
      </c>
      <c r="B3092" s="202" t="s">
        <v>2572</v>
      </c>
      <c r="C3092" s="200" t="s">
        <v>136</v>
      </c>
      <c r="D3092" s="649">
        <v>-20000</v>
      </c>
      <c r="E3092" s="201">
        <v>45689</v>
      </c>
      <c r="F3092" s="200" t="s">
        <v>296</v>
      </c>
      <c r="G3092" s="200" t="s">
        <v>1124</v>
      </c>
      <c r="H3092" s="200" t="s">
        <v>268</v>
      </c>
      <c r="I3092" s="200" t="s">
        <v>1776</v>
      </c>
    </row>
    <row r="3093" spans="1:9" ht="15" customHeight="1">
      <c r="A3093" s="199">
        <v>45706</v>
      </c>
      <c r="B3093" s="202" t="s">
        <v>2573</v>
      </c>
      <c r="C3093" s="200" t="s">
        <v>136</v>
      </c>
      <c r="D3093" s="649">
        <v>-20000</v>
      </c>
      <c r="E3093" s="201">
        <v>45689</v>
      </c>
      <c r="F3093" s="200" t="s">
        <v>296</v>
      </c>
      <c r="G3093" s="200" t="s">
        <v>1124</v>
      </c>
      <c r="H3093" s="200" t="s">
        <v>268</v>
      </c>
      <c r="I3093" s="200" t="s">
        <v>1776</v>
      </c>
    </row>
    <row r="3094" spans="1:9" ht="15" customHeight="1">
      <c r="A3094" s="199">
        <v>45706</v>
      </c>
      <c r="B3094" s="202" t="s">
        <v>2574</v>
      </c>
      <c r="C3094" s="200" t="s">
        <v>136</v>
      </c>
      <c r="D3094" s="649">
        <v>-20000</v>
      </c>
      <c r="E3094" s="201">
        <v>45689</v>
      </c>
      <c r="F3094" s="200" t="s">
        <v>296</v>
      </c>
      <c r="G3094" s="200" t="s">
        <v>1124</v>
      </c>
      <c r="H3094" s="200" t="s">
        <v>268</v>
      </c>
      <c r="I3094" s="200" t="s">
        <v>1776</v>
      </c>
    </row>
    <row r="3095" spans="1:9" ht="15" customHeight="1">
      <c r="A3095" s="199">
        <v>45706</v>
      </c>
      <c r="B3095" s="202" t="s">
        <v>2575</v>
      </c>
      <c r="C3095" s="200" t="s">
        <v>136</v>
      </c>
      <c r="D3095" s="649">
        <v>-20000</v>
      </c>
      <c r="E3095" s="201">
        <v>45689</v>
      </c>
      <c r="F3095" s="200" t="s">
        <v>296</v>
      </c>
      <c r="G3095" s="200" t="s">
        <v>1124</v>
      </c>
      <c r="H3095" s="200" t="s">
        <v>268</v>
      </c>
      <c r="I3095" s="200" t="s">
        <v>1776</v>
      </c>
    </row>
    <row r="3096" spans="1:9" ht="15" customHeight="1">
      <c r="A3096" s="199">
        <v>45706</v>
      </c>
      <c r="B3096" s="202" t="s">
        <v>2576</v>
      </c>
      <c r="C3096" s="200" t="s">
        <v>136</v>
      </c>
      <c r="D3096" s="649">
        <v>-16000</v>
      </c>
      <c r="E3096" s="201">
        <v>45689</v>
      </c>
      <c r="F3096" s="200" t="s">
        <v>296</v>
      </c>
      <c r="G3096" s="200" t="s">
        <v>1124</v>
      </c>
      <c r="H3096" s="200" t="s">
        <v>268</v>
      </c>
      <c r="I3096" s="200" t="s">
        <v>1776</v>
      </c>
    </row>
    <row r="3097" spans="1:9" ht="15" customHeight="1">
      <c r="A3097" s="199">
        <v>45706</v>
      </c>
      <c r="B3097" s="202" t="s">
        <v>498</v>
      </c>
      <c r="C3097" s="200" t="s">
        <v>136</v>
      </c>
      <c r="D3097" s="649">
        <v>-8200</v>
      </c>
      <c r="E3097" s="201">
        <v>45689</v>
      </c>
      <c r="F3097" s="200" t="s">
        <v>296</v>
      </c>
      <c r="G3097" s="200" t="s">
        <v>1124</v>
      </c>
      <c r="H3097" s="200" t="s">
        <v>342</v>
      </c>
      <c r="I3097" s="200" t="s">
        <v>1776</v>
      </c>
    </row>
    <row r="3098" spans="1:9" ht="15" customHeight="1">
      <c r="A3098" s="199">
        <v>45707</v>
      </c>
      <c r="B3098" s="202" t="s">
        <v>498</v>
      </c>
      <c r="C3098" s="200" t="s">
        <v>136</v>
      </c>
      <c r="D3098" s="649">
        <v>-27600</v>
      </c>
      <c r="E3098" s="201">
        <v>45689</v>
      </c>
      <c r="F3098" s="200" t="s">
        <v>296</v>
      </c>
      <c r="G3098" s="200" t="s">
        <v>1124</v>
      </c>
      <c r="H3098" s="200" t="s">
        <v>342</v>
      </c>
      <c r="I3098" s="200" t="s">
        <v>1776</v>
      </c>
    </row>
    <row r="3099" spans="1:9" ht="15" customHeight="1">
      <c r="A3099" s="199">
        <v>45707</v>
      </c>
      <c r="B3099" s="202" t="s">
        <v>2577</v>
      </c>
      <c r="C3099" s="200" t="s">
        <v>136</v>
      </c>
      <c r="D3099" s="649">
        <v>-150000</v>
      </c>
      <c r="E3099" s="201">
        <v>45689</v>
      </c>
      <c r="F3099" s="200" t="s">
        <v>296</v>
      </c>
      <c r="G3099" s="200" t="s">
        <v>1124</v>
      </c>
      <c r="H3099" s="200" t="s">
        <v>857</v>
      </c>
      <c r="I3099" s="200" t="s">
        <v>1776</v>
      </c>
    </row>
    <row r="3100" spans="1:9" ht="15" customHeight="1">
      <c r="A3100" s="199">
        <v>45707</v>
      </c>
      <c r="B3100" s="202" t="s">
        <v>498</v>
      </c>
      <c r="C3100" s="200" t="s">
        <v>136</v>
      </c>
      <c r="D3100" s="649">
        <v>-19000</v>
      </c>
      <c r="E3100" s="201">
        <v>45689</v>
      </c>
      <c r="F3100" s="200" t="s">
        <v>296</v>
      </c>
      <c r="G3100" s="200" t="s">
        <v>1124</v>
      </c>
      <c r="H3100" s="200" t="s">
        <v>342</v>
      </c>
      <c r="I3100" s="200" t="s">
        <v>1776</v>
      </c>
    </row>
    <row r="3101" spans="1:9" ht="15" customHeight="1">
      <c r="A3101" s="199">
        <v>45707</v>
      </c>
      <c r="B3101" s="202" t="s">
        <v>2578</v>
      </c>
      <c r="C3101" s="200" t="s">
        <v>136</v>
      </c>
      <c r="D3101" s="649">
        <v>-13000</v>
      </c>
      <c r="E3101" s="201">
        <v>45689</v>
      </c>
      <c r="F3101" s="200" t="s">
        <v>296</v>
      </c>
      <c r="G3101" s="200" t="s">
        <v>1124</v>
      </c>
      <c r="H3101" s="200" t="s">
        <v>857</v>
      </c>
      <c r="I3101" s="200" t="s">
        <v>1776</v>
      </c>
    </row>
    <row r="3102" spans="1:9" ht="15" customHeight="1">
      <c r="A3102" s="199">
        <v>45707</v>
      </c>
      <c r="B3102" s="202" t="s">
        <v>2579</v>
      </c>
      <c r="C3102" s="200" t="s">
        <v>136</v>
      </c>
      <c r="D3102" s="649">
        <v>-24000</v>
      </c>
      <c r="E3102" s="201">
        <v>45689</v>
      </c>
      <c r="F3102" s="200" t="s">
        <v>296</v>
      </c>
      <c r="G3102" s="200" t="s">
        <v>1124</v>
      </c>
      <c r="H3102" s="200" t="s">
        <v>857</v>
      </c>
      <c r="I3102" s="200" t="s">
        <v>1776</v>
      </c>
    </row>
    <row r="3103" spans="1:9" ht="15" customHeight="1">
      <c r="A3103" s="199">
        <v>45708</v>
      </c>
      <c r="B3103" s="202" t="s">
        <v>1060</v>
      </c>
      <c r="C3103" s="200" t="s">
        <v>136</v>
      </c>
      <c r="D3103" s="649">
        <v>-21200</v>
      </c>
      <c r="E3103" s="201">
        <v>45689</v>
      </c>
      <c r="F3103" s="200" t="s">
        <v>296</v>
      </c>
      <c r="G3103" s="200" t="s">
        <v>1124</v>
      </c>
      <c r="H3103" s="200" t="s">
        <v>342</v>
      </c>
      <c r="I3103" s="200" t="s">
        <v>1776</v>
      </c>
    </row>
    <row r="3104" spans="1:9" ht="15" customHeight="1">
      <c r="A3104" s="199">
        <v>45708</v>
      </c>
      <c r="B3104" s="202" t="s">
        <v>2580</v>
      </c>
      <c r="C3104" s="200" t="s">
        <v>136</v>
      </c>
      <c r="D3104" s="649">
        <v>-30000</v>
      </c>
      <c r="E3104" s="201">
        <v>45689</v>
      </c>
      <c r="F3104" s="200" t="s">
        <v>296</v>
      </c>
      <c r="G3104" s="200" t="s">
        <v>1124</v>
      </c>
      <c r="H3104" s="200" t="s">
        <v>342</v>
      </c>
      <c r="I3104" s="200" t="s">
        <v>1776</v>
      </c>
    </row>
    <row r="3105" spans="1:9" ht="15" customHeight="1">
      <c r="A3105" s="199">
        <v>45708</v>
      </c>
      <c r="B3105" s="202" t="s">
        <v>2581</v>
      </c>
      <c r="C3105" s="200" t="s">
        <v>136</v>
      </c>
      <c r="D3105" s="649">
        <v>-6000</v>
      </c>
      <c r="E3105" s="201">
        <v>45689</v>
      </c>
      <c r="F3105" s="200" t="s">
        <v>296</v>
      </c>
      <c r="G3105" s="200" t="s">
        <v>1124</v>
      </c>
      <c r="H3105" s="200" t="s">
        <v>268</v>
      </c>
      <c r="I3105" s="200" t="s">
        <v>1776</v>
      </c>
    </row>
    <row r="3106" spans="1:9" ht="15" customHeight="1">
      <c r="A3106" s="199">
        <v>45708</v>
      </c>
      <c r="B3106" s="202" t="s">
        <v>2582</v>
      </c>
      <c r="C3106" s="200" t="s">
        <v>136</v>
      </c>
      <c r="D3106" s="649">
        <v>-20000</v>
      </c>
      <c r="E3106" s="201">
        <v>45689</v>
      </c>
      <c r="F3106" s="200" t="s">
        <v>296</v>
      </c>
      <c r="G3106" s="200" t="s">
        <v>1124</v>
      </c>
      <c r="H3106" s="200" t="s">
        <v>268</v>
      </c>
      <c r="I3106" s="200" t="s">
        <v>1776</v>
      </c>
    </row>
    <row r="3107" spans="1:9" ht="15" customHeight="1">
      <c r="A3107" s="199">
        <v>45708</v>
      </c>
      <c r="B3107" s="202" t="s">
        <v>2583</v>
      </c>
      <c r="C3107" s="200" t="s">
        <v>136</v>
      </c>
      <c r="D3107" s="649">
        <v>-18000</v>
      </c>
      <c r="E3107" s="201">
        <v>45689</v>
      </c>
      <c r="F3107" s="200" t="s">
        <v>296</v>
      </c>
      <c r="G3107" s="200" t="s">
        <v>1124</v>
      </c>
      <c r="H3107" s="200" t="s">
        <v>268</v>
      </c>
      <c r="I3107" s="200" t="s">
        <v>1776</v>
      </c>
    </row>
    <row r="3108" spans="1:9" ht="15" customHeight="1">
      <c r="A3108" s="199">
        <v>45708</v>
      </c>
      <c r="B3108" s="202" t="s">
        <v>2584</v>
      </c>
      <c r="C3108" s="200" t="s">
        <v>136</v>
      </c>
      <c r="D3108" s="649">
        <v>-31880</v>
      </c>
      <c r="E3108" s="201">
        <v>45689</v>
      </c>
      <c r="F3108" s="200" t="s">
        <v>296</v>
      </c>
      <c r="G3108" s="200" t="s">
        <v>1124</v>
      </c>
      <c r="H3108" s="200" t="s">
        <v>268</v>
      </c>
      <c r="I3108" s="200" t="s">
        <v>1776</v>
      </c>
    </row>
    <row r="3109" spans="1:9" ht="15" customHeight="1">
      <c r="A3109" s="199">
        <v>45708</v>
      </c>
      <c r="B3109" s="202" t="s">
        <v>1060</v>
      </c>
      <c r="C3109" s="200" t="s">
        <v>136</v>
      </c>
      <c r="D3109" s="649">
        <v>-8600</v>
      </c>
      <c r="E3109" s="201">
        <v>45689</v>
      </c>
      <c r="F3109" s="200" t="s">
        <v>296</v>
      </c>
      <c r="G3109" s="200" t="s">
        <v>1124</v>
      </c>
      <c r="H3109" s="200" t="s">
        <v>342</v>
      </c>
      <c r="I3109" s="200" t="s">
        <v>1776</v>
      </c>
    </row>
    <row r="3110" spans="1:9" ht="15" customHeight="1">
      <c r="A3110" s="199">
        <v>45709</v>
      </c>
      <c r="B3110" s="202" t="s">
        <v>1060</v>
      </c>
      <c r="C3110" s="200" t="s">
        <v>136</v>
      </c>
      <c r="D3110" s="649">
        <v>-24600</v>
      </c>
      <c r="E3110" s="201">
        <v>45689</v>
      </c>
      <c r="F3110" s="200" t="s">
        <v>296</v>
      </c>
      <c r="G3110" s="200" t="s">
        <v>1124</v>
      </c>
      <c r="H3110" s="200" t="s">
        <v>342</v>
      </c>
      <c r="I3110" s="200" t="s">
        <v>1776</v>
      </c>
    </row>
    <row r="3111" spans="1:9" ht="15" customHeight="1">
      <c r="A3111" s="199">
        <v>45709</v>
      </c>
      <c r="B3111" s="202" t="s">
        <v>2585</v>
      </c>
      <c r="C3111" s="200" t="s">
        <v>136</v>
      </c>
      <c r="D3111" s="649">
        <v>-6000</v>
      </c>
      <c r="E3111" s="201">
        <v>45689</v>
      </c>
      <c r="F3111" s="200" t="s">
        <v>296</v>
      </c>
      <c r="G3111" s="200" t="s">
        <v>1124</v>
      </c>
      <c r="H3111" s="200" t="s">
        <v>268</v>
      </c>
      <c r="I3111" s="200" t="s">
        <v>1776</v>
      </c>
    </row>
    <row r="3112" spans="1:9" ht="15" customHeight="1">
      <c r="A3112" s="199">
        <v>45709</v>
      </c>
      <c r="B3112" s="202" t="s">
        <v>2586</v>
      </c>
      <c r="C3112" s="200" t="s">
        <v>136</v>
      </c>
      <c r="D3112" s="649">
        <v>-20000</v>
      </c>
      <c r="E3112" s="201">
        <v>45689</v>
      </c>
      <c r="F3112" s="200" t="s">
        <v>296</v>
      </c>
      <c r="G3112" s="200" t="s">
        <v>1124</v>
      </c>
      <c r="H3112" s="200" t="s">
        <v>268</v>
      </c>
      <c r="I3112" s="200" t="s">
        <v>1776</v>
      </c>
    </row>
    <row r="3113" spans="1:9" ht="15" customHeight="1">
      <c r="A3113" s="199">
        <v>45709</v>
      </c>
      <c r="B3113" s="202" t="s">
        <v>2587</v>
      </c>
      <c r="C3113" s="200" t="s">
        <v>136</v>
      </c>
      <c r="D3113" s="649">
        <v>-20000</v>
      </c>
      <c r="E3113" s="201">
        <v>45689</v>
      </c>
      <c r="F3113" s="200" t="s">
        <v>296</v>
      </c>
      <c r="G3113" s="200" t="s">
        <v>1124</v>
      </c>
      <c r="H3113" s="200" t="s">
        <v>268</v>
      </c>
      <c r="I3113" s="200" t="s">
        <v>1776</v>
      </c>
    </row>
    <row r="3114" spans="1:9" ht="15" customHeight="1">
      <c r="A3114" s="199">
        <v>45710</v>
      </c>
      <c r="B3114" s="202" t="s">
        <v>503</v>
      </c>
      <c r="C3114" s="200" t="s">
        <v>136</v>
      </c>
      <c r="D3114" s="649">
        <v>-32996</v>
      </c>
      <c r="E3114" s="201">
        <v>45689</v>
      </c>
      <c r="F3114" s="200" t="s">
        <v>296</v>
      </c>
      <c r="G3114" s="200" t="s">
        <v>1124</v>
      </c>
      <c r="H3114" s="200" t="s">
        <v>268</v>
      </c>
      <c r="I3114" s="200" t="s">
        <v>1776</v>
      </c>
    </row>
    <row r="3115" spans="1:9" ht="15" customHeight="1">
      <c r="A3115" s="199">
        <v>45715</v>
      </c>
      <c r="B3115" s="202" t="s">
        <v>2588</v>
      </c>
      <c r="C3115" s="200" t="s">
        <v>136</v>
      </c>
      <c r="D3115" s="649">
        <v>-843920</v>
      </c>
      <c r="E3115" s="201">
        <v>45689</v>
      </c>
      <c r="F3115" s="200" t="s">
        <v>256</v>
      </c>
      <c r="G3115" s="200" t="s">
        <v>256</v>
      </c>
      <c r="H3115" s="200" t="s">
        <v>269</v>
      </c>
    </row>
    <row r="3116" spans="1:9" ht="15" customHeight="1">
      <c r="A3116" s="199">
        <v>45715</v>
      </c>
      <c r="B3116" s="202" t="s">
        <v>2589</v>
      </c>
      <c r="C3116" s="200" t="s">
        <v>136</v>
      </c>
      <c r="D3116" s="649">
        <v>-160000</v>
      </c>
      <c r="E3116" s="201">
        <v>45689</v>
      </c>
      <c r="F3116" s="200" t="s">
        <v>296</v>
      </c>
      <c r="G3116" s="200" t="s">
        <v>328</v>
      </c>
      <c r="H3116" s="200" t="s">
        <v>342</v>
      </c>
    </row>
    <row r="3117" spans="1:9" ht="15" customHeight="1">
      <c r="A3117" s="199">
        <v>45715</v>
      </c>
      <c r="B3117" s="202" t="s">
        <v>2590</v>
      </c>
      <c r="C3117" s="200" t="s">
        <v>136</v>
      </c>
      <c r="D3117" s="649">
        <v>-160000</v>
      </c>
      <c r="E3117" s="201">
        <v>45689</v>
      </c>
      <c r="F3117" s="200" t="s">
        <v>256</v>
      </c>
      <c r="G3117" s="200" t="s">
        <v>107</v>
      </c>
      <c r="H3117" s="200" t="s">
        <v>275</v>
      </c>
    </row>
    <row r="3118" spans="1:9" ht="15" customHeight="1">
      <c r="A3118" s="199">
        <v>45715</v>
      </c>
      <c r="B3118" s="202" t="s">
        <v>2591</v>
      </c>
      <c r="C3118" s="200" t="s">
        <v>136</v>
      </c>
      <c r="D3118" s="649">
        <v>-80000</v>
      </c>
      <c r="E3118" s="201">
        <v>45689</v>
      </c>
      <c r="F3118" s="200" t="s">
        <v>296</v>
      </c>
      <c r="G3118" s="200" t="s">
        <v>453</v>
      </c>
      <c r="H3118" s="200" t="s">
        <v>97</v>
      </c>
    </row>
    <row r="3119" spans="1:9" ht="15" customHeight="1">
      <c r="A3119" s="199">
        <v>45715</v>
      </c>
      <c r="B3119" s="202" t="s">
        <v>2592</v>
      </c>
      <c r="C3119" s="200" t="s">
        <v>372</v>
      </c>
      <c r="D3119" s="204">
        <v>-30800</v>
      </c>
      <c r="E3119" s="201">
        <v>45689</v>
      </c>
      <c r="F3119" s="200" t="s">
        <v>256</v>
      </c>
      <c r="G3119" s="200" t="s">
        <v>256</v>
      </c>
      <c r="H3119" s="200" t="s">
        <v>269</v>
      </c>
    </row>
    <row r="3120" spans="1:9" ht="15" customHeight="1">
      <c r="A3120" s="199">
        <v>45715</v>
      </c>
      <c r="B3120" s="202" t="s">
        <v>2593</v>
      </c>
      <c r="C3120" s="200" t="s">
        <v>372</v>
      </c>
      <c r="D3120" s="204">
        <v>-5280</v>
      </c>
      <c r="E3120" s="201">
        <v>45689</v>
      </c>
      <c r="F3120" s="200" t="s">
        <v>256</v>
      </c>
      <c r="G3120" s="200" t="s">
        <v>256</v>
      </c>
      <c r="H3120" s="200" t="s">
        <v>269</v>
      </c>
    </row>
    <row r="3121" spans="1:8" ht="14.1">
      <c r="A3121" s="199">
        <v>45712</v>
      </c>
      <c r="B3121" s="202" t="s">
        <v>2594</v>
      </c>
      <c r="C3121" s="200" t="s">
        <v>204</v>
      </c>
      <c r="D3121" s="642">
        <v>-178000000</v>
      </c>
      <c r="E3121" s="201">
        <v>45689</v>
      </c>
      <c r="F3121" s="200" t="s">
        <v>1980</v>
      </c>
      <c r="G3121" s="200" t="s">
        <v>1981</v>
      </c>
    </row>
    <row r="3122" spans="1:8" ht="15" customHeight="1">
      <c r="A3122" s="199">
        <v>45713</v>
      </c>
      <c r="B3122" s="202" t="s">
        <v>2595</v>
      </c>
      <c r="C3122" s="200" t="s">
        <v>204</v>
      </c>
      <c r="D3122" s="642">
        <v>-126000000</v>
      </c>
      <c r="E3122" s="201">
        <v>45689</v>
      </c>
      <c r="F3122" s="200" t="s">
        <v>1983</v>
      </c>
      <c r="G3122" s="200" t="s">
        <v>1984</v>
      </c>
    </row>
    <row r="3123" spans="1:8" ht="15" customHeight="1">
      <c r="A3123" s="199">
        <v>45713</v>
      </c>
      <c r="B3123" s="202" t="s">
        <v>2596</v>
      </c>
      <c r="C3123" s="200" t="s">
        <v>204</v>
      </c>
      <c r="D3123" s="642">
        <v>-10100</v>
      </c>
      <c r="E3123" s="201">
        <v>45689</v>
      </c>
      <c r="F3123" s="200" t="s">
        <v>256</v>
      </c>
      <c r="G3123" s="200" t="s">
        <v>107</v>
      </c>
      <c r="H3123" s="200" t="s">
        <v>9</v>
      </c>
    </row>
    <row r="3124" spans="1:8" ht="15" customHeight="1">
      <c r="A3124" s="199">
        <v>45713</v>
      </c>
      <c r="B3124" s="202" t="s">
        <v>2597</v>
      </c>
      <c r="C3124" s="200" t="s">
        <v>204</v>
      </c>
      <c r="D3124" s="642">
        <v>-1000000</v>
      </c>
      <c r="E3124" s="201">
        <v>45689</v>
      </c>
      <c r="F3124" s="200" t="s">
        <v>256</v>
      </c>
      <c r="G3124" s="200" t="s">
        <v>256</v>
      </c>
      <c r="H3124" s="200" t="s">
        <v>9</v>
      </c>
    </row>
    <row r="3125" spans="1:8" ht="15" customHeight="1">
      <c r="A3125" s="199">
        <v>45713</v>
      </c>
      <c r="B3125" s="202" t="s">
        <v>2598</v>
      </c>
      <c r="C3125" s="200" t="s">
        <v>204</v>
      </c>
      <c r="D3125" s="642">
        <v>-33840</v>
      </c>
      <c r="E3125" s="201">
        <v>45689</v>
      </c>
      <c r="F3125" s="200" t="s">
        <v>256</v>
      </c>
      <c r="G3125" s="200" t="s">
        <v>256</v>
      </c>
      <c r="H3125" s="200" t="s">
        <v>115</v>
      </c>
    </row>
    <row r="3126" spans="1:8" ht="15" customHeight="1">
      <c r="A3126" s="199">
        <v>45713</v>
      </c>
      <c r="B3126" s="202" t="s">
        <v>1964</v>
      </c>
      <c r="C3126" s="200" t="s">
        <v>204</v>
      </c>
      <c r="D3126" s="642">
        <v>-1113840</v>
      </c>
      <c r="E3126" s="201">
        <v>45689</v>
      </c>
      <c r="F3126" s="200" t="s">
        <v>296</v>
      </c>
      <c r="G3126" s="200" t="s">
        <v>1124</v>
      </c>
      <c r="H3126" s="200" t="s">
        <v>857</v>
      </c>
    </row>
    <row r="3127" spans="1:8" ht="15" customHeight="1">
      <c r="A3127" s="199">
        <v>45713</v>
      </c>
      <c r="B3127" s="693" t="s">
        <v>2599</v>
      </c>
      <c r="C3127" s="200" t="s">
        <v>204</v>
      </c>
      <c r="D3127" s="642">
        <v>-600000</v>
      </c>
      <c r="E3127" s="201">
        <v>45689</v>
      </c>
      <c r="F3127" s="200" t="s">
        <v>256</v>
      </c>
      <c r="G3127" s="200" t="s">
        <v>107</v>
      </c>
      <c r="H3127" s="200" t="s">
        <v>9</v>
      </c>
    </row>
    <row r="3128" spans="1:8" ht="15" customHeight="1">
      <c r="A3128" s="199">
        <v>45713</v>
      </c>
      <c r="B3128" s="202" t="s">
        <v>2600</v>
      </c>
      <c r="C3128" s="200" t="s">
        <v>204</v>
      </c>
      <c r="D3128" s="642">
        <v>-44181129</v>
      </c>
      <c r="E3128" s="201">
        <v>45689</v>
      </c>
      <c r="F3128" s="200" t="s">
        <v>296</v>
      </c>
      <c r="G3128" s="200" t="s">
        <v>337</v>
      </c>
      <c r="H3128" s="200" t="s">
        <v>366</v>
      </c>
    </row>
    <row r="3129" spans="1:8" ht="15" customHeight="1">
      <c r="A3129" s="199">
        <v>45713</v>
      </c>
      <c r="B3129" s="202" t="s">
        <v>2601</v>
      </c>
      <c r="C3129" s="200" t="s">
        <v>204</v>
      </c>
      <c r="D3129" s="642">
        <v>-372829</v>
      </c>
      <c r="E3129" s="201">
        <v>45689</v>
      </c>
      <c r="F3129" s="200" t="s">
        <v>296</v>
      </c>
      <c r="G3129" s="200" t="s">
        <v>984</v>
      </c>
      <c r="H3129" s="200" t="s">
        <v>350</v>
      </c>
    </row>
    <row r="3130" spans="1:8" ht="15" customHeight="1">
      <c r="A3130" s="199">
        <v>45713</v>
      </c>
      <c r="B3130" s="202" t="s">
        <v>2602</v>
      </c>
      <c r="C3130" s="200" t="s">
        <v>372</v>
      </c>
      <c r="D3130" s="204">
        <v>-8042</v>
      </c>
      <c r="E3130" s="201">
        <v>45689</v>
      </c>
      <c r="F3130" s="200" t="s">
        <v>296</v>
      </c>
      <c r="G3130" s="200" t="s">
        <v>984</v>
      </c>
      <c r="H3130" s="200" t="s">
        <v>350</v>
      </c>
    </row>
    <row r="3131" spans="1:8" ht="15" customHeight="1">
      <c r="A3131" s="199">
        <v>45713</v>
      </c>
      <c r="B3131" s="202" t="s">
        <v>2603</v>
      </c>
      <c r="C3131" s="200" t="s">
        <v>372</v>
      </c>
      <c r="D3131" s="204">
        <v>-1930</v>
      </c>
      <c r="E3131" s="201">
        <v>45689</v>
      </c>
      <c r="F3131" s="200" t="s">
        <v>296</v>
      </c>
      <c r="G3131" s="200" t="s">
        <v>984</v>
      </c>
      <c r="H3131" s="200" t="s">
        <v>350</v>
      </c>
    </row>
    <row r="3132" spans="1:8" ht="15" customHeight="1">
      <c r="A3132" s="199">
        <v>45713</v>
      </c>
      <c r="B3132" s="202" t="s">
        <v>2601</v>
      </c>
      <c r="C3132" s="200" t="s">
        <v>204</v>
      </c>
      <c r="D3132" s="642">
        <v>-7597</v>
      </c>
      <c r="E3132" s="201">
        <v>45689</v>
      </c>
      <c r="F3132" s="200" t="s">
        <v>296</v>
      </c>
      <c r="G3132" s="200" t="s">
        <v>328</v>
      </c>
      <c r="H3132" s="200" t="s">
        <v>350</v>
      </c>
    </row>
    <row r="3133" spans="1:8" ht="15" customHeight="1">
      <c r="A3133" s="199">
        <v>45713</v>
      </c>
      <c r="B3133" s="202" t="s">
        <v>2602</v>
      </c>
      <c r="C3133" s="200" t="s">
        <v>372</v>
      </c>
      <c r="D3133" s="204">
        <v>-164</v>
      </c>
      <c r="E3133" s="201">
        <v>45689</v>
      </c>
      <c r="F3133" s="200" t="s">
        <v>296</v>
      </c>
      <c r="G3133" s="200" t="s">
        <v>328</v>
      </c>
      <c r="H3133" s="200" t="s">
        <v>350</v>
      </c>
    </row>
    <row r="3134" spans="1:8" ht="15" customHeight="1">
      <c r="A3134" s="199">
        <v>45713</v>
      </c>
      <c r="B3134" s="202" t="s">
        <v>2603</v>
      </c>
      <c r="C3134" s="200" t="s">
        <v>372</v>
      </c>
      <c r="D3134" s="204">
        <v>-39</v>
      </c>
      <c r="E3134" s="201">
        <v>45689</v>
      </c>
      <c r="F3134" s="200" t="s">
        <v>296</v>
      </c>
      <c r="G3134" s="200" t="s">
        <v>328</v>
      </c>
      <c r="H3134" s="200" t="s">
        <v>350</v>
      </c>
    </row>
    <row r="3135" spans="1:8" ht="15" customHeight="1">
      <c r="A3135" s="199">
        <v>45713</v>
      </c>
      <c r="B3135" s="202" t="s">
        <v>2601</v>
      </c>
      <c r="C3135" s="200" t="s">
        <v>204</v>
      </c>
      <c r="D3135" s="642">
        <v>-53528</v>
      </c>
      <c r="E3135" s="201">
        <v>45689</v>
      </c>
      <c r="F3135" s="200" t="s">
        <v>297</v>
      </c>
      <c r="G3135" s="200" t="s">
        <v>1313</v>
      </c>
      <c r="H3135" s="200" t="s">
        <v>350</v>
      </c>
    </row>
    <row r="3136" spans="1:8" ht="15" customHeight="1">
      <c r="A3136" s="199">
        <v>45713</v>
      </c>
      <c r="B3136" s="202" t="s">
        <v>2602</v>
      </c>
      <c r="C3136" s="200" t="s">
        <v>372</v>
      </c>
      <c r="D3136" s="204">
        <v>-1155</v>
      </c>
      <c r="E3136" s="201">
        <v>45689</v>
      </c>
      <c r="F3136" s="200" t="s">
        <v>297</v>
      </c>
      <c r="G3136" s="200" t="s">
        <v>1313</v>
      </c>
      <c r="H3136" s="200" t="s">
        <v>350</v>
      </c>
    </row>
    <row r="3137" spans="1:8" ht="15" customHeight="1">
      <c r="A3137" s="199">
        <v>45713</v>
      </c>
      <c r="B3137" s="202" t="s">
        <v>2603</v>
      </c>
      <c r="C3137" s="200" t="s">
        <v>372</v>
      </c>
      <c r="D3137" s="204">
        <v>-277</v>
      </c>
      <c r="E3137" s="201">
        <v>45689</v>
      </c>
      <c r="F3137" s="200" t="s">
        <v>297</v>
      </c>
      <c r="G3137" s="200" t="s">
        <v>1313</v>
      </c>
      <c r="H3137" s="200" t="s">
        <v>350</v>
      </c>
    </row>
    <row r="3138" spans="1:8" ht="15" customHeight="1">
      <c r="A3138" s="199">
        <v>45713</v>
      </c>
      <c r="B3138" s="202" t="s">
        <v>2604</v>
      </c>
      <c r="C3138" s="200" t="s">
        <v>204</v>
      </c>
      <c r="D3138" s="642">
        <v>-160916</v>
      </c>
      <c r="E3138" s="201">
        <v>45689</v>
      </c>
      <c r="F3138" s="200" t="s">
        <v>296</v>
      </c>
      <c r="G3138" s="200" t="s">
        <v>328</v>
      </c>
      <c r="H3138" s="200" t="s">
        <v>350</v>
      </c>
    </row>
    <row r="3139" spans="1:8" ht="15" customHeight="1">
      <c r="A3139" s="199">
        <v>45713</v>
      </c>
      <c r="B3139" s="202" t="s">
        <v>2605</v>
      </c>
      <c r="C3139" s="200" t="s">
        <v>372</v>
      </c>
      <c r="D3139" s="204">
        <v>-3471</v>
      </c>
      <c r="E3139" s="201">
        <v>45689</v>
      </c>
      <c r="F3139" s="200" t="s">
        <v>296</v>
      </c>
      <c r="G3139" s="200" t="s">
        <v>328</v>
      </c>
      <c r="H3139" s="200" t="s">
        <v>350</v>
      </c>
    </row>
    <row r="3140" spans="1:8" ht="15" customHeight="1">
      <c r="A3140" s="199">
        <v>45713</v>
      </c>
      <c r="B3140" s="202" t="s">
        <v>2606</v>
      </c>
      <c r="C3140" s="200" t="s">
        <v>372</v>
      </c>
      <c r="D3140" s="204">
        <v>-833</v>
      </c>
      <c r="E3140" s="201">
        <v>45689</v>
      </c>
      <c r="F3140" s="200" t="s">
        <v>296</v>
      </c>
      <c r="G3140" s="200" t="s">
        <v>328</v>
      </c>
      <c r="H3140" s="200" t="s">
        <v>350</v>
      </c>
    </row>
    <row r="3141" spans="1:8" ht="15" customHeight="1">
      <c r="A3141" s="199">
        <v>45713</v>
      </c>
      <c r="B3141" s="202" t="s">
        <v>2604</v>
      </c>
      <c r="C3141" s="200" t="s">
        <v>204</v>
      </c>
      <c r="D3141" s="642">
        <v>-19820</v>
      </c>
      <c r="E3141" s="201">
        <v>45689</v>
      </c>
      <c r="F3141" s="200" t="s">
        <v>297</v>
      </c>
      <c r="G3141" s="200" t="s">
        <v>1313</v>
      </c>
      <c r="H3141" s="200" t="s">
        <v>350</v>
      </c>
    </row>
    <row r="3142" spans="1:8" ht="15" customHeight="1">
      <c r="A3142" s="199">
        <v>45713</v>
      </c>
      <c r="B3142" s="202" t="s">
        <v>2605</v>
      </c>
      <c r="C3142" s="200" t="s">
        <v>372</v>
      </c>
      <c r="D3142" s="204">
        <v>-428</v>
      </c>
      <c r="E3142" s="201">
        <v>45689</v>
      </c>
      <c r="F3142" s="200" t="s">
        <v>297</v>
      </c>
      <c r="G3142" s="200" t="s">
        <v>1313</v>
      </c>
      <c r="H3142" s="200" t="s">
        <v>350</v>
      </c>
    </row>
    <row r="3143" spans="1:8" ht="15" customHeight="1">
      <c r="A3143" s="199">
        <v>45713</v>
      </c>
      <c r="B3143" s="202" t="s">
        <v>2606</v>
      </c>
      <c r="C3143" s="200" t="s">
        <v>372</v>
      </c>
      <c r="D3143" s="204">
        <v>-103</v>
      </c>
      <c r="E3143" s="201">
        <v>45689</v>
      </c>
      <c r="F3143" s="200" t="s">
        <v>297</v>
      </c>
      <c r="G3143" s="200" t="s">
        <v>1313</v>
      </c>
      <c r="H3143" s="200" t="s">
        <v>350</v>
      </c>
    </row>
    <row r="3144" spans="1:8" ht="15" customHeight="1">
      <c r="A3144" s="199">
        <v>45713</v>
      </c>
      <c r="B3144" s="202" t="s">
        <v>2604</v>
      </c>
      <c r="C3144" s="200" t="s">
        <v>204</v>
      </c>
      <c r="D3144" s="642">
        <v>-1019491</v>
      </c>
      <c r="E3144" s="201">
        <v>45689</v>
      </c>
      <c r="F3144" s="200" t="s">
        <v>296</v>
      </c>
      <c r="G3144" s="200" t="s">
        <v>411</v>
      </c>
      <c r="H3144" s="200" t="s">
        <v>350</v>
      </c>
    </row>
    <row r="3145" spans="1:8" ht="15" customHeight="1">
      <c r="A3145" s="199">
        <v>45713</v>
      </c>
      <c r="B3145" s="202" t="s">
        <v>2605</v>
      </c>
      <c r="C3145" s="200" t="s">
        <v>372</v>
      </c>
      <c r="D3145" s="204">
        <v>-21991</v>
      </c>
      <c r="E3145" s="201">
        <v>45689</v>
      </c>
      <c r="F3145" s="200" t="s">
        <v>296</v>
      </c>
      <c r="G3145" s="200" t="s">
        <v>411</v>
      </c>
      <c r="H3145" s="200" t="s">
        <v>350</v>
      </c>
    </row>
    <row r="3146" spans="1:8" ht="15" customHeight="1">
      <c r="A3146" s="199">
        <v>45713</v>
      </c>
      <c r="B3146" s="202" t="s">
        <v>2606</v>
      </c>
      <c r="C3146" s="200" t="s">
        <v>372</v>
      </c>
      <c r="D3146" s="204">
        <v>-5278</v>
      </c>
      <c r="E3146" s="201">
        <v>45689</v>
      </c>
      <c r="F3146" s="200" t="s">
        <v>296</v>
      </c>
      <c r="G3146" s="200" t="s">
        <v>411</v>
      </c>
      <c r="H3146" s="200" t="s">
        <v>350</v>
      </c>
    </row>
    <row r="3147" spans="1:8" ht="15" customHeight="1">
      <c r="A3147" s="199">
        <v>45713</v>
      </c>
      <c r="B3147" s="202" t="s">
        <v>2607</v>
      </c>
      <c r="C3147" s="200" t="s">
        <v>204</v>
      </c>
      <c r="D3147" s="642">
        <v>-418994</v>
      </c>
      <c r="E3147" s="201">
        <v>45689</v>
      </c>
      <c r="F3147" s="200" t="s">
        <v>296</v>
      </c>
      <c r="G3147" s="200" t="s">
        <v>337</v>
      </c>
      <c r="H3147" s="200" t="s">
        <v>429</v>
      </c>
    </row>
    <row r="3148" spans="1:8" ht="15" customHeight="1">
      <c r="A3148" s="199">
        <v>45713</v>
      </c>
      <c r="B3148" s="202" t="s">
        <v>2608</v>
      </c>
      <c r="C3148" s="200" t="s">
        <v>372</v>
      </c>
      <c r="D3148" s="204">
        <v>-9038</v>
      </c>
      <c r="E3148" s="201">
        <v>45689</v>
      </c>
      <c r="F3148" s="200" t="s">
        <v>296</v>
      </c>
      <c r="G3148" s="200" t="s">
        <v>337</v>
      </c>
      <c r="H3148" s="200" t="s">
        <v>429</v>
      </c>
    </row>
    <row r="3149" spans="1:8" ht="15" customHeight="1">
      <c r="A3149" s="199">
        <v>45713</v>
      </c>
      <c r="B3149" s="202" t="s">
        <v>2609</v>
      </c>
      <c r="C3149" s="200" t="s">
        <v>372</v>
      </c>
      <c r="D3149" s="204">
        <v>-2169</v>
      </c>
      <c r="E3149" s="201">
        <v>45689</v>
      </c>
      <c r="F3149" s="200" t="s">
        <v>296</v>
      </c>
      <c r="G3149" s="200" t="s">
        <v>337</v>
      </c>
      <c r="H3149" s="200" t="s">
        <v>429</v>
      </c>
    </row>
    <row r="3150" spans="1:8" ht="15" customHeight="1">
      <c r="A3150" s="199">
        <v>45713</v>
      </c>
      <c r="B3150" s="202" t="s">
        <v>2610</v>
      </c>
      <c r="C3150" s="200" t="s">
        <v>204</v>
      </c>
      <c r="D3150" s="642">
        <v>-196830</v>
      </c>
      <c r="E3150" s="201">
        <v>45689</v>
      </c>
      <c r="F3150" s="200" t="s">
        <v>296</v>
      </c>
      <c r="G3150" s="200" t="s">
        <v>984</v>
      </c>
      <c r="H3150" s="531" t="s">
        <v>379</v>
      </c>
    </row>
    <row r="3151" spans="1:8" ht="15" customHeight="1">
      <c r="A3151" s="199">
        <v>45713</v>
      </c>
      <c r="B3151" s="202" t="s">
        <v>2611</v>
      </c>
      <c r="C3151" s="200" t="s">
        <v>372</v>
      </c>
      <c r="D3151" s="204">
        <v>-4246</v>
      </c>
      <c r="E3151" s="201">
        <v>45689</v>
      </c>
      <c r="F3151" s="200" t="s">
        <v>296</v>
      </c>
      <c r="G3151" s="200" t="s">
        <v>984</v>
      </c>
      <c r="H3151" s="531" t="s">
        <v>379</v>
      </c>
    </row>
    <row r="3152" spans="1:8" ht="15" customHeight="1">
      <c r="A3152" s="199">
        <v>45713</v>
      </c>
      <c r="B3152" s="202" t="s">
        <v>2612</v>
      </c>
      <c r="C3152" s="200" t="s">
        <v>372</v>
      </c>
      <c r="D3152" s="204">
        <v>-1019</v>
      </c>
      <c r="E3152" s="201">
        <v>45689</v>
      </c>
      <c r="F3152" s="200" t="s">
        <v>296</v>
      </c>
      <c r="G3152" s="200" t="s">
        <v>984</v>
      </c>
      <c r="H3152" s="531" t="s">
        <v>379</v>
      </c>
    </row>
    <row r="3153" spans="1:8" ht="15" customHeight="1">
      <c r="A3153" s="199">
        <v>45713</v>
      </c>
      <c r="B3153" s="202" t="s">
        <v>2613</v>
      </c>
      <c r="C3153" s="200" t="s">
        <v>204</v>
      </c>
      <c r="D3153" s="642">
        <v>-1349894</v>
      </c>
      <c r="E3153" s="201">
        <v>45689</v>
      </c>
      <c r="F3153" s="200" t="s">
        <v>296</v>
      </c>
      <c r="G3153" s="200" t="s">
        <v>337</v>
      </c>
      <c r="H3153" s="200" t="s">
        <v>366</v>
      </c>
    </row>
    <row r="3154" spans="1:8" ht="15" customHeight="1">
      <c r="A3154" s="199">
        <v>45713</v>
      </c>
      <c r="B3154" s="202" t="s">
        <v>2611</v>
      </c>
      <c r="C3154" s="200" t="s">
        <v>372</v>
      </c>
      <c r="D3154" s="204">
        <v>-29118</v>
      </c>
      <c r="E3154" s="201">
        <v>45689</v>
      </c>
      <c r="F3154" s="200" t="s">
        <v>296</v>
      </c>
      <c r="G3154" s="200" t="s">
        <v>337</v>
      </c>
      <c r="H3154" s="200" t="s">
        <v>366</v>
      </c>
    </row>
    <row r="3155" spans="1:8" ht="15" customHeight="1">
      <c r="A3155" s="199">
        <v>45713</v>
      </c>
      <c r="B3155" s="202" t="s">
        <v>2612</v>
      </c>
      <c r="C3155" s="200" t="s">
        <v>372</v>
      </c>
      <c r="D3155" s="204">
        <v>-6988</v>
      </c>
      <c r="E3155" s="201">
        <v>45689</v>
      </c>
      <c r="F3155" s="200" t="s">
        <v>296</v>
      </c>
      <c r="G3155" s="200" t="s">
        <v>337</v>
      </c>
      <c r="H3155" s="200" t="s">
        <v>366</v>
      </c>
    </row>
    <row r="3156" spans="1:8" ht="15" customHeight="1">
      <c r="A3156" s="199">
        <v>45713</v>
      </c>
      <c r="B3156" s="202" t="s">
        <v>2614</v>
      </c>
      <c r="C3156" s="200" t="s">
        <v>204</v>
      </c>
      <c r="D3156" s="642">
        <v>-3122536</v>
      </c>
      <c r="E3156" s="201">
        <v>45689</v>
      </c>
      <c r="F3156" s="200" t="s">
        <v>296</v>
      </c>
      <c r="G3156" s="200" t="s">
        <v>337</v>
      </c>
      <c r="H3156" s="200" t="s">
        <v>366</v>
      </c>
    </row>
    <row r="3157" spans="1:8" ht="15" customHeight="1">
      <c r="A3157" s="199">
        <v>45713</v>
      </c>
      <c r="B3157" s="202" t="s">
        <v>2615</v>
      </c>
      <c r="C3157" s="200" t="s">
        <v>204</v>
      </c>
      <c r="D3157" s="642">
        <v>-100000</v>
      </c>
      <c r="E3157" s="201">
        <v>45689</v>
      </c>
      <c r="F3157" s="200" t="s">
        <v>296</v>
      </c>
      <c r="G3157" s="200" t="s">
        <v>321</v>
      </c>
      <c r="H3157" s="200" t="s">
        <v>322</v>
      </c>
    </row>
    <row r="3158" spans="1:8" ht="15" customHeight="1">
      <c r="A3158" s="199">
        <v>45713</v>
      </c>
      <c r="B3158" s="202" t="s">
        <v>2616</v>
      </c>
      <c r="C3158" s="200" t="s">
        <v>204</v>
      </c>
      <c r="D3158" s="642">
        <v>-492000</v>
      </c>
      <c r="E3158" s="201">
        <v>45689</v>
      </c>
      <c r="F3158" s="200" t="s">
        <v>296</v>
      </c>
      <c r="G3158" s="200" t="s">
        <v>44</v>
      </c>
      <c r="H3158" s="200" t="s">
        <v>322</v>
      </c>
    </row>
    <row r="3159" spans="1:8" ht="15" customHeight="1">
      <c r="A3159" s="199">
        <v>45713</v>
      </c>
      <c r="B3159" s="202" t="s">
        <v>2617</v>
      </c>
      <c r="C3159" s="200" t="s">
        <v>372</v>
      </c>
      <c r="D3159" s="204">
        <v>-5000</v>
      </c>
      <c r="E3159" s="201">
        <v>45689</v>
      </c>
      <c r="F3159" s="200" t="s">
        <v>296</v>
      </c>
      <c r="G3159" s="200" t="s">
        <v>321</v>
      </c>
      <c r="H3159" s="200" t="s">
        <v>322</v>
      </c>
    </row>
    <row r="3160" spans="1:8" ht="15" customHeight="1">
      <c r="A3160" s="199">
        <v>45713</v>
      </c>
      <c r="B3160" s="202" t="s">
        <v>2618</v>
      </c>
      <c r="C3160" s="200" t="s">
        <v>372</v>
      </c>
      <c r="D3160" s="204">
        <v>-3000</v>
      </c>
      <c r="E3160" s="201">
        <v>45689</v>
      </c>
      <c r="F3160" s="200" t="s">
        <v>296</v>
      </c>
      <c r="G3160" s="200" t="s">
        <v>44</v>
      </c>
      <c r="H3160" s="200" t="s">
        <v>322</v>
      </c>
    </row>
    <row r="3161" spans="1:8" ht="15" customHeight="1">
      <c r="A3161" s="199">
        <v>45713</v>
      </c>
      <c r="B3161" s="202" t="s">
        <v>2619</v>
      </c>
      <c r="C3161" s="200" t="s">
        <v>204</v>
      </c>
      <c r="D3161" s="642">
        <v>-4428000</v>
      </c>
      <c r="E3161" s="201">
        <v>45689</v>
      </c>
      <c r="F3161" s="200" t="s">
        <v>296</v>
      </c>
      <c r="G3161" s="200" t="s">
        <v>522</v>
      </c>
      <c r="H3161" s="200" t="s">
        <v>370</v>
      </c>
    </row>
    <row r="3162" spans="1:8" ht="15" customHeight="1">
      <c r="A3162" s="199">
        <v>45713</v>
      </c>
      <c r="B3162" s="202" t="s">
        <v>2620</v>
      </c>
      <c r="C3162" s="200" t="s">
        <v>372</v>
      </c>
      <c r="D3162" s="204">
        <v>-45000</v>
      </c>
      <c r="E3162" s="201">
        <v>45689</v>
      </c>
      <c r="F3162" s="200" t="s">
        <v>296</v>
      </c>
      <c r="G3162" s="200" t="s">
        <v>522</v>
      </c>
      <c r="H3162" s="200" t="s">
        <v>370</v>
      </c>
    </row>
    <row r="3163" spans="1:8" ht="15" customHeight="1">
      <c r="A3163" s="199">
        <v>45713</v>
      </c>
      <c r="B3163" s="202" t="s">
        <v>2621</v>
      </c>
      <c r="C3163" s="200" t="s">
        <v>372</v>
      </c>
      <c r="D3163" s="204">
        <v>-27000</v>
      </c>
      <c r="E3163" s="201">
        <v>45689</v>
      </c>
      <c r="F3163" s="200" t="s">
        <v>296</v>
      </c>
      <c r="G3163" s="200" t="s">
        <v>522</v>
      </c>
      <c r="H3163" s="200" t="s">
        <v>370</v>
      </c>
    </row>
    <row r="3164" spans="1:8" ht="15" customHeight="1">
      <c r="A3164" s="199">
        <v>45713</v>
      </c>
      <c r="B3164" s="202" t="s">
        <v>2622</v>
      </c>
      <c r="C3164" s="200" t="s">
        <v>204</v>
      </c>
      <c r="D3164" s="642">
        <v>-1968000</v>
      </c>
      <c r="E3164" s="201">
        <v>45689</v>
      </c>
      <c r="F3164" s="200" t="s">
        <v>296</v>
      </c>
      <c r="G3164" s="200" t="s">
        <v>44</v>
      </c>
      <c r="H3164" s="200" t="s">
        <v>370</v>
      </c>
    </row>
    <row r="3165" spans="1:8" ht="15" customHeight="1">
      <c r="A3165" s="199">
        <v>45713</v>
      </c>
      <c r="B3165" s="202" t="s">
        <v>2623</v>
      </c>
      <c r="C3165" s="200" t="s">
        <v>372</v>
      </c>
      <c r="D3165" s="204">
        <v>-20000</v>
      </c>
      <c r="E3165" s="201">
        <v>45689</v>
      </c>
      <c r="F3165" s="200" t="s">
        <v>296</v>
      </c>
      <c r="G3165" s="200" t="s">
        <v>44</v>
      </c>
      <c r="H3165" s="200" t="s">
        <v>370</v>
      </c>
    </row>
    <row r="3166" spans="1:8" ht="15" customHeight="1">
      <c r="A3166" s="199">
        <v>45713</v>
      </c>
      <c r="B3166" s="202" t="s">
        <v>2624</v>
      </c>
      <c r="C3166" s="200" t="s">
        <v>372</v>
      </c>
      <c r="D3166" s="204">
        <v>-12000</v>
      </c>
      <c r="E3166" s="201">
        <v>45689</v>
      </c>
      <c r="F3166" s="200" t="s">
        <v>296</v>
      </c>
      <c r="G3166" s="200" t="s">
        <v>44</v>
      </c>
      <c r="H3166" s="200" t="s">
        <v>370</v>
      </c>
    </row>
    <row r="3167" spans="1:8" ht="15" customHeight="1">
      <c r="A3167" s="199">
        <v>45713</v>
      </c>
      <c r="B3167" s="202" t="s">
        <v>2625</v>
      </c>
      <c r="C3167" s="200" t="s">
        <v>204</v>
      </c>
      <c r="D3167" s="642">
        <v>-347556</v>
      </c>
      <c r="E3167" s="201">
        <v>45689</v>
      </c>
      <c r="F3167" s="200" t="s">
        <v>296</v>
      </c>
      <c r="G3167" s="200" t="s">
        <v>337</v>
      </c>
      <c r="H3167" s="200" t="s">
        <v>366</v>
      </c>
    </row>
    <row r="3168" spans="1:8" ht="15" customHeight="1">
      <c r="A3168" s="199">
        <v>45713</v>
      </c>
      <c r="B3168" s="202" t="s">
        <v>2626</v>
      </c>
      <c r="C3168" s="200" t="s">
        <v>204</v>
      </c>
      <c r="D3168" s="642">
        <v>-1132398</v>
      </c>
      <c r="E3168" s="201">
        <v>45689</v>
      </c>
      <c r="F3168" s="200" t="s">
        <v>296</v>
      </c>
      <c r="G3168" s="200" t="s">
        <v>328</v>
      </c>
      <c r="H3168" s="200" t="s">
        <v>350</v>
      </c>
    </row>
    <row r="3169" spans="1:9" ht="15" customHeight="1">
      <c r="A3169" s="199">
        <v>45347</v>
      </c>
      <c r="B3169" s="202" t="s">
        <v>2627</v>
      </c>
      <c r="C3169" s="200" t="s">
        <v>372</v>
      </c>
      <c r="D3169" s="204">
        <v>-2862</v>
      </c>
      <c r="E3169" s="201">
        <v>45689</v>
      </c>
      <c r="F3169" s="200" t="s">
        <v>296</v>
      </c>
      <c r="G3169" s="200" t="s">
        <v>328</v>
      </c>
      <c r="H3169" s="200" t="s">
        <v>350</v>
      </c>
    </row>
    <row r="3170" spans="1:9" ht="15" customHeight="1">
      <c r="A3170" s="199">
        <v>45713</v>
      </c>
      <c r="B3170" s="202" t="s">
        <v>2628</v>
      </c>
      <c r="C3170" s="200" t="s">
        <v>204</v>
      </c>
      <c r="D3170" s="642">
        <v>-822150</v>
      </c>
      <c r="E3170" s="201">
        <v>45689</v>
      </c>
      <c r="F3170" s="200" t="s">
        <v>297</v>
      </c>
      <c r="G3170" s="200" t="s">
        <v>1313</v>
      </c>
      <c r="H3170" s="200" t="s">
        <v>377</v>
      </c>
    </row>
    <row r="3171" spans="1:9" ht="15" customHeight="1">
      <c r="A3171" s="199">
        <v>45713</v>
      </c>
      <c r="B3171" s="202" t="s">
        <v>2629</v>
      </c>
      <c r="C3171" s="200" t="s">
        <v>372</v>
      </c>
      <c r="D3171" s="204">
        <v>-4350</v>
      </c>
      <c r="E3171" s="201">
        <v>45689</v>
      </c>
      <c r="F3171" s="200" t="s">
        <v>297</v>
      </c>
      <c r="G3171" s="200" t="s">
        <v>1313</v>
      </c>
      <c r="H3171" s="200" t="s">
        <v>377</v>
      </c>
    </row>
    <row r="3172" spans="1:9" ht="15" customHeight="1">
      <c r="A3172" s="199">
        <v>45713</v>
      </c>
      <c r="B3172" s="202" t="s">
        <v>2630</v>
      </c>
      <c r="C3172" s="200" t="s">
        <v>372</v>
      </c>
      <c r="D3172" s="204">
        <v>-36250</v>
      </c>
      <c r="E3172" s="201">
        <v>45689</v>
      </c>
      <c r="F3172" s="200" t="s">
        <v>297</v>
      </c>
      <c r="G3172" s="200" t="s">
        <v>1313</v>
      </c>
      <c r="H3172" s="200" t="s">
        <v>377</v>
      </c>
    </row>
    <row r="3173" spans="1:9" ht="15" customHeight="1">
      <c r="A3173" s="199">
        <v>45713</v>
      </c>
      <c r="B3173" s="202" t="s">
        <v>2631</v>
      </c>
      <c r="C3173" s="200" t="s">
        <v>204</v>
      </c>
      <c r="D3173" s="642">
        <v>-300033</v>
      </c>
      <c r="E3173" s="201">
        <v>45689</v>
      </c>
      <c r="F3173" s="200" t="s">
        <v>296</v>
      </c>
      <c r="G3173" s="200" t="s">
        <v>328</v>
      </c>
      <c r="H3173" s="200" t="s">
        <v>377</v>
      </c>
    </row>
    <row r="3174" spans="1:9" ht="15" customHeight="1">
      <c r="A3174" s="199">
        <v>45713</v>
      </c>
      <c r="B3174" s="202" t="s">
        <v>2632</v>
      </c>
      <c r="C3174" s="200" t="s">
        <v>372</v>
      </c>
      <c r="D3174" s="204">
        <v>-12580</v>
      </c>
      <c r="E3174" s="201">
        <v>45689</v>
      </c>
      <c r="F3174" s="200" t="s">
        <v>296</v>
      </c>
      <c r="G3174" s="200" t="s">
        <v>328</v>
      </c>
      <c r="H3174" s="200" t="s">
        <v>377</v>
      </c>
    </row>
    <row r="3175" spans="1:9" ht="15" customHeight="1">
      <c r="A3175" s="199">
        <v>45713</v>
      </c>
      <c r="B3175" s="202" t="s">
        <v>2633</v>
      </c>
      <c r="C3175" s="200" t="s">
        <v>372</v>
      </c>
      <c r="D3175" s="204">
        <v>-1887</v>
      </c>
      <c r="E3175" s="201">
        <v>45689</v>
      </c>
      <c r="F3175" s="200" t="s">
        <v>296</v>
      </c>
      <c r="G3175" s="200" t="s">
        <v>328</v>
      </c>
      <c r="H3175" s="200" t="s">
        <v>377</v>
      </c>
    </row>
    <row r="3176" spans="1:9" ht="15" customHeight="1">
      <c r="A3176" s="199">
        <v>45713</v>
      </c>
      <c r="B3176" s="202" t="s">
        <v>2634</v>
      </c>
      <c r="C3176" s="200" t="s">
        <v>204</v>
      </c>
      <c r="D3176" s="642">
        <v>-1423992</v>
      </c>
      <c r="E3176" s="201">
        <v>45689</v>
      </c>
      <c r="F3176" s="200" t="s">
        <v>296</v>
      </c>
      <c r="G3176" s="200" t="s">
        <v>328</v>
      </c>
      <c r="H3176" s="200" t="s">
        <v>350</v>
      </c>
    </row>
    <row r="3177" spans="1:9" ht="15" customHeight="1">
      <c r="A3177" s="199">
        <v>45713</v>
      </c>
      <c r="B3177" s="202" t="s">
        <v>2635</v>
      </c>
      <c r="C3177" s="200" t="s">
        <v>372</v>
      </c>
      <c r="D3177" s="204">
        <v>-6008</v>
      </c>
      <c r="E3177" s="201">
        <v>45689</v>
      </c>
      <c r="F3177" s="200" t="s">
        <v>296</v>
      </c>
      <c r="G3177" s="200" t="s">
        <v>328</v>
      </c>
      <c r="H3177" s="200" t="s">
        <v>350</v>
      </c>
    </row>
    <row r="3178" spans="1:9" ht="15" customHeight="1">
      <c r="A3178" s="199">
        <v>45696</v>
      </c>
      <c r="B3178" s="202" t="s">
        <v>1712</v>
      </c>
      <c r="C3178" s="200" t="s">
        <v>204</v>
      </c>
      <c r="D3178" s="642">
        <v>-80000</v>
      </c>
      <c r="E3178" s="201">
        <v>45689</v>
      </c>
      <c r="F3178" s="200" t="s">
        <v>296</v>
      </c>
      <c r="G3178" s="200" t="s">
        <v>522</v>
      </c>
      <c r="H3178" s="200" t="s">
        <v>326</v>
      </c>
      <c r="I3178" s="200" t="s">
        <v>2636</v>
      </c>
    </row>
    <row r="3179" spans="1:9" ht="15" customHeight="1">
      <c r="A3179" s="199">
        <v>45696</v>
      </c>
      <c r="B3179" s="202" t="s">
        <v>1890</v>
      </c>
      <c r="C3179" s="200" t="s">
        <v>204</v>
      </c>
      <c r="D3179" s="642">
        <v>-14500</v>
      </c>
      <c r="E3179" s="201">
        <v>45689</v>
      </c>
      <c r="F3179" s="200" t="s">
        <v>296</v>
      </c>
      <c r="G3179" s="200" t="s">
        <v>522</v>
      </c>
      <c r="H3179" s="200" t="s">
        <v>326</v>
      </c>
      <c r="I3179" s="200" t="s">
        <v>2636</v>
      </c>
    </row>
    <row r="3180" spans="1:9" ht="15" customHeight="1">
      <c r="A3180" s="199">
        <v>45698</v>
      </c>
      <c r="B3180" s="202" t="s">
        <v>1892</v>
      </c>
      <c r="C3180" s="200" t="s">
        <v>204</v>
      </c>
      <c r="D3180" s="642">
        <v>-14500</v>
      </c>
      <c r="E3180" s="201">
        <v>45689</v>
      </c>
      <c r="F3180" s="200" t="s">
        <v>296</v>
      </c>
      <c r="G3180" s="200" t="s">
        <v>522</v>
      </c>
      <c r="H3180" s="200" t="s">
        <v>326</v>
      </c>
      <c r="I3180" s="200" t="s">
        <v>2636</v>
      </c>
    </row>
    <row r="3181" spans="1:9" ht="15" customHeight="1">
      <c r="A3181" s="199">
        <v>45702</v>
      </c>
      <c r="B3181" s="202" t="s">
        <v>1712</v>
      </c>
      <c r="C3181" s="200" t="s">
        <v>204</v>
      </c>
      <c r="D3181" s="642">
        <v>-50000</v>
      </c>
      <c r="E3181" s="201">
        <v>45689</v>
      </c>
      <c r="F3181" s="200" t="s">
        <v>296</v>
      </c>
      <c r="G3181" s="200" t="s">
        <v>522</v>
      </c>
      <c r="H3181" s="200" t="s">
        <v>326</v>
      </c>
      <c r="I3181" s="200" t="s">
        <v>2636</v>
      </c>
    </row>
    <row r="3182" spans="1:9" ht="15" customHeight="1">
      <c r="A3182" s="199">
        <v>45706</v>
      </c>
      <c r="B3182" s="202" t="s">
        <v>1081</v>
      </c>
      <c r="C3182" s="200" t="s">
        <v>204</v>
      </c>
      <c r="D3182" s="642">
        <v>-48162</v>
      </c>
      <c r="E3182" s="201">
        <v>45689</v>
      </c>
      <c r="F3182" s="200" t="s">
        <v>296</v>
      </c>
      <c r="G3182" s="200" t="s">
        <v>522</v>
      </c>
      <c r="H3182" s="200" t="s">
        <v>488</v>
      </c>
      <c r="I3182" s="200" t="s">
        <v>2636</v>
      </c>
    </row>
    <row r="3183" spans="1:9" ht="15" customHeight="1">
      <c r="A3183" s="199">
        <v>45706</v>
      </c>
      <c r="B3183" s="202" t="s">
        <v>1712</v>
      </c>
      <c r="C3183" s="200" t="s">
        <v>204</v>
      </c>
      <c r="D3183" s="642">
        <v>-160000</v>
      </c>
      <c r="E3183" s="201">
        <v>45689</v>
      </c>
      <c r="F3183" s="200" t="s">
        <v>296</v>
      </c>
      <c r="G3183" s="200" t="s">
        <v>522</v>
      </c>
      <c r="H3183" s="200" t="s">
        <v>326</v>
      </c>
      <c r="I3183" s="200" t="s">
        <v>2636</v>
      </c>
    </row>
    <row r="3184" spans="1:9" ht="15" customHeight="1">
      <c r="A3184" s="199">
        <v>45708</v>
      </c>
      <c r="B3184" s="202" t="s">
        <v>2637</v>
      </c>
      <c r="C3184" s="200" t="s">
        <v>204</v>
      </c>
      <c r="D3184" s="642">
        <v>-23000</v>
      </c>
      <c r="E3184" s="201">
        <v>45689</v>
      </c>
      <c r="F3184" s="200" t="s">
        <v>296</v>
      </c>
      <c r="G3184" s="200" t="s">
        <v>522</v>
      </c>
      <c r="H3184" s="200" t="s">
        <v>326</v>
      </c>
      <c r="I3184" s="200" t="s">
        <v>2636</v>
      </c>
    </row>
    <row r="3185" spans="1:9" ht="15" customHeight="1">
      <c r="A3185" s="199">
        <v>45708</v>
      </c>
      <c r="B3185" s="202" t="s">
        <v>2638</v>
      </c>
      <c r="C3185" s="200" t="s">
        <v>204</v>
      </c>
      <c r="D3185" s="642">
        <v>-900000</v>
      </c>
      <c r="E3185" s="201">
        <v>45689</v>
      </c>
      <c r="F3185" s="200" t="s">
        <v>296</v>
      </c>
      <c r="G3185" s="200" t="s">
        <v>522</v>
      </c>
      <c r="H3185" s="200" t="s">
        <v>488</v>
      </c>
      <c r="I3185" s="200" t="s">
        <v>2636</v>
      </c>
    </row>
    <row r="3186" spans="1:9" ht="15" customHeight="1">
      <c r="A3186" s="199">
        <v>45708</v>
      </c>
      <c r="B3186" s="202" t="s">
        <v>2639</v>
      </c>
      <c r="C3186" s="200" t="s">
        <v>204</v>
      </c>
      <c r="D3186" s="642">
        <v>-150000</v>
      </c>
      <c r="E3186" s="201">
        <v>45689</v>
      </c>
      <c r="F3186" s="200" t="s">
        <v>296</v>
      </c>
      <c r="G3186" s="200" t="s">
        <v>522</v>
      </c>
      <c r="H3186" s="200" t="s">
        <v>370</v>
      </c>
      <c r="I3186" s="200" t="s">
        <v>2636</v>
      </c>
    </row>
    <row r="3187" spans="1:9" ht="15" customHeight="1">
      <c r="A3187" s="199">
        <v>45708</v>
      </c>
      <c r="B3187" s="202" t="s">
        <v>2640</v>
      </c>
      <c r="C3187" s="200" t="s">
        <v>204</v>
      </c>
      <c r="D3187" s="642">
        <v>-55000</v>
      </c>
      <c r="E3187" s="201">
        <v>45689</v>
      </c>
      <c r="F3187" s="200" t="s">
        <v>296</v>
      </c>
      <c r="G3187" s="200" t="s">
        <v>522</v>
      </c>
      <c r="H3187" s="200" t="s">
        <v>326</v>
      </c>
      <c r="I3187" s="200" t="s">
        <v>2636</v>
      </c>
    </row>
    <row r="3188" spans="1:9" ht="15" customHeight="1">
      <c r="A3188" s="199">
        <v>45709</v>
      </c>
      <c r="B3188" s="202" t="s">
        <v>2641</v>
      </c>
      <c r="C3188" s="200" t="s">
        <v>204</v>
      </c>
      <c r="D3188" s="642">
        <v>-431000</v>
      </c>
      <c r="E3188" s="201">
        <v>45689</v>
      </c>
      <c r="F3188" s="200" t="s">
        <v>296</v>
      </c>
      <c r="G3188" s="200" t="s">
        <v>522</v>
      </c>
      <c r="H3188" s="200" t="s">
        <v>488</v>
      </c>
      <c r="I3188" s="200" t="s">
        <v>2636</v>
      </c>
    </row>
    <row r="3189" spans="1:9" ht="15" customHeight="1">
      <c r="A3189" s="199">
        <v>45709</v>
      </c>
      <c r="B3189" s="202" t="s">
        <v>2642</v>
      </c>
      <c r="C3189" s="200" t="s">
        <v>204</v>
      </c>
      <c r="D3189" s="642">
        <v>-20000</v>
      </c>
      <c r="E3189" s="201">
        <v>45689</v>
      </c>
      <c r="F3189" s="200" t="s">
        <v>296</v>
      </c>
      <c r="G3189" s="200" t="s">
        <v>522</v>
      </c>
      <c r="H3189" s="200" t="s">
        <v>322</v>
      </c>
      <c r="I3189" s="200" t="s">
        <v>2636</v>
      </c>
    </row>
    <row r="3190" spans="1:9" ht="15" customHeight="1">
      <c r="A3190" s="199">
        <v>45709</v>
      </c>
      <c r="B3190" s="202" t="s">
        <v>2643</v>
      </c>
      <c r="C3190" s="200" t="s">
        <v>204</v>
      </c>
      <c r="D3190" s="642">
        <v>-20000</v>
      </c>
      <c r="E3190" s="201">
        <v>45689</v>
      </c>
      <c r="F3190" s="200" t="s">
        <v>296</v>
      </c>
      <c r="G3190" s="200" t="s">
        <v>522</v>
      </c>
      <c r="H3190" s="200" t="s">
        <v>326</v>
      </c>
      <c r="I3190" s="200" t="s">
        <v>2636</v>
      </c>
    </row>
    <row r="3191" spans="1:9" ht="15" customHeight="1">
      <c r="A3191" s="199">
        <v>45709</v>
      </c>
      <c r="B3191" s="202" t="s">
        <v>2643</v>
      </c>
      <c r="C3191" s="200" t="s">
        <v>204</v>
      </c>
      <c r="D3191" s="642">
        <v>-20000</v>
      </c>
      <c r="E3191" s="201">
        <v>45689</v>
      </c>
      <c r="F3191" s="200" t="s">
        <v>296</v>
      </c>
      <c r="G3191" s="200" t="s">
        <v>522</v>
      </c>
      <c r="H3191" s="200" t="s">
        <v>326</v>
      </c>
      <c r="I3191" s="200" t="s">
        <v>2636</v>
      </c>
    </row>
    <row r="3192" spans="1:9" ht="15" customHeight="1">
      <c r="A3192" s="199">
        <v>45714</v>
      </c>
      <c r="B3192" s="202" t="s">
        <v>2644</v>
      </c>
      <c r="C3192" s="200" t="s">
        <v>204</v>
      </c>
      <c r="D3192" s="642">
        <v>-798899</v>
      </c>
      <c r="E3192" s="201">
        <v>45689</v>
      </c>
      <c r="F3192" s="200" t="s">
        <v>296</v>
      </c>
      <c r="G3192" s="200" t="s">
        <v>337</v>
      </c>
      <c r="H3192" s="200" t="s">
        <v>322</v>
      </c>
    </row>
    <row r="3193" spans="1:9" ht="15" customHeight="1">
      <c r="A3193" s="199">
        <v>45714</v>
      </c>
      <c r="B3193" s="202" t="s">
        <v>2645</v>
      </c>
      <c r="C3193" s="200" t="s">
        <v>372</v>
      </c>
      <c r="D3193" s="204">
        <v>-4100</v>
      </c>
      <c r="E3193" s="201">
        <v>45689</v>
      </c>
      <c r="F3193" s="200" t="s">
        <v>296</v>
      </c>
      <c r="G3193" s="200" t="s">
        <v>337</v>
      </c>
      <c r="H3193" s="200" t="s">
        <v>322</v>
      </c>
    </row>
    <row r="3194" spans="1:9" ht="15" customHeight="1">
      <c r="A3194" s="199">
        <v>45714</v>
      </c>
      <c r="B3194" s="202" t="s">
        <v>2646</v>
      </c>
      <c r="C3194" s="200" t="s">
        <v>204</v>
      </c>
      <c r="D3194" s="642">
        <v>-3076925</v>
      </c>
      <c r="E3194" s="201">
        <v>45689</v>
      </c>
      <c r="F3194" s="200" t="s">
        <v>296</v>
      </c>
      <c r="G3194" s="200" t="s">
        <v>522</v>
      </c>
      <c r="H3194" s="200" t="s">
        <v>1079</v>
      </c>
    </row>
    <row r="3195" spans="1:9" ht="15" customHeight="1">
      <c r="A3195" s="199">
        <v>45714</v>
      </c>
      <c r="B3195" s="202" t="s">
        <v>2646</v>
      </c>
      <c r="C3195" s="200" t="s">
        <v>204</v>
      </c>
      <c r="D3195" s="642">
        <v>-3076925</v>
      </c>
      <c r="E3195" s="201">
        <v>45689</v>
      </c>
      <c r="F3195" s="200" t="s">
        <v>296</v>
      </c>
      <c r="G3195" s="200" t="s">
        <v>807</v>
      </c>
      <c r="H3195" s="200" t="s">
        <v>1079</v>
      </c>
    </row>
    <row r="3196" spans="1:9" ht="15" customHeight="1">
      <c r="A3196" s="199">
        <v>45714</v>
      </c>
      <c r="B3196" s="202" t="s">
        <v>2647</v>
      </c>
      <c r="C3196" s="200" t="s">
        <v>204</v>
      </c>
      <c r="D3196" s="642">
        <v>-160800000</v>
      </c>
      <c r="E3196" s="201">
        <v>45689</v>
      </c>
      <c r="F3196" s="200" t="s">
        <v>807</v>
      </c>
      <c r="G3196" s="200" t="s">
        <v>2648</v>
      </c>
    </row>
    <row r="3197" spans="1:9" ht="15" customHeight="1">
      <c r="A3197" s="199">
        <v>45714</v>
      </c>
      <c r="B3197" s="202" t="s">
        <v>2649</v>
      </c>
      <c r="C3197" s="200" t="s">
        <v>204</v>
      </c>
      <c r="D3197" s="642">
        <v>-1300000</v>
      </c>
      <c r="E3197" s="201">
        <v>45689</v>
      </c>
      <c r="F3197" s="200" t="s">
        <v>296</v>
      </c>
      <c r="G3197" s="641" t="s">
        <v>1087</v>
      </c>
      <c r="H3197" s="641" t="s">
        <v>322</v>
      </c>
    </row>
    <row r="3198" spans="1:9" ht="15" customHeight="1">
      <c r="A3198" s="199">
        <v>45714</v>
      </c>
      <c r="B3198" s="202" t="s">
        <v>2650</v>
      </c>
      <c r="C3198" s="200" t="s">
        <v>204</v>
      </c>
      <c r="D3198" s="642">
        <v>-1300000</v>
      </c>
      <c r="E3198" s="201">
        <v>45689</v>
      </c>
      <c r="F3198" s="200" t="s">
        <v>296</v>
      </c>
      <c r="G3198" s="641" t="s">
        <v>1561</v>
      </c>
      <c r="H3198" s="641" t="s">
        <v>322</v>
      </c>
    </row>
    <row r="3199" spans="1:9" ht="15" customHeight="1">
      <c r="A3199" s="199">
        <v>45714</v>
      </c>
      <c r="B3199" s="202" t="s">
        <v>2651</v>
      </c>
      <c r="C3199" s="200" t="s">
        <v>204</v>
      </c>
      <c r="D3199" s="642">
        <v>-39570</v>
      </c>
      <c r="E3199" s="201">
        <v>45689</v>
      </c>
      <c r="F3199" s="200" t="s">
        <v>296</v>
      </c>
      <c r="G3199" s="200" t="s">
        <v>337</v>
      </c>
      <c r="H3199" s="200" t="s">
        <v>366</v>
      </c>
    </row>
    <row r="3200" spans="1:9" ht="15" customHeight="1">
      <c r="A3200" s="199">
        <v>45714</v>
      </c>
      <c r="B3200" s="202" t="s">
        <v>2652</v>
      </c>
      <c r="C3200" s="200" t="s">
        <v>204</v>
      </c>
      <c r="D3200" s="642">
        <v>-1640000</v>
      </c>
      <c r="E3200" s="201">
        <v>45689</v>
      </c>
      <c r="F3200" s="200" t="s">
        <v>296</v>
      </c>
      <c r="G3200" s="641" t="s">
        <v>1561</v>
      </c>
      <c r="H3200" s="641" t="s">
        <v>322</v>
      </c>
    </row>
    <row r="3201" spans="1:9" ht="15" customHeight="1">
      <c r="A3201" s="199">
        <v>45714</v>
      </c>
      <c r="B3201" s="202" t="s">
        <v>2653</v>
      </c>
      <c r="C3201" s="200" t="s">
        <v>204</v>
      </c>
      <c r="D3201" s="642">
        <v>-35647433</v>
      </c>
      <c r="E3201" s="201">
        <v>45689</v>
      </c>
      <c r="F3201" s="200" t="s">
        <v>296</v>
      </c>
      <c r="G3201" s="200" t="s">
        <v>1825</v>
      </c>
      <c r="H3201" s="200" t="s">
        <v>2654</v>
      </c>
    </row>
    <row r="3202" spans="1:9" ht="15" customHeight="1">
      <c r="A3202" s="199">
        <v>45714</v>
      </c>
      <c r="B3202" s="202" t="s">
        <v>2653</v>
      </c>
      <c r="C3202" s="200" t="s">
        <v>204</v>
      </c>
      <c r="D3202" s="642">
        <v>-33955418</v>
      </c>
      <c r="E3202" s="201">
        <v>45689</v>
      </c>
      <c r="F3202" s="200" t="s">
        <v>296</v>
      </c>
      <c r="G3202" s="200" t="s">
        <v>807</v>
      </c>
      <c r="H3202" s="200" t="s">
        <v>2654</v>
      </c>
    </row>
    <row r="3203" spans="1:9" ht="15" customHeight="1">
      <c r="A3203" s="199">
        <v>45714</v>
      </c>
      <c r="B3203" s="202" t="s">
        <v>2653</v>
      </c>
      <c r="C3203" s="200" t="s">
        <v>204</v>
      </c>
      <c r="D3203" s="642">
        <v>-2699153</v>
      </c>
      <c r="E3203" s="201">
        <v>45689</v>
      </c>
      <c r="F3203" s="200" t="s">
        <v>296</v>
      </c>
      <c r="G3203" s="200" t="s">
        <v>44</v>
      </c>
      <c r="H3203" s="200" t="s">
        <v>366</v>
      </c>
    </row>
    <row r="3204" spans="1:9" ht="15" customHeight="1">
      <c r="A3204" s="199">
        <v>45714</v>
      </c>
      <c r="B3204" s="202" t="s">
        <v>2655</v>
      </c>
      <c r="C3204" s="200" t="s">
        <v>204</v>
      </c>
      <c r="D3204" s="642">
        <v>-921203.5</v>
      </c>
      <c r="E3204" s="201">
        <v>45689</v>
      </c>
      <c r="F3204" s="200" t="s">
        <v>296</v>
      </c>
      <c r="G3204" s="200" t="s">
        <v>328</v>
      </c>
      <c r="H3204" s="531" t="s">
        <v>364</v>
      </c>
    </row>
    <row r="3205" spans="1:9" ht="15" customHeight="1">
      <c r="A3205" s="199">
        <v>45714</v>
      </c>
      <c r="B3205" s="202" t="s">
        <v>2655</v>
      </c>
      <c r="C3205" s="200" t="s">
        <v>204</v>
      </c>
      <c r="D3205" s="642">
        <v>-921203.5</v>
      </c>
      <c r="E3205" s="201">
        <v>45689</v>
      </c>
      <c r="F3205" s="200" t="s">
        <v>297</v>
      </c>
      <c r="G3205" s="200" t="s">
        <v>69</v>
      </c>
      <c r="H3205" s="531" t="s">
        <v>364</v>
      </c>
    </row>
    <row r="3206" spans="1:9" ht="15" customHeight="1">
      <c r="A3206" s="199">
        <v>45714</v>
      </c>
      <c r="B3206" s="202" t="s">
        <v>2656</v>
      </c>
      <c r="C3206" s="200" t="s">
        <v>204</v>
      </c>
      <c r="D3206" s="642">
        <v>-808619</v>
      </c>
      <c r="E3206" s="201">
        <v>45689</v>
      </c>
      <c r="F3206" s="200" t="s">
        <v>296</v>
      </c>
      <c r="G3206" s="200" t="s">
        <v>513</v>
      </c>
      <c r="H3206" s="200" t="s">
        <v>322</v>
      </c>
    </row>
    <row r="3207" spans="1:9" ht="15" customHeight="1">
      <c r="A3207" s="199">
        <v>45714</v>
      </c>
      <c r="B3207" s="202" t="s">
        <v>2657</v>
      </c>
      <c r="C3207" s="200" t="s">
        <v>372</v>
      </c>
      <c r="D3207" s="204">
        <v>-4881</v>
      </c>
      <c r="E3207" s="201">
        <v>45689</v>
      </c>
      <c r="F3207" s="200" t="s">
        <v>296</v>
      </c>
      <c r="G3207" s="200" t="s">
        <v>513</v>
      </c>
      <c r="H3207" s="200" t="s">
        <v>322</v>
      </c>
    </row>
    <row r="3208" spans="1:9" ht="15" customHeight="1">
      <c r="A3208" s="199">
        <v>45714</v>
      </c>
      <c r="B3208" s="202" t="s">
        <v>2658</v>
      </c>
      <c r="C3208" s="200" t="s">
        <v>204</v>
      </c>
      <c r="D3208" s="642">
        <v>-7800000</v>
      </c>
      <c r="E3208" s="201">
        <v>45689</v>
      </c>
      <c r="F3208" s="200" t="s">
        <v>296</v>
      </c>
      <c r="G3208" s="200" t="s">
        <v>44</v>
      </c>
      <c r="H3208" s="200" t="s">
        <v>2659</v>
      </c>
    </row>
    <row r="3209" spans="1:9" ht="15" customHeight="1">
      <c r="A3209" s="199">
        <v>45714</v>
      </c>
      <c r="B3209" s="202" t="s">
        <v>2660</v>
      </c>
      <c r="C3209" s="200" t="s">
        <v>204</v>
      </c>
      <c r="D3209" s="642">
        <v>-7000000</v>
      </c>
      <c r="E3209" s="201">
        <v>45689</v>
      </c>
      <c r="F3209" s="200" t="s">
        <v>296</v>
      </c>
      <c r="G3209" s="641" t="s">
        <v>807</v>
      </c>
      <c r="H3209" s="641" t="s">
        <v>322</v>
      </c>
    </row>
    <row r="3210" spans="1:9" ht="15" customHeight="1">
      <c r="A3210" s="199">
        <v>45714</v>
      </c>
      <c r="B3210" s="202" t="s">
        <v>2661</v>
      </c>
      <c r="C3210" s="200" t="s">
        <v>204</v>
      </c>
      <c r="D3210" s="642">
        <v>-4472060</v>
      </c>
      <c r="E3210" s="201">
        <v>45689</v>
      </c>
      <c r="F3210" s="200" t="s">
        <v>296</v>
      </c>
      <c r="G3210" s="200" t="s">
        <v>321</v>
      </c>
      <c r="H3210" s="200" t="s">
        <v>2654</v>
      </c>
    </row>
    <row r="3211" spans="1:9" ht="15" customHeight="1">
      <c r="A3211" s="199">
        <v>45714</v>
      </c>
      <c r="B3211" s="202" t="s">
        <v>2661</v>
      </c>
      <c r="C3211" s="200" t="s">
        <v>204</v>
      </c>
      <c r="D3211" s="642">
        <v>-4472060</v>
      </c>
      <c r="E3211" s="201">
        <v>45689</v>
      </c>
      <c r="F3211" s="200" t="s">
        <v>296</v>
      </c>
      <c r="G3211" s="200" t="s">
        <v>337</v>
      </c>
      <c r="H3211" s="200" t="s">
        <v>2654</v>
      </c>
    </row>
    <row r="3212" spans="1:9" ht="15" customHeight="1">
      <c r="A3212" s="199">
        <v>45714</v>
      </c>
      <c r="B3212" s="202" t="s">
        <v>2661</v>
      </c>
      <c r="C3212" s="200" t="s">
        <v>204</v>
      </c>
      <c r="D3212" s="642">
        <v>-4472060</v>
      </c>
      <c r="E3212" s="201">
        <v>45689</v>
      </c>
      <c r="F3212" s="200" t="s">
        <v>296</v>
      </c>
      <c r="G3212" s="200" t="s">
        <v>44</v>
      </c>
      <c r="H3212" s="200" t="s">
        <v>2654</v>
      </c>
    </row>
    <row r="3213" spans="1:9" ht="15" customHeight="1">
      <c r="A3213" s="199">
        <v>45714</v>
      </c>
      <c r="B3213" s="202" t="s">
        <v>2661</v>
      </c>
      <c r="C3213" s="200" t="s">
        <v>204</v>
      </c>
      <c r="D3213" s="642">
        <v>-4472060</v>
      </c>
      <c r="E3213" s="201">
        <v>45689</v>
      </c>
      <c r="F3213" s="200" t="s">
        <v>296</v>
      </c>
      <c r="G3213" s="200" t="s">
        <v>1825</v>
      </c>
      <c r="H3213" s="200" t="s">
        <v>2654</v>
      </c>
    </row>
    <row r="3214" spans="1:9" ht="15" customHeight="1">
      <c r="A3214" s="199">
        <v>45714</v>
      </c>
      <c r="B3214" s="202" t="s">
        <v>2661</v>
      </c>
      <c r="C3214" s="200" t="s">
        <v>204</v>
      </c>
      <c r="D3214" s="642">
        <v>-4472060</v>
      </c>
      <c r="E3214" s="201">
        <v>45689</v>
      </c>
      <c r="F3214" s="200" t="s">
        <v>296</v>
      </c>
      <c r="G3214" s="200" t="s">
        <v>522</v>
      </c>
      <c r="H3214" s="200" t="s">
        <v>2654</v>
      </c>
    </row>
    <row r="3215" spans="1:9" s="700" customFormat="1" ht="15" customHeight="1">
      <c r="A3215" s="698">
        <v>45714</v>
      </c>
      <c r="B3215" s="699" t="s">
        <v>2662</v>
      </c>
      <c r="C3215" s="699" t="s">
        <v>204</v>
      </c>
      <c r="D3215" s="728">
        <v>-1500000</v>
      </c>
      <c r="E3215" s="701">
        <v>45689</v>
      </c>
      <c r="F3215" s="699" t="s">
        <v>296</v>
      </c>
      <c r="G3215" s="699" t="s">
        <v>337</v>
      </c>
      <c r="H3215" s="699" t="s">
        <v>366</v>
      </c>
      <c r="I3215" s="699"/>
    </row>
    <row r="3216" spans="1:9" ht="15" customHeight="1">
      <c r="A3216" s="199">
        <v>45714</v>
      </c>
      <c r="B3216" s="202" t="s">
        <v>2663</v>
      </c>
      <c r="C3216" s="200" t="s">
        <v>204</v>
      </c>
      <c r="D3216" s="642">
        <v>-492200</v>
      </c>
      <c r="E3216" s="201">
        <v>45689</v>
      </c>
      <c r="F3216" s="200" t="s">
        <v>296</v>
      </c>
      <c r="G3216" s="200" t="s">
        <v>337</v>
      </c>
      <c r="H3216" s="200" t="s">
        <v>322</v>
      </c>
    </row>
    <row r="3217" spans="1:9" ht="15" customHeight="1">
      <c r="A3217" s="199">
        <v>45714</v>
      </c>
      <c r="B3217" s="202" t="s">
        <v>2663</v>
      </c>
      <c r="C3217" s="200" t="s">
        <v>204</v>
      </c>
      <c r="D3217" s="642">
        <v>-118000</v>
      </c>
      <c r="E3217" s="201">
        <v>45689</v>
      </c>
      <c r="F3217" s="200" t="s">
        <v>296</v>
      </c>
      <c r="G3217" s="200" t="s">
        <v>44</v>
      </c>
      <c r="H3217" s="200" t="s">
        <v>322</v>
      </c>
    </row>
    <row r="3218" spans="1:9" ht="15" customHeight="1">
      <c r="A3218" s="199">
        <v>45714</v>
      </c>
      <c r="B3218" s="202" t="s">
        <v>2664</v>
      </c>
      <c r="C3218" s="200" t="s">
        <v>204</v>
      </c>
      <c r="D3218" s="642">
        <v>-100000</v>
      </c>
      <c r="E3218" s="201">
        <v>45689</v>
      </c>
      <c r="F3218" s="200" t="s">
        <v>296</v>
      </c>
      <c r="G3218" s="641" t="s">
        <v>513</v>
      </c>
      <c r="H3218" s="641" t="s">
        <v>322</v>
      </c>
    </row>
    <row r="3219" spans="1:9" ht="15" customHeight="1">
      <c r="A3219" s="199">
        <v>45714</v>
      </c>
      <c r="B3219" s="202" t="s">
        <v>2665</v>
      </c>
      <c r="C3219" s="200" t="s">
        <v>204</v>
      </c>
      <c r="D3219" s="642">
        <v>-388440</v>
      </c>
      <c r="E3219" s="201">
        <v>45689</v>
      </c>
      <c r="F3219" s="200" t="s">
        <v>297</v>
      </c>
      <c r="G3219" s="200" t="s">
        <v>69</v>
      </c>
      <c r="H3219" s="200" t="s">
        <v>350</v>
      </c>
    </row>
    <row r="3220" spans="1:9" ht="15" customHeight="1">
      <c r="A3220" s="199">
        <v>45714</v>
      </c>
      <c r="B3220" s="202" t="s">
        <v>2666</v>
      </c>
      <c r="C3220" s="200" t="s">
        <v>204</v>
      </c>
      <c r="D3220" s="642">
        <v>-390000</v>
      </c>
      <c r="E3220" s="201">
        <v>45689</v>
      </c>
      <c r="F3220" s="200" t="s">
        <v>256</v>
      </c>
      <c r="G3220" s="200" t="s">
        <v>107</v>
      </c>
      <c r="H3220" s="200" t="s">
        <v>777</v>
      </c>
    </row>
    <row r="3221" spans="1:9" ht="15" customHeight="1">
      <c r="A3221" s="199">
        <v>45714</v>
      </c>
      <c r="B3221" s="202" t="s">
        <v>2667</v>
      </c>
      <c r="C3221" s="200" t="s">
        <v>204</v>
      </c>
      <c r="D3221" s="642">
        <v>-165013</v>
      </c>
      <c r="E3221" s="201">
        <v>45689</v>
      </c>
      <c r="F3221" s="200" t="s">
        <v>296</v>
      </c>
      <c r="G3221" s="200" t="s">
        <v>411</v>
      </c>
      <c r="H3221" s="200" t="s">
        <v>350</v>
      </c>
    </row>
    <row r="3222" spans="1:9" ht="15" customHeight="1">
      <c r="A3222" s="199">
        <v>45714</v>
      </c>
      <c r="B3222" s="202" t="s">
        <v>2667</v>
      </c>
      <c r="C3222" s="200" t="s">
        <v>204</v>
      </c>
      <c r="D3222" s="642">
        <v>-165013</v>
      </c>
      <c r="E3222" s="201">
        <v>45689</v>
      </c>
      <c r="F3222" s="200" t="s">
        <v>297</v>
      </c>
      <c r="G3222" s="200" t="s">
        <v>1578</v>
      </c>
      <c r="H3222" s="200" t="s">
        <v>350</v>
      </c>
    </row>
    <row r="3223" spans="1:9" ht="15" customHeight="1">
      <c r="A3223" s="199">
        <v>45714</v>
      </c>
      <c r="B3223" s="202" t="s">
        <v>2667</v>
      </c>
      <c r="C3223" s="200" t="s">
        <v>204</v>
      </c>
      <c r="D3223" s="642">
        <v>-165013</v>
      </c>
      <c r="E3223" s="201">
        <v>45689</v>
      </c>
      <c r="F3223" s="200" t="s">
        <v>296</v>
      </c>
      <c r="G3223" s="200" t="s">
        <v>415</v>
      </c>
      <c r="H3223" s="200" t="s">
        <v>350</v>
      </c>
      <c r="I3223" s="648" t="s">
        <v>329</v>
      </c>
    </row>
    <row r="3224" spans="1:9" ht="15" customHeight="1">
      <c r="A3224" s="199">
        <v>45715</v>
      </c>
      <c r="B3224" s="202" t="s">
        <v>2668</v>
      </c>
      <c r="C3224" s="200" t="s">
        <v>204</v>
      </c>
      <c r="D3224" s="642">
        <v>-81000</v>
      </c>
      <c r="E3224" s="201">
        <v>45689</v>
      </c>
      <c r="F3224" s="200" t="s">
        <v>256</v>
      </c>
      <c r="G3224" s="200" t="s">
        <v>256</v>
      </c>
      <c r="H3224" s="200" t="s">
        <v>267</v>
      </c>
    </row>
    <row r="3225" spans="1:9" ht="15" customHeight="1">
      <c r="A3225" s="199">
        <v>45715</v>
      </c>
      <c r="B3225" s="202" t="s">
        <v>2669</v>
      </c>
      <c r="C3225" s="200" t="s">
        <v>204</v>
      </c>
      <c r="D3225" s="642">
        <v>-130000</v>
      </c>
      <c r="E3225" s="201">
        <v>45689</v>
      </c>
      <c r="F3225" s="200" t="s">
        <v>296</v>
      </c>
      <c r="G3225" s="200" t="s">
        <v>984</v>
      </c>
      <c r="H3225" s="200" t="s">
        <v>379</v>
      </c>
    </row>
    <row r="3226" spans="1:9" ht="15" customHeight="1">
      <c r="A3226" s="199">
        <v>45715</v>
      </c>
      <c r="B3226" s="202" t="s">
        <v>2670</v>
      </c>
      <c r="C3226" s="200" t="s">
        <v>204</v>
      </c>
      <c r="D3226" s="642">
        <v>-826014</v>
      </c>
      <c r="E3226" s="201">
        <v>45689</v>
      </c>
      <c r="F3226" s="200" t="s">
        <v>256</v>
      </c>
      <c r="G3226" s="200" t="s">
        <v>256</v>
      </c>
      <c r="H3226" s="200" t="s">
        <v>267</v>
      </c>
    </row>
    <row r="3227" spans="1:9" ht="15" customHeight="1">
      <c r="A3227" s="199">
        <v>45715</v>
      </c>
      <c r="B3227" s="202" t="s">
        <v>2671</v>
      </c>
      <c r="C3227" s="200" t="s">
        <v>372</v>
      </c>
      <c r="D3227" s="204">
        <v>-4186</v>
      </c>
      <c r="E3227" s="201">
        <v>45689</v>
      </c>
      <c r="F3227" s="200" t="s">
        <v>256</v>
      </c>
      <c r="G3227" s="200" t="s">
        <v>256</v>
      </c>
      <c r="H3227" s="200" t="s">
        <v>267</v>
      </c>
    </row>
    <row r="3228" spans="1:9" ht="15" customHeight="1">
      <c r="A3228" s="199">
        <v>45715</v>
      </c>
      <c r="B3228" s="202" t="s">
        <v>2672</v>
      </c>
      <c r="C3228" s="200" t="s">
        <v>204</v>
      </c>
      <c r="D3228" s="642">
        <v>-392600</v>
      </c>
      <c r="E3228" s="201">
        <v>45689</v>
      </c>
      <c r="F3228" s="200" t="s">
        <v>256</v>
      </c>
      <c r="G3228" s="200" t="s">
        <v>256</v>
      </c>
      <c r="H3228" s="200" t="s">
        <v>267</v>
      </c>
    </row>
    <row r="3229" spans="1:9" ht="15" customHeight="1">
      <c r="A3229" s="199">
        <v>45715</v>
      </c>
      <c r="B3229" s="202" t="s">
        <v>2673</v>
      </c>
      <c r="C3229" s="200" t="s">
        <v>204</v>
      </c>
      <c r="D3229" s="642">
        <v>-12758925</v>
      </c>
      <c r="E3229" s="201">
        <v>45689</v>
      </c>
      <c r="F3229" s="200" t="s">
        <v>296</v>
      </c>
      <c r="G3229" s="200" t="s">
        <v>522</v>
      </c>
      <c r="H3229" s="200" t="s">
        <v>370</v>
      </c>
    </row>
    <row r="3230" spans="1:9" ht="15" customHeight="1">
      <c r="A3230" s="199">
        <v>45715</v>
      </c>
      <c r="B3230" s="202" t="s">
        <v>2674</v>
      </c>
      <c r="C3230" s="200" t="s">
        <v>204</v>
      </c>
      <c r="D3230" s="642">
        <v>-366236</v>
      </c>
      <c r="E3230" s="201">
        <v>45689</v>
      </c>
      <c r="F3230" s="200" t="s">
        <v>297</v>
      </c>
      <c r="G3230" s="200" t="s">
        <v>1578</v>
      </c>
      <c r="H3230" s="200" t="s">
        <v>837</v>
      </c>
    </row>
    <row r="3231" spans="1:9" ht="15" customHeight="1">
      <c r="A3231" s="199">
        <v>45715</v>
      </c>
      <c r="B3231" s="202" t="s">
        <v>2674</v>
      </c>
      <c r="C3231" s="200" t="s">
        <v>204</v>
      </c>
      <c r="D3231" s="642">
        <v>-366237</v>
      </c>
      <c r="E3231" s="201">
        <v>45689</v>
      </c>
      <c r="F3231" s="200" t="s">
        <v>297</v>
      </c>
      <c r="G3231" s="200" t="s">
        <v>1313</v>
      </c>
      <c r="H3231" s="200" t="s">
        <v>837</v>
      </c>
    </row>
    <row r="3232" spans="1:9" ht="15" customHeight="1">
      <c r="A3232" s="199">
        <v>45715</v>
      </c>
      <c r="B3232" s="202" t="s">
        <v>2674</v>
      </c>
      <c r="C3232" s="200" t="s">
        <v>204</v>
      </c>
      <c r="D3232" s="642">
        <v>-366237</v>
      </c>
      <c r="E3232" s="201">
        <v>45689</v>
      </c>
      <c r="F3232" s="200" t="s">
        <v>297</v>
      </c>
      <c r="G3232" s="200" t="s">
        <v>71</v>
      </c>
      <c r="H3232" s="200" t="s">
        <v>837</v>
      </c>
    </row>
    <row r="3233" spans="1:8" ht="15" customHeight="1">
      <c r="A3233" s="199">
        <v>45716</v>
      </c>
      <c r="B3233" s="202" t="s">
        <v>2538</v>
      </c>
      <c r="C3233" s="200" t="s">
        <v>136</v>
      </c>
      <c r="D3233" s="649">
        <v>-50000</v>
      </c>
      <c r="E3233" s="201">
        <v>45689</v>
      </c>
      <c r="F3233" s="200" t="s">
        <v>256</v>
      </c>
      <c r="G3233" s="200" t="s">
        <v>107</v>
      </c>
      <c r="H3233" s="200" t="s">
        <v>777</v>
      </c>
    </row>
    <row r="3234" spans="1:8" ht="15" customHeight="1">
      <c r="A3234" s="199">
        <v>45715</v>
      </c>
      <c r="B3234" s="202" t="s">
        <v>2675</v>
      </c>
      <c r="C3234" s="200" t="s">
        <v>204</v>
      </c>
      <c r="D3234" s="642">
        <v>-7942108</v>
      </c>
      <c r="E3234" s="201">
        <v>45689</v>
      </c>
      <c r="F3234" s="200" t="s">
        <v>256</v>
      </c>
      <c r="G3234" s="200" t="s">
        <v>256</v>
      </c>
      <c r="H3234" s="200" t="s">
        <v>259</v>
      </c>
    </row>
    <row r="3235" spans="1:8" ht="15" customHeight="1">
      <c r="A3235" s="199">
        <v>45715</v>
      </c>
      <c r="B3235" s="202" t="s">
        <v>2676</v>
      </c>
      <c r="C3235" s="200" t="s">
        <v>372</v>
      </c>
      <c r="D3235" s="204">
        <v>-276247</v>
      </c>
      <c r="E3235" s="201">
        <v>45689</v>
      </c>
      <c r="F3235" s="200" t="s">
        <v>256</v>
      </c>
      <c r="G3235" s="200" t="s">
        <v>256</v>
      </c>
      <c r="H3235" s="200" t="s">
        <v>259</v>
      </c>
    </row>
    <row r="3236" spans="1:8" ht="15" customHeight="1">
      <c r="A3236" s="199">
        <v>45715</v>
      </c>
      <c r="B3236" s="202" t="s">
        <v>2677</v>
      </c>
      <c r="C3236" s="200" t="s">
        <v>204</v>
      </c>
      <c r="D3236" s="642">
        <v>-567420</v>
      </c>
      <c r="E3236" s="201">
        <v>45689</v>
      </c>
      <c r="F3236" s="200" t="s">
        <v>256</v>
      </c>
      <c r="G3236" s="200" t="s">
        <v>256</v>
      </c>
      <c r="H3236" s="200" t="s">
        <v>269</v>
      </c>
    </row>
    <row r="3237" spans="1:8" ht="15" customHeight="1">
      <c r="A3237" s="199">
        <v>45715</v>
      </c>
      <c r="B3237" s="202" t="s">
        <v>2678</v>
      </c>
      <c r="C3237" s="200" t="s">
        <v>204</v>
      </c>
      <c r="D3237" s="642">
        <v>-427200</v>
      </c>
      <c r="E3237" s="201">
        <v>45689</v>
      </c>
      <c r="F3237" s="200" t="s">
        <v>256</v>
      </c>
      <c r="G3237" s="200" t="s">
        <v>256</v>
      </c>
      <c r="H3237" s="200" t="s">
        <v>267</v>
      </c>
    </row>
    <row r="3238" spans="1:8" ht="15" customHeight="1">
      <c r="A3238" s="199">
        <v>45715</v>
      </c>
      <c r="B3238" s="202" t="s">
        <v>2679</v>
      </c>
      <c r="C3238" s="200" t="s">
        <v>372</v>
      </c>
      <c r="D3238" s="204">
        <v>-52800</v>
      </c>
      <c r="E3238" s="201">
        <v>45689</v>
      </c>
      <c r="F3238" s="200" t="s">
        <v>256</v>
      </c>
      <c r="G3238" s="200" t="s">
        <v>256</v>
      </c>
      <c r="H3238" s="200" t="s">
        <v>267</v>
      </c>
    </row>
    <row r="3239" spans="1:8" ht="15" customHeight="1">
      <c r="A3239" s="199">
        <v>45715</v>
      </c>
      <c r="B3239" s="202" t="s">
        <v>859</v>
      </c>
      <c r="C3239" s="200" t="s">
        <v>204</v>
      </c>
      <c r="D3239" s="642">
        <v>-43800</v>
      </c>
      <c r="E3239" s="201">
        <v>45689</v>
      </c>
      <c r="F3239" s="200" t="s">
        <v>296</v>
      </c>
      <c r="G3239" s="200" t="s">
        <v>453</v>
      </c>
      <c r="H3239" s="200" t="s">
        <v>98</v>
      </c>
    </row>
    <row r="3240" spans="1:8" ht="15" customHeight="1">
      <c r="A3240" s="199">
        <v>45715</v>
      </c>
      <c r="B3240" s="202" t="s">
        <v>2680</v>
      </c>
      <c r="C3240" s="200" t="s">
        <v>204</v>
      </c>
      <c r="D3240" s="642">
        <v>-721159</v>
      </c>
      <c r="E3240" s="201">
        <v>45689</v>
      </c>
      <c r="F3240" s="200" t="s">
        <v>256</v>
      </c>
      <c r="G3240" s="200" t="s">
        <v>256</v>
      </c>
      <c r="H3240" s="200" t="s">
        <v>263</v>
      </c>
    </row>
    <row r="3241" spans="1:8" ht="15" customHeight="1">
      <c r="A3241" s="199">
        <v>45715</v>
      </c>
      <c r="B3241" s="202" t="s">
        <v>2681</v>
      </c>
      <c r="C3241" s="200" t="s">
        <v>204</v>
      </c>
      <c r="D3241" s="642">
        <v>-376931</v>
      </c>
      <c r="E3241" s="201">
        <v>45689</v>
      </c>
      <c r="F3241" s="200" t="s">
        <v>256</v>
      </c>
      <c r="G3241" s="200" t="s">
        <v>256</v>
      </c>
      <c r="H3241" s="200" t="s">
        <v>263</v>
      </c>
    </row>
    <row r="3242" spans="1:8" ht="15" customHeight="1">
      <c r="A3242" s="199">
        <v>45715</v>
      </c>
      <c r="B3242" s="202" t="s">
        <v>2682</v>
      </c>
      <c r="C3242" s="200" t="s">
        <v>204</v>
      </c>
      <c r="D3242" s="642">
        <v>-29750</v>
      </c>
      <c r="E3242" s="201">
        <v>45689</v>
      </c>
      <c r="F3242" s="200" t="s">
        <v>296</v>
      </c>
      <c r="G3242" s="200" t="s">
        <v>337</v>
      </c>
      <c r="H3242" s="200" t="s">
        <v>366</v>
      </c>
    </row>
    <row r="3243" spans="1:8" ht="15" customHeight="1">
      <c r="A3243" s="199">
        <v>45715</v>
      </c>
      <c r="B3243" s="202" t="s">
        <v>2683</v>
      </c>
      <c r="C3243" s="200" t="s">
        <v>204</v>
      </c>
      <c r="D3243" s="642">
        <v>-531155</v>
      </c>
      <c r="E3243" s="201">
        <v>45689</v>
      </c>
      <c r="F3243" s="200" t="s">
        <v>296</v>
      </c>
      <c r="G3243" s="200" t="s">
        <v>44</v>
      </c>
      <c r="H3243" s="202" t="s">
        <v>429</v>
      </c>
    </row>
    <row r="3244" spans="1:8" ht="15" customHeight="1">
      <c r="A3244" s="199">
        <v>45715</v>
      </c>
      <c r="B3244" s="722" t="s">
        <v>2684</v>
      </c>
      <c r="C3244" s="200" t="s">
        <v>204</v>
      </c>
      <c r="D3244" s="642">
        <v>-199992</v>
      </c>
      <c r="E3244" s="201">
        <v>45689</v>
      </c>
      <c r="F3244" s="200" t="s">
        <v>296</v>
      </c>
      <c r="G3244" s="200" t="s">
        <v>57</v>
      </c>
      <c r="H3244" s="200" t="s">
        <v>105</v>
      </c>
    </row>
    <row r="3245" spans="1:8" ht="15" customHeight="1">
      <c r="A3245" s="199">
        <v>45715</v>
      </c>
      <c r="B3245" s="202" t="s">
        <v>2685</v>
      </c>
      <c r="C3245" s="200" t="s">
        <v>204</v>
      </c>
      <c r="D3245" s="642">
        <v>-101359872</v>
      </c>
      <c r="E3245" s="201">
        <v>45689</v>
      </c>
      <c r="F3245" s="200" t="s">
        <v>296</v>
      </c>
      <c r="G3245" s="200" t="s">
        <v>1825</v>
      </c>
      <c r="H3245" s="200" t="s">
        <v>1079</v>
      </c>
    </row>
    <row r="3246" spans="1:8" ht="15" customHeight="1">
      <c r="A3246" s="199">
        <v>45715</v>
      </c>
      <c r="B3246" s="202" t="s">
        <v>2686</v>
      </c>
      <c r="C3246" s="200" t="s">
        <v>372</v>
      </c>
      <c r="D3246" s="204">
        <v>-1030080</v>
      </c>
      <c r="E3246" s="201">
        <v>45689</v>
      </c>
      <c r="F3246" s="200" t="s">
        <v>296</v>
      </c>
      <c r="G3246" s="200" t="s">
        <v>1825</v>
      </c>
      <c r="H3246" s="200" t="s">
        <v>1079</v>
      </c>
    </row>
    <row r="3247" spans="1:8" ht="15" customHeight="1">
      <c r="A3247" s="199">
        <v>45715</v>
      </c>
      <c r="B3247" s="202" t="s">
        <v>2687</v>
      </c>
      <c r="C3247" s="200" t="s">
        <v>372</v>
      </c>
      <c r="D3247" s="204">
        <v>-618048</v>
      </c>
      <c r="E3247" s="201">
        <v>45689</v>
      </c>
      <c r="F3247" s="200" t="s">
        <v>296</v>
      </c>
      <c r="G3247" s="200" t="s">
        <v>1825</v>
      </c>
      <c r="H3247" s="200" t="s">
        <v>1079</v>
      </c>
    </row>
    <row r="3248" spans="1:8" ht="15" customHeight="1">
      <c r="A3248" s="199">
        <v>45715</v>
      </c>
      <c r="B3248" s="202" t="s">
        <v>2688</v>
      </c>
      <c r="C3248" s="200" t="s">
        <v>204</v>
      </c>
      <c r="D3248" s="642">
        <v>-4652352</v>
      </c>
      <c r="E3248" s="201">
        <v>45689</v>
      </c>
      <c r="F3248" s="200" t="s">
        <v>296</v>
      </c>
      <c r="G3248" s="200" t="s">
        <v>44</v>
      </c>
      <c r="H3248" s="200" t="s">
        <v>1079</v>
      </c>
    </row>
    <row r="3249" spans="1:8" ht="15" customHeight="1">
      <c r="A3249" s="199">
        <v>45715</v>
      </c>
      <c r="B3249" s="202" t="s">
        <v>2689</v>
      </c>
      <c r="C3249" s="200" t="s">
        <v>372</v>
      </c>
      <c r="D3249" s="204">
        <v>-47280</v>
      </c>
      <c r="E3249" s="201">
        <v>45689</v>
      </c>
      <c r="F3249" s="200" t="s">
        <v>296</v>
      </c>
      <c r="G3249" s="200" t="s">
        <v>44</v>
      </c>
      <c r="H3249" s="200" t="s">
        <v>1079</v>
      </c>
    </row>
    <row r="3250" spans="1:8" ht="15" customHeight="1">
      <c r="A3250" s="199">
        <v>45715</v>
      </c>
      <c r="B3250" s="202" t="s">
        <v>2690</v>
      </c>
      <c r="C3250" s="200" t="s">
        <v>372</v>
      </c>
      <c r="D3250" s="204">
        <v>-28368</v>
      </c>
      <c r="E3250" s="201">
        <v>45689</v>
      </c>
      <c r="F3250" s="200" t="s">
        <v>296</v>
      </c>
      <c r="G3250" s="200" t="s">
        <v>44</v>
      </c>
      <c r="H3250" s="200" t="s">
        <v>1079</v>
      </c>
    </row>
    <row r="3251" spans="1:8" ht="15" customHeight="1">
      <c r="A3251" s="199">
        <v>45715</v>
      </c>
      <c r="B3251" s="202" t="s">
        <v>2691</v>
      </c>
      <c r="C3251" s="200" t="s">
        <v>204</v>
      </c>
      <c r="D3251" s="642">
        <v>-6002400</v>
      </c>
      <c r="E3251" s="201">
        <v>45689</v>
      </c>
      <c r="F3251" s="200" t="s">
        <v>296</v>
      </c>
      <c r="G3251" s="200" t="s">
        <v>337</v>
      </c>
      <c r="H3251" s="200" t="s">
        <v>429</v>
      </c>
    </row>
    <row r="3252" spans="1:8" ht="15" customHeight="1">
      <c r="A3252" s="199">
        <v>45715</v>
      </c>
      <c r="B3252" s="202" t="s">
        <v>2692</v>
      </c>
      <c r="C3252" s="200" t="s">
        <v>372</v>
      </c>
      <c r="D3252" s="204">
        <v>-61000</v>
      </c>
      <c r="E3252" s="201">
        <v>45689</v>
      </c>
      <c r="F3252" s="200" t="s">
        <v>296</v>
      </c>
      <c r="G3252" s="200" t="s">
        <v>337</v>
      </c>
      <c r="H3252" s="200" t="s">
        <v>429</v>
      </c>
    </row>
    <row r="3253" spans="1:8" ht="15" customHeight="1">
      <c r="A3253" s="199">
        <v>45715</v>
      </c>
      <c r="B3253" s="202" t="s">
        <v>2693</v>
      </c>
      <c r="C3253" s="200" t="s">
        <v>372</v>
      </c>
      <c r="D3253" s="204">
        <v>-36600</v>
      </c>
      <c r="E3253" s="201">
        <v>45689</v>
      </c>
      <c r="F3253" s="200" t="s">
        <v>296</v>
      </c>
      <c r="G3253" s="200" t="s">
        <v>337</v>
      </c>
      <c r="H3253" s="200" t="s">
        <v>429</v>
      </c>
    </row>
    <row r="3254" spans="1:8" ht="15" customHeight="1">
      <c r="A3254" s="199">
        <v>45715</v>
      </c>
      <c r="B3254" s="202" t="s">
        <v>2694</v>
      </c>
      <c r="C3254" s="200" t="s">
        <v>204</v>
      </c>
      <c r="D3254" s="642">
        <v>-8415168</v>
      </c>
      <c r="E3254" s="201">
        <v>45689</v>
      </c>
      <c r="F3254" s="200" t="s">
        <v>296</v>
      </c>
      <c r="G3254" s="200" t="s">
        <v>522</v>
      </c>
      <c r="H3254" s="200" t="s">
        <v>1079</v>
      </c>
    </row>
    <row r="3255" spans="1:8" ht="15" customHeight="1">
      <c r="A3255" s="199">
        <v>45715</v>
      </c>
      <c r="B3255" s="202" t="s">
        <v>2695</v>
      </c>
      <c r="C3255" s="200" t="s">
        <v>372</v>
      </c>
      <c r="D3255" s="204">
        <v>-85520</v>
      </c>
      <c r="E3255" s="201">
        <v>45689</v>
      </c>
      <c r="F3255" s="200" t="s">
        <v>296</v>
      </c>
      <c r="G3255" s="200" t="s">
        <v>522</v>
      </c>
      <c r="H3255" s="200" t="s">
        <v>1079</v>
      </c>
    </row>
    <row r="3256" spans="1:8" ht="15" customHeight="1">
      <c r="A3256" s="199">
        <v>45715</v>
      </c>
      <c r="B3256" s="202" t="s">
        <v>2696</v>
      </c>
      <c r="C3256" s="200" t="s">
        <v>372</v>
      </c>
      <c r="D3256" s="204">
        <v>-51312</v>
      </c>
      <c r="E3256" s="201">
        <v>45689</v>
      </c>
      <c r="F3256" s="200" t="s">
        <v>296</v>
      </c>
      <c r="G3256" s="200" t="s">
        <v>522</v>
      </c>
      <c r="H3256" s="200" t="s">
        <v>1079</v>
      </c>
    </row>
    <row r="3257" spans="1:8" ht="15" customHeight="1">
      <c r="A3257" s="199">
        <v>45715</v>
      </c>
      <c r="B3257" s="202" t="s">
        <v>2697</v>
      </c>
      <c r="C3257" s="200" t="s">
        <v>204</v>
      </c>
      <c r="D3257" s="642">
        <v>-22157353</v>
      </c>
      <c r="E3257" s="201">
        <v>45689</v>
      </c>
      <c r="F3257" s="200" t="s">
        <v>296</v>
      </c>
      <c r="G3257" s="200" t="s">
        <v>522</v>
      </c>
      <c r="H3257" s="200" t="s">
        <v>811</v>
      </c>
    </row>
    <row r="3258" spans="1:8" ht="15" customHeight="1">
      <c r="A3258" s="199">
        <v>45715</v>
      </c>
      <c r="B3258" s="202" t="s">
        <v>2698</v>
      </c>
      <c r="C3258" s="200" t="s">
        <v>372</v>
      </c>
      <c r="D3258" s="204">
        <v>-477941</v>
      </c>
      <c r="E3258" s="201">
        <v>45689</v>
      </c>
      <c r="F3258" s="200" t="s">
        <v>296</v>
      </c>
      <c r="G3258" s="200" t="s">
        <v>522</v>
      </c>
      <c r="H3258" s="200" t="s">
        <v>811</v>
      </c>
    </row>
    <row r="3259" spans="1:8" ht="15" customHeight="1">
      <c r="A3259" s="199">
        <v>45715</v>
      </c>
      <c r="B3259" s="202" t="s">
        <v>2699</v>
      </c>
      <c r="C3259" s="200" t="s">
        <v>372</v>
      </c>
      <c r="D3259" s="204">
        <v>-114706</v>
      </c>
      <c r="E3259" s="201">
        <v>45689</v>
      </c>
      <c r="F3259" s="200" t="s">
        <v>296</v>
      </c>
      <c r="G3259" s="200" t="s">
        <v>522</v>
      </c>
      <c r="H3259" s="200" t="s">
        <v>811</v>
      </c>
    </row>
    <row r="3260" spans="1:8" ht="15" customHeight="1">
      <c r="A3260" s="199">
        <v>45715</v>
      </c>
      <c r="B3260" s="202" t="s">
        <v>2700</v>
      </c>
      <c r="C3260" s="200" t="s">
        <v>204</v>
      </c>
      <c r="D3260" s="642">
        <v>-8515131</v>
      </c>
      <c r="E3260" s="201">
        <v>45689</v>
      </c>
      <c r="F3260" s="200" t="s">
        <v>296</v>
      </c>
      <c r="G3260" s="200" t="s">
        <v>807</v>
      </c>
      <c r="H3260" s="200" t="s">
        <v>518</v>
      </c>
    </row>
    <row r="3261" spans="1:8" ht="15" customHeight="1">
      <c r="A3261" s="199">
        <v>45715</v>
      </c>
      <c r="B3261" s="202" t="s">
        <v>2701</v>
      </c>
      <c r="C3261" s="200" t="s">
        <v>204</v>
      </c>
      <c r="D3261" s="642">
        <v>-8393621</v>
      </c>
      <c r="E3261" s="201">
        <v>45689</v>
      </c>
      <c r="F3261" s="200" t="s">
        <v>296</v>
      </c>
      <c r="G3261" s="200" t="s">
        <v>1825</v>
      </c>
      <c r="H3261" s="200" t="s">
        <v>518</v>
      </c>
    </row>
    <row r="3262" spans="1:8" ht="15" customHeight="1">
      <c r="A3262" s="199">
        <v>45715</v>
      </c>
      <c r="B3262" s="202" t="s">
        <v>2702</v>
      </c>
      <c r="C3262" s="200" t="s">
        <v>204</v>
      </c>
      <c r="D3262" s="642">
        <v>-385000</v>
      </c>
      <c r="E3262" s="201">
        <v>45689</v>
      </c>
      <c r="F3262" s="200" t="s">
        <v>297</v>
      </c>
      <c r="G3262" s="200" t="s">
        <v>1578</v>
      </c>
      <c r="H3262" s="200" t="s">
        <v>837</v>
      </c>
    </row>
    <row r="3263" spans="1:8" ht="15" customHeight="1">
      <c r="A3263" s="199">
        <v>45715</v>
      </c>
      <c r="B3263" s="202" t="s">
        <v>2702</v>
      </c>
      <c r="C3263" s="200" t="s">
        <v>204</v>
      </c>
      <c r="D3263" s="642">
        <v>-385000</v>
      </c>
      <c r="E3263" s="201">
        <v>45689</v>
      </c>
      <c r="F3263" s="200" t="s">
        <v>297</v>
      </c>
      <c r="G3263" s="200" t="s">
        <v>1313</v>
      </c>
      <c r="H3263" s="200" t="s">
        <v>837</v>
      </c>
    </row>
    <row r="3264" spans="1:8" ht="15" customHeight="1">
      <c r="A3264" s="199">
        <v>45715</v>
      </c>
      <c r="B3264" s="202" t="s">
        <v>2702</v>
      </c>
      <c r="C3264" s="200" t="s">
        <v>204</v>
      </c>
      <c r="D3264" s="642">
        <v>-385000</v>
      </c>
      <c r="E3264" s="201">
        <v>45689</v>
      </c>
      <c r="F3264" s="200" t="s">
        <v>297</v>
      </c>
      <c r="G3264" s="200" t="s">
        <v>71</v>
      </c>
      <c r="H3264" s="200" t="s">
        <v>837</v>
      </c>
    </row>
    <row r="3265" spans="1:8" ht="15" customHeight="1">
      <c r="A3265" s="199">
        <v>45715</v>
      </c>
      <c r="B3265" s="202" t="s">
        <v>2703</v>
      </c>
      <c r="C3265" s="200" t="s">
        <v>204</v>
      </c>
      <c r="D3265" s="642">
        <v>-6912976</v>
      </c>
      <c r="E3265" s="201">
        <v>45689</v>
      </c>
      <c r="F3265" s="200" t="s">
        <v>297</v>
      </c>
      <c r="G3265" s="200" t="s">
        <v>2704</v>
      </c>
      <c r="H3265" s="200" t="s">
        <v>377</v>
      </c>
    </row>
    <row r="3266" spans="1:8" ht="15" customHeight="1">
      <c r="A3266" s="199">
        <v>45715</v>
      </c>
      <c r="B3266" s="202" t="s">
        <v>2705</v>
      </c>
      <c r="C3266" s="200" t="s">
        <v>204</v>
      </c>
      <c r="D3266" s="642">
        <v>-790000</v>
      </c>
      <c r="E3266" s="201">
        <v>45689</v>
      </c>
      <c r="F3266" s="200" t="s">
        <v>296</v>
      </c>
      <c r="G3266" s="200" t="s">
        <v>44</v>
      </c>
      <c r="H3266" s="200" t="s">
        <v>811</v>
      </c>
    </row>
    <row r="3267" spans="1:8" ht="15" customHeight="1">
      <c r="A3267" s="199">
        <v>45715</v>
      </c>
      <c r="B3267" s="202" t="s">
        <v>2706</v>
      </c>
      <c r="C3267" s="200" t="s">
        <v>204</v>
      </c>
      <c r="D3267" s="642">
        <v>-600000</v>
      </c>
      <c r="E3267" s="201">
        <v>45689</v>
      </c>
      <c r="F3267" s="200" t="s">
        <v>296</v>
      </c>
      <c r="G3267" s="200" t="s">
        <v>337</v>
      </c>
      <c r="H3267" s="200" t="s">
        <v>811</v>
      </c>
    </row>
    <row r="3268" spans="1:8" ht="15" customHeight="1">
      <c r="A3268" s="199">
        <v>45715</v>
      </c>
      <c r="B3268" s="202" t="s">
        <v>2707</v>
      </c>
      <c r="C3268" s="200" t="s">
        <v>204</v>
      </c>
      <c r="D3268" s="642">
        <v>-1925000</v>
      </c>
      <c r="E3268" s="201">
        <v>45689</v>
      </c>
      <c r="F3268" s="200" t="s">
        <v>296</v>
      </c>
      <c r="G3268" s="200" t="s">
        <v>321</v>
      </c>
      <c r="H3268" s="200" t="s">
        <v>326</v>
      </c>
    </row>
    <row r="3269" spans="1:8" ht="15" customHeight="1">
      <c r="A3269" s="199">
        <v>45715</v>
      </c>
      <c r="B3269" s="202" t="s">
        <v>2707</v>
      </c>
      <c r="C3269" s="200" t="s">
        <v>204</v>
      </c>
      <c r="D3269" s="642">
        <v>-1925000</v>
      </c>
      <c r="E3269" s="201">
        <v>45689</v>
      </c>
      <c r="F3269" s="200" t="s">
        <v>296</v>
      </c>
      <c r="G3269" s="200" t="s">
        <v>337</v>
      </c>
      <c r="H3269" s="200" t="s">
        <v>326</v>
      </c>
    </row>
    <row r="3270" spans="1:8" ht="15" customHeight="1">
      <c r="A3270" s="199">
        <v>45715</v>
      </c>
      <c r="B3270" s="202" t="s">
        <v>2707</v>
      </c>
      <c r="C3270" s="200" t="s">
        <v>204</v>
      </c>
      <c r="D3270" s="642">
        <v>-4954969</v>
      </c>
      <c r="E3270" s="201">
        <v>45689</v>
      </c>
      <c r="F3270" s="200" t="s">
        <v>296</v>
      </c>
      <c r="G3270" s="200" t="s">
        <v>44</v>
      </c>
      <c r="H3270" s="200" t="s">
        <v>442</v>
      </c>
    </row>
    <row r="3271" spans="1:8" ht="15" customHeight="1">
      <c r="A3271" s="199">
        <v>45715</v>
      </c>
      <c r="B3271" s="202" t="s">
        <v>2707</v>
      </c>
      <c r="C3271" s="200" t="s">
        <v>204</v>
      </c>
      <c r="D3271" s="642">
        <v>-3911303</v>
      </c>
      <c r="E3271" s="201">
        <v>45689</v>
      </c>
      <c r="F3271" s="200" t="s">
        <v>296</v>
      </c>
      <c r="G3271" s="200" t="s">
        <v>807</v>
      </c>
      <c r="H3271" s="200" t="s">
        <v>442</v>
      </c>
    </row>
    <row r="3272" spans="1:8" ht="15" customHeight="1">
      <c r="A3272" s="199">
        <v>45715</v>
      </c>
      <c r="B3272" s="202" t="s">
        <v>2707</v>
      </c>
      <c r="C3272" s="200" t="s">
        <v>204</v>
      </c>
      <c r="D3272" s="642">
        <v>-95200</v>
      </c>
      <c r="E3272" s="201">
        <v>45689</v>
      </c>
      <c r="F3272" s="200" t="s">
        <v>296</v>
      </c>
      <c r="G3272" s="200" t="s">
        <v>807</v>
      </c>
      <c r="H3272" s="200" t="s">
        <v>442</v>
      </c>
    </row>
    <row r="3273" spans="1:8" ht="15" customHeight="1">
      <c r="A3273" s="199">
        <v>45715</v>
      </c>
      <c r="B3273" s="202" t="s">
        <v>2708</v>
      </c>
      <c r="C3273" s="200" t="s">
        <v>204</v>
      </c>
      <c r="D3273" s="642">
        <v>-634488</v>
      </c>
      <c r="E3273" s="201">
        <v>45689</v>
      </c>
      <c r="F3273" s="200" t="s">
        <v>296</v>
      </c>
      <c r="G3273" s="200" t="s">
        <v>522</v>
      </c>
      <c r="H3273" s="200" t="s">
        <v>1213</v>
      </c>
    </row>
    <row r="3274" spans="1:8" ht="15" customHeight="1">
      <c r="A3274" s="199">
        <v>45715</v>
      </c>
      <c r="B3274" s="202" t="s">
        <v>2709</v>
      </c>
      <c r="C3274" s="200" t="s">
        <v>372</v>
      </c>
      <c r="D3274" s="204">
        <f>-22185-3805</f>
        <v>-25990</v>
      </c>
      <c r="E3274" s="201">
        <v>45689</v>
      </c>
      <c r="F3274" s="200" t="s">
        <v>296</v>
      </c>
      <c r="G3274" s="200" t="s">
        <v>522</v>
      </c>
      <c r="H3274" s="200" t="s">
        <v>1213</v>
      </c>
    </row>
    <row r="3275" spans="1:8" ht="15" customHeight="1">
      <c r="A3275" s="199">
        <v>45715</v>
      </c>
      <c r="B3275" s="202" t="s">
        <v>2710</v>
      </c>
      <c r="C3275" s="200" t="s">
        <v>372</v>
      </c>
      <c r="D3275" s="204">
        <v>-3328</v>
      </c>
      <c r="E3275" s="201">
        <v>45689</v>
      </c>
      <c r="F3275" s="200" t="s">
        <v>296</v>
      </c>
      <c r="G3275" s="200" t="s">
        <v>522</v>
      </c>
      <c r="H3275" s="200" t="s">
        <v>1213</v>
      </c>
    </row>
    <row r="3276" spans="1:8" ht="15" customHeight="1">
      <c r="A3276" s="199">
        <v>45715</v>
      </c>
      <c r="B3276" s="202" t="s">
        <v>2711</v>
      </c>
      <c r="C3276" s="200" t="s">
        <v>204</v>
      </c>
      <c r="D3276" s="642">
        <v>-37800</v>
      </c>
      <c r="E3276" s="201">
        <v>45689</v>
      </c>
      <c r="F3276" s="200" t="s">
        <v>256</v>
      </c>
      <c r="G3276" s="200" t="s">
        <v>256</v>
      </c>
      <c r="H3276" s="200" t="s">
        <v>267</v>
      </c>
    </row>
    <row r="3277" spans="1:8" ht="15" customHeight="1">
      <c r="A3277" s="199">
        <v>45715</v>
      </c>
      <c r="B3277" s="202" t="s">
        <v>2712</v>
      </c>
      <c r="C3277" s="200" t="s">
        <v>204</v>
      </c>
      <c r="D3277" s="642">
        <v>-332010</v>
      </c>
      <c r="E3277" s="201">
        <v>45689</v>
      </c>
      <c r="F3277" s="200" t="s">
        <v>296</v>
      </c>
      <c r="G3277" s="200" t="s">
        <v>1124</v>
      </c>
      <c r="H3277" s="200" t="s">
        <v>364</v>
      </c>
    </row>
    <row r="3278" spans="1:8" ht="15" customHeight="1">
      <c r="A3278" s="199">
        <v>45715</v>
      </c>
      <c r="B3278" s="202" t="s">
        <v>2713</v>
      </c>
      <c r="C3278" s="200" t="s">
        <v>204</v>
      </c>
      <c r="D3278" s="642">
        <v>-9476580</v>
      </c>
      <c r="E3278" s="201">
        <v>45689</v>
      </c>
      <c r="F3278" s="200" t="s">
        <v>2714</v>
      </c>
      <c r="G3278" s="200" t="s">
        <v>513</v>
      </c>
      <c r="H3278" s="200" t="s">
        <v>2715</v>
      </c>
    </row>
    <row r="3279" spans="1:8" ht="15" customHeight="1">
      <c r="A3279" s="199">
        <v>45715</v>
      </c>
      <c r="B3279" s="202" t="s">
        <v>2713</v>
      </c>
      <c r="C3279" s="200" t="s">
        <v>204</v>
      </c>
      <c r="D3279" s="642">
        <v>-5488363</v>
      </c>
      <c r="E3279" s="201">
        <v>45689</v>
      </c>
      <c r="F3279" s="648" t="s">
        <v>296</v>
      </c>
      <c r="G3279" s="648" t="s">
        <v>44</v>
      </c>
      <c r="H3279" s="648" t="s">
        <v>2715</v>
      </c>
    </row>
    <row r="3280" spans="1:8" ht="15" customHeight="1">
      <c r="A3280" s="199">
        <v>45715</v>
      </c>
      <c r="B3280" s="202" t="s">
        <v>2713</v>
      </c>
      <c r="C3280" s="200" t="s">
        <v>204</v>
      </c>
      <c r="D3280" s="642">
        <v>-5488363</v>
      </c>
      <c r="E3280" s="201">
        <v>45689</v>
      </c>
      <c r="F3280" s="648" t="s">
        <v>296</v>
      </c>
      <c r="G3280" s="648" t="s">
        <v>1825</v>
      </c>
      <c r="H3280" s="648" t="s">
        <v>2715</v>
      </c>
    </row>
    <row r="3281" spans="1:8" ht="15" customHeight="1">
      <c r="A3281" s="199">
        <v>45715</v>
      </c>
      <c r="B3281" s="202" t="s">
        <v>2713</v>
      </c>
      <c r="C3281" s="200" t="s">
        <v>204</v>
      </c>
      <c r="D3281" s="642">
        <v>-9476580</v>
      </c>
      <c r="E3281" s="201">
        <v>45689</v>
      </c>
      <c r="F3281" s="200" t="s">
        <v>2714</v>
      </c>
      <c r="G3281" s="200" t="s">
        <v>513</v>
      </c>
      <c r="H3281" s="200" t="s">
        <v>2715</v>
      </c>
    </row>
    <row r="3282" spans="1:8" ht="15" customHeight="1">
      <c r="A3282" s="199">
        <v>45715</v>
      </c>
      <c r="B3282" s="202" t="s">
        <v>2713</v>
      </c>
      <c r="C3282" s="200" t="s">
        <v>204</v>
      </c>
      <c r="D3282" s="642">
        <v>-5488363</v>
      </c>
      <c r="E3282" s="201">
        <v>45689</v>
      </c>
      <c r="F3282" s="648" t="s">
        <v>296</v>
      </c>
      <c r="G3282" s="648" t="s">
        <v>44</v>
      </c>
      <c r="H3282" s="648" t="s">
        <v>2715</v>
      </c>
    </row>
    <row r="3283" spans="1:8" ht="15" customHeight="1">
      <c r="A3283" s="199">
        <v>45715</v>
      </c>
      <c r="B3283" s="202" t="s">
        <v>2713</v>
      </c>
      <c r="C3283" s="200" t="s">
        <v>204</v>
      </c>
      <c r="D3283" s="642">
        <v>-5488363</v>
      </c>
      <c r="E3283" s="201">
        <v>45689</v>
      </c>
      <c r="F3283" s="648" t="s">
        <v>296</v>
      </c>
      <c r="G3283" s="648" t="s">
        <v>1825</v>
      </c>
      <c r="H3283" s="648" t="s">
        <v>2715</v>
      </c>
    </row>
    <row r="3284" spans="1:8" ht="15" customHeight="1">
      <c r="A3284" s="199">
        <v>45715</v>
      </c>
      <c r="B3284" s="202" t="s">
        <v>2713</v>
      </c>
      <c r="C3284" s="200" t="s">
        <v>204</v>
      </c>
      <c r="D3284" s="642">
        <v>-770133.25</v>
      </c>
      <c r="E3284" s="201">
        <v>45689</v>
      </c>
      <c r="F3284" s="200" t="s">
        <v>296</v>
      </c>
      <c r="G3284" s="200" t="s">
        <v>321</v>
      </c>
      <c r="H3284" s="200" t="s">
        <v>2715</v>
      </c>
    </row>
    <row r="3285" spans="1:8" ht="15" customHeight="1">
      <c r="A3285" s="199">
        <v>45715</v>
      </c>
      <c r="B3285" s="202" t="s">
        <v>2713</v>
      </c>
      <c r="C3285" s="200" t="s">
        <v>204</v>
      </c>
      <c r="D3285" s="642">
        <v>-770130.25</v>
      </c>
      <c r="E3285" s="201">
        <v>45689</v>
      </c>
      <c r="F3285" s="200" t="s">
        <v>296</v>
      </c>
      <c r="G3285" s="200" t="s">
        <v>337</v>
      </c>
      <c r="H3285" s="200" t="s">
        <v>2715</v>
      </c>
    </row>
    <row r="3286" spans="1:8" ht="15" customHeight="1">
      <c r="A3286" s="199">
        <v>45715</v>
      </c>
      <c r="B3286" s="202" t="s">
        <v>2713</v>
      </c>
      <c r="C3286" s="200" t="s">
        <v>204</v>
      </c>
      <c r="D3286" s="642">
        <v>-770130.25</v>
      </c>
      <c r="E3286" s="201">
        <v>45689</v>
      </c>
      <c r="F3286" s="200" t="s">
        <v>296</v>
      </c>
      <c r="G3286" s="200" t="s">
        <v>44</v>
      </c>
      <c r="H3286" s="200" t="s">
        <v>2715</v>
      </c>
    </row>
    <row r="3287" spans="1:8" ht="15" customHeight="1">
      <c r="A3287" s="199">
        <v>45715</v>
      </c>
      <c r="B3287" s="202" t="s">
        <v>2713</v>
      </c>
      <c r="C3287" s="200" t="s">
        <v>204</v>
      </c>
      <c r="D3287" s="642">
        <v>-770130.25</v>
      </c>
      <c r="E3287" s="201">
        <v>45689</v>
      </c>
      <c r="F3287" s="200" t="s">
        <v>296</v>
      </c>
      <c r="G3287" s="200" t="s">
        <v>522</v>
      </c>
      <c r="H3287" s="200" t="s">
        <v>2715</v>
      </c>
    </row>
    <row r="3288" spans="1:8" ht="15" customHeight="1">
      <c r="A3288" s="199">
        <v>45715</v>
      </c>
      <c r="B3288" s="202" t="s">
        <v>2713</v>
      </c>
      <c r="C3288" s="200" t="s">
        <v>204</v>
      </c>
      <c r="D3288" s="642">
        <v>-539976.25</v>
      </c>
      <c r="E3288" s="201">
        <v>45689</v>
      </c>
      <c r="F3288" s="200" t="s">
        <v>296</v>
      </c>
      <c r="G3288" s="200" t="s">
        <v>321</v>
      </c>
      <c r="H3288" s="200" t="s">
        <v>2715</v>
      </c>
    </row>
    <row r="3289" spans="1:8" ht="15" customHeight="1">
      <c r="A3289" s="199">
        <v>45715</v>
      </c>
      <c r="B3289" s="202" t="s">
        <v>2713</v>
      </c>
      <c r="C3289" s="200" t="s">
        <v>204</v>
      </c>
      <c r="D3289" s="642">
        <v>-539976.25</v>
      </c>
      <c r="E3289" s="201">
        <v>45689</v>
      </c>
      <c r="F3289" s="200" t="s">
        <v>296</v>
      </c>
      <c r="G3289" s="200" t="s">
        <v>337</v>
      </c>
      <c r="H3289" s="200" t="s">
        <v>2715</v>
      </c>
    </row>
    <row r="3290" spans="1:8" ht="15" customHeight="1">
      <c r="A3290" s="199">
        <v>45715</v>
      </c>
      <c r="B3290" s="202" t="s">
        <v>2713</v>
      </c>
      <c r="C3290" s="200" t="s">
        <v>204</v>
      </c>
      <c r="D3290" s="642">
        <v>-539976.25</v>
      </c>
      <c r="E3290" s="201">
        <v>45689</v>
      </c>
      <c r="F3290" s="200" t="s">
        <v>296</v>
      </c>
      <c r="G3290" s="200" t="s">
        <v>44</v>
      </c>
      <c r="H3290" s="200" t="s">
        <v>2715</v>
      </c>
    </row>
    <row r="3291" spans="1:8" ht="15" customHeight="1">
      <c r="A3291" s="199">
        <v>45715</v>
      </c>
      <c r="B3291" s="202" t="s">
        <v>2713</v>
      </c>
      <c r="C3291" s="200" t="s">
        <v>204</v>
      </c>
      <c r="D3291" s="642">
        <v>-539976.25</v>
      </c>
      <c r="E3291" s="201">
        <v>45689</v>
      </c>
      <c r="F3291" s="200" t="s">
        <v>296</v>
      </c>
      <c r="G3291" s="200" t="s">
        <v>522</v>
      </c>
      <c r="H3291" s="200" t="s">
        <v>2715</v>
      </c>
    </row>
    <row r="3292" spans="1:8" ht="15" customHeight="1">
      <c r="A3292" s="199">
        <v>45715</v>
      </c>
      <c r="B3292" s="202" t="s">
        <v>2713</v>
      </c>
      <c r="C3292" s="200" t="s">
        <v>204</v>
      </c>
      <c r="D3292" s="642">
        <v>-131000</v>
      </c>
      <c r="E3292" s="201">
        <v>45689</v>
      </c>
      <c r="F3292" s="200" t="s">
        <v>256</v>
      </c>
      <c r="G3292" s="200" t="s">
        <v>256</v>
      </c>
      <c r="H3292" s="200" t="s">
        <v>265</v>
      </c>
    </row>
    <row r="3293" spans="1:8" ht="15" customHeight="1">
      <c r="A3293" s="199">
        <v>45715</v>
      </c>
      <c r="B3293" s="202" t="s">
        <v>2716</v>
      </c>
      <c r="C3293" s="200" t="s">
        <v>204</v>
      </c>
      <c r="D3293" s="642">
        <v>-321020</v>
      </c>
      <c r="E3293" s="201">
        <v>45689</v>
      </c>
      <c r="F3293" s="200" t="s">
        <v>256</v>
      </c>
      <c r="G3293" s="200" t="s">
        <v>256</v>
      </c>
      <c r="H3293" s="200" t="s">
        <v>269</v>
      </c>
    </row>
    <row r="3294" spans="1:8" ht="15" customHeight="1">
      <c r="A3294" s="199">
        <v>45715</v>
      </c>
      <c r="B3294" s="202" t="s">
        <v>2717</v>
      </c>
      <c r="C3294" s="200" t="s">
        <v>204</v>
      </c>
      <c r="D3294" s="642">
        <v>-512140</v>
      </c>
      <c r="E3294" s="201">
        <v>45689</v>
      </c>
      <c r="F3294" s="200" t="s">
        <v>256</v>
      </c>
      <c r="G3294" s="200" t="s">
        <v>256</v>
      </c>
      <c r="H3294" s="200" t="s">
        <v>270</v>
      </c>
    </row>
    <row r="3295" spans="1:8" ht="15" customHeight="1">
      <c r="A3295" s="199">
        <v>45715</v>
      </c>
      <c r="B3295" s="709" t="s">
        <v>2718</v>
      </c>
      <c r="C3295" s="200" t="s">
        <v>204</v>
      </c>
      <c r="D3295" s="642">
        <v>-1092500</v>
      </c>
      <c r="E3295" s="201">
        <v>45689</v>
      </c>
      <c r="F3295" s="200" t="s">
        <v>296</v>
      </c>
      <c r="G3295" s="200" t="s">
        <v>1124</v>
      </c>
      <c r="H3295" s="200" t="s">
        <v>857</v>
      </c>
    </row>
    <row r="3296" spans="1:8" ht="15" customHeight="1">
      <c r="A3296" s="199">
        <v>45715</v>
      </c>
      <c r="B3296" s="202" t="s">
        <v>2719</v>
      </c>
      <c r="C3296" s="200" t="s">
        <v>204</v>
      </c>
      <c r="D3296" s="642">
        <v>-338100</v>
      </c>
      <c r="E3296" s="201">
        <v>45689</v>
      </c>
      <c r="F3296" s="200" t="s">
        <v>296</v>
      </c>
      <c r="G3296" s="200" t="s">
        <v>337</v>
      </c>
      <c r="H3296" s="200" t="s">
        <v>421</v>
      </c>
    </row>
    <row r="3297" spans="1:8" ht="15" customHeight="1">
      <c r="A3297" s="199">
        <v>45715</v>
      </c>
      <c r="B3297" s="202" t="s">
        <v>2720</v>
      </c>
      <c r="C3297" s="200" t="s">
        <v>204</v>
      </c>
      <c r="D3297" s="642">
        <v>-470250</v>
      </c>
      <c r="E3297" s="201">
        <v>45689</v>
      </c>
      <c r="F3297" s="200" t="s">
        <v>296</v>
      </c>
      <c r="G3297" s="200" t="s">
        <v>522</v>
      </c>
      <c r="H3297" s="200" t="s">
        <v>490</v>
      </c>
    </row>
    <row r="3298" spans="1:8" ht="15" customHeight="1">
      <c r="A3298" s="199">
        <v>45715</v>
      </c>
      <c r="B3298" s="202" t="s">
        <v>2721</v>
      </c>
      <c r="C3298" s="200" t="s">
        <v>204</v>
      </c>
      <c r="D3298" s="642">
        <v>-1798000</v>
      </c>
      <c r="E3298" s="201">
        <v>45689</v>
      </c>
      <c r="F3298" s="200" t="s">
        <v>296</v>
      </c>
      <c r="G3298" s="200" t="s">
        <v>44</v>
      </c>
      <c r="H3298" s="200" t="s">
        <v>490</v>
      </c>
    </row>
    <row r="3299" spans="1:8" ht="15" customHeight="1">
      <c r="A3299" s="199">
        <v>45715</v>
      </c>
      <c r="B3299" s="202" t="s">
        <v>2722</v>
      </c>
      <c r="C3299" s="200" t="s">
        <v>204</v>
      </c>
      <c r="D3299" s="642">
        <v>-2316000</v>
      </c>
      <c r="E3299" s="201">
        <v>45689</v>
      </c>
      <c r="F3299" s="200" t="s">
        <v>296</v>
      </c>
      <c r="G3299" s="200" t="s">
        <v>337</v>
      </c>
      <c r="H3299" s="200" t="s">
        <v>490</v>
      </c>
    </row>
    <row r="3300" spans="1:8" ht="15" customHeight="1">
      <c r="A3300" s="199">
        <v>45713</v>
      </c>
      <c r="B3300" s="202" t="s">
        <v>2723</v>
      </c>
      <c r="C3300" s="200" t="s">
        <v>204</v>
      </c>
      <c r="D3300" s="642">
        <v>-4632000</v>
      </c>
      <c r="E3300" s="201">
        <v>45689</v>
      </c>
      <c r="F3300" s="200" t="s">
        <v>296</v>
      </c>
      <c r="G3300" s="200" t="s">
        <v>337</v>
      </c>
      <c r="H3300" s="200" t="s">
        <v>490</v>
      </c>
    </row>
    <row r="3301" spans="1:8" ht="15" customHeight="1">
      <c r="A3301" s="199">
        <v>45713</v>
      </c>
      <c r="B3301" s="202" t="s">
        <v>2724</v>
      </c>
      <c r="C3301" s="200" t="s">
        <v>204</v>
      </c>
      <c r="D3301" s="642">
        <v>-3596000</v>
      </c>
      <c r="E3301" s="201">
        <v>45689</v>
      </c>
      <c r="F3301" s="200" t="s">
        <v>296</v>
      </c>
      <c r="G3301" s="200" t="s">
        <v>44</v>
      </c>
      <c r="H3301" s="200" t="s">
        <v>490</v>
      </c>
    </row>
    <row r="3302" spans="1:8" ht="15" customHeight="1">
      <c r="A3302" s="199">
        <v>45713</v>
      </c>
      <c r="B3302" s="202" t="s">
        <v>2725</v>
      </c>
      <c r="C3302" s="200" t="s">
        <v>204</v>
      </c>
      <c r="D3302" s="642">
        <v>-940500</v>
      </c>
      <c r="E3302" s="201">
        <v>45689</v>
      </c>
      <c r="F3302" s="200" t="s">
        <v>296</v>
      </c>
      <c r="G3302" s="200" t="s">
        <v>522</v>
      </c>
      <c r="H3302" s="200" t="s">
        <v>490</v>
      </c>
    </row>
    <row r="3303" spans="1:8" ht="15" customHeight="1">
      <c r="A3303" s="199">
        <v>45712</v>
      </c>
      <c r="B3303" s="202" t="s">
        <v>2726</v>
      </c>
      <c r="C3303" s="200" t="s">
        <v>307</v>
      </c>
      <c r="D3303" s="204">
        <v>-75000</v>
      </c>
      <c r="E3303" s="201">
        <v>45689</v>
      </c>
      <c r="F3303" s="200" t="s">
        <v>256</v>
      </c>
      <c r="G3303" s="200" t="s">
        <v>256</v>
      </c>
      <c r="H3303" s="200" t="s">
        <v>267</v>
      </c>
    </row>
    <row r="3304" spans="1:8" ht="15" customHeight="1">
      <c r="A3304" s="199">
        <v>45713</v>
      </c>
      <c r="B3304" s="202" t="s">
        <v>2727</v>
      </c>
      <c r="C3304" s="200" t="s">
        <v>307</v>
      </c>
      <c r="D3304" s="204">
        <v>-23100</v>
      </c>
      <c r="E3304" s="201">
        <v>45689</v>
      </c>
      <c r="F3304" s="200" t="s">
        <v>256</v>
      </c>
      <c r="G3304" s="200" t="s">
        <v>256</v>
      </c>
      <c r="H3304" s="200" t="s">
        <v>9</v>
      </c>
    </row>
    <row r="3305" spans="1:8" ht="15" customHeight="1">
      <c r="A3305" s="199">
        <v>45715</v>
      </c>
      <c r="B3305" s="202" t="s">
        <v>2728</v>
      </c>
      <c r="C3305" s="200" t="s">
        <v>307</v>
      </c>
      <c r="D3305" s="204">
        <v>-32200</v>
      </c>
      <c r="E3305" s="201">
        <v>45689</v>
      </c>
      <c r="F3305" s="200" t="s">
        <v>297</v>
      </c>
      <c r="G3305" s="200" t="s">
        <v>1313</v>
      </c>
      <c r="H3305" s="200" t="s">
        <v>268</v>
      </c>
    </row>
    <row r="3306" spans="1:8" ht="15" customHeight="1">
      <c r="A3306" s="199">
        <v>45713</v>
      </c>
      <c r="B3306" s="202" t="s">
        <v>2729</v>
      </c>
      <c r="C3306" s="200" t="s">
        <v>307</v>
      </c>
      <c r="D3306" s="204">
        <v>-14000</v>
      </c>
      <c r="E3306" s="201">
        <v>45689</v>
      </c>
      <c r="F3306" s="200" t="s">
        <v>297</v>
      </c>
      <c r="G3306" s="200" t="s">
        <v>69</v>
      </c>
      <c r="H3306" s="200" t="s">
        <v>268</v>
      </c>
    </row>
    <row r="3307" spans="1:8" ht="15" customHeight="1">
      <c r="A3307" s="199">
        <v>45713</v>
      </c>
      <c r="B3307" s="202" t="s">
        <v>2729</v>
      </c>
      <c r="C3307" s="200" t="s">
        <v>307</v>
      </c>
      <c r="D3307" s="204">
        <v>-13000</v>
      </c>
      <c r="E3307" s="201">
        <v>45689</v>
      </c>
      <c r="F3307" s="200" t="s">
        <v>297</v>
      </c>
      <c r="G3307" s="200" t="s">
        <v>1313</v>
      </c>
      <c r="H3307" s="200" t="s">
        <v>268</v>
      </c>
    </row>
    <row r="3308" spans="1:8" ht="15" customHeight="1">
      <c r="A3308" s="199">
        <v>45714</v>
      </c>
      <c r="B3308" s="202" t="s">
        <v>2728</v>
      </c>
      <c r="C3308" s="200" t="s">
        <v>307</v>
      </c>
      <c r="D3308" s="204">
        <v>-21000</v>
      </c>
      <c r="E3308" s="201">
        <v>45689</v>
      </c>
      <c r="F3308" s="200" t="s">
        <v>297</v>
      </c>
      <c r="G3308" s="200" t="s">
        <v>1313</v>
      </c>
      <c r="H3308" s="200" t="s">
        <v>268</v>
      </c>
    </row>
    <row r="3309" spans="1:8" ht="15" customHeight="1">
      <c r="A3309" s="199">
        <v>45708</v>
      </c>
      <c r="B3309" s="202" t="s">
        <v>2728</v>
      </c>
      <c r="C3309" s="200" t="s">
        <v>307</v>
      </c>
      <c r="D3309" s="204">
        <v>-10000</v>
      </c>
      <c r="E3309" s="201">
        <v>45689</v>
      </c>
      <c r="F3309" s="200" t="s">
        <v>256</v>
      </c>
      <c r="G3309" s="200" t="s">
        <v>256</v>
      </c>
      <c r="H3309" s="200" t="s">
        <v>268</v>
      </c>
    </row>
    <row r="3310" spans="1:8" ht="15" customHeight="1">
      <c r="A3310" s="199">
        <v>45708</v>
      </c>
      <c r="B3310" s="202" t="s">
        <v>2728</v>
      </c>
      <c r="C3310" s="200" t="s">
        <v>307</v>
      </c>
      <c r="D3310" s="204">
        <v>-10000</v>
      </c>
      <c r="E3310" s="201">
        <v>45689</v>
      </c>
      <c r="F3310" s="200" t="s">
        <v>256</v>
      </c>
      <c r="G3310" s="200" t="s">
        <v>256</v>
      </c>
      <c r="H3310" s="200" t="s">
        <v>268</v>
      </c>
    </row>
    <row r="3311" spans="1:8" ht="15" customHeight="1">
      <c r="A3311" s="199">
        <v>45708</v>
      </c>
      <c r="B3311" s="202" t="s">
        <v>2728</v>
      </c>
      <c r="C3311" s="200" t="s">
        <v>307</v>
      </c>
      <c r="D3311" s="204">
        <v>-15000</v>
      </c>
      <c r="E3311" s="201">
        <v>45689</v>
      </c>
      <c r="F3311" s="200" t="s">
        <v>256</v>
      </c>
      <c r="G3311" s="200" t="s">
        <v>256</v>
      </c>
      <c r="H3311" s="200" t="s">
        <v>268</v>
      </c>
    </row>
    <row r="3312" spans="1:8" ht="15" customHeight="1">
      <c r="A3312" s="199">
        <v>45708</v>
      </c>
      <c r="B3312" s="202" t="s">
        <v>2728</v>
      </c>
      <c r="C3312" s="200" t="s">
        <v>307</v>
      </c>
      <c r="D3312" s="204">
        <v>-10000</v>
      </c>
      <c r="E3312" s="201">
        <v>45689</v>
      </c>
      <c r="F3312" s="200" t="s">
        <v>256</v>
      </c>
      <c r="G3312" s="200" t="s">
        <v>256</v>
      </c>
      <c r="H3312" s="200" t="s">
        <v>268</v>
      </c>
    </row>
    <row r="3313" spans="1:9" ht="15" customHeight="1">
      <c r="A3313" s="199">
        <v>45714</v>
      </c>
      <c r="B3313" s="202" t="s">
        <v>2730</v>
      </c>
      <c r="C3313" s="200" t="s">
        <v>307</v>
      </c>
      <c r="D3313" s="204">
        <v>-32000</v>
      </c>
      <c r="E3313" s="201">
        <v>45689</v>
      </c>
      <c r="F3313" s="200" t="s">
        <v>296</v>
      </c>
      <c r="G3313" s="200" t="s">
        <v>321</v>
      </c>
      <c r="H3313" s="200" t="s">
        <v>322</v>
      </c>
    </row>
    <row r="3314" spans="1:9" ht="15" customHeight="1">
      <c r="A3314" s="199">
        <v>45714</v>
      </c>
      <c r="B3314" s="202" t="s">
        <v>2731</v>
      </c>
      <c r="C3314" s="200" t="s">
        <v>307</v>
      </c>
      <c r="D3314" s="204">
        <v>-32000</v>
      </c>
      <c r="E3314" s="201">
        <v>45689</v>
      </c>
      <c r="F3314" s="200" t="s">
        <v>296</v>
      </c>
      <c r="G3314" s="200" t="s">
        <v>337</v>
      </c>
      <c r="H3314" s="200" t="s">
        <v>322</v>
      </c>
    </row>
    <row r="3315" spans="1:9" ht="15" customHeight="1">
      <c r="A3315" s="199">
        <v>45708</v>
      </c>
      <c r="B3315" s="202" t="s">
        <v>2728</v>
      </c>
      <c r="C3315" s="200" t="s">
        <v>307</v>
      </c>
      <c r="D3315" s="204">
        <v>-32000</v>
      </c>
      <c r="E3315" s="201">
        <v>45689</v>
      </c>
      <c r="F3315" s="200" t="s">
        <v>395</v>
      </c>
      <c r="G3315" s="531" t="s">
        <v>395</v>
      </c>
      <c r="H3315" s="200" t="s">
        <v>268</v>
      </c>
      <c r="I3315" s="673"/>
    </row>
    <row r="3316" spans="1:9" ht="15" customHeight="1">
      <c r="A3316" s="199">
        <v>45715</v>
      </c>
      <c r="B3316" s="202" t="s">
        <v>2732</v>
      </c>
      <c r="C3316" s="200" t="s">
        <v>307</v>
      </c>
      <c r="D3316" s="204">
        <v>-61000</v>
      </c>
      <c r="E3316" s="201">
        <v>45689</v>
      </c>
      <c r="F3316" s="200" t="s">
        <v>296</v>
      </c>
      <c r="G3316" s="200" t="s">
        <v>482</v>
      </c>
      <c r="H3316" s="200" t="s">
        <v>268</v>
      </c>
      <c r="I3316" s="648" t="s">
        <v>329</v>
      </c>
    </row>
    <row r="3317" spans="1:9" ht="15" customHeight="1">
      <c r="A3317" s="199">
        <v>45715</v>
      </c>
      <c r="B3317" s="202" t="s">
        <v>2732</v>
      </c>
      <c r="C3317" s="200" t="s">
        <v>307</v>
      </c>
      <c r="D3317" s="204">
        <v>-14000</v>
      </c>
      <c r="E3317" s="201">
        <v>45689</v>
      </c>
      <c r="F3317" s="200" t="s">
        <v>296</v>
      </c>
      <c r="G3317" s="200" t="s">
        <v>337</v>
      </c>
      <c r="H3317" s="200" t="s">
        <v>326</v>
      </c>
    </row>
    <row r="3318" spans="1:9" ht="15" customHeight="1">
      <c r="A3318" s="199">
        <v>45715</v>
      </c>
      <c r="B3318" s="202" t="s">
        <v>2732</v>
      </c>
      <c r="C3318" s="200" t="s">
        <v>307</v>
      </c>
      <c r="D3318" s="204">
        <v>-73096</v>
      </c>
      <c r="E3318" s="201">
        <v>45689</v>
      </c>
      <c r="F3318" s="200" t="s">
        <v>296</v>
      </c>
      <c r="G3318" s="200" t="s">
        <v>984</v>
      </c>
      <c r="H3318" s="200" t="s">
        <v>268</v>
      </c>
    </row>
    <row r="3319" spans="1:9" ht="15" customHeight="1">
      <c r="A3319" s="199">
        <v>45715</v>
      </c>
      <c r="B3319" s="202" t="s">
        <v>2732</v>
      </c>
      <c r="C3319" s="200" t="s">
        <v>307</v>
      </c>
      <c r="D3319" s="204">
        <v>-28000</v>
      </c>
      <c r="E3319" s="201">
        <v>45689</v>
      </c>
      <c r="F3319" s="200" t="s">
        <v>296</v>
      </c>
      <c r="G3319" s="200" t="s">
        <v>328</v>
      </c>
      <c r="H3319" s="200" t="s">
        <v>268</v>
      </c>
    </row>
    <row r="3320" spans="1:9" ht="15" customHeight="1">
      <c r="A3320" s="199">
        <v>45715</v>
      </c>
      <c r="B3320" s="202" t="s">
        <v>2732</v>
      </c>
      <c r="C3320" s="200" t="s">
        <v>307</v>
      </c>
      <c r="D3320" s="204">
        <v>-38000</v>
      </c>
      <c r="E3320" s="201">
        <v>45689</v>
      </c>
      <c r="F3320" s="200" t="s">
        <v>296</v>
      </c>
      <c r="G3320" s="200" t="s">
        <v>411</v>
      </c>
      <c r="H3320" s="200" t="s">
        <v>268</v>
      </c>
    </row>
    <row r="3321" spans="1:9" ht="15" customHeight="1">
      <c r="A3321" s="199">
        <v>45715</v>
      </c>
      <c r="B3321" s="202" t="s">
        <v>2732</v>
      </c>
      <c r="C3321" s="200" t="s">
        <v>307</v>
      </c>
      <c r="D3321" s="204">
        <v>-35000</v>
      </c>
      <c r="E3321" s="201">
        <v>45689</v>
      </c>
      <c r="F3321" s="200" t="s">
        <v>297</v>
      </c>
      <c r="G3321" s="200" t="s">
        <v>1313</v>
      </c>
      <c r="H3321" s="200" t="s">
        <v>268</v>
      </c>
    </row>
    <row r="3322" spans="1:9" ht="15" customHeight="1">
      <c r="A3322" s="199">
        <v>45715</v>
      </c>
      <c r="B3322" s="202" t="s">
        <v>2732</v>
      </c>
      <c r="C3322" s="200" t="s">
        <v>307</v>
      </c>
      <c r="D3322" s="204">
        <v>-62000</v>
      </c>
      <c r="E3322" s="201">
        <v>45689</v>
      </c>
      <c r="F3322" s="200" t="s">
        <v>256</v>
      </c>
      <c r="G3322" s="200" t="s">
        <v>256</v>
      </c>
      <c r="H3322" s="200" t="s">
        <v>268</v>
      </c>
    </row>
    <row r="3323" spans="1:9" ht="15" customHeight="1">
      <c r="A3323" s="199">
        <v>45715</v>
      </c>
      <c r="B3323" s="202" t="s">
        <v>2732</v>
      </c>
      <c r="C3323" s="200" t="s">
        <v>307</v>
      </c>
      <c r="D3323" s="204">
        <v>-45000</v>
      </c>
      <c r="E3323" s="201">
        <v>45689</v>
      </c>
      <c r="F3323" s="200" t="s">
        <v>297</v>
      </c>
      <c r="G3323" s="200" t="s">
        <v>69</v>
      </c>
      <c r="H3323" s="200" t="s">
        <v>268</v>
      </c>
      <c r="I3323" s="648" t="s">
        <v>329</v>
      </c>
    </row>
    <row r="3324" spans="1:9" ht="15" customHeight="1">
      <c r="A3324" s="199">
        <v>45715</v>
      </c>
      <c r="B3324" s="202" t="s">
        <v>2732</v>
      </c>
      <c r="C3324" s="200" t="s">
        <v>307</v>
      </c>
      <c r="D3324" s="204">
        <v>-7000</v>
      </c>
      <c r="E3324" s="201">
        <v>45689</v>
      </c>
      <c r="F3324" s="200" t="s">
        <v>296</v>
      </c>
      <c r="G3324" s="200" t="s">
        <v>522</v>
      </c>
      <c r="H3324" s="200" t="s">
        <v>442</v>
      </c>
    </row>
    <row r="3325" spans="1:9" ht="15" customHeight="1">
      <c r="A3325" s="199">
        <v>45715</v>
      </c>
      <c r="B3325" s="202" t="s">
        <v>2733</v>
      </c>
      <c r="C3325" s="200" t="s">
        <v>372</v>
      </c>
      <c r="D3325" s="204">
        <v>-3690</v>
      </c>
      <c r="E3325" s="201">
        <v>45689</v>
      </c>
      <c r="F3325" s="200" t="s">
        <v>296</v>
      </c>
      <c r="G3325" s="200" t="s">
        <v>984</v>
      </c>
      <c r="H3325" s="200" t="s">
        <v>268</v>
      </c>
    </row>
    <row r="3326" spans="1:9" ht="15" customHeight="1">
      <c r="A3326" s="199">
        <v>45715</v>
      </c>
      <c r="B3326" s="202" t="s">
        <v>2734</v>
      </c>
      <c r="C3326" s="200" t="s">
        <v>372</v>
      </c>
      <c r="D3326" s="204">
        <v>-2214</v>
      </c>
      <c r="E3326" s="201">
        <v>45689</v>
      </c>
      <c r="F3326" s="200" t="s">
        <v>296</v>
      </c>
      <c r="G3326" s="200" t="s">
        <v>984</v>
      </c>
      <c r="H3326" s="200" t="s">
        <v>268</v>
      </c>
    </row>
    <row r="3327" spans="1:9" ht="15" customHeight="1">
      <c r="A3327" s="199">
        <v>45693</v>
      </c>
      <c r="B3327" s="202" t="s">
        <v>2735</v>
      </c>
      <c r="C3327" s="200" t="s">
        <v>307</v>
      </c>
      <c r="D3327" s="204">
        <v>-16000</v>
      </c>
      <c r="E3327" s="201">
        <v>45689</v>
      </c>
      <c r="F3327" s="200" t="s">
        <v>256</v>
      </c>
      <c r="G3327" s="200" t="s">
        <v>107</v>
      </c>
      <c r="H3327" s="200" t="s">
        <v>275</v>
      </c>
      <c r="I3327" s="200" t="s">
        <v>206</v>
      </c>
    </row>
    <row r="3328" spans="1:9" ht="15" customHeight="1">
      <c r="A3328" s="199">
        <v>45693</v>
      </c>
      <c r="B3328" s="202" t="s">
        <v>2735</v>
      </c>
      <c r="C3328" s="200" t="s">
        <v>307</v>
      </c>
      <c r="D3328" s="204">
        <v>-16000</v>
      </c>
      <c r="E3328" s="201">
        <v>45689</v>
      </c>
      <c r="F3328" s="200" t="s">
        <v>256</v>
      </c>
      <c r="G3328" s="200" t="s">
        <v>107</v>
      </c>
      <c r="H3328" s="200" t="s">
        <v>275</v>
      </c>
      <c r="I3328" s="200" t="s">
        <v>206</v>
      </c>
    </row>
    <row r="3329" spans="1:9" ht="15" customHeight="1">
      <c r="A3329" s="199">
        <v>45693</v>
      </c>
      <c r="B3329" s="202" t="s">
        <v>2736</v>
      </c>
      <c r="C3329" s="200" t="s">
        <v>307</v>
      </c>
      <c r="D3329" s="204">
        <v>-80000</v>
      </c>
      <c r="E3329" s="201">
        <v>45689</v>
      </c>
      <c r="F3329" s="200" t="s">
        <v>256</v>
      </c>
      <c r="G3329" s="200" t="s">
        <v>107</v>
      </c>
      <c r="H3329" s="200" t="s">
        <v>275</v>
      </c>
      <c r="I3329" s="200" t="s">
        <v>206</v>
      </c>
    </row>
    <row r="3330" spans="1:9" ht="15" customHeight="1">
      <c r="A3330" s="199">
        <v>45693</v>
      </c>
      <c r="B3330" s="202" t="s">
        <v>2737</v>
      </c>
      <c r="C3330" s="200" t="s">
        <v>307</v>
      </c>
      <c r="D3330" s="204">
        <v>-20000</v>
      </c>
      <c r="E3330" s="201">
        <v>45689</v>
      </c>
      <c r="F3330" s="200" t="s">
        <v>256</v>
      </c>
      <c r="G3330" s="200" t="s">
        <v>107</v>
      </c>
      <c r="H3330" s="200" t="s">
        <v>275</v>
      </c>
      <c r="I3330" s="200" t="s">
        <v>206</v>
      </c>
    </row>
    <row r="3331" spans="1:9" ht="15" customHeight="1">
      <c r="A3331" s="199">
        <v>45712</v>
      </c>
      <c r="B3331" s="202" t="s">
        <v>2736</v>
      </c>
      <c r="C3331" s="200" t="s">
        <v>307</v>
      </c>
      <c r="D3331" s="204">
        <v>-30000</v>
      </c>
      <c r="E3331" s="201">
        <v>45689</v>
      </c>
      <c r="F3331" s="200" t="s">
        <v>256</v>
      </c>
      <c r="G3331" s="200" t="s">
        <v>107</v>
      </c>
      <c r="H3331" s="200" t="s">
        <v>275</v>
      </c>
      <c r="I3331" s="200" t="s">
        <v>206</v>
      </c>
    </row>
    <row r="3332" spans="1:9" ht="15" customHeight="1">
      <c r="A3332" s="199">
        <v>45712</v>
      </c>
      <c r="B3332" s="202" t="s">
        <v>2736</v>
      </c>
      <c r="C3332" s="200" t="s">
        <v>307</v>
      </c>
      <c r="D3332" s="204">
        <v>-80025</v>
      </c>
      <c r="E3332" s="201">
        <v>45689</v>
      </c>
      <c r="F3332" s="200" t="s">
        <v>256</v>
      </c>
      <c r="G3332" s="200" t="s">
        <v>107</v>
      </c>
      <c r="H3332" s="200" t="s">
        <v>275</v>
      </c>
      <c r="I3332" s="200" t="s">
        <v>206</v>
      </c>
    </row>
    <row r="3333" spans="1:9" ht="15" customHeight="1">
      <c r="A3333" s="199">
        <v>45712</v>
      </c>
      <c r="B3333" s="202" t="s">
        <v>2735</v>
      </c>
      <c r="C3333" s="200" t="s">
        <v>307</v>
      </c>
      <c r="D3333" s="204">
        <v>-16000</v>
      </c>
      <c r="E3333" s="201">
        <v>45689</v>
      </c>
      <c r="F3333" s="200" t="s">
        <v>256</v>
      </c>
      <c r="G3333" s="200" t="s">
        <v>107</v>
      </c>
      <c r="H3333" s="200" t="s">
        <v>275</v>
      </c>
      <c r="I3333" s="200" t="s">
        <v>206</v>
      </c>
    </row>
    <row r="3334" spans="1:9" ht="15" customHeight="1">
      <c r="A3334" s="199">
        <v>45712</v>
      </c>
      <c r="B3334" s="202" t="s">
        <v>2737</v>
      </c>
      <c r="C3334" s="200" t="s">
        <v>307</v>
      </c>
      <c r="D3334" s="204">
        <v>-25000</v>
      </c>
      <c r="E3334" s="201">
        <v>45689</v>
      </c>
      <c r="F3334" s="200" t="s">
        <v>256</v>
      </c>
      <c r="G3334" s="200" t="s">
        <v>107</v>
      </c>
      <c r="H3334" s="200" t="s">
        <v>275</v>
      </c>
      <c r="I3334" s="200" t="s">
        <v>206</v>
      </c>
    </row>
    <row r="3335" spans="1:9" ht="15" customHeight="1">
      <c r="A3335" s="199">
        <v>45695</v>
      </c>
      <c r="B3335" s="202" t="s">
        <v>2735</v>
      </c>
      <c r="C3335" s="200" t="s">
        <v>307</v>
      </c>
      <c r="D3335" s="204">
        <v>-14500</v>
      </c>
      <c r="E3335" s="201">
        <v>45689</v>
      </c>
      <c r="F3335" s="200" t="s">
        <v>256</v>
      </c>
      <c r="G3335" s="200" t="s">
        <v>107</v>
      </c>
      <c r="H3335" s="200" t="s">
        <v>275</v>
      </c>
      <c r="I3335" s="200" t="s">
        <v>206</v>
      </c>
    </row>
    <row r="3336" spans="1:9" ht="15" customHeight="1">
      <c r="A3336" s="199">
        <v>45695</v>
      </c>
      <c r="B3336" s="202" t="s">
        <v>2735</v>
      </c>
      <c r="C3336" s="200" t="s">
        <v>307</v>
      </c>
      <c r="D3336" s="204">
        <v>-14500</v>
      </c>
      <c r="E3336" s="201">
        <v>45689</v>
      </c>
      <c r="F3336" s="200" t="s">
        <v>256</v>
      </c>
      <c r="G3336" s="200" t="s">
        <v>107</v>
      </c>
      <c r="H3336" s="200" t="s">
        <v>275</v>
      </c>
      <c r="I3336" s="200" t="s">
        <v>206</v>
      </c>
    </row>
    <row r="3337" spans="1:9" ht="15" customHeight="1">
      <c r="A3337" s="199">
        <v>45695</v>
      </c>
      <c r="B3337" s="202" t="s">
        <v>2736</v>
      </c>
      <c r="C3337" s="200" t="s">
        <v>307</v>
      </c>
      <c r="D3337" s="204">
        <v>-50000</v>
      </c>
      <c r="E3337" s="201">
        <v>45689</v>
      </c>
      <c r="F3337" s="200" t="s">
        <v>256</v>
      </c>
      <c r="G3337" s="200" t="s">
        <v>107</v>
      </c>
      <c r="H3337" s="200" t="s">
        <v>275</v>
      </c>
      <c r="I3337" s="200" t="s">
        <v>206</v>
      </c>
    </row>
    <row r="3338" spans="1:9" ht="15" customHeight="1">
      <c r="A3338" s="199">
        <v>45692</v>
      </c>
      <c r="B3338" s="202" t="s">
        <v>2736</v>
      </c>
      <c r="C3338" s="200" t="s">
        <v>307</v>
      </c>
      <c r="D3338" s="204">
        <v>-50000</v>
      </c>
      <c r="E3338" s="201">
        <v>45689</v>
      </c>
      <c r="F3338" s="200" t="s">
        <v>256</v>
      </c>
      <c r="G3338" s="200" t="s">
        <v>107</v>
      </c>
      <c r="H3338" s="200" t="s">
        <v>275</v>
      </c>
      <c r="I3338" s="200" t="s">
        <v>206</v>
      </c>
    </row>
    <row r="3339" spans="1:9" ht="15" customHeight="1">
      <c r="A3339" s="199">
        <v>45692</v>
      </c>
      <c r="B3339" s="202" t="s">
        <v>2736</v>
      </c>
      <c r="C3339" s="200" t="s">
        <v>307</v>
      </c>
      <c r="D3339" s="204">
        <v>-30000</v>
      </c>
      <c r="E3339" s="201">
        <v>45689</v>
      </c>
      <c r="F3339" s="200" t="s">
        <v>256</v>
      </c>
      <c r="G3339" s="200" t="s">
        <v>107</v>
      </c>
      <c r="H3339" s="200" t="s">
        <v>275</v>
      </c>
      <c r="I3339" s="200" t="s">
        <v>206</v>
      </c>
    </row>
    <row r="3340" spans="1:9" ht="15" customHeight="1">
      <c r="A3340" s="199">
        <v>45692</v>
      </c>
      <c r="B3340" s="202" t="s">
        <v>2737</v>
      </c>
      <c r="C3340" s="200" t="s">
        <v>307</v>
      </c>
      <c r="D3340" s="204">
        <v>-12000</v>
      </c>
      <c r="E3340" s="201">
        <v>45689</v>
      </c>
      <c r="F3340" s="200" t="s">
        <v>256</v>
      </c>
      <c r="G3340" s="200" t="s">
        <v>107</v>
      </c>
      <c r="H3340" s="200" t="s">
        <v>275</v>
      </c>
      <c r="I3340" s="200" t="s">
        <v>206</v>
      </c>
    </row>
    <row r="3341" spans="1:9" ht="15" customHeight="1">
      <c r="A3341" s="199">
        <v>45702</v>
      </c>
      <c r="B3341" s="202" t="s">
        <v>2738</v>
      </c>
      <c r="C3341" s="200" t="s">
        <v>307</v>
      </c>
      <c r="D3341" s="204">
        <v>-8000</v>
      </c>
      <c r="E3341" s="201">
        <v>45689</v>
      </c>
      <c r="F3341" s="200" t="s">
        <v>296</v>
      </c>
      <c r="G3341" s="200" t="s">
        <v>328</v>
      </c>
      <c r="H3341" s="200" t="s">
        <v>377</v>
      </c>
      <c r="I3341" s="200" t="s">
        <v>2739</v>
      </c>
    </row>
    <row r="3342" spans="1:9" ht="15" customHeight="1">
      <c r="A3342" s="199">
        <v>45702</v>
      </c>
      <c r="B3342" s="202" t="s">
        <v>436</v>
      </c>
      <c r="C3342" s="200" t="s">
        <v>307</v>
      </c>
      <c r="D3342" s="204">
        <v>-6800</v>
      </c>
      <c r="E3342" s="201">
        <v>45689</v>
      </c>
      <c r="F3342" s="200" t="s">
        <v>296</v>
      </c>
      <c r="G3342" s="200" t="s">
        <v>411</v>
      </c>
      <c r="H3342" s="200" t="s">
        <v>350</v>
      </c>
      <c r="I3342" s="200" t="s">
        <v>2739</v>
      </c>
    </row>
    <row r="3343" spans="1:9" ht="15" customHeight="1">
      <c r="A3343" s="199">
        <v>45705</v>
      </c>
      <c r="B3343" s="202" t="s">
        <v>431</v>
      </c>
      <c r="C3343" s="200" t="s">
        <v>307</v>
      </c>
      <c r="D3343" s="204">
        <v>-15200</v>
      </c>
      <c r="E3343" s="201">
        <v>45689</v>
      </c>
      <c r="F3343" s="200" t="s">
        <v>256</v>
      </c>
      <c r="G3343" s="200" t="s">
        <v>256</v>
      </c>
      <c r="H3343" s="200" t="s">
        <v>263</v>
      </c>
      <c r="I3343" s="200" t="s">
        <v>2739</v>
      </c>
    </row>
    <row r="3344" spans="1:9" ht="15" customHeight="1">
      <c r="A3344" s="199">
        <v>45706</v>
      </c>
      <c r="B3344" s="202" t="s">
        <v>2740</v>
      </c>
      <c r="C3344" s="200" t="s">
        <v>307</v>
      </c>
      <c r="D3344" s="204">
        <v>-8800</v>
      </c>
      <c r="E3344" s="201">
        <v>45689</v>
      </c>
      <c r="F3344" s="200" t="s">
        <v>296</v>
      </c>
      <c r="G3344" s="200" t="s">
        <v>328</v>
      </c>
      <c r="H3344" s="200" t="s">
        <v>377</v>
      </c>
      <c r="I3344" s="200" t="s">
        <v>2739</v>
      </c>
    </row>
    <row r="3345" spans="1:9" ht="15" customHeight="1">
      <c r="A3345" s="199">
        <v>45706</v>
      </c>
      <c r="B3345" s="202" t="s">
        <v>2741</v>
      </c>
      <c r="C3345" s="200" t="s">
        <v>307</v>
      </c>
      <c r="D3345" s="204">
        <v>-151725</v>
      </c>
      <c r="E3345" s="201">
        <v>45689</v>
      </c>
      <c r="F3345" s="200" t="s">
        <v>296</v>
      </c>
      <c r="G3345" s="200" t="s">
        <v>411</v>
      </c>
      <c r="H3345" s="200" t="s">
        <v>377</v>
      </c>
      <c r="I3345" s="200" t="s">
        <v>2739</v>
      </c>
    </row>
    <row r="3346" spans="1:9" ht="15" customHeight="1">
      <c r="A3346" s="199">
        <v>45707</v>
      </c>
      <c r="B3346" s="202" t="s">
        <v>2742</v>
      </c>
      <c r="C3346" s="200" t="s">
        <v>307</v>
      </c>
      <c r="D3346" s="204">
        <v>-88000</v>
      </c>
      <c r="E3346" s="201">
        <v>45689</v>
      </c>
      <c r="F3346" s="200" t="s">
        <v>296</v>
      </c>
      <c r="G3346" s="200" t="s">
        <v>2271</v>
      </c>
      <c r="H3346" s="200" t="s">
        <v>377</v>
      </c>
      <c r="I3346" s="200" t="s">
        <v>2739</v>
      </c>
    </row>
    <row r="3347" spans="1:9" ht="15" customHeight="1">
      <c r="A3347" s="199">
        <v>45707</v>
      </c>
      <c r="B3347" s="202" t="s">
        <v>2743</v>
      </c>
      <c r="C3347" s="200" t="s">
        <v>307</v>
      </c>
      <c r="D3347" s="204">
        <v>-24418</v>
      </c>
      <c r="E3347" s="201">
        <v>45689</v>
      </c>
      <c r="F3347" s="200" t="s">
        <v>296</v>
      </c>
      <c r="G3347" s="200" t="s">
        <v>411</v>
      </c>
      <c r="H3347" s="200" t="s">
        <v>377</v>
      </c>
      <c r="I3347" s="200" t="s">
        <v>2739</v>
      </c>
    </row>
    <row r="3348" spans="1:9" ht="15" customHeight="1">
      <c r="A3348" s="199">
        <v>45707</v>
      </c>
      <c r="B3348" s="202" t="s">
        <v>2744</v>
      </c>
      <c r="C3348" s="200" t="s">
        <v>307</v>
      </c>
      <c r="D3348" s="204">
        <v>-86000</v>
      </c>
      <c r="E3348" s="201">
        <v>45689</v>
      </c>
      <c r="F3348" s="200" t="s">
        <v>395</v>
      </c>
      <c r="G3348" s="531" t="s">
        <v>395</v>
      </c>
      <c r="H3348" s="200" t="s">
        <v>837</v>
      </c>
      <c r="I3348" s="673"/>
    </row>
    <row r="3349" spans="1:9" ht="15" customHeight="1">
      <c r="A3349" s="199">
        <v>45707</v>
      </c>
      <c r="B3349" s="202" t="s">
        <v>2745</v>
      </c>
      <c r="C3349" s="200" t="s">
        <v>307</v>
      </c>
      <c r="D3349" s="204">
        <v>-18576</v>
      </c>
      <c r="E3349" s="201">
        <v>45689</v>
      </c>
      <c r="F3349" s="200" t="s">
        <v>296</v>
      </c>
      <c r="G3349" s="200" t="s">
        <v>2271</v>
      </c>
      <c r="H3349" s="200" t="s">
        <v>377</v>
      </c>
      <c r="I3349" s="200" t="s">
        <v>2739</v>
      </c>
    </row>
    <row r="3350" spans="1:9" ht="15" customHeight="1">
      <c r="A3350" s="199">
        <v>45707</v>
      </c>
      <c r="B3350" s="202" t="s">
        <v>2746</v>
      </c>
      <c r="C3350" s="200" t="s">
        <v>307</v>
      </c>
      <c r="D3350" s="204">
        <v>-197992</v>
      </c>
      <c r="E3350" s="201">
        <v>45689</v>
      </c>
      <c r="F3350" s="200" t="s">
        <v>296</v>
      </c>
      <c r="G3350" s="200" t="s">
        <v>411</v>
      </c>
      <c r="H3350" s="200" t="s">
        <v>350</v>
      </c>
      <c r="I3350" s="200" t="s">
        <v>2739</v>
      </c>
    </row>
    <row r="3351" spans="1:9" ht="15" customHeight="1">
      <c r="A3351" s="199">
        <v>45708</v>
      </c>
      <c r="B3351" s="202" t="s">
        <v>2747</v>
      </c>
      <c r="C3351" s="200" t="s">
        <v>307</v>
      </c>
      <c r="D3351" s="204">
        <v>-10000</v>
      </c>
      <c r="E3351" s="201">
        <v>45689</v>
      </c>
      <c r="F3351" s="200" t="s">
        <v>296</v>
      </c>
      <c r="G3351" s="200" t="s">
        <v>411</v>
      </c>
      <c r="H3351" s="200" t="s">
        <v>346</v>
      </c>
      <c r="I3351" s="200" t="s">
        <v>2739</v>
      </c>
    </row>
    <row r="3352" spans="1:9" ht="15" customHeight="1">
      <c r="A3352" s="199">
        <v>45708</v>
      </c>
      <c r="B3352" s="202" t="s">
        <v>1937</v>
      </c>
      <c r="C3352" s="200" t="s">
        <v>307</v>
      </c>
      <c r="D3352" s="204">
        <v>-7000</v>
      </c>
      <c r="E3352" s="201">
        <v>45689</v>
      </c>
      <c r="F3352" s="200" t="s">
        <v>296</v>
      </c>
      <c r="G3352" s="200" t="s">
        <v>411</v>
      </c>
      <c r="H3352" s="200" t="s">
        <v>268</v>
      </c>
      <c r="I3352" s="200" t="s">
        <v>2739</v>
      </c>
    </row>
    <row r="3353" spans="1:9" ht="15" customHeight="1">
      <c r="A3353" s="199">
        <v>45708</v>
      </c>
      <c r="B3353" s="202" t="s">
        <v>2748</v>
      </c>
      <c r="C3353" s="200" t="s">
        <v>307</v>
      </c>
      <c r="D3353" s="204">
        <v>-6000</v>
      </c>
      <c r="E3353" s="201">
        <v>45689</v>
      </c>
      <c r="F3353" s="200" t="s">
        <v>296</v>
      </c>
      <c r="G3353" s="200" t="s">
        <v>328</v>
      </c>
      <c r="H3353" s="200" t="s">
        <v>377</v>
      </c>
      <c r="I3353" s="200" t="s">
        <v>2739</v>
      </c>
    </row>
    <row r="3354" spans="1:9" ht="15" customHeight="1">
      <c r="A3354" s="199">
        <v>45708</v>
      </c>
      <c r="B3354" s="202" t="s">
        <v>2749</v>
      </c>
      <c r="C3354" s="200" t="s">
        <v>307</v>
      </c>
      <c r="D3354" s="204">
        <v>-86000</v>
      </c>
      <c r="E3354" s="201">
        <v>45689</v>
      </c>
      <c r="F3354" s="200" t="s">
        <v>296</v>
      </c>
      <c r="G3354" s="200" t="s">
        <v>411</v>
      </c>
      <c r="H3354" s="200" t="s">
        <v>379</v>
      </c>
      <c r="I3354" s="200" t="s">
        <v>2739</v>
      </c>
    </row>
    <row r="3355" spans="1:9" ht="15" customHeight="1">
      <c r="A3355" s="199">
        <v>45708</v>
      </c>
      <c r="B3355" s="202" t="s">
        <v>2750</v>
      </c>
      <c r="C3355" s="200" t="s">
        <v>307</v>
      </c>
      <c r="D3355" s="204">
        <v>-6000</v>
      </c>
      <c r="E3355" s="201">
        <v>45689</v>
      </c>
      <c r="F3355" s="200" t="s">
        <v>296</v>
      </c>
      <c r="G3355" s="200" t="s">
        <v>2271</v>
      </c>
      <c r="H3355" s="200" t="s">
        <v>377</v>
      </c>
      <c r="I3355" s="648" t="s">
        <v>329</v>
      </c>
    </row>
    <row r="3356" spans="1:9" ht="15" customHeight="1">
      <c r="A3356" s="199">
        <v>45708</v>
      </c>
      <c r="B3356" s="202" t="s">
        <v>2751</v>
      </c>
      <c r="C3356" s="200" t="s">
        <v>307</v>
      </c>
      <c r="D3356" s="204">
        <v>-151200</v>
      </c>
      <c r="E3356" s="201">
        <v>45689</v>
      </c>
      <c r="F3356" s="200" t="s">
        <v>296</v>
      </c>
      <c r="G3356" s="200" t="s">
        <v>328</v>
      </c>
      <c r="H3356" s="200" t="s">
        <v>377</v>
      </c>
      <c r="I3356" s="200" t="s">
        <v>2739</v>
      </c>
    </row>
    <row r="3357" spans="1:9" ht="15" customHeight="1">
      <c r="A3357" s="199">
        <v>45708</v>
      </c>
      <c r="B3357" s="202" t="s">
        <v>2752</v>
      </c>
      <c r="C3357" s="200" t="s">
        <v>307</v>
      </c>
      <c r="D3357" s="204">
        <v>-190139</v>
      </c>
      <c r="E3357" s="201">
        <v>45689</v>
      </c>
      <c r="F3357" s="200" t="s">
        <v>296</v>
      </c>
      <c r="G3357" s="200" t="s">
        <v>984</v>
      </c>
      <c r="H3357" s="200" t="s">
        <v>377</v>
      </c>
      <c r="I3357" s="200" t="s">
        <v>2739</v>
      </c>
    </row>
    <row r="3358" spans="1:9" ht="15" customHeight="1">
      <c r="A3358" s="199">
        <v>45336</v>
      </c>
      <c r="B3358" s="202" t="s">
        <v>2753</v>
      </c>
      <c r="C3358" s="200" t="s">
        <v>307</v>
      </c>
      <c r="D3358" s="204">
        <v>-5000</v>
      </c>
      <c r="E3358" s="201">
        <v>45689</v>
      </c>
      <c r="F3358" s="200" t="s">
        <v>296</v>
      </c>
      <c r="G3358" s="200" t="s">
        <v>513</v>
      </c>
      <c r="H3358" s="200" t="s">
        <v>326</v>
      </c>
      <c r="I3358" s="200" t="s">
        <v>2739</v>
      </c>
    </row>
    <row r="3359" spans="1:9" ht="15" customHeight="1">
      <c r="A3359" s="199">
        <v>45340</v>
      </c>
      <c r="B3359" s="202" t="s">
        <v>2754</v>
      </c>
      <c r="C3359" s="200" t="s">
        <v>307</v>
      </c>
      <c r="D3359" s="204">
        <v>-30000</v>
      </c>
      <c r="E3359" s="201">
        <v>45689</v>
      </c>
      <c r="F3359" s="200" t="s">
        <v>296</v>
      </c>
      <c r="G3359" s="200" t="s">
        <v>522</v>
      </c>
      <c r="H3359" s="200" t="s">
        <v>442</v>
      </c>
      <c r="I3359" s="200" t="s">
        <v>2739</v>
      </c>
    </row>
    <row r="3360" spans="1:9" ht="15" customHeight="1">
      <c r="A3360" s="199">
        <v>45340</v>
      </c>
      <c r="B3360" s="202" t="s">
        <v>2755</v>
      </c>
      <c r="C3360" s="200" t="s">
        <v>307</v>
      </c>
      <c r="D3360" s="204">
        <v>-172690</v>
      </c>
      <c r="E3360" s="201">
        <v>45689</v>
      </c>
      <c r="F3360" s="200" t="s">
        <v>296</v>
      </c>
      <c r="G3360" s="200" t="s">
        <v>522</v>
      </c>
      <c r="H3360" s="200" t="s">
        <v>421</v>
      </c>
      <c r="I3360" s="200" t="s">
        <v>2739</v>
      </c>
    </row>
    <row r="3361" spans="1:9" ht="15" customHeight="1">
      <c r="A3361" s="199">
        <v>45341</v>
      </c>
      <c r="B3361" s="202" t="s">
        <v>2754</v>
      </c>
      <c r="C3361" s="200" t="s">
        <v>307</v>
      </c>
      <c r="D3361" s="204">
        <v>-15000</v>
      </c>
      <c r="E3361" s="201">
        <v>45689</v>
      </c>
      <c r="F3361" s="200" t="s">
        <v>296</v>
      </c>
      <c r="G3361" s="200" t="s">
        <v>522</v>
      </c>
      <c r="H3361" s="200" t="s">
        <v>442</v>
      </c>
      <c r="I3361" s="200" t="s">
        <v>2739</v>
      </c>
    </row>
    <row r="3362" spans="1:9" ht="15" customHeight="1">
      <c r="A3362" s="199">
        <v>45341</v>
      </c>
      <c r="B3362" s="202" t="s">
        <v>2756</v>
      </c>
      <c r="C3362" s="200" t="s">
        <v>307</v>
      </c>
      <c r="D3362" s="204">
        <v>-2400</v>
      </c>
      <c r="E3362" s="201">
        <v>45689</v>
      </c>
      <c r="F3362" s="200" t="s">
        <v>296</v>
      </c>
      <c r="G3362" s="200" t="s">
        <v>337</v>
      </c>
      <c r="H3362" s="200" t="s">
        <v>366</v>
      </c>
      <c r="I3362" s="200" t="s">
        <v>2739</v>
      </c>
    </row>
    <row r="3363" spans="1:9" ht="15" customHeight="1">
      <c r="A3363" s="199">
        <v>45341</v>
      </c>
      <c r="B3363" s="202" t="s">
        <v>2757</v>
      </c>
      <c r="C3363" s="200" t="s">
        <v>307</v>
      </c>
      <c r="D3363" s="204">
        <v>-39800</v>
      </c>
      <c r="E3363" s="201">
        <v>45689</v>
      </c>
      <c r="F3363" s="200" t="s">
        <v>296</v>
      </c>
      <c r="G3363" s="200" t="s">
        <v>337</v>
      </c>
      <c r="H3363" s="200" t="s">
        <v>366</v>
      </c>
      <c r="I3363" s="200" t="s">
        <v>2739</v>
      </c>
    </row>
    <row r="3364" spans="1:9" ht="15" customHeight="1">
      <c r="A3364" s="199">
        <v>45709</v>
      </c>
      <c r="B3364" s="202" t="s">
        <v>2758</v>
      </c>
      <c r="C3364" s="200" t="s">
        <v>307</v>
      </c>
      <c r="D3364" s="204">
        <v>-30000</v>
      </c>
      <c r="E3364" s="201">
        <v>45689</v>
      </c>
      <c r="F3364" s="200" t="s">
        <v>395</v>
      </c>
      <c r="G3364" s="531" t="s">
        <v>395</v>
      </c>
      <c r="H3364" s="200" t="s">
        <v>346</v>
      </c>
      <c r="I3364" s="673"/>
    </row>
    <row r="3365" spans="1:9" ht="15" customHeight="1">
      <c r="A3365" s="199">
        <v>45709</v>
      </c>
      <c r="B3365" s="202" t="s">
        <v>2759</v>
      </c>
      <c r="C3365" s="200" t="s">
        <v>307</v>
      </c>
      <c r="D3365" s="204">
        <v>-36000</v>
      </c>
      <c r="E3365" s="201">
        <v>45689</v>
      </c>
      <c r="F3365" s="200" t="s">
        <v>256</v>
      </c>
      <c r="G3365" s="200" t="s">
        <v>256</v>
      </c>
      <c r="H3365" s="200" t="s">
        <v>267</v>
      </c>
      <c r="I3365" s="200" t="s">
        <v>2739</v>
      </c>
    </row>
    <row r="3366" spans="1:9" ht="15" customHeight="1">
      <c r="A3366" s="199">
        <v>45709</v>
      </c>
      <c r="B3366" s="202" t="s">
        <v>2743</v>
      </c>
      <c r="C3366" s="200" t="s">
        <v>307</v>
      </c>
      <c r="D3366" s="204">
        <v>-8284</v>
      </c>
      <c r="E3366" s="201">
        <v>45689</v>
      </c>
      <c r="F3366" s="200" t="s">
        <v>296</v>
      </c>
      <c r="G3366" s="200" t="s">
        <v>984</v>
      </c>
      <c r="H3366" s="200" t="s">
        <v>377</v>
      </c>
      <c r="I3366" s="200" t="s">
        <v>2739</v>
      </c>
    </row>
    <row r="3367" spans="1:9" ht="15" customHeight="1">
      <c r="A3367" s="199">
        <v>45709</v>
      </c>
      <c r="B3367" s="202" t="s">
        <v>2760</v>
      </c>
      <c r="C3367" s="200" t="s">
        <v>307</v>
      </c>
      <c r="D3367" s="204">
        <v>-7400</v>
      </c>
      <c r="E3367" s="201">
        <v>45689</v>
      </c>
      <c r="F3367" s="200" t="s">
        <v>296</v>
      </c>
      <c r="G3367" s="200" t="s">
        <v>984</v>
      </c>
      <c r="H3367" s="200" t="s">
        <v>350</v>
      </c>
      <c r="I3367" s="200" t="s">
        <v>2739</v>
      </c>
    </row>
    <row r="3368" spans="1:9" ht="15" customHeight="1">
      <c r="A3368" s="199">
        <v>45709</v>
      </c>
      <c r="B3368" s="202" t="s">
        <v>1934</v>
      </c>
      <c r="C3368" s="200" t="s">
        <v>307</v>
      </c>
      <c r="D3368" s="204">
        <v>-150400</v>
      </c>
      <c r="E3368" s="201">
        <v>45689</v>
      </c>
      <c r="F3368" s="200" t="s">
        <v>296</v>
      </c>
      <c r="G3368" s="200" t="s">
        <v>328</v>
      </c>
      <c r="H3368" s="200" t="s">
        <v>377</v>
      </c>
      <c r="I3368" s="200" t="s">
        <v>2739</v>
      </c>
    </row>
    <row r="3369" spans="1:9" ht="15" customHeight="1">
      <c r="A3369" s="199">
        <v>45709</v>
      </c>
      <c r="B3369" s="202" t="s">
        <v>2761</v>
      </c>
      <c r="C3369" s="200" t="s">
        <v>307</v>
      </c>
      <c r="D3369" s="204">
        <v>-37800</v>
      </c>
      <c r="E3369" s="201">
        <v>45689</v>
      </c>
      <c r="F3369" s="200" t="s">
        <v>296</v>
      </c>
      <c r="G3369" s="200" t="s">
        <v>984</v>
      </c>
      <c r="H3369" s="200" t="s">
        <v>377</v>
      </c>
      <c r="I3369" s="200" t="s">
        <v>2739</v>
      </c>
    </row>
    <row r="3370" spans="1:9" ht="15" customHeight="1">
      <c r="A3370" s="199">
        <v>45709</v>
      </c>
      <c r="B3370" s="202" t="s">
        <v>2762</v>
      </c>
      <c r="C3370" s="200" t="s">
        <v>307</v>
      </c>
      <c r="D3370" s="204">
        <v>-5000</v>
      </c>
      <c r="E3370" s="201">
        <v>45689</v>
      </c>
      <c r="F3370" s="200" t="s">
        <v>296</v>
      </c>
      <c r="G3370" s="200" t="s">
        <v>337</v>
      </c>
      <c r="H3370" s="200" t="s">
        <v>326</v>
      </c>
      <c r="I3370" s="200" t="s">
        <v>2739</v>
      </c>
    </row>
    <row r="3371" spans="1:9" ht="15" customHeight="1">
      <c r="A3371" s="199">
        <v>45709</v>
      </c>
      <c r="B3371" s="202" t="s">
        <v>2763</v>
      </c>
      <c r="C3371" s="200" t="s">
        <v>307</v>
      </c>
      <c r="D3371" s="204">
        <v>-70722</v>
      </c>
      <c r="E3371" s="201">
        <v>45689</v>
      </c>
      <c r="F3371" s="200" t="s">
        <v>296</v>
      </c>
      <c r="G3371" s="200" t="s">
        <v>337</v>
      </c>
      <c r="H3371" s="200" t="s">
        <v>421</v>
      </c>
      <c r="I3371" s="200" t="s">
        <v>2739</v>
      </c>
    </row>
    <row r="3372" spans="1:9" ht="15" customHeight="1">
      <c r="A3372" s="199">
        <v>45709</v>
      </c>
      <c r="B3372" s="202" t="s">
        <v>2764</v>
      </c>
      <c r="C3372" s="200" t="s">
        <v>307</v>
      </c>
      <c r="D3372" s="204">
        <v>-82800</v>
      </c>
      <c r="E3372" s="201">
        <v>45689</v>
      </c>
      <c r="F3372" s="200" t="s">
        <v>296</v>
      </c>
      <c r="G3372" s="200" t="s">
        <v>337</v>
      </c>
      <c r="H3372" s="200" t="s">
        <v>326</v>
      </c>
      <c r="I3372" s="200" t="s">
        <v>2739</v>
      </c>
    </row>
    <row r="3373" spans="1:9" ht="15" customHeight="1">
      <c r="A3373" s="199">
        <v>45709</v>
      </c>
      <c r="B3373" s="202" t="s">
        <v>2765</v>
      </c>
      <c r="C3373" s="200" t="s">
        <v>307</v>
      </c>
      <c r="D3373" s="204">
        <v>-10000</v>
      </c>
      <c r="E3373" s="201">
        <v>45689</v>
      </c>
      <c r="F3373" s="200" t="s">
        <v>296</v>
      </c>
      <c r="G3373" s="200" t="s">
        <v>411</v>
      </c>
      <c r="H3373" s="200" t="s">
        <v>342</v>
      </c>
      <c r="I3373" s="200" t="s">
        <v>2766</v>
      </c>
    </row>
    <row r="3374" spans="1:9" ht="15" customHeight="1">
      <c r="A3374" s="199">
        <v>45709</v>
      </c>
      <c r="B3374" s="202" t="s">
        <v>2767</v>
      </c>
      <c r="C3374" s="200" t="s">
        <v>307</v>
      </c>
      <c r="D3374" s="204">
        <v>-34000</v>
      </c>
      <c r="E3374" s="201">
        <v>45689</v>
      </c>
      <c r="F3374" s="200" t="s">
        <v>296</v>
      </c>
      <c r="G3374" s="200" t="s">
        <v>411</v>
      </c>
      <c r="H3374" s="200" t="s">
        <v>268</v>
      </c>
      <c r="I3374" s="200" t="s">
        <v>2766</v>
      </c>
    </row>
    <row r="3375" spans="1:9" ht="15" customHeight="1">
      <c r="A3375" s="199">
        <v>45709</v>
      </c>
      <c r="B3375" s="202" t="s">
        <v>2767</v>
      </c>
      <c r="C3375" s="200" t="s">
        <v>307</v>
      </c>
      <c r="D3375" s="204">
        <v>-6000</v>
      </c>
      <c r="E3375" s="201">
        <v>45689</v>
      </c>
      <c r="F3375" s="200" t="s">
        <v>296</v>
      </c>
      <c r="G3375" s="200" t="s">
        <v>411</v>
      </c>
      <c r="H3375" s="200" t="s">
        <v>268</v>
      </c>
      <c r="I3375" s="200" t="s">
        <v>2766</v>
      </c>
    </row>
    <row r="3376" spans="1:9" ht="15" customHeight="1">
      <c r="A3376" s="199">
        <v>45709</v>
      </c>
      <c r="B3376" s="202" t="s">
        <v>2767</v>
      </c>
      <c r="C3376" s="200" t="s">
        <v>307</v>
      </c>
      <c r="D3376" s="204">
        <v>-48000</v>
      </c>
      <c r="E3376" s="201">
        <v>45689</v>
      </c>
      <c r="F3376" s="200" t="s">
        <v>296</v>
      </c>
      <c r="G3376" s="200" t="s">
        <v>411</v>
      </c>
      <c r="H3376" s="200" t="s">
        <v>268</v>
      </c>
      <c r="I3376" s="200" t="s">
        <v>2766</v>
      </c>
    </row>
    <row r="3377" spans="1:9" ht="15" customHeight="1">
      <c r="A3377" s="199">
        <v>45709</v>
      </c>
      <c r="B3377" s="202" t="s">
        <v>2768</v>
      </c>
      <c r="C3377" s="200" t="s">
        <v>307</v>
      </c>
      <c r="D3377" s="204">
        <v>-31900</v>
      </c>
      <c r="E3377" s="201">
        <v>45689</v>
      </c>
      <c r="F3377" s="200" t="s">
        <v>296</v>
      </c>
      <c r="G3377" s="200" t="s">
        <v>411</v>
      </c>
      <c r="H3377" s="200" t="s">
        <v>342</v>
      </c>
      <c r="I3377" s="200" t="s">
        <v>2766</v>
      </c>
    </row>
    <row r="3378" spans="1:9" ht="15" customHeight="1">
      <c r="A3378" s="199">
        <v>45714</v>
      </c>
      <c r="B3378" s="202" t="s">
        <v>2769</v>
      </c>
      <c r="C3378" s="200" t="s">
        <v>307</v>
      </c>
      <c r="D3378" s="204">
        <v>-7000</v>
      </c>
      <c r="E3378" s="201">
        <v>45689</v>
      </c>
      <c r="F3378" s="200" t="s">
        <v>296</v>
      </c>
      <c r="G3378" s="200" t="s">
        <v>411</v>
      </c>
      <c r="H3378" s="200" t="s">
        <v>268</v>
      </c>
      <c r="I3378" s="200" t="s">
        <v>1899</v>
      </c>
    </row>
    <row r="3379" spans="1:9" ht="15" customHeight="1">
      <c r="A3379" s="199">
        <v>45714</v>
      </c>
      <c r="B3379" s="202" t="s">
        <v>2770</v>
      </c>
      <c r="C3379" s="200" t="s">
        <v>307</v>
      </c>
      <c r="D3379" s="204">
        <v>-17000</v>
      </c>
      <c r="E3379" s="201">
        <v>45689</v>
      </c>
      <c r="F3379" s="200" t="s">
        <v>296</v>
      </c>
      <c r="G3379" s="200" t="s">
        <v>411</v>
      </c>
      <c r="H3379" s="200" t="s">
        <v>268</v>
      </c>
      <c r="I3379" s="200" t="s">
        <v>1899</v>
      </c>
    </row>
    <row r="3380" spans="1:9" ht="15" customHeight="1">
      <c r="A3380" s="199">
        <v>45714</v>
      </c>
      <c r="B3380" s="202" t="s">
        <v>2769</v>
      </c>
      <c r="C3380" s="200" t="s">
        <v>307</v>
      </c>
      <c r="D3380" s="204">
        <v>-6500</v>
      </c>
      <c r="E3380" s="201">
        <v>45689</v>
      </c>
      <c r="F3380" s="200" t="s">
        <v>296</v>
      </c>
      <c r="G3380" s="200" t="s">
        <v>411</v>
      </c>
      <c r="H3380" s="200" t="s">
        <v>268</v>
      </c>
      <c r="I3380" s="200" t="s">
        <v>1899</v>
      </c>
    </row>
    <row r="3381" spans="1:9" ht="15" customHeight="1">
      <c r="A3381" s="199">
        <v>45714</v>
      </c>
      <c r="B3381" s="202" t="s">
        <v>2771</v>
      </c>
      <c r="C3381" s="200" t="s">
        <v>307</v>
      </c>
      <c r="D3381" s="204">
        <v>-27900</v>
      </c>
      <c r="E3381" s="201">
        <v>45689</v>
      </c>
      <c r="F3381" s="200" t="s">
        <v>296</v>
      </c>
      <c r="G3381" s="200" t="s">
        <v>411</v>
      </c>
      <c r="H3381" s="200" t="s">
        <v>342</v>
      </c>
      <c r="I3381" s="200" t="s">
        <v>1899</v>
      </c>
    </row>
    <row r="3382" spans="1:9" ht="15" customHeight="1">
      <c r="A3382" s="199">
        <v>45714</v>
      </c>
      <c r="B3382" s="202" t="s">
        <v>2770</v>
      </c>
      <c r="C3382" s="200" t="s">
        <v>307</v>
      </c>
      <c r="D3382" s="204">
        <v>-6500</v>
      </c>
      <c r="E3382" s="201">
        <v>45689</v>
      </c>
      <c r="F3382" s="200" t="s">
        <v>296</v>
      </c>
      <c r="G3382" s="200" t="s">
        <v>411</v>
      </c>
      <c r="H3382" s="200" t="s">
        <v>268</v>
      </c>
      <c r="I3382" s="200" t="s">
        <v>1899</v>
      </c>
    </row>
    <row r="3383" spans="1:9" ht="15" customHeight="1">
      <c r="A3383" s="199">
        <v>45714</v>
      </c>
      <c r="B3383" s="202" t="s">
        <v>2772</v>
      </c>
      <c r="C3383" s="200" t="s">
        <v>307</v>
      </c>
      <c r="D3383" s="204">
        <v>-17000</v>
      </c>
      <c r="E3383" s="201">
        <v>45689</v>
      </c>
      <c r="F3383" s="200" t="s">
        <v>296</v>
      </c>
      <c r="G3383" s="200" t="s">
        <v>411</v>
      </c>
      <c r="H3383" s="200" t="s">
        <v>268</v>
      </c>
      <c r="I3383" s="200" t="s">
        <v>1899</v>
      </c>
    </row>
    <row r="3384" spans="1:9" ht="15" customHeight="1">
      <c r="A3384" s="199">
        <v>45709</v>
      </c>
      <c r="B3384" s="202" t="s">
        <v>2773</v>
      </c>
      <c r="C3384" s="200" t="s">
        <v>307</v>
      </c>
      <c r="D3384" s="204">
        <v>-7000</v>
      </c>
      <c r="E3384" s="201">
        <v>45689</v>
      </c>
      <c r="F3384" s="200" t="s">
        <v>296</v>
      </c>
      <c r="G3384" s="200" t="s">
        <v>411</v>
      </c>
      <c r="H3384" s="200" t="s">
        <v>268</v>
      </c>
      <c r="I3384" s="200" t="s">
        <v>1899</v>
      </c>
    </row>
    <row r="3385" spans="1:9" ht="15" customHeight="1">
      <c r="A3385" s="199">
        <v>45709</v>
      </c>
      <c r="B3385" s="202" t="s">
        <v>2774</v>
      </c>
      <c r="C3385" s="200" t="s">
        <v>307</v>
      </c>
      <c r="D3385" s="204">
        <v>-17000</v>
      </c>
      <c r="E3385" s="201">
        <v>45689</v>
      </c>
      <c r="F3385" s="200" t="s">
        <v>296</v>
      </c>
      <c r="G3385" s="200" t="s">
        <v>411</v>
      </c>
      <c r="H3385" s="200" t="s">
        <v>268</v>
      </c>
      <c r="I3385" s="200" t="s">
        <v>1899</v>
      </c>
    </row>
    <row r="3386" spans="1:9" ht="15" customHeight="1">
      <c r="A3386" s="199">
        <v>45709</v>
      </c>
      <c r="B3386" s="202" t="s">
        <v>2775</v>
      </c>
      <c r="C3386" s="200" t="s">
        <v>307</v>
      </c>
      <c r="D3386" s="204">
        <v>-6500</v>
      </c>
      <c r="E3386" s="201">
        <v>45689</v>
      </c>
      <c r="F3386" s="200" t="s">
        <v>296</v>
      </c>
      <c r="G3386" s="200" t="s">
        <v>411</v>
      </c>
      <c r="H3386" s="200" t="s">
        <v>268</v>
      </c>
      <c r="I3386" s="200" t="s">
        <v>1899</v>
      </c>
    </row>
    <row r="3387" spans="1:9" ht="15" customHeight="1">
      <c r="A3387" s="199">
        <v>45709</v>
      </c>
      <c r="B3387" s="202" t="s">
        <v>2776</v>
      </c>
      <c r="C3387" s="200" t="s">
        <v>307</v>
      </c>
      <c r="D3387" s="204">
        <v>-20000</v>
      </c>
      <c r="E3387" s="201">
        <v>45689</v>
      </c>
      <c r="F3387" s="200" t="s">
        <v>296</v>
      </c>
      <c r="G3387" s="200" t="s">
        <v>411</v>
      </c>
      <c r="H3387" s="200" t="s">
        <v>342</v>
      </c>
      <c r="I3387" s="200" t="s">
        <v>1899</v>
      </c>
    </row>
    <row r="3388" spans="1:9" ht="15" customHeight="1">
      <c r="A3388" s="199">
        <v>45709</v>
      </c>
      <c r="B3388" s="202" t="s">
        <v>2777</v>
      </c>
      <c r="C3388" s="200" t="s">
        <v>307</v>
      </c>
      <c r="D3388" s="204">
        <v>-12000</v>
      </c>
      <c r="E3388" s="201">
        <v>45689</v>
      </c>
      <c r="F3388" s="200" t="s">
        <v>296</v>
      </c>
      <c r="G3388" s="200" t="s">
        <v>411</v>
      </c>
      <c r="H3388" s="200" t="s">
        <v>342</v>
      </c>
      <c r="I3388" s="200" t="s">
        <v>1899</v>
      </c>
    </row>
    <row r="3389" spans="1:9" ht="15" customHeight="1">
      <c r="A3389" s="199">
        <v>45709</v>
      </c>
      <c r="B3389" s="202" t="s">
        <v>2778</v>
      </c>
      <c r="C3389" s="200" t="s">
        <v>307</v>
      </c>
      <c r="D3389" s="204">
        <v>-6500</v>
      </c>
      <c r="E3389" s="201">
        <v>45689</v>
      </c>
      <c r="F3389" s="200" t="s">
        <v>296</v>
      </c>
      <c r="G3389" s="200" t="s">
        <v>411</v>
      </c>
      <c r="H3389" s="200" t="s">
        <v>268</v>
      </c>
      <c r="I3389" s="200" t="s">
        <v>1899</v>
      </c>
    </row>
    <row r="3390" spans="1:9" ht="15" customHeight="1">
      <c r="A3390" s="199">
        <v>45709</v>
      </c>
      <c r="B3390" s="202" t="s">
        <v>2779</v>
      </c>
      <c r="C3390" s="200" t="s">
        <v>307</v>
      </c>
      <c r="D3390" s="204">
        <v>-7000</v>
      </c>
      <c r="E3390" s="201">
        <v>45689</v>
      </c>
      <c r="F3390" s="200" t="s">
        <v>296</v>
      </c>
      <c r="G3390" s="200" t="s">
        <v>411</v>
      </c>
      <c r="H3390" s="200" t="s">
        <v>268</v>
      </c>
      <c r="I3390" s="200" t="s">
        <v>1899</v>
      </c>
    </row>
    <row r="3391" spans="1:9" ht="15" customHeight="1">
      <c r="A3391" s="199">
        <v>45716</v>
      </c>
      <c r="B3391" s="202" t="s">
        <v>2442</v>
      </c>
      <c r="C3391" s="200" t="s">
        <v>307</v>
      </c>
      <c r="D3391" s="204">
        <v>-110750</v>
      </c>
      <c r="E3391" s="201">
        <v>45689</v>
      </c>
      <c r="F3391" s="200" t="s">
        <v>256</v>
      </c>
      <c r="G3391" s="200" t="s">
        <v>256</v>
      </c>
      <c r="H3391" s="200" t="s">
        <v>263</v>
      </c>
    </row>
    <row r="3392" spans="1:9" ht="15" customHeight="1">
      <c r="A3392" s="199">
        <v>45716</v>
      </c>
      <c r="B3392" s="202" t="s">
        <v>2780</v>
      </c>
      <c r="C3392" s="200" t="s">
        <v>307</v>
      </c>
      <c r="D3392" s="204">
        <v>-14220</v>
      </c>
      <c r="E3392" s="201">
        <v>45689</v>
      </c>
      <c r="F3392" s="200" t="s">
        <v>256</v>
      </c>
      <c r="G3392" s="200" t="s">
        <v>256</v>
      </c>
      <c r="H3392" s="200" t="s">
        <v>263</v>
      </c>
    </row>
    <row r="3393" spans="1:9" ht="15" customHeight="1">
      <c r="A3393" s="199">
        <v>45714</v>
      </c>
      <c r="B3393" s="202" t="s">
        <v>2781</v>
      </c>
      <c r="C3393" s="200" t="s">
        <v>307</v>
      </c>
      <c r="D3393" s="204">
        <v>35300</v>
      </c>
      <c r="E3393" s="201">
        <v>45689</v>
      </c>
      <c r="F3393" s="200" t="s">
        <v>256</v>
      </c>
      <c r="G3393" s="200" t="s">
        <v>256</v>
      </c>
      <c r="H3393" s="200" t="s">
        <v>9</v>
      </c>
      <c r="I3393" s="200" t="s">
        <v>2782</v>
      </c>
    </row>
    <row r="3394" spans="1:9" ht="15" customHeight="1">
      <c r="A3394" s="199">
        <v>45713</v>
      </c>
      <c r="B3394" s="202" t="s">
        <v>2783</v>
      </c>
      <c r="C3394" s="200" t="s">
        <v>204</v>
      </c>
      <c r="D3394" s="658">
        <v>660000000</v>
      </c>
      <c r="E3394" s="201">
        <v>45689</v>
      </c>
      <c r="F3394" s="200" t="s">
        <v>652</v>
      </c>
      <c r="G3394" s="200" t="s">
        <v>1980</v>
      </c>
    </row>
    <row r="3395" spans="1:9" ht="15" customHeight="1">
      <c r="A3395" s="199">
        <v>45713</v>
      </c>
      <c r="B3395" s="202" t="s">
        <v>2784</v>
      </c>
      <c r="C3395" s="200" t="s">
        <v>204</v>
      </c>
      <c r="D3395" s="658">
        <v>250000000</v>
      </c>
      <c r="E3395" s="201">
        <v>45689</v>
      </c>
      <c r="F3395" s="200" t="s">
        <v>652</v>
      </c>
      <c r="G3395" s="200" t="s">
        <v>807</v>
      </c>
    </row>
    <row r="3396" spans="1:9" ht="15" customHeight="1">
      <c r="A3396" s="199">
        <v>45713</v>
      </c>
      <c r="B3396" s="202" t="s">
        <v>2785</v>
      </c>
      <c r="C3396" s="200" t="s">
        <v>204</v>
      </c>
      <c r="D3396" s="658">
        <v>6196667</v>
      </c>
      <c r="E3396" s="201">
        <v>45689</v>
      </c>
      <c r="F3396" s="200" t="s">
        <v>2786</v>
      </c>
    </row>
    <row r="3397" spans="1:9" ht="15" customHeight="1">
      <c r="A3397" s="199">
        <v>45715</v>
      </c>
      <c r="B3397" s="202" t="s">
        <v>2787</v>
      </c>
      <c r="C3397" s="200" t="s">
        <v>204</v>
      </c>
      <c r="D3397" s="658">
        <v>-309574</v>
      </c>
      <c r="E3397" s="201">
        <v>45689</v>
      </c>
      <c r="F3397" s="200" t="s">
        <v>256</v>
      </c>
      <c r="G3397" s="200" t="s">
        <v>107</v>
      </c>
      <c r="H3397" s="200" t="s">
        <v>777</v>
      </c>
    </row>
    <row r="3398" spans="1:9" ht="15" customHeight="1">
      <c r="A3398" s="199">
        <v>45715</v>
      </c>
      <c r="B3398" s="202" t="s">
        <v>2788</v>
      </c>
      <c r="C3398" s="200" t="s">
        <v>204</v>
      </c>
      <c r="D3398" s="658">
        <v>-49900</v>
      </c>
      <c r="E3398" s="201">
        <v>45689</v>
      </c>
      <c r="F3398" s="200" t="s">
        <v>256</v>
      </c>
      <c r="G3398" s="200" t="s">
        <v>256</v>
      </c>
      <c r="H3398" s="200" t="s">
        <v>9</v>
      </c>
    </row>
    <row r="3399" spans="1:9" ht="15" customHeight="1">
      <c r="A3399" s="199">
        <v>45709</v>
      </c>
      <c r="B3399" s="202" t="s">
        <v>2789</v>
      </c>
      <c r="C3399" s="200" t="s">
        <v>136</v>
      </c>
      <c r="D3399" s="649">
        <v>-21900</v>
      </c>
      <c r="E3399" s="201">
        <v>45689</v>
      </c>
      <c r="F3399" s="200" t="s">
        <v>296</v>
      </c>
      <c r="G3399" s="200" t="s">
        <v>453</v>
      </c>
      <c r="H3399" s="200" t="s">
        <v>98</v>
      </c>
    </row>
    <row r="3400" spans="1:9" ht="15" customHeight="1">
      <c r="A3400" s="199">
        <v>45709</v>
      </c>
      <c r="B3400" s="202" t="s">
        <v>2790</v>
      </c>
      <c r="C3400" s="200" t="s">
        <v>136</v>
      </c>
      <c r="D3400" s="649">
        <v>-122460</v>
      </c>
      <c r="E3400" s="201">
        <v>45689</v>
      </c>
      <c r="F3400" s="200" t="s">
        <v>256</v>
      </c>
      <c r="G3400" s="200" t="s">
        <v>256</v>
      </c>
      <c r="H3400" s="200" t="s">
        <v>265</v>
      </c>
    </row>
    <row r="3401" spans="1:9" ht="15" customHeight="1">
      <c r="A3401" s="199">
        <v>45706</v>
      </c>
      <c r="B3401" s="202" t="s">
        <v>2791</v>
      </c>
      <c r="C3401" s="200" t="s">
        <v>136</v>
      </c>
      <c r="D3401" s="649">
        <v>5013056</v>
      </c>
      <c r="E3401" s="201">
        <v>45689</v>
      </c>
      <c r="F3401" s="200" t="s">
        <v>295</v>
      </c>
    </row>
    <row r="3402" spans="1:9" ht="15" customHeight="1">
      <c r="A3402" s="199">
        <v>45706</v>
      </c>
      <c r="B3402" s="202" t="s">
        <v>2792</v>
      </c>
      <c r="C3402" s="200" t="s">
        <v>136</v>
      </c>
      <c r="D3402" s="649">
        <v>2099400</v>
      </c>
      <c r="E3402" s="201">
        <v>45689</v>
      </c>
      <c r="F3402" s="200" t="s">
        <v>295</v>
      </c>
    </row>
    <row r="3403" spans="1:9" ht="15" customHeight="1">
      <c r="A3403" s="199">
        <v>45706</v>
      </c>
      <c r="B3403" s="202" t="s">
        <v>2793</v>
      </c>
      <c r="C3403" s="200" t="s">
        <v>136</v>
      </c>
      <c r="D3403" s="649">
        <v>379600</v>
      </c>
      <c r="E3403" s="201">
        <v>45689</v>
      </c>
      <c r="F3403" s="200" t="s">
        <v>256</v>
      </c>
      <c r="G3403" s="200" t="s">
        <v>256</v>
      </c>
      <c r="H3403" s="200" t="s">
        <v>121</v>
      </c>
    </row>
    <row r="3404" spans="1:9" ht="15" customHeight="1">
      <c r="A3404" s="199">
        <v>45714</v>
      </c>
      <c r="B3404" s="202" t="s">
        <v>2794</v>
      </c>
      <c r="C3404" s="200" t="s">
        <v>136</v>
      </c>
      <c r="D3404" s="649">
        <v>3474450</v>
      </c>
      <c r="E3404" s="201">
        <v>45689</v>
      </c>
      <c r="F3404" s="200" t="s">
        <v>295</v>
      </c>
    </row>
    <row r="3405" spans="1:9" ht="15" customHeight="1">
      <c r="A3405" s="199">
        <v>45715</v>
      </c>
      <c r="B3405" s="202" t="s">
        <v>2795</v>
      </c>
      <c r="C3405" s="200" t="s">
        <v>136</v>
      </c>
      <c r="D3405" s="649">
        <v>1594182</v>
      </c>
      <c r="E3405" s="201">
        <v>45689</v>
      </c>
      <c r="F3405" s="200" t="s">
        <v>295</v>
      </c>
    </row>
    <row r="3406" spans="1:9" ht="15" customHeight="1">
      <c r="A3406" s="199">
        <v>45715</v>
      </c>
      <c r="B3406" s="202" t="s">
        <v>2796</v>
      </c>
      <c r="C3406" s="200" t="s">
        <v>136</v>
      </c>
      <c r="D3406" s="649">
        <v>73883</v>
      </c>
      <c r="E3406" s="201">
        <v>45689</v>
      </c>
      <c r="F3406" s="200" t="s">
        <v>298</v>
      </c>
    </row>
    <row r="3407" spans="1:9" ht="15" customHeight="1">
      <c r="A3407" s="199">
        <v>45716</v>
      </c>
      <c r="B3407" s="202" t="s">
        <v>2784</v>
      </c>
      <c r="C3407" s="200" t="s">
        <v>136</v>
      </c>
      <c r="D3407" s="649">
        <v>250000000</v>
      </c>
      <c r="E3407" s="201">
        <v>45689</v>
      </c>
      <c r="F3407" s="200" t="s">
        <v>652</v>
      </c>
      <c r="G3407" s="200" t="s">
        <v>807</v>
      </c>
    </row>
    <row r="3408" spans="1:9" ht="15" customHeight="1">
      <c r="A3408" s="199">
        <v>45716</v>
      </c>
      <c r="B3408" s="202" t="s">
        <v>2797</v>
      </c>
      <c r="C3408" s="200" t="s">
        <v>314</v>
      </c>
      <c r="D3408" s="204">
        <v>-2249900</v>
      </c>
      <c r="E3408" s="201">
        <v>45689</v>
      </c>
      <c r="F3408" s="200" t="s">
        <v>256</v>
      </c>
      <c r="G3408" s="200" t="s">
        <v>256</v>
      </c>
      <c r="H3408" s="200" t="s">
        <v>259</v>
      </c>
    </row>
    <row r="3409" spans="1:8" ht="15" customHeight="1">
      <c r="A3409" s="199">
        <v>45716</v>
      </c>
      <c r="B3409" s="202" t="s">
        <v>2798</v>
      </c>
      <c r="C3409" s="200" t="s">
        <v>314</v>
      </c>
      <c r="D3409" s="204">
        <v>-2299900</v>
      </c>
      <c r="E3409" s="201">
        <v>45689</v>
      </c>
      <c r="F3409" s="200" t="s">
        <v>256</v>
      </c>
      <c r="G3409" s="200" t="s">
        <v>256</v>
      </c>
      <c r="H3409" s="200" t="s">
        <v>263</v>
      </c>
    </row>
    <row r="3410" spans="1:8" ht="15" customHeight="1">
      <c r="A3410" s="199">
        <v>45708</v>
      </c>
      <c r="B3410" s="202" t="s">
        <v>2799</v>
      </c>
      <c r="C3410" s="200" t="s">
        <v>314</v>
      </c>
      <c r="D3410" s="658">
        <v>6423391</v>
      </c>
      <c r="E3410" s="201">
        <v>45689</v>
      </c>
      <c r="F3410" s="200" t="s">
        <v>295</v>
      </c>
    </row>
    <row r="3411" spans="1:8" ht="15" customHeight="1">
      <c r="A3411" s="199">
        <v>45712</v>
      </c>
      <c r="B3411" s="202" t="s">
        <v>2800</v>
      </c>
      <c r="C3411" s="200" t="s">
        <v>314</v>
      </c>
      <c r="D3411" s="658">
        <v>1553000</v>
      </c>
      <c r="E3411" s="201">
        <v>45689</v>
      </c>
      <c r="F3411" s="200" t="s">
        <v>295</v>
      </c>
    </row>
    <row r="3412" spans="1:8" ht="15" customHeight="1">
      <c r="A3412" s="199">
        <v>45714</v>
      </c>
      <c r="B3412" s="202" t="s">
        <v>2801</v>
      </c>
      <c r="C3412" s="200" t="s">
        <v>314</v>
      </c>
      <c r="D3412" s="658">
        <v>12000000</v>
      </c>
      <c r="E3412" s="201">
        <v>45689</v>
      </c>
      <c r="F3412" s="200" t="s">
        <v>983</v>
      </c>
      <c r="G3412" s="200" t="s">
        <v>1735</v>
      </c>
    </row>
    <row r="3413" spans="1:8" ht="15" customHeight="1">
      <c r="A3413" s="199">
        <v>45715</v>
      </c>
      <c r="B3413" s="202" t="s">
        <v>2802</v>
      </c>
      <c r="C3413" s="200" t="s">
        <v>314</v>
      </c>
      <c r="D3413" s="658">
        <v>1520524</v>
      </c>
      <c r="E3413" s="201">
        <v>45689</v>
      </c>
      <c r="F3413" s="200" t="s">
        <v>295</v>
      </c>
    </row>
    <row r="3414" spans="1:8" ht="15" customHeight="1">
      <c r="A3414" s="199">
        <v>45716</v>
      </c>
      <c r="B3414" s="202" t="s">
        <v>2803</v>
      </c>
      <c r="C3414" s="200" t="s">
        <v>314</v>
      </c>
      <c r="D3414" s="658">
        <v>6000000</v>
      </c>
      <c r="E3414" s="201">
        <v>45689</v>
      </c>
      <c r="F3414" s="200" t="s">
        <v>983</v>
      </c>
      <c r="G3414" s="200" t="s">
        <v>411</v>
      </c>
    </row>
    <row r="3415" spans="1:8" ht="15" customHeight="1">
      <c r="A3415" s="199">
        <v>45713</v>
      </c>
      <c r="B3415" s="202" t="s">
        <v>2804</v>
      </c>
      <c r="C3415" s="200" t="s">
        <v>314</v>
      </c>
      <c r="D3415" s="658">
        <v>2591537</v>
      </c>
      <c r="E3415" s="201">
        <v>45689</v>
      </c>
      <c r="F3415" s="200" t="s">
        <v>295</v>
      </c>
    </row>
    <row r="3416" spans="1:8" ht="15" customHeight="1">
      <c r="A3416" s="199">
        <v>45705</v>
      </c>
      <c r="B3416" s="202" t="s">
        <v>2805</v>
      </c>
      <c r="C3416" s="200" t="s">
        <v>307</v>
      </c>
      <c r="D3416" s="204">
        <v>-60000</v>
      </c>
      <c r="E3416" s="201">
        <v>45689</v>
      </c>
      <c r="F3416" s="200" t="s">
        <v>256</v>
      </c>
      <c r="G3416" s="200" t="s">
        <v>107</v>
      </c>
      <c r="H3416" s="200" t="s">
        <v>277</v>
      </c>
    </row>
    <row r="3417" spans="1:8" ht="15" customHeight="1">
      <c r="A3417" s="199">
        <v>45705</v>
      </c>
      <c r="B3417" s="202" t="s">
        <v>1745</v>
      </c>
      <c r="C3417" s="200" t="s">
        <v>307</v>
      </c>
      <c r="D3417" s="204">
        <v>-24000</v>
      </c>
      <c r="E3417" s="201">
        <v>45689</v>
      </c>
      <c r="F3417" s="200" t="s">
        <v>256</v>
      </c>
      <c r="G3417" s="200" t="s">
        <v>107</v>
      </c>
      <c r="H3417" s="200" t="s">
        <v>277</v>
      </c>
    </row>
    <row r="3418" spans="1:8" ht="15" customHeight="1">
      <c r="A3418" s="199">
        <v>45705</v>
      </c>
      <c r="B3418" s="202" t="s">
        <v>498</v>
      </c>
      <c r="C3418" s="200" t="s">
        <v>307</v>
      </c>
      <c r="D3418" s="204">
        <v>-10000</v>
      </c>
      <c r="E3418" s="201">
        <v>45689</v>
      </c>
      <c r="F3418" s="200" t="s">
        <v>256</v>
      </c>
      <c r="G3418" s="200" t="s">
        <v>107</v>
      </c>
      <c r="H3418" s="200" t="s">
        <v>277</v>
      </c>
    </row>
    <row r="3419" spans="1:8" ht="15" customHeight="1">
      <c r="A3419" s="199">
        <v>45705</v>
      </c>
      <c r="B3419" s="202" t="s">
        <v>1744</v>
      </c>
      <c r="C3419" s="200" t="s">
        <v>307</v>
      </c>
      <c r="D3419" s="204">
        <v>-14000</v>
      </c>
      <c r="E3419" s="201">
        <v>45689</v>
      </c>
      <c r="F3419" s="200" t="s">
        <v>256</v>
      </c>
      <c r="G3419" s="200" t="s">
        <v>107</v>
      </c>
      <c r="H3419" s="200" t="s">
        <v>277</v>
      </c>
    </row>
    <row r="3420" spans="1:8" ht="15" customHeight="1">
      <c r="A3420" s="199">
        <v>45706</v>
      </c>
      <c r="B3420" s="202" t="s">
        <v>1523</v>
      </c>
      <c r="C3420" s="200" t="s">
        <v>307</v>
      </c>
      <c r="D3420" s="204">
        <v>-18000</v>
      </c>
      <c r="E3420" s="201">
        <v>45689</v>
      </c>
      <c r="F3420" s="200" t="s">
        <v>256</v>
      </c>
      <c r="G3420" s="200" t="s">
        <v>107</v>
      </c>
      <c r="H3420" s="200" t="s">
        <v>277</v>
      </c>
    </row>
    <row r="3421" spans="1:8" ht="15" customHeight="1">
      <c r="A3421" s="199">
        <v>45706</v>
      </c>
      <c r="B3421" s="202" t="s">
        <v>1744</v>
      </c>
      <c r="C3421" s="200" t="s">
        <v>307</v>
      </c>
      <c r="D3421" s="204">
        <v>-20000</v>
      </c>
      <c r="E3421" s="201">
        <v>45689</v>
      </c>
      <c r="F3421" s="200" t="s">
        <v>256</v>
      </c>
      <c r="G3421" s="200" t="s">
        <v>107</v>
      </c>
      <c r="H3421" s="200" t="s">
        <v>277</v>
      </c>
    </row>
    <row r="3422" spans="1:8" ht="15" customHeight="1">
      <c r="A3422" s="199">
        <v>45706</v>
      </c>
      <c r="B3422" s="202" t="s">
        <v>1745</v>
      </c>
      <c r="C3422" s="200" t="s">
        <v>307</v>
      </c>
      <c r="D3422" s="204">
        <v>-30400</v>
      </c>
      <c r="E3422" s="201">
        <v>45689</v>
      </c>
      <c r="F3422" s="200" t="s">
        <v>256</v>
      </c>
      <c r="G3422" s="200" t="s">
        <v>107</v>
      </c>
      <c r="H3422" s="200" t="s">
        <v>277</v>
      </c>
    </row>
    <row r="3423" spans="1:8" ht="15" customHeight="1">
      <c r="A3423" s="199">
        <v>45707</v>
      </c>
      <c r="B3423" s="202" t="s">
        <v>1744</v>
      </c>
      <c r="C3423" s="200" t="s">
        <v>307</v>
      </c>
      <c r="D3423" s="204">
        <v>-20000</v>
      </c>
      <c r="E3423" s="201">
        <v>45689</v>
      </c>
      <c r="F3423" s="200" t="s">
        <v>256</v>
      </c>
      <c r="G3423" s="200" t="s">
        <v>107</v>
      </c>
      <c r="H3423" s="200" t="s">
        <v>277</v>
      </c>
    </row>
    <row r="3424" spans="1:8" ht="15" customHeight="1">
      <c r="A3424" s="199">
        <v>45707</v>
      </c>
      <c r="B3424" s="202" t="s">
        <v>1743</v>
      </c>
      <c r="C3424" s="200" t="s">
        <v>307</v>
      </c>
      <c r="D3424" s="204">
        <v>-30000</v>
      </c>
      <c r="E3424" s="201">
        <v>45689</v>
      </c>
      <c r="F3424" s="200" t="s">
        <v>256</v>
      </c>
      <c r="G3424" s="200" t="s">
        <v>107</v>
      </c>
      <c r="H3424" s="200" t="s">
        <v>277</v>
      </c>
    </row>
    <row r="3425" spans="1:9" ht="15" customHeight="1">
      <c r="A3425" s="199">
        <v>45708</v>
      </c>
      <c r="B3425" s="202" t="s">
        <v>1744</v>
      </c>
      <c r="C3425" s="200" t="s">
        <v>307</v>
      </c>
      <c r="D3425" s="204">
        <v>-7000</v>
      </c>
      <c r="E3425" s="201">
        <v>45689</v>
      </c>
      <c r="F3425" s="200" t="s">
        <v>256</v>
      </c>
      <c r="G3425" s="200" t="s">
        <v>107</v>
      </c>
      <c r="H3425" s="200" t="s">
        <v>277</v>
      </c>
    </row>
    <row r="3426" spans="1:9" ht="15" customHeight="1">
      <c r="A3426" s="199">
        <v>45708</v>
      </c>
      <c r="B3426" s="202" t="s">
        <v>2805</v>
      </c>
      <c r="C3426" s="200" t="s">
        <v>307</v>
      </c>
      <c r="D3426" s="204">
        <v>-60000</v>
      </c>
      <c r="E3426" s="201">
        <v>45689</v>
      </c>
      <c r="F3426" s="200" t="s">
        <v>256</v>
      </c>
      <c r="G3426" s="200" t="s">
        <v>107</v>
      </c>
      <c r="H3426" s="200" t="s">
        <v>277</v>
      </c>
    </row>
    <row r="3427" spans="1:9" ht="15" customHeight="1">
      <c r="A3427" s="199">
        <v>45708</v>
      </c>
      <c r="B3427" s="202" t="s">
        <v>1419</v>
      </c>
      <c r="C3427" s="200" t="s">
        <v>307</v>
      </c>
      <c r="D3427" s="204">
        <v>-110000</v>
      </c>
      <c r="E3427" s="201">
        <v>45689</v>
      </c>
      <c r="F3427" s="200" t="s">
        <v>256</v>
      </c>
      <c r="G3427" s="200" t="s">
        <v>107</v>
      </c>
      <c r="H3427" s="200" t="s">
        <v>277</v>
      </c>
    </row>
    <row r="3428" spans="1:9" ht="15" customHeight="1">
      <c r="A3428" s="199">
        <v>45709</v>
      </c>
      <c r="B3428" s="202" t="s">
        <v>2806</v>
      </c>
      <c r="C3428" s="200" t="s">
        <v>307</v>
      </c>
      <c r="D3428" s="204">
        <v>-130000</v>
      </c>
      <c r="E3428" s="201">
        <v>45689</v>
      </c>
      <c r="F3428" s="200" t="s">
        <v>256</v>
      </c>
      <c r="G3428" s="200" t="s">
        <v>256</v>
      </c>
      <c r="H3428" s="200" t="s">
        <v>269</v>
      </c>
      <c r="I3428" s="200" t="s">
        <v>2276</v>
      </c>
    </row>
    <row r="3429" spans="1:9" ht="15" customHeight="1">
      <c r="A3429" s="199">
        <v>45709</v>
      </c>
      <c r="B3429" s="202" t="s">
        <v>2807</v>
      </c>
      <c r="C3429" s="200" t="s">
        <v>307</v>
      </c>
      <c r="D3429" s="204">
        <v>-18000</v>
      </c>
      <c r="E3429" s="201">
        <v>45689</v>
      </c>
      <c r="F3429" s="200" t="s">
        <v>256</v>
      </c>
      <c r="G3429" s="200" t="s">
        <v>256</v>
      </c>
      <c r="H3429" s="200" t="s">
        <v>269</v>
      </c>
      <c r="I3429" s="200" t="s">
        <v>2276</v>
      </c>
    </row>
    <row r="3430" spans="1:9" ht="15" customHeight="1">
      <c r="A3430" s="199">
        <v>45709</v>
      </c>
      <c r="B3430" s="202" t="s">
        <v>2808</v>
      </c>
      <c r="C3430" s="200" t="s">
        <v>307</v>
      </c>
      <c r="D3430" s="204">
        <v>-60000</v>
      </c>
      <c r="E3430" s="201">
        <v>45689</v>
      </c>
      <c r="F3430" s="200" t="s">
        <v>256</v>
      </c>
      <c r="G3430" s="200" t="s">
        <v>256</v>
      </c>
      <c r="H3430" s="200" t="s">
        <v>269</v>
      </c>
      <c r="I3430" s="200" t="s">
        <v>2276</v>
      </c>
    </row>
    <row r="3431" spans="1:9" ht="15" customHeight="1">
      <c r="A3431" s="199">
        <v>45709</v>
      </c>
      <c r="B3431" s="202" t="s">
        <v>2807</v>
      </c>
      <c r="C3431" s="200" t="s">
        <v>307</v>
      </c>
      <c r="D3431" s="204">
        <v>-38900</v>
      </c>
      <c r="E3431" s="201">
        <v>45689</v>
      </c>
      <c r="F3431" s="200" t="s">
        <v>256</v>
      </c>
      <c r="G3431" s="200" t="s">
        <v>256</v>
      </c>
      <c r="H3431" s="200" t="s">
        <v>269</v>
      </c>
      <c r="I3431" s="200" t="s">
        <v>2276</v>
      </c>
    </row>
    <row r="3432" spans="1:9" ht="15" customHeight="1">
      <c r="A3432" s="199">
        <v>45716</v>
      </c>
      <c r="B3432" s="202" t="s">
        <v>2809</v>
      </c>
      <c r="C3432" s="200" t="s">
        <v>314</v>
      </c>
      <c r="D3432" s="658">
        <v>20000000</v>
      </c>
      <c r="E3432" s="201">
        <v>45689</v>
      </c>
      <c r="F3432" s="200" t="s">
        <v>983</v>
      </c>
      <c r="G3432" s="200" t="s">
        <v>875</v>
      </c>
    </row>
    <row r="3433" spans="1:9" ht="15" customHeight="1">
      <c r="A3433" s="199">
        <v>45716</v>
      </c>
      <c r="B3433" s="202" t="s">
        <v>2810</v>
      </c>
      <c r="C3433" s="200" t="s">
        <v>136</v>
      </c>
      <c r="D3433" s="204">
        <v>-1176400</v>
      </c>
      <c r="E3433" s="201">
        <v>45689</v>
      </c>
      <c r="F3433" s="200" t="s">
        <v>296</v>
      </c>
      <c r="G3433" s="200" t="s">
        <v>44</v>
      </c>
      <c r="H3433" s="200" t="s">
        <v>429</v>
      </c>
    </row>
    <row r="3434" spans="1:9" ht="15" customHeight="1">
      <c r="A3434" s="199">
        <v>45716</v>
      </c>
      <c r="B3434" s="202" t="s">
        <v>2811</v>
      </c>
      <c r="C3434" s="200" t="s">
        <v>136</v>
      </c>
      <c r="D3434" s="204">
        <v>-865210</v>
      </c>
      <c r="E3434" s="201">
        <v>45689</v>
      </c>
      <c r="F3434" s="200" t="s">
        <v>296</v>
      </c>
      <c r="G3434" s="200" t="s">
        <v>44</v>
      </c>
      <c r="H3434" s="200" t="s">
        <v>429</v>
      </c>
    </row>
    <row r="3435" spans="1:9" ht="15" customHeight="1">
      <c r="A3435" s="199">
        <v>45716</v>
      </c>
      <c r="B3435" s="202" t="s">
        <v>2812</v>
      </c>
      <c r="C3435" s="200" t="s">
        <v>136</v>
      </c>
      <c r="D3435" s="204">
        <v>-865210</v>
      </c>
      <c r="E3435" s="201">
        <v>45689</v>
      </c>
      <c r="F3435" s="200" t="s">
        <v>296</v>
      </c>
      <c r="G3435" s="200" t="s">
        <v>44</v>
      </c>
      <c r="H3435" s="200" t="s">
        <v>429</v>
      </c>
    </row>
    <row r="3436" spans="1:9" ht="15" customHeight="1">
      <c r="A3436" s="199">
        <v>45716</v>
      </c>
      <c r="B3436" s="202" t="s">
        <v>2813</v>
      </c>
      <c r="C3436" s="200" t="s">
        <v>136</v>
      </c>
      <c r="D3436" s="204">
        <v>-865210</v>
      </c>
      <c r="E3436" s="201">
        <v>45689</v>
      </c>
      <c r="F3436" s="200" t="s">
        <v>296</v>
      </c>
      <c r="G3436" s="200" t="s">
        <v>44</v>
      </c>
      <c r="H3436" s="200" t="s">
        <v>429</v>
      </c>
    </row>
    <row r="3437" spans="1:9" ht="15" customHeight="1">
      <c r="A3437" s="199">
        <v>45716</v>
      </c>
      <c r="B3437" s="202" t="s">
        <v>2814</v>
      </c>
      <c r="C3437" s="200" t="s">
        <v>136</v>
      </c>
      <c r="D3437" s="204">
        <v>-865210</v>
      </c>
      <c r="E3437" s="201">
        <v>45689</v>
      </c>
      <c r="F3437" s="200" t="s">
        <v>296</v>
      </c>
      <c r="G3437" s="200" t="s">
        <v>44</v>
      </c>
      <c r="H3437" s="200" t="s">
        <v>429</v>
      </c>
    </row>
    <row r="3438" spans="1:9" ht="15" customHeight="1">
      <c r="A3438" s="199">
        <v>45716</v>
      </c>
      <c r="B3438" s="202" t="s">
        <v>2815</v>
      </c>
      <c r="C3438" s="200" t="s">
        <v>136</v>
      </c>
      <c r="D3438" s="204">
        <v>-3036000</v>
      </c>
      <c r="E3438" s="201">
        <v>45689</v>
      </c>
      <c r="F3438" s="200" t="s">
        <v>296</v>
      </c>
      <c r="G3438" s="200" t="s">
        <v>44</v>
      </c>
      <c r="H3438" s="655" t="s">
        <v>338</v>
      </c>
    </row>
    <row r="3439" spans="1:9" ht="15" customHeight="1">
      <c r="A3439" s="199">
        <v>45716</v>
      </c>
      <c r="B3439" s="202" t="s">
        <v>2816</v>
      </c>
      <c r="C3439" s="200" t="s">
        <v>136</v>
      </c>
      <c r="D3439" s="204">
        <v>-865210</v>
      </c>
      <c r="E3439" s="201">
        <v>45689</v>
      </c>
      <c r="F3439" s="200" t="s">
        <v>296</v>
      </c>
      <c r="G3439" s="200" t="s">
        <v>44</v>
      </c>
      <c r="H3439" s="200" t="s">
        <v>429</v>
      </c>
    </row>
    <row r="3440" spans="1:9" ht="15" customHeight="1">
      <c r="A3440" s="199">
        <v>45716</v>
      </c>
      <c r="B3440" s="202" t="s">
        <v>2817</v>
      </c>
      <c r="C3440" s="200" t="s">
        <v>136</v>
      </c>
      <c r="D3440" s="204">
        <v>-865210</v>
      </c>
      <c r="E3440" s="201">
        <v>45689</v>
      </c>
      <c r="F3440" s="200" t="s">
        <v>296</v>
      </c>
      <c r="G3440" s="200" t="s">
        <v>44</v>
      </c>
      <c r="H3440" s="200" t="s">
        <v>429</v>
      </c>
    </row>
    <row r="3441" spans="1:8" ht="15" customHeight="1">
      <c r="A3441" s="199">
        <v>45716</v>
      </c>
      <c r="B3441" s="202" t="s">
        <v>2818</v>
      </c>
      <c r="C3441" s="200" t="s">
        <v>136</v>
      </c>
      <c r="D3441" s="204">
        <v>-865210</v>
      </c>
      <c r="E3441" s="201">
        <v>45689</v>
      </c>
      <c r="F3441" s="200" t="s">
        <v>296</v>
      </c>
      <c r="G3441" s="200" t="s">
        <v>44</v>
      </c>
      <c r="H3441" s="200" t="s">
        <v>429</v>
      </c>
    </row>
    <row r="3442" spans="1:8" ht="15" customHeight="1">
      <c r="A3442" s="199">
        <v>45716</v>
      </c>
      <c r="B3442" s="202" t="s">
        <v>2819</v>
      </c>
      <c r="C3442" s="200" t="s">
        <v>136</v>
      </c>
      <c r="D3442" s="204">
        <v>-865210</v>
      </c>
      <c r="E3442" s="201">
        <v>45689</v>
      </c>
      <c r="F3442" s="200" t="s">
        <v>296</v>
      </c>
      <c r="G3442" s="200" t="s">
        <v>44</v>
      </c>
      <c r="H3442" s="200" t="s">
        <v>429</v>
      </c>
    </row>
    <row r="3443" spans="1:8" ht="15" customHeight="1">
      <c r="A3443" s="199">
        <v>45716</v>
      </c>
      <c r="B3443" s="202" t="s">
        <v>2820</v>
      </c>
      <c r="C3443" s="200" t="s">
        <v>136</v>
      </c>
      <c r="D3443" s="204">
        <v>-865210</v>
      </c>
      <c r="E3443" s="201">
        <v>45689</v>
      </c>
      <c r="F3443" s="200" t="s">
        <v>296</v>
      </c>
      <c r="G3443" s="200" t="s">
        <v>44</v>
      </c>
      <c r="H3443" s="200" t="s">
        <v>429</v>
      </c>
    </row>
    <row r="3444" spans="1:8" ht="15" customHeight="1">
      <c r="A3444" s="199">
        <v>45716</v>
      </c>
      <c r="B3444" s="202" t="s">
        <v>2821</v>
      </c>
      <c r="C3444" s="200" t="s">
        <v>136</v>
      </c>
      <c r="D3444" s="204">
        <v>-865210</v>
      </c>
      <c r="E3444" s="201">
        <v>45689</v>
      </c>
      <c r="F3444" s="200" t="s">
        <v>296</v>
      </c>
      <c r="G3444" s="200" t="s">
        <v>44</v>
      </c>
      <c r="H3444" s="200" t="s">
        <v>429</v>
      </c>
    </row>
    <row r="3445" spans="1:8" ht="15" customHeight="1">
      <c r="A3445" s="199">
        <v>45716</v>
      </c>
      <c r="B3445" s="202" t="s">
        <v>2822</v>
      </c>
      <c r="C3445" s="200" t="s">
        <v>136</v>
      </c>
      <c r="D3445" s="204">
        <v>-865210</v>
      </c>
      <c r="E3445" s="201">
        <v>45689</v>
      </c>
      <c r="F3445" s="200" t="s">
        <v>296</v>
      </c>
      <c r="G3445" s="200" t="s">
        <v>44</v>
      </c>
      <c r="H3445" s="200" t="s">
        <v>429</v>
      </c>
    </row>
    <row r="3446" spans="1:8" ht="15" customHeight="1">
      <c r="A3446" s="199">
        <v>45716</v>
      </c>
      <c r="B3446" s="202" t="s">
        <v>2823</v>
      </c>
      <c r="C3446" s="200" t="s">
        <v>136</v>
      </c>
      <c r="D3446" s="204">
        <v>-865210</v>
      </c>
      <c r="E3446" s="201">
        <v>45689</v>
      </c>
      <c r="F3446" s="200" t="s">
        <v>296</v>
      </c>
      <c r="G3446" s="200" t="s">
        <v>44</v>
      </c>
      <c r="H3446" s="200" t="s">
        <v>429</v>
      </c>
    </row>
    <row r="3447" spans="1:8" ht="15" customHeight="1">
      <c r="A3447" s="199">
        <v>45716</v>
      </c>
      <c r="B3447" s="202" t="s">
        <v>2824</v>
      </c>
      <c r="C3447" s="200" t="s">
        <v>136</v>
      </c>
      <c r="D3447" s="204">
        <v>-865210</v>
      </c>
      <c r="E3447" s="201">
        <v>45689</v>
      </c>
      <c r="F3447" s="200" t="s">
        <v>296</v>
      </c>
      <c r="G3447" s="200" t="s">
        <v>44</v>
      </c>
      <c r="H3447" s="200" t="s">
        <v>429</v>
      </c>
    </row>
    <row r="3448" spans="1:8" ht="15" customHeight="1">
      <c r="A3448" s="199">
        <v>45716</v>
      </c>
      <c r="B3448" s="202" t="s">
        <v>2825</v>
      </c>
      <c r="C3448" s="200" t="s">
        <v>136</v>
      </c>
      <c r="D3448" s="204">
        <v>-754810</v>
      </c>
      <c r="E3448" s="201">
        <v>45689</v>
      </c>
      <c r="F3448" s="200" t="s">
        <v>296</v>
      </c>
      <c r="G3448" s="200" t="s">
        <v>44</v>
      </c>
      <c r="H3448" s="200" t="s">
        <v>429</v>
      </c>
    </row>
    <row r="3449" spans="1:8" ht="15" customHeight="1">
      <c r="A3449" s="199">
        <v>45716</v>
      </c>
      <c r="B3449" s="202" t="s">
        <v>2826</v>
      </c>
      <c r="C3449" s="200" t="s">
        <v>136</v>
      </c>
      <c r="D3449" s="204">
        <v>-865210</v>
      </c>
      <c r="E3449" s="201">
        <v>45689</v>
      </c>
      <c r="F3449" s="200" t="s">
        <v>296</v>
      </c>
      <c r="G3449" s="200" t="s">
        <v>44</v>
      </c>
      <c r="H3449" s="200" t="s">
        <v>429</v>
      </c>
    </row>
    <row r="3450" spans="1:8" ht="15" customHeight="1">
      <c r="A3450" s="199">
        <v>45716</v>
      </c>
      <c r="B3450" s="202" t="s">
        <v>2827</v>
      </c>
      <c r="C3450" s="200" t="s">
        <v>136</v>
      </c>
      <c r="D3450" s="204">
        <v>-865210</v>
      </c>
      <c r="E3450" s="201">
        <v>45689</v>
      </c>
      <c r="F3450" s="200" t="s">
        <v>296</v>
      </c>
      <c r="G3450" s="200" t="s">
        <v>44</v>
      </c>
      <c r="H3450" s="200" t="s">
        <v>429</v>
      </c>
    </row>
    <row r="3451" spans="1:8" ht="15" customHeight="1">
      <c r="A3451" s="199">
        <v>45716</v>
      </c>
      <c r="B3451" s="202" t="s">
        <v>2828</v>
      </c>
      <c r="C3451" s="200" t="s">
        <v>136</v>
      </c>
      <c r="D3451" s="204">
        <v>-865210</v>
      </c>
      <c r="E3451" s="201">
        <v>45689</v>
      </c>
      <c r="F3451" s="200" t="s">
        <v>296</v>
      </c>
      <c r="G3451" s="200" t="s">
        <v>44</v>
      </c>
      <c r="H3451" s="200" t="s">
        <v>429</v>
      </c>
    </row>
    <row r="3452" spans="1:8" ht="15" customHeight="1">
      <c r="A3452" s="199">
        <v>45716</v>
      </c>
      <c r="B3452" s="202" t="s">
        <v>2829</v>
      </c>
      <c r="C3452" s="200" t="s">
        <v>136</v>
      </c>
      <c r="D3452" s="204">
        <v>-1066000</v>
      </c>
      <c r="E3452" s="201">
        <v>45689</v>
      </c>
      <c r="F3452" s="200" t="s">
        <v>296</v>
      </c>
      <c r="G3452" s="200" t="s">
        <v>44</v>
      </c>
      <c r="H3452" s="200" t="s">
        <v>429</v>
      </c>
    </row>
    <row r="3453" spans="1:8" ht="15" customHeight="1">
      <c r="A3453" s="199">
        <v>45716</v>
      </c>
      <c r="B3453" s="202" t="s">
        <v>2830</v>
      </c>
      <c r="C3453" s="200" t="s">
        <v>136</v>
      </c>
      <c r="D3453" s="204">
        <v>-865210</v>
      </c>
      <c r="E3453" s="201">
        <v>45689</v>
      </c>
      <c r="F3453" s="200" t="s">
        <v>296</v>
      </c>
      <c r="G3453" s="200" t="s">
        <v>44</v>
      </c>
      <c r="H3453" s="200" t="s">
        <v>429</v>
      </c>
    </row>
    <row r="3454" spans="1:8" ht="15" customHeight="1">
      <c r="A3454" s="199">
        <v>45716</v>
      </c>
      <c r="B3454" s="202" t="s">
        <v>2831</v>
      </c>
      <c r="C3454" s="200" t="s">
        <v>136</v>
      </c>
      <c r="D3454" s="204">
        <v>-865210</v>
      </c>
      <c r="E3454" s="201">
        <v>45689</v>
      </c>
      <c r="F3454" s="200" t="s">
        <v>296</v>
      </c>
      <c r="G3454" s="200" t="s">
        <v>44</v>
      </c>
      <c r="H3454" s="200" t="s">
        <v>429</v>
      </c>
    </row>
    <row r="3455" spans="1:8" ht="15" customHeight="1">
      <c r="A3455" s="199">
        <v>45716</v>
      </c>
      <c r="B3455" s="202" t="s">
        <v>2832</v>
      </c>
      <c r="C3455" s="200" t="s">
        <v>136</v>
      </c>
      <c r="D3455" s="204">
        <v>-865210</v>
      </c>
      <c r="E3455" s="201">
        <v>45689</v>
      </c>
      <c r="F3455" s="200" t="s">
        <v>296</v>
      </c>
      <c r="G3455" s="200" t="s">
        <v>44</v>
      </c>
      <c r="H3455" s="200" t="s">
        <v>429</v>
      </c>
    </row>
    <row r="3456" spans="1:8" ht="15" customHeight="1">
      <c r="A3456" s="199">
        <v>45716</v>
      </c>
      <c r="B3456" s="202" t="s">
        <v>2833</v>
      </c>
      <c r="C3456" s="200" t="s">
        <v>136</v>
      </c>
      <c r="D3456" s="204">
        <v>-865210</v>
      </c>
      <c r="E3456" s="201">
        <v>45689</v>
      </c>
      <c r="F3456" s="200" t="s">
        <v>296</v>
      </c>
      <c r="G3456" s="200" t="s">
        <v>44</v>
      </c>
      <c r="H3456" s="200" t="s">
        <v>429</v>
      </c>
    </row>
    <row r="3457" spans="1:8" ht="15" customHeight="1">
      <c r="A3457" s="199">
        <v>45716</v>
      </c>
      <c r="B3457" s="202" t="s">
        <v>2834</v>
      </c>
      <c r="C3457" s="200" t="s">
        <v>136</v>
      </c>
      <c r="D3457" s="204">
        <v>-4140000</v>
      </c>
      <c r="E3457" s="201">
        <v>45689</v>
      </c>
      <c r="F3457" s="200" t="s">
        <v>296</v>
      </c>
      <c r="G3457" s="200" t="s">
        <v>337</v>
      </c>
      <c r="H3457" s="655" t="s">
        <v>338</v>
      </c>
    </row>
    <row r="3458" spans="1:8" ht="15" customHeight="1">
      <c r="A3458" s="199">
        <v>45716</v>
      </c>
      <c r="B3458" s="202" t="s">
        <v>2835</v>
      </c>
      <c r="C3458" s="200" t="s">
        <v>136</v>
      </c>
      <c r="D3458" s="204">
        <v>-1334000</v>
      </c>
      <c r="E3458" s="201">
        <v>45689</v>
      </c>
      <c r="F3458" s="200" t="s">
        <v>296</v>
      </c>
      <c r="G3458" s="200" t="s">
        <v>337</v>
      </c>
      <c r="H3458" s="200" t="s">
        <v>421</v>
      </c>
    </row>
    <row r="3459" spans="1:8" ht="15" customHeight="1">
      <c r="A3459" s="199">
        <v>45716</v>
      </c>
      <c r="B3459" s="202" t="s">
        <v>2836</v>
      </c>
      <c r="C3459" s="200" t="s">
        <v>136</v>
      </c>
      <c r="D3459" s="204">
        <v>-882000</v>
      </c>
      <c r="E3459" s="201">
        <v>45689</v>
      </c>
      <c r="F3459" s="200" t="s">
        <v>296</v>
      </c>
      <c r="G3459" s="200" t="s">
        <v>337</v>
      </c>
      <c r="H3459" s="200" t="s">
        <v>421</v>
      </c>
    </row>
    <row r="3460" spans="1:8" ht="15" customHeight="1">
      <c r="A3460" s="199">
        <v>45716</v>
      </c>
      <c r="B3460" s="202" t="s">
        <v>2837</v>
      </c>
      <c r="C3460" s="200" t="s">
        <v>136</v>
      </c>
      <c r="D3460" s="204">
        <v>-1250000</v>
      </c>
      <c r="E3460" s="201">
        <v>45689</v>
      </c>
      <c r="F3460" s="200" t="s">
        <v>296</v>
      </c>
      <c r="G3460" s="200" t="s">
        <v>337</v>
      </c>
      <c r="H3460" s="200" t="s">
        <v>421</v>
      </c>
    </row>
    <row r="3461" spans="1:8" ht="15" customHeight="1">
      <c r="A3461" s="199">
        <v>45716</v>
      </c>
      <c r="B3461" s="202" t="s">
        <v>2838</v>
      </c>
      <c r="C3461" s="200" t="s">
        <v>136</v>
      </c>
      <c r="D3461" s="204">
        <v>-754810</v>
      </c>
      <c r="E3461" s="201">
        <v>45689</v>
      </c>
      <c r="F3461" s="200" t="s">
        <v>296</v>
      </c>
      <c r="G3461" s="200" t="s">
        <v>337</v>
      </c>
      <c r="H3461" s="200" t="s">
        <v>421</v>
      </c>
    </row>
    <row r="3462" spans="1:8" ht="15" customHeight="1">
      <c r="A3462" s="199">
        <v>45716</v>
      </c>
      <c r="B3462" s="202" t="s">
        <v>2839</v>
      </c>
      <c r="C3462" s="200" t="s">
        <v>136</v>
      </c>
      <c r="D3462" s="204">
        <v>-754810</v>
      </c>
      <c r="E3462" s="201">
        <v>45689</v>
      </c>
      <c r="F3462" s="200" t="s">
        <v>296</v>
      </c>
      <c r="G3462" s="200" t="s">
        <v>337</v>
      </c>
      <c r="H3462" s="200" t="s">
        <v>421</v>
      </c>
    </row>
    <row r="3463" spans="1:8" ht="15" customHeight="1">
      <c r="A3463" s="199">
        <v>45716</v>
      </c>
      <c r="B3463" s="202" t="s">
        <v>2840</v>
      </c>
      <c r="C3463" s="200" t="s">
        <v>136</v>
      </c>
      <c r="D3463" s="204">
        <v>-754810</v>
      </c>
      <c r="E3463" s="201">
        <v>45689</v>
      </c>
      <c r="F3463" s="200" t="s">
        <v>296</v>
      </c>
      <c r="G3463" s="200" t="s">
        <v>337</v>
      </c>
      <c r="H3463" s="200" t="s">
        <v>421</v>
      </c>
    </row>
    <row r="3464" spans="1:8" ht="15" customHeight="1">
      <c r="A3464" s="199">
        <v>45716</v>
      </c>
      <c r="B3464" s="202" t="s">
        <v>2841</v>
      </c>
      <c r="C3464" s="200" t="s">
        <v>136</v>
      </c>
      <c r="D3464" s="204">
        <v>-3036000</v>
      </c>
      <c r="E3464" s="201">
        <v>45689</v>
      </c>
      <c r="F3464" s="200" t="s">
        <v>296</v>
      </c>
      <c r="G3464" s="200" t="s">
        <v>337</v>
      </c>
      <c r="H3464" s="655" t="s">
        <v>338</v>
      </c>
    </row>
    <row r="3465" spans="1:8" ht="15" customHeight="1">
      <c r="A3465" s="199">
        <v>45716</v>
      </c>
      <c r="B3465" s="202" t="s">
        <v>2842</v>
      </c>
      <c r="C3465" s="200" t="s">
        <v>136</v>
      </c>
      <c r="D3465" s="204">
        <v>-754810</v>
      </c>
      <c r="E3465" s="201">
        <v>45689</v>
      </c>
      <c r="F3465" s="200" t="s">
        <v>296</v>
      </c>
      <c r="G3465" s="200" t="s">
        <v>337</v>
      </c>
      <c r="H3465" s="200" t="s">
        <v>421</v>
      </c>
    </row>
    <row r="3466" spans="1:8" ht="15" customHeight="1">
      <c r="A3466" s="199">
        <v>45716</v>
      </c>
      <c r="B3466" s="202" t="s">
        <v>2843</v>
      </c>
      <c r="C3466" s="200" t="s">
        <v>136</v>
      </c>
      <c r="D3466" s="204">
        <v>-754810</v>
      </c>
      <c r="E3466" s="201">
        <v>45689</v>
      </c>
      <c r="F3466" s="200" t="s">
        <v>296</v>
      </c>
      <c r="G3466" s="200" t="s">
        <v>337</v>
      </c>
      <c r="H3466" s="200" t="s">
        <v>421</v>
      </c>
    </row>
    <row r="3467" spans="1:8" ht="15" customHeight="1">
      <c r="A3467" s="199">
        <v>45716</v>
      </c>
      <c r="B3467" s="202" t="s">
        <v>2844</v>
      </c>
      <c r="C3467" s="200" t="s">
        <v>136</v>
      </c>
      <c r="D3467" s="204">
        <v>-754810</v>
      </c>
      <c r="E3467" s="201">
        <v>45689</v>
      </c>
      <c r="F3467" s="200" t="s">
        <v>296</v>
      </c>
      <c r="G3467" s="200" t="s">
        <v>337</v>
      </c>
      <c r="H3467" s="200" t="s">
        <v>421</v>
      </c>
    </row>
    <row r="3468" spans="1:8" ht="15" customHeight="1">
      <c r="A3468" s="199">
        <v>45716</v>
      </c>
      <c r="B3468" s="202" t="s">
        <v>2845</v>
      </c>
      <c r="C3468" s="200" t="s">
        <v>136</v>
      </c>
      <c r="D3468" s="204">
        <v>-754810</v>
      </c>
      <c r="E3468" s="201">
        <v>45689</v>
      </c>
      <c r="F3468" s="200" t="s">
        <v>296</v>
      </c>
      <c r="G3468" s="200" t="s">
        <v>337</v>
      </c>
      <c r="H3468" s="200" t="s">
        <v>421</v>
      </c>
    </row>
    <row r="3469" spans="1:8" ht="15" customHeight="1">
      <c r="A3469" s="199">
        <v>45716</v>
      </c>
      <c r="B3469" s="202" t="s">
        <v>2846</v>
      </c>
      <c r="C3469" s="200" t="s">
        <v>136</v>
      </c>
      <c r="D3469" s="204">
        <v>-882000</v>
      </c>
      <c r="E3469" s="201">
        <v>45689</v>
      </c>
      <c r="F3469" s="200" t="s">
        <v>296</v>
      </c>
      <c r="G3469" s="200" t="s">
        <v>337</v>
      </c>
      <c r="H3469" s="200" t="s">
        <v>421</v>
      </c>
    </row>
    <row r="3470" spans="1:8" ht="15" customHeight="1">
      <c r="A3470" s="199">
        <v>45716</v>
      </c>
      <c r="B3470" s="202" t="s">
        <v>2847</v>
      </c>
      <c r="C3470" s="200" t="s">
        <v>136</v>
      </c>
      <c r="D3470" s="204">
        <v>-754810</v>
      </c>
      <c r="E3470" s="201">
        <v>45689</v>
      </c>
      <c r="F3470" s="200" t="s">
        <v>296</v>
      </c>
      <c r="G3470" s="200" t="s">
        <v>337</v>
      </c>
      <c r="H3470" s="200" t="s">
        <v>421</v>
      </c>
    </row>
    <row r="3471" spans="1:8" ht="15" customHeight="1">
      <c r="A3471" s="199">
        <v>45716</v>
      </c>
      <c r="B3471" s="202" t="s">
        <v>2848</v>
      </c>
      <c r="C3471" s="200" t="s">
        <v>136</v>
      </c>
      <c r="D3471" s="204">
        <v>-754810</v>
      </c>
      <c r="E3471" s="201">
        <v>45689</v>
      </c>
      <c r="F3471" s="200" t="s">
        <v>296</v>
      </c>
      <c r="G3471" s="200" t="s">
        <v>337</v>
      </c>
      <c r="H3471" s="200" t="s">
        <v>421</v>
      </c>
    </row>
    <row r="3472" spans="1:8" ht="15" customHeight="1">
      <c r="A3472" s="199">
        <v>45716</v>
      </c>
      <c r="B3472" s="202" t="s">
        <v>2849</v>
      </c>
      <c r="C3472" s="200" t="s">
        <v>136</v>
      </c>
      <c r="D3472" s="204">
        <v>-754810</v>
      </c>
      <c r="E3472" s="201">
        <v>45689</v>
      </c>
      <c r="F3472" s="200" t="s">
        <v>296</v>
      </c>
      <c r="G3472" s="200" t="s">
        <v>337</v>
      </c>
      <c r="H3472" s="200" t="s">
        <v>421</v>
      </c>
    </row>
    <row r="3473" spans="1:8" ht="15" customHeight="1">
      <c r="A3473" s="199">
        <v>45716</v>
      </c>
      <c r="B3473" s="202" t="s">
        <v>2850</v>
      </c>
      <c r="C3473" s="200" t="s">
        <v>136</v>
      </c>
      <c r="D3473" s="204">
        <v>-754810</v>
      </c>
      <c r="E3473" s="201">
        <v>45689</v>
      </c>
      <c r="F3473" s="200" t="s">
        <v>296</v>
      </c>
      <c r="G3473" s="200" t="s">
        <v>337</v>
      </c>
      <c r="H3473" s="200" t="s">
        <v>421</v>
      </c>
    </row>
    <row r="3474" spans="1:8" ht="15" customHeight="1">
      <c r="A3474" s="199">
        <v>45716</v>
      </c>
      <c r="B3474" s="202" t="s">
        <v>2851</v>
      </c>
      <c r="C3474" s="200" t="s">
        <v>136</v>
      </c>
      <c r="D3474" s="204">
        <v>-1360400</v>
      </c>
      <c r="E3474" s="201">
        <v>45689</v>
      </c>
      <c r="F3474" s="200" t="s">
        <v>296</v>
      </c>
      <c r="G3474" s="200" t="s">
        <v>337</v>
      </c>
      <c r="H3474" s="200" t="s">
        <v>338</v>
      </c>
    </row>
    <row r="3475" spans="1:8" ht="15" customHeight="1">
      <c r="A3475" s="199">
        <v>45716</v>
      </c>
      <c r="B3475" s="202" t="s">
        <v>2852</v>
      </c>
      <c r="C3475" s="200" t="s">
        <v>136</v>
      </c>
      <c r="D3475" s="204">
        <v>-992400</v>
      </c>
      <c r="E3475" s="201">
        <v>45689</v>
      </c>
      <c r="F3475" s="200" t="s">
        <v>296</v>
      </c>
      <c r="G3475" s="200" t="s">
        <v>337</v>
      </c>
      <c r="H3475" s="200" t="s">
        <v>421</v>
      </c>
    </row>
    <row r="3476" spans="1:8" ht="15" customHeight="1">
      <c r="A3476" s="199">
        <v>45716</v>
      </c>
      <c r="B3476" s="202" t="s">
        <v>2853</v>
      </c>
      <c r="C3476" s="200" t="s">
        <v>136</v>
      </c>
      <c r="D3476" s="204">
        <v>-754810</v>
      </c>
      <c r="E3476" s="201">
        <v>45689</v>
      </c>
      <c r="F3476" s="200" t="s">
        <v>256</v>
      </c>
      <c r="G3476" s="200" t="s">
        <v>107</v>
      </c>
      <c r="H3476" s="200" t="s">
        <v>121</v>
      </c>
    </row>
    <row r="3477" spans="1:8" ht="15" customHeight="1">
      <c r="A3477" s="199">
        <v>45716</v>
      </c>
      <c r="B3477" s="202" t="s">
        <v>2854</v>
      </c>
      <c r="C3477" s="200" t="s">
        <v>136</v>
      </c>
      <c r="D3477" s="204">
        <v>-654810</v>
      </c>
      <c r="E3477" s="201">
        <v>45689</v>
      </c>
      <c r="F3477" s="200" t="s">
        <v>296</v>
      </c>
      <c r="G3477" s="200" t="s">
        <v>337</v>
      </c>
      <c r="H3477" s="200" t="s">
        <v>421</v>
      </c>
    </row>
    <row r="3478" spans="1:8" ht="15" customHeight="1">
      <c r="A3478" s="199">
        <v>45716</v>
      </c>
      <c r="B3478" s="202" t="s">
        <v>2855</v>
      </c>
      <c r="C3478" s="200" t="s">
        <v>136</v>
      </c>
      <c r="D3478" s="204">
        <v>-754810</v>
      </c>
      <c r="E3478" s="201">
        <v>45689</v>
      </c>
      <c r="F3478" s="200" t="s">
        <v>296</v>
      </c>
      <c r="G3478" s="200" t="s">
        <v>337</v>
      </c>
      <c r="H3478" s="200" t="s">
        <v>421</v>
      </c>
    </row>
    <row r="3479" spans="1:8" ht="15" customHeight="1">
      <c r="A3479" s="199">
        <v>45716</v>
      </c>
      <c r="B3479" s="202" t="s">
        <v>2856</v>
      </c>
      <c r="C3479" s="200" t="s">
        <v>136</v>
      </c>
      <c r="D3479" s="204">
        <v>-754810</v>
      </c>
      <c r="E3479" s="201">
        <v>45689</v>
      </c>
      <c r="F3479" s="200" t="s">
        <v>296</v>
      </c>
      <c r="G3479" s="200" t="s">
        <v>337</v>
      </c>
      <c r="H3479" s="200" t="s">
        <v>421</v>
      </c>
    </row>
    <row r="3480" spans="1:8" ht="15" customHeight="1">
      <c r="A3480" s="199">
        <v>45716</v>
      </c>
      <c r="B3480" s="202" t="s">
        <v>2857</v>
      </c>
      <c r="C3480" s="200" t="s">
        <v>136</v>
      </c>
      <c r="D3480" s="204">
        <v>-754810</v>
      </c>
      <c r="E3480" s="201">
        <v>45689</v>
      </c>
      <c r="F3480" s="200" t="s">
        <v>296</v>
      </c>
      <c r="G3480" s="200" t="s">
        <v>337</v>
      </c>
      <c r="H3480" s="200" t="s">
        <v>421</v>
      </c>
    </row>
    <row r="3481" spans="1:8" ht="15" customHeight="1">
      <c r="A3481" s="199">
        <v>45716</v>
      </c>
      <c r="B3481" s="202" t="s">
        <v>2858</v>
      </c>
      <c r="C3481" s="200" t="s">
        <v>136</v>
      </c>
      <c r="D3481" s="204">
        <v>-754810</v>
      </c>
      <c r="E3481" s="201">
        <v>45689</v>
      </c>
      <c r="F3481" s="200" t="s">
        <v>296</v>
      </c>
      <c r="G3481" s="200" t="s">
        <v>337</v>
      </c>
      <c r="H3481" s="200" t="s">
        <v>421</v>
      </c>
    </row>
    <row r="3482" spans="1:8" ht="15" customHeight="1">
      <c r="A3482" s="199">
        <v>45716</v>
      </c>
      <c r="B3482" s="202" t="s">
        <v>2859</v>
      </c>
      <c r="C3482" s="200" t="s">
        <v>136</v>
      </c>
      <c r="D3482" s="204">
        <v>-754810</v>
      </c>
      <c r="E3482" s="201">
        <v>45689</v>
      </c>
      <c r="F3482" s="200" t="s">
        <v>296</v>
      </c>
      <c r="G3482" s="200" t="s">
        <v>522</v>
      </c>
      <c r="H3482" s="200" t="s">
        <v>429</v>
      </c>
    </row>
    <row r="3483" spans="1:8" ht="15" customHeight="1">
      <c r="A3483" s="199">
        <v>45716</v>
      </c>
      <c r="B3483" s="202" t="s">
        <v>2860</v>
      </c>
      <c r="C3483" s="200" t="s">
        <v>136</v>
      </c>
      <c r="D3483" s="204">
        <v>-882000</v>
      </c>
      <c r="E3483" s="201">
        <v>45689</v>
      </c>
      <c r="F3483" s="200" t="s">
        <v>296</v>
      </c>
      <c r="G3483" s="200" t="s">
        <v>522</v>
      </c>
      <c r="H3483" s="200" t="s">
        <v>429</v>
      </c>
    </row>
    <row r="3484" spans="1:8" ht="15" customHeight="1">
      <c r="A3484" s="199">
        <v>45716</v>
      </c>
      <c r="B3484" s="202" t="s">
        <v>2861</v>
      </c>
      <c r="C3484" s="200" t="s">
        <v>136</v>
      </c>
      <c r="D3484" s="204">
        <v>-754810</v>
      </c>
      <c r="E3484" s="201">
        <v>45689</v>
      </c>
      <c r="F3484" s="200" t="s">
        <v>296</v>
      </c>
      <c r="G3484" s="200" t="s">
        <v>522</v>
      </c>
      <c r="H3484" s="200" t="s">
        <v>429</v>
      </c>
    </row>
    <row r="3485" spans="1:8" ht="15" customHeight="1">
      <c r="A3485" s="199">
        <v>45716</v>
      </c>
      <c r="B3485" s="202" t="s">
        <v>2862</v>
      </c>
      <c r="C3485" s="200" t="s">
        <v>136</v>
      </c>
      <c r="D3485" s="204">
        <v>-754810</v>
      </c>
      <c r="E3485" s="201">
        <v>45689</v>
      </c>
      <c r="F3485" s="200" t="s">
        <v>296</v>
      </c>
      <c r="G3485" s="200" t="s">
        <v>522</v>
      </c>
      <c r="H3485" s="200" t="s">
        <v>429</v>
      </c>
    </row>
    <row r="3486" spans="1:8" ht="15" customHeight="1">
      <c r="A3486" s="199">
        <v>45716</v>
      </c>
      <c r="B3486" s="202" t="s">
        <v>2863</v>
      </c>
      <c r="C3486" s="200" t="s">
        <v>136</v>
      </c>
      <c r="D3486" s="204">
        <v>-754810</v>
      </c>
      <c r="E3486" s="201">
        <v>45689</v>
      </c>
      <c r="F3486" s="200" t="s">
        <v>296</v>
      </c>
      <c r="G3486" s="200" t="s">
        <v>522</v>
      </c>
      <c r="H3486" s="200" t="s">
        <v>429</v>
      </c>
    </row>
    <row r="3487" spans="1:8" ht="15" customHeight="1">
      <c r="A3487" s="199">
        <v>45716</v>
      </c>
      <c r="B3487" s="202" t="s">
        <v>2864</v>
      </c>
      <c r="C3487" s="200" t="s">
        <v>136</v>
      </c>
      <c r="D3487" s="204">
        <v>-754810</v>
      </c>
      <c r="E3487" s="201">
        <v>45689</v>
      </c>
      <c r="F3487" s="200" t="s">
        <v>296</v>
      </c>
      <c r="G3487" s="200" t="s">
        <v>522</v>
      </c>
      <c r="H3487" s="200" t="s">
        <v>429</v>
      </c>
    </row>
    <row r="3488" spans="1:8" ht="15" customHeight="1">
      <c r="A3488" s="199">
        <v>45716</v>
      </c>
      <c r="B3488" s="202" t="s">
        <v>2865</v>
      </c>
      <c r="C3488" s="200" t="s">
        <v>136</v>
      </c>
      <c r="D3488" s="204">
        <v>-654810</v>
      </c>
      <c r="E3488" s="201">
        <v>45689</v>
      </c>
      <c r="F3488" s="200" t="s">
        <v>296</v>
      </c>
      <c r="G3488" s="200" t="s">
        <v>522</v>
      </c>
      <c r="H3488" s="200" t="s">
        <v>429</v>
      </c>
    </row>
    <row r="3489" spans="1:8" ht="15" customHeight="1">
      <c r="A3489" s="199">
        <v>45716</v>
      </c>
      <c r="B3489" s="202" t="s">
        <v>2866</v>
      </c>
      <c r="C3489" s="200" t="s">
        <v>136</v>
      </c>
      <c r="D3489" s="204">
        <v>-754810</v>
      </c>
      <c r="E3489" s="201">
        <v>45689</v>
      </c>
      <c r="F3489" s="200" t="s">
        <v>296</v>
      </c>
      <c r="G3489" s="200" t="s">
        <v>522</v>
      </c>
      <c r="H3489" s="200" t="s">
        <v>429</v>
      </c>
    </row>
    <row r="3490" spans="1:8" ht="15" customHeight="1">
      <c r="A3490" s="199">
        <v>45716</v>
      </c>
      <c r="B3490" s="202" t="s">
        <v>2867</v>
      </c>
      <c r="C3490" s="200" t="s">
        <v>136</v>
      </c>
      <c r="D3490" s="204">
        <v>-754810</v>
      </c>
      <c r="E3490" s="201">
        <v>45689</v>
      </c>
      <c r="F3490" s="200" t="s">
        <v>296</v>
      </c>
      <c r="G3490" s="200" t="s">
        <v>522</v>
      </c>
      <c r="H3490" s="200" t="s">
        <v>429</v>
      </c>
    </row>
    <row r="3491" spans="1:8" ht="15" customHeight="1">
      <c r="A3491" s="199">
        <v>45716</v>
      </c>
      <c r="B3491" s="202" t="s">
        <v>2868</v>
      </c>
      <c r="C3491" s="200" t="s">
        <v>136</v>
      </c>
      <c r="D3491" s="204">
        <v>-754810</v>
      </c>
      <c r="E3491" s="201">
        <v>45689</v>
      </c>
      <c r="F3491" s="200" t="s">
        <v>296</v>
      </c>
      <c r="G3491" s="200" t="s">
        <v>522</v>
      </c>
      <c r="H3491" s="200" t="s">
        <v>429</v>
      </c>
    </row>
    <row r="3492" spans="1:8" ht="15" customHeight="1">
      <c r="A3492" s="199">
        <v>45716</v>
      </c>
      <c r="B3492" s="202" t="s">
        <v>2869</v>
      </c>
      <c r="C3492" s="200" t="s">
        <v>136</v>
      </c>
      <c r="D3492" s="204">
        <v>-754810</v>
      </c>
      <c r="E3492" s="201">
        <v>45689</v>
      </c>
      <c r="F3492" s="200" t="s">
        <v>296</v>
      </c>
      <c r="G3492" s="200" t="s">
        <v>522</v>
      </c>
      <c r="H3492" s="200" t="s">
        <v>429</v>
      </c>
    </row>
    <row r="3493" spans="1:8" ht="15" customHeight="1">
      <c r="A3493" s="199">
        <v>45716</v>
      </c>
      <c r="B3493" s="202" t="s">
        <v>2870</v>
      </c>
      <c r="C3493" s="200" t="s">
        <v>136</v>
      </c>
      <c r="D3493" s="204">
        <v>-754810</v>
      </c>
      <c r="E3493" s="201">
        <v>45689</v>
      </c>
      <c r="F3493" s="200" t="s">
        <v>296</v>
      </c>
      <c r="G3493" s="200" t="s">
        <v>522</v>
      </c>
      <c r="H3493" s="200" t="s">
        <v>429</v>
      </c>
    </row>
    <row r="3494" spans="1:8" ht="15" customHeight="1">
      <c r="A3494" s="199">
        <v>45716</v>
      </c>
      <c r="B3494" s="202" t="s">
        <v>2871</v>
      </c>
      <c r="C3494" s="200" t="s">
        <v>136</v>
      </c>
      <c r="D3494" s="204">
        <v>-754810</v>
      </c>
      <c r="E3494" s="201">
        <v>45689</v>
      </c>
      <c r="F3494" s="200" t="s">
        <v>296</v>
      </c>
      <c r="G3494" s="200" t="s">
        <v>522</v>
      </c>
      <c r="H3494" s="200" t="s">
        <v>429</v>
      </c>
    </row>
    <row r="3495" spans="1:8" ht="15" customHeight="1">
      <c r="A3495" s="199">
        <v>45716</v>
      </c>
      <c r="B3495" s="202" t="s">
        <v>2872</v>
      </c>
      <c r="C3495" s="200" t="s">
        <v>136</v>
      </c>
      <c r="D3495" s="204">
        <v>-2760000</v>
      </c>
      <c r="E3495" s="201">
        <v>45689</v>
      </c>
      <c r="F3495" s="200" t="s">
        <v>296</v>
      </c>
      <c r="G3495" s="200" t="s">
        <v>522</v>
      </c>
      <c r="H3495" s="655" t="s">
        <v>338</v>
      </c>
    </row>
    <row r="3496" spans="1:8" ht="15" customHeight="1">
      <c r="A3496" s="199">
        <v>45716</v>
      </c>
      <c r="B3496" s="202" t="s">
        <v>2873</v>
      </c>
      <c r="C3496" s="200" t="s">
        <v>136</v>
      </c>
      <c r="D3496" s="204">
        <v>-754810</v>
      </c>
      <c r="E3496" s="201">
        <v>45689</v>
      </c>
      <c r="F3496" s="200" t="s">
        <v>296</v>
      </c>
      <c r="G3496" s="200" t="s">
        <v>411</v>
      </c>
      <c r="H3496" s="200" t="s">
        <v>342</v>
      </c>
    </row>
    <row r="3497" spans="1:8" ht="15" customHeight="1">
      <c r="A3497" s="199">
        <v>45716</v>
      </c>
      <c r="B3497" s="202" t="s">
        <v>2874</v>
      </c>
      <c r="C3497" s="200" t="s">
        <v>136</v>
      </c>
      <c r="D3497" s="204">
        <v>-754810</v>
      </c>
      <c r="E3497" s="201">
        <v>45689</v>
      </c>
      <c r="F3497" s="200" t="s">
        <v>296</v>
      </c>
      <c r="G3497" s="200" t="s">
        <v>411</v>
      </c>
      <c r="H3497" s="200" t="s">
        <v>342</v>
      </c>
    </row>
    <row r="3498" spans="1:8" ht="15" customHeight="1">
      <c r="A3498" s="199">
        <v>45716</v>
      </c>
      <c r="B3498" s="202" t="s">
        <v>2875</v>
      </c>
      <c r="C3498" s="200" t="s">
        <v>136</v>
      </c>
      <c r="D3498" s="204">
        <v>-754810</v>
      </c>
      <c r="E3498" s="201">
        <v>45689</v>
      </c>
      <c r="F3498" s="200" t="s">
        <v>296</v>
      </c>
      <c r="G3498" s="200" t="s">
        <v>411</v>
      </c>
      <c r="H3498" s="200" t="s">
        <v>342</v>
      </c>
    </row>
    <row r="3499" spans="1:8" ht="15" customHeight="1">
      <c r="A3499" s="199">
        <v>45716</v>
      </c>
      <c r="B3499" s="202" t="s">
        <v>2876</v>
      </c>
      <c r="C3499" s="200" t="s">
        <v>136</v>
      </c>
      <c r="D3499" s="204">
        <v>-1458527.5</v>
      </c>
      <c r="E3499" s="201">
        <v>45689</v>
      </c>
      <c r="F3499" s="200" t="s">
        <v>296</v>
      </c>
      <c r="G3499" s="200" t="s">
        <v>328</v>
      </c>
      <c r="H3499" s="200" t="s">
        <v>342</v>
      </c>
    </row>
    <row r="3500" spans="1:8" ht="15" customHeight="1">
      <c r="A3500" s="199">
        <v>45716</v>
      </c>
      <c r="B3500" s="202" t="s">
        <v>2877</v>
      </c>
      <c r="C3500" s="200" t="s">
        <v>136</v>
      </c>
      <c r="D3500" s="204">
        <v>-943200</v>
      </c>
      <c r="E3500" s="201">
        <v>45689</v>
      </c>
      <c r="F3500" s="200" t="s">
        <v>296</v>
      </c>
      <c r="G3500" s="200" t="s">
        <v>328</v>
      </c>
      <c r="H3500" s="200" t="s">
        <v>342</v>
      </c>
    </row>
    <row r="3501" spans="1:8" ht="15" customHeight="1">
      <c r="A3501" s="199">
        <v>45716</v>
      </c>
      <c r="B3501" s="202" t="s">
        <v>2878</v>
      </c>
      <c r="C3501" s="200" t="s">
        <v>136</v>
      </c>
      <c r="D3501" s="204">
        <v>-850184.5</v>
      </c>
      <c r="E3501" s="201">
        <v>45689</v>
      </c>
      <c r="F3501" s="200" t="s">
        <v>296</v>
      </c>
      <c r="G3501" s="200" t="s">
        <v>328</v>
      </c>
      <c r="H3501" s="200" t="s">
        <v>342</v>
      </c>
    </row>
    <row r="3502" spans="1:8" ht="15" customHeight="1">
      <c r="A3502" s="199">
        <v>45716</v>
      </c>
      <c r="B3502" s="202" t="s">
        <v>2879</v>
      </c>
      <c r="C3502" s="200" t="s">
        <v>136</v>
      </c>
      <c r="D3502" s="204">
        <v>-754810</v>
      </c>
      <c r="E3502" s="201">
        <v>45689</v>
      </c>
      <c r="F3502" s="200" t="s">
        <v>296</v>
      </c>
      <c r="G3502" s="200" t="s">
        <v>328</v>
      </c>
      <c r="H3502" s="200" t="s">
        <v>342</v>
      </c>
    </row>
    <row r="3503" spans="1:8" ht="15" customHeight="1">
      <c r="A3503" s="199">
        <v>45716</v>
      </c>
      <c r="B3503" s="202" t="s">
        <v>2880</v>
      </c>
      <c r="C3503" s="200" t="s">
        <v>136</v>
      </c>
      <c r="D3503" s="204">
        <v>-875095.75</v>
      </c>
      <c r="E3503" s="201">
        <v>45689</v>
      </c>
      <c r="F3503" s="200" t="s">
        <v>296</v>
      </c>
      <c r="G3503" s="200" t="s">
        <v>328</v>
      </c>
      <c r="H3503" s="200" t="s">
        <v>342</v>
      </c>
    </row>
    <row r="3504" spans="1:8" ht="15" customHeight="1">
      <c r="A3504" s="199">
        <v>45716</v>
      </c>
      <c r="B3504" s="202" t="s">
        <v>2881</v>
      </c>
      <c r="C3504" s="200" t="s">
        <v>136</v>
      </c>
      <c r="D3504" s="204">
        <v>-1247700</v>
      </c>
      <c r="E3504" s="201">
        <v>45689</v>
      </c>
      <c r="F3504" s="200" t="s">
        <v>296</v>
      </c>
      <c r="G3504" s="200" t="s">
        <v>984</v>
      </c>
      <c r="H3504" s="200" t="s">
        <v>342</v>
      </c>
    </row>
    <row r="3505" spans="1:8" ht="15" customHeight="1">
      <c r="A3505" s="199">
        <v>45716</v>
      </c>
      <c r="B3505" s="202" t="s">
        <v>2882</v>
      </c>
      <c r="C3505" s="200" t="s">
        <v>136</v>
      </c>
      <c r="D3505" s="204">
        <v>-754810</v>
      </c>
      <c r="E3505" s="201">
        <v>45689</v>
      </c>
      <c r="F3505" s="200" t="s">
        <v>296</v>
      </c>
      <c r="G3505" s="200" t="s">
        <v>984</v>
      </c>
      <c r="H3505" s="200" t="s">
        <v>342</v>
      </c>
    </row>
    <row r="3506" spans="1:8" ht="15" customHeight="1">
      <c r="A3506" s="199">
        <v>45716</v>
      </c>
      <c r="B3506" s="202" t="s">
        <v>2883</v>
      </c>
      <c r="C3506" s="200" t="s">
        <v>136</v>
      </c>
      <c r="D3506" s="204">
        <v>-836000</v>
      </c>
      <c r="E3506" s="201">
        <v>45689</v>
      </c>
      <c r="F3506" s="200" t="s">
        <v>296</v>
      </c>
      <c r="G3506" s="200" t="s">
        <v>984</v>
      </c>
      <c r="H3506" s="200" t="s">
        <v>342</v>
      </c>
    </row>
    <row r="3507" spans="1:8" ht="15" customHeight="1">
      <c r="A3507" s="199">
        <v>45716</v>
      </c>
      <c r="B3507" s="202" t="s">
        <v>2884</v>
      </c>
      <c r="C3507" s="200" t="s">
        <v>136</v>
      </c>
      <c r="D3507" s="204">
        <v>-754810</v>
      </c>
      <c r="E3507" s="201">
        <v>45689</v>
      </c>
      <c r="F3507" s="200" t="s">
        <v>296</v>
      </c>
      <c r="G3507" s="200" t="s">
        <v>984</v>
      </c>
      <c r="H3507" s="200" t="s">
        <v>342</v>
      </c>
    </row>
    <row r="3508" spans="1:8" ht="15" customHeight="1">
      <c r="A3508" s="199">
        <v>45716</v>
      </c>
      <c r="B3508" s="202" t="s">
        <v>2885</v>
      </c>
      <c r="C3508" s="200" t="s">
        <v>136</v>
      </c>
      <c r="D3508" s="204">
        <v>-754810</v>
      </c>
      <c r="E3508" s="201">
        <v>45689</v>
      </c>
      <c r="F3508" s="200" t="s">
        <v>296</v>
      </c>
      <c r="G3508" s="200" t="s">
        <v>984</v>
      </c>
      <c r="H3508" s="200" t="s">
        <v>342</v>
      </c>
    </row>
    <row r="3509" spans="1:8" ht="15" customHeight="1">
      <c r="A3509" s="199">
        <v>45716</v>
      </c>
      <c r="B3509" s="202" t="s">
        <v>2886</v>
      </c>
      <c r="C3509" s="200" t="s">
        <v>136</v>
      </c>
      <c r="D3509" s="204">
        <v>-741476.66666666663</v>
      </c>
      <c r="E3509" s="201">
        <v>45689</v>
      </c>
      <c r="F3509" s="200" t="s">
        <v>296</v>
      </c>
      <c r="G3509" s="200" t="s">
        <v>390</v>
      </c>
      <c r="H3509" s="200" t="s">
        <v>342</v>
      </c>
    </row>
    <row r="3510" spans="1:8" ht="15" customHeight="1">
      <c r="A3510" s="199">
        <v>45716</v>
      </c>
      <c r="B3510" s="202" t="s">
        <v>2887</v>
      </c>
      <c r="C3510" s="200" t="s">
        <v>136</v>
      </c>
      <c r="D3510" s="204">
        <v>-914200</v>
      </c>
      <c r="E3510" s="201">
        <v>45689</v>
      </c>
      <c r="F3510" s="200" t="s">
        <v>296</v>
      </c>
      <c r="G3510" s="200" t="s">
        <v>390</v>
      </c>
      <c r="H3510" s="200" t="s">
        <v>342</v>
      </c>
    </row>
    <row r="3511" spans="1:8" ht="15" customHeight="1">
      <c r="A3511" s="199">
        <v>45716</v>
      </c>
      <c r="B3511" s="202" t="s">
        <v>2888</v>
      </c>
      <c r="C3511" s="200" t="s">
        <v>136</v>
      </c>
      <c r="D3511" s="204">
        <v>-754810</v>
      </c>
      <c r="E3511" s="201">
        <v>45689</v>
      </c>
      <c r="F3511" s="200" t="s">
        <v>296</v>
      </c>
      <c r="G3511" s="200" t="s">
        <v>390</v>
      </c>
      <c r="H3511" s="200" t="s">
        <v>342</v>
      </c>
    </row>
    <row r="3512" spans="1:8" ht="15" customHeight="1">
      <c r="A3512" s="199">
        <v>45716</v>
      </c>
      <c r="B3512" s="202" t="s">
        <v>2889</v>
      </c>
      <c r="C3512" s="200" t="s">
        <v>136</v>
      </c>
      <c r="D3512" s="204">
        <v>-754810</v>
      </c>
      <c r="E3512" s="201">
        <v>45689</v>
      </c>
      <c r="F3512" s="200" t="s">
        <v>296</v>
      </c>
      <c r="G3512" s="200" t="s">
        <v>390</v>
      </c>
      <c r="H3512" s="200" t="s">
        <v>342</v>
      </c>
    </row>
    <row r="3513" spans="1:8" ht="15" customHeight="1">
      <c r="A3513" s="199">
        <v>45716</v>
      </c>
      <c r="B3513" s="202" t="s">
        <v>2890</v>
      </c>
      <c r="C3513" s="200" t="s">
        <v>136</v>
      </c>
      <c r="D3513" s="204">
        <v>-887878</v>
      </c>
      <c r="E3513" s="201">
        <v>45689</v>
      </c>
      <c r="F3513" s="200" t="s">
        <v>296</v>
      </c>
      <c r="G3513" s="200" t="s">
        <v>1124</v>
      </c>
      <c r="H3513" s="200" t="s">
        <v>342</v>
      </c>
    </row>
    <row r="3514" spans="1:8" ht="15" customHeight="1">
      <c r="A3514" s="199">
        <v>45716</v>
      </c>
      <c r="B3514" s="202" t="s">
        <v>2891</v>
      </c>
      <c r="C3514" s="200" t="s">
        <v>136</v>
      </c>
      <c r="D3514" s="204">
        <v>-887878</v>
      </c>
      <c r="E3514" s="201">
        <v>45689</v>
      </c>
      <c r="F3514" s="200" t="s">
        <v>296</v>
      </c>
      <c r="G3514" s="200" t="s">
        <v>1124</v>
      </c>
      <c r="H3514" s="200" t="s">
        <v>342</v>
      </c>
    </row>
    <row r="3515" spans="1:8" ht="15" customHeight="1">
      <c r="A3515" s="199">
        <v>45716</v>
      </c>
      <c r="B3515" s="202" t="s">
        <v>2892</v>
      </c>
      <c r="C3515" s="200" t="s">
        <v>136</v>
      </c>
      <c r="D3515" s="204">
        <v>-1307500</v>
      </c>
      <c r="E3515" s="201">
        <v>45689</v>
      </c>
      <c r="F3515" s="200" t="s">
        <v>296</v>
      </c>
      <c r="G3515" s="200" t="s">
        <v>1124</v>
      </c>
      <c r="H3515" s="200" t="s">
        <v>342</v>
      </c>
    </row>
    <row r="3516" spans="1:8" ht="15" customHeight="1">
      <c r="A3516" s="199">
        <v>45716</v>
      </c>
      <c r="B3516" s="202" t="s">
        <v>2893</v>
      </c>
      <c r="C3516" s="200" t="s">
        <v>136</v>
      </c>
      <c r="D3516" s="204">
        <v>-790000</v>
      </c>
      <c r="E3516" s="201">
        <v>45689</v>
      </c>
      <c r="F3516" s="200" t="s">
        <v>296</v>
      </c>
      <c r="G3516" s="200" t="s">
        <v>1124</v>
      </c>
      <c r="H3516" s="200" t="s">
        <v>342</v>
      </c>
    </row>
    <row r="3517" spans="1:8" ht="15" customHeight="1">
      <c r="A3517" s="199">
        <v>45716</v>
      </c>
      <c r="B3517" s="745" t="s">
        <v>2894</v>
      </c>
      <c r="C3517" s="200" t="s">
        <v>136</v>
      </c>
      <c r="D3517" s="204">
        <v>-2760000</v>
      </c>
      <c r="E3517" s="201">
        <v>45689</v>
      </c>
      <c r="F3517" s="200" t="s">
        <v>296</v>
      </c>
      <c r="G3517" s="655" t="s">
        <v>337</v>
      </c>
      <c r="H3517" s="200" t="s">
        <v>338</v>
      </c>
    </row>
    <row r="3518" spans="1:8" ht="15" customHeight="1">
      <c r="A3518" s="199">
        <v>45716</v>
      </c>
      <c r="B3518" s="202" t="s">
        <v>2895</v>
      </c>
      <c r="C3518" s="200" t="s">
        <v>136</v>
      </c>
      <c r="D3518" s="204">
        <v>-2760000</v>
      </c>
      <c r="E3518" s="201">
        <v>45689</v>
      </c>
      <c r="F3518" s="200" t="s">
        <v>296</v>
      </c>
      <c r="G3518" s="200" t="s">
        <v>1124</v>
      </c>
      <c r="H3518" s="200" t="s">
        <v>567</v>
      </c>
    </row>
    <row r="3519" spans="1:8" ht="15" customHeight="1">
      <c r="A3519" s="199">
        <v>45716</v>
      </c>
      <c r="B3519" s="202" t="s">
        <v>2896</v>
      </c>
      <c r="C3519" s="200" t="s">
        <v>136</v>
      </c>
      <c r="D3519" s="204">
        <v>-2760000</v>
      </c>
      <c r="E3519" s="201">
        <v>45689</v>
      </c>
      <c r="F3519" s="200" t="s">
        <v>296</v>
      </c>
      <c r="G3519" s="200" t="s">
        <v>1362</v>
      </c>
      <c r="H3519" s="200" t="s">
        <v>567</v>
      </c>
    </row>
    <row r="3520" spans="1:8" ht="15" customHeight="1">
      <c r="A3520" s="199">
        <v>45716</v>
      </c>
      <c r="B3520" s="202" t="s">
        <v>2897</v>
      </c>
      <c r="C3520" s="200" t="s">
        <v>136</v>
      </c>
      <c r="D3520" s="204">
        <v>-2576000</v>
      </c>
      <c r="E3520" s="201">
        <v>45689</v>
      </c>
      <c r="F3520" s="200" t="s">
        <v>296</v>
      </c>
      <c r="G3520" s="200" t="s">
        <v>1124</v>
      </c>
      <c r="H3520" s="200" t="s">
        <v>567</v>
      </c>
    </row>
    <row r="3521" spans="1:8" ht="15" customHeight="1">
      <c r="A3521" s="199">
        <v>45716</v>
      </c>
      <c r="B3521" s="202" t="s">
        <v>2898</v>
      </c>
      <c r="C3521" s="200" t="s">
        <v>136</v>
      </c>
      <c r="D3521" s="204">
        <v>-796581.33333333337</v>
      </c>
      <c r="E3521" s="201">
        <v>45689</v>
      </c>
      <c r="F3521" s="200" t="s">
        <v>296</v>
      </c>
      <c r="G3521" s="200" t="s">
        <v>1124</v>
      </c>
      <c r="H3521" s="200" t="s">
        <v>342</v>
      </c>
    </row>
    <row r="3522" spans="1:8" ht="15" customHeight="1">
      <c r="A3522" s="199">
        <v>45716</v>
      </c>
      <c r="B3522" s="202" t="s">
        <v>2899</v>
      </c>
      <c r="C3522" s="200" t="s">
        <v>136</v>
      </c>
      <c r="D3522" s="204">
        <v>-3457550</v>
      </c>
      <c r="E3522" s="201">
        <v>45689</v>
      </c>
      <c r="F3522" s="200" t="s">
        <v>296</v>
      </c>
      <c r="G3522" s="200" t="s">
        <v>328</v>
      </c>
      <c r="H3522" s="200" t="s">
        <v>567</v>
      </c>
    </row>
    <row r="3523" spans="1:8" ht="15" customHeight="1">
      <c r="A3523" s="199">
        <v>45716</v>
      </c>
      <c r="B3523" s="202" t="s">
        <v>2899</v>
      </c>
      <c r="C3523" s="200" t="s">
        <v>136</v>
      </c>
      <c r="D3523" s="204">
        <v>-1728775</v>
      </c>
      <c r="E3523" s="201">
        <v>45689</v>
      </c>
      <c r="F3523" s="200" t="s">
        <v>296</v>
      </c>
      <c r="G3523" s="200" t="s">
        <v>390</v>
      </c>
      <c r="H3523" s="200" t="s">
        <v>567</v>
      </c>
    </row>
    <row r="3524" spans="1:8" ht="15" customHeight="1">
      <c r="A3524" s="199">
        <v>45716</v>
      </c>
      <c r="B3524" s="202" t="s">
        <v>2899</v>
      </c>
      <c r="C3524" s="200" t="s">
        <v>136</v>
      </c>
      <c r="D3524" s="204">
        <v>-1728775</v>
      </c>
      <c r="E3524" s="201">
        <v>45689</v>
      </c>
      <c r="F3524" s="200" t="s">
        <v>296</v>
      </c>
      <c r="G3524" s="200" t="s">
        <v>984</v>
      </c>
      <c r="H3524" s="200" t="s">
        <v>567</v>
      </c>
    </row>
    <row r="3525" spans="1:8" ht="15" customHeight="1">
      <c r="A3525" s="199">
        <v>45716</v>
      </c>
      <c r="B3525" s="202" t="s">
        <v>2900</v>
      </c>
      <c r="C3525" s="200" t="s">
        <v>136</v>
      </c>
      <c r="D3525" s="204">
        <v>-480200</v>
      </c>
      <c r="E3525" s="201">
        <v>45689</v>
      </c>
      <c r="F3525" s="200" t="s">
        <v>296</v>
      </c>
      <c r="G3525" s="200" t="s">
        <v>328</v>
      </c>
      <c r="H3525" s="200" t="s">
        <v>567</v>
      </c>
    </row>
    <row r="3526" spans="1:8" ht="15" customHeight="1">
      <c r="A3526" s="199">
        <v>45716</v>
      </c>
      <c r="B3526" s="202" t="s">
        <v>2900</v>
      </c>
      <c r="C3526" s="200" t="s">
        <v>136</v>
      </c>
      <c r="D3526" s="204">
        <v>-240100</v>
      </c>
      <c r="E3526" s="201">
        <v>45689</v>
      </c>
      <c r="F3526" s="200" t="s">
        <v>296</v>
      </c>
      <c r="G3526" s="200" t="s">
        <v>390</v>
      </c>
      <c r="H3526" s="200" t="s">
        <v>567</v>
      </c>
    </row>
    <row r="3527" spans="1:8" ht="15" customHeight="1">
      <c r="A3527" s="199">
        <v>45716</v>
      </c>
      <c r="B3527" s="202" t="s">
        <v>2900</v>
      </c>
      <c r="C3527" s="200" t="s">
        <v>136</v>
      </c>
      <c r="D3527" s="204">
        <v>-240100</v>
      </c>
      <c r="E3527" s="201">
        <v>45689</v>
      </c>
      <c r="F3527" s="200" t="s">
        <v>296</v>
      </c>
      <c r="G3527" s="200" t="s">
        <v>984</v>
      </c>
      <c r="H3527" s="200" t="s">
        <v>567</v>
      </c>
    </row>
    <row r="3528" spans="1:8" ht="15" customHeight="1">
      <c r="A3528" s="199">
        <v>45716</v>
      </c>
      <c r="B3528" s="202" t="s">
        <v>2901</v>
      </c>
      <c r="C3528" s="200" t="s">
        <v>136</v>
      </c>
      <c r="D3528" s="204">
        <v>-1660000</v>
      </c>
      <c r="E3528" s="201">
        <v>45689</v>
      </c>
      <c r="F3528" s="200" t="s">
        <v>296</v>
      </c>
      <c r="G3528" s="200" t="s">
        <v>328</v>
      </c>
      <c r="H3528" s="200" t="s">
        <v>567</v>
      </c>
    </row>
    <row r="3529" spans="1:8" ht="15" customHeight="1">
      <c r="A3529" s="199">
        <v>45716</v>
      </c>
      <c r="B3529" s="202" t="s">
        <v>2901</v>
      </c>
      <c r="C3529" s="200" t="s">
        <v>136</v>
      </c>
      <c r="D3529" s="204">
        <v>-830000</v>
      </c>
      <c r="E3529" s="201">
        <v>45689</v>
      </c>
      <c r="F3529" s="200" t="s">
        <v>296</v>
      </c>
      <c r="G3529" s="200" t="s">
        <v>411</v>
      </c>
      <c r="H3529" s="200" t="s">
        <v>567</v>
      </c>
    </row>
    <row r="3530" spans="1:8" ht="15" customHeight="1">
      <c r="A3530" s="199">
        <v>45716</v>
      </c>
      <c r="B3530" s="202" t="s">
        <v>2901</v>
      </c>
      <c r="C3530" s="200" t="s">
        <v>136</v>
      </c>
      <c r="D3530" s="204">
        <v>-830000</v>
      </c>
      <c r="E3530" s="201">
        <v>45689</v>
      </c>
      <c r="F3530" s="200" t="s">
        <v>296</v>
      </c>
      <c r="G3530" s="200" t="s">
        <v>984</v>
      </c>
      <c r="H3530" s="200" t="s">
        <v>567</v>
      </c>
    </row>
    <row r="3531" spans="1:8" ht="15" customHeight="1">
      <c r="A3531" s="199">
        <v>45716</v>
      </c>
      <c r="B3531" s="202" t="s">
        <v>2902</v>
      </c>
      <c r="C3531" s="200" t="s">
        <v>136</v>
      </c>
      <c r="D3531" s="204">
        <v>-1835000</v>
      </c>
      <c r="E3531" s="201">
        <v>45689</v>
      </c>
      <c r="F3531" s="200" t="s">
        <v>296</v>
      </c>
      <c r="G3531" s="200" t="s">
        <v>328</v>
      </c>
      <c r="H3531" s="200" t="s">
        <v>567</v>
      </c>
    </row>
    <row r="3532" spans="1:8" ht="15" customHeight="1">
      <c r="A3532" s="199">
        <v>45716</v>
      </c>
      <c r="B3532" s="202" t="s">
        <v>2902</v>
      </c>
      <c r="C3532" s="200" t="s">
        <v>136</v>
      </c>
      <c r="D3532" s="204">
        <v>-917500</v>
      </c>
      <c r="E3532" s="201">
        <v>45689</v>
      </c>
      <c r="F3532" s="200" t="s">
        <v>296</v>
      </c>
      <c r="G3532" s="200" t="s">
        <v>390</v>
      </c>
      <c r="H3532" s="200" t="s">
        <v>567</v>
      </c>
    </row>
    <row r="3533" spans="1:8" ht="15" customHeight="1">
      <c r="A3533" s="199">
        <v>45716</v>
      </c>
      <c r="B3533" s="202" t="s">
        <v>2902</v>
      </c>
      <c r="C3533" s="200" t="s">
        <v>136</v>
      </c>
      <c r="D3533" s="204">
        <v>-917500</v>
      </c>
      <c r="E3533" s="201">
        <v>45689</v>
      </c>
      <c r="F3533" s="200" t="s">
        <v>296</v>
      </c>
      <c r="G3533" s="200" t="s">
        <v>984</v>
      </c>
      <c r="H3533" s="200" t="s">
        <v>567</v>
      </c>
    </row>
    <row r="3534" spans="1:8" ht="15" customHeight="1">
      <c r="A3534" s="199">
        <v>45716</v>
      </c>
      <c r="B3534" s="202" t="s">
        <v>2903</v>
      </c>
      <c r="C3534" s="200" t="s">
        <v>136</v>
      </c>
      <c r="D3534" s="204">
        <v>-1097840</v>
      </c>
      <c r="E3534" s="201">
        <v>45689</v>
      </c>
      <c r="F3534" s="200" t="s">
        <v>296</v>
      </c>
      <c r="G3534" s="200" t="s">
        <v>328</v>
      </c>
      <c r="H3534" s="200" t="s">
        <v>567</v>
      </c>
    </row>
    <row r="3535" spans="1:8" ht="15" customHeight="1">
      <c r="A3535" s="199">
        <v>45716</v>
      </c>
      <c r="B3535" s="202" t="s">
        <v>2903</v>
      </c>
      <c r="C3535" s="200" t="s">
        <v>136</v>
      </c>
      <c r="D3535" s="204">
        <v>-548920</v>
      </c>
      <c r="E3535" s="201">
        <v>45689</v>
      </c>
      <c r="F3535" s="200" t="s">
        <v>296</v>
      </c>
      <c r="G3535" s="200" t="s">
        <v>390</v>
      </c>
      <c r="H3535" s="200" t="s">
        <v>567</v>
      </c>
    </row>
    <row r="3536" spans="1:8" ht="15" customHeight="1">
      <c r="A3536" s="199">
        <v>45716</v>
      </c>
      <c r="B3536" s="202" t="s">
        <v>2903</v>
      </c>
      <c r="C3536" s="200" t="s">
        <v>136</v>
      </c>
      <c r="D3536" s="204">
        <v>-548920</v>
      </c>
      <c r="E3536" s="201">
        <v>45689</v>
      </c>
      <c r="F3536" s="200" t="s">
        <v>296</v>
      </c>
      <c r="G3536" s="200" t="s">
        <v>984</v>
      </c>
      <c r="H3536" s="200" t="s">
        <v>567</v>
      </c>
    </row>
    <row r="3537" spans="1:9" ht="15" customHeight="1">
      <c r="A3537" s="199">
        <v>45716</v>
      </c>
      <c r="B3537" s="202" t="s">
        <v>2904</v>
      </c>
      <c r="C3537" s="200" t="s">
        <v>136</v>
      </c>
      <c r="D3537" s="204">
        <v>-502405</v>
      </c>
      <c r="E3537" s="201">
        <v>45689</v>
      </c>
      <c r="F3537" s="200" t="s">
        <v>296</v>
      </c>
      <c r="G3537" s="200" t="s">
        <v>328</v>
      </c>
      <c r="H3537" s="200" t="s">
        <v>567</v>
      </c>
    </row>
    <row r="3538" spans="1:9" ht="15" customHeight="1">
      <c r="A3538" s="199">
        <v>45716</v>
      </c>
      <c r="B3538" s="202" t="s">
        <v>2904</v>
      </c>
      <c r="C3538" s="200" t="s">
        <v>136</v>
      </c>
      <c r="D3538" s="204">
        <v>-251202.5</v>
      </c>
      <c r="E3538" s="201">
        <v>45689</v>
      </c>
      <c r="F3538" s="200" t="s">
        <v>296</v>
      </c>
      <c r="G3538" s="200" t="s">
        <v>390</v>
      </c>
      <c r="H3538" s="200" t="s">
        <v>567</v>
      </c>
    </row>
    <row r="3539" spans="1:9" ht="15" customHeight="1">
      <c r="A3539" s="199">
        <v>45716</v>
      </c>
      <c r="B3539" s="202" t="s">
        <v>2904</v>
      </c>
      <c r="C3539" s="200" t="s">
        <v>136</v>
      </c>
      <c r="D3539" s="204">
        <v>-251203</v>
      </c>
      <c r="E3539" s="201">
        <v>45689</v>
      </c>
      <c r="F3539" s="200" t="s">
        <v>296</v>
      </c>
      <c r="G3539" s="200" t="s">
        <v>984</v>
      </c>
      <c r="H3539" s="200" t="s">
        <v>567</v>
      </c>
    </row>
    <row r="3540" spans="1:9" ht="15" customHeight="1">
      <c r="A3540" s="199">
        <v>45716</v>
      </c>
      <c r="B3540" s="202" t="s">
        <v>2905</v>
      </c>
      <c r="C3540" s="200" t="s">
        <v>136</v>
      </c>
      <c r="D3540" s="204">
        <v>-1359800</v>
      </c>
      <c r="E3540" s="201">
        <v>45689</v>
      </c>
      <c r="F3540" s="200" t="s">
        <v>296</v>
      </c>
      <c r="G3540" s="200" t="s">
        <v>328</v>
      </c>
      <c r="H3540" s="200" t="s">
        <v>567</v>
      </c>
    </row>
    <row r="3541" spans="1:9" ht="15" customHeight="1">
      <c r="A3541" s="199">
        <v>45716</v>
      </c>
      <c r="B3541" s="202" t="s">
        <v>2905</v>
      </c>
      <c r="C3541" s="200" t="s">
        <v>136</v>
      </c>
      <c r="D3541" s="204">
        <v>-679900</v>
      </c>
      <c r="E3541" s="201">
        <v>45689</v>
      </c>
      <c r="F3541" s="200" t="s">
        <v>296</v>
      </c>
      <c r="G3541" s="200" t="s">
        <v>390</v>
      </c>
      <c r="H3541" s="200" t="s">
        <v>567</v>
      </c>
      <c r="I3541" s="648" t="s">
        <v>329</v>
      </c>
    </row>
    <row r="3542" spans="1:9" ht="15" customHeight="1">
      <c r="A3542" s="199">
        <v>45716</v>
      </c>
      <c r="B3542" s="202" t="s">
        <v>2905</v>
      </c>
      <c r="C3542" s="200" t="s">
        <v>136</v>
      </c>
      <c r="D3542" s="204">
        <v>-679900</v>
      </c>
      <c r="E3542" s="201">
        <v>45689</v>
      </c>
      <c r="F3542" s="200" t="s">
        <v>296</v>
      </c>
      <c r="G3542" s="200" t="s">
        <v>984</v>
      </c>
      <c r="H3542" s="200" t="s">
        <v>567</v>
      </c>
    </row>
    <row r="3543" spans="1:9" ht="15" customHeight="1">
      <c r="A3543" s="199">
        <v>45716</v>
      </c>
      <c r="B3543" s="202" t="s">
        <v>2906</v>
      </c>
      <c r="C3543" s="200" t="s">
        <v>136</v>
      </c>
      <c r="D3543" s="204">
        <v>-802666.66666666663</v>
      </c>
      <c r="E3543" s="201">
        <v>45689</v>
      </c>
      <c r="F3543" s="200" t="s">
        <v>296</v>
      </c>
      <c r="G3543" s="200" t="s">
        <v>337</v>
      </c>
      <c r="H3543" s="655" t="s">
        <v>338</v>
      </c>
      <c r="I3543" s="648" t="s">
        <v>329</v>
      </c>
    </row>
    <row r="3544" spans="1:9" ht="15" customHeight="1">
      <c r="A3544" s="199">
        <v>45716</v>
      </c>
      <c r="B3544" s="202" t="s">
        <v>2906</v>
      </c>
      <c r="C3544" s="200" t="s">
        <v>136</v>
      </c>
      <c r="D3544" s="204">
        <v>-802666.66666666663</v>
      </c>
      <c r="E3544" s="201">
        <v>45689</v>
      </c>
      <c r="F3544" s="200" t="s">
        <v>296</v>
      </c>
      <c r="G3544" s="200" t="s">
        <v>44</v>
      </c>
      <c r="H3544" s="655" t="s">
        <v>338</v>
      </c>
      <c r="I3544" s="648" t="s">
        <v>329</v>
      </c>
    </row>
    <row r="3545" spans="1:9" ht="15" customHeight="1">
      <c r="A3545" s="199">
        <v>45716</v>
      </c>
      <c r="B3545" s="202" t="s">
        <v>2906</v>
      </c>
      <c r="C3545" s="200" t="s">
        <v>136</v>
      </c>
      <c r="D3545" s="204">
        <v>-802666.66666666663</v>
      </c>
      <c r="E3545" s="201">
        <v>45689</v>
      </c>
      <c r="F3545" s="200" t="s">
        <v>296</v>
      </c>
      <c r="G3545" s="200" t="s">
        <v>522</v>
      </c>
      <c r="H3545" s="655" t="s">
        <v>338</v>
      </c>
      <c r="I3545" s="648" t="s">
        <v>329</v>
      </c>
    </row>
    <row r="3546" spans="1:9" ht="15" customHeight="1">
      <c r="A3546" s="199">
        <v>45716</v>
      </c>
      <c r="B3546" s="202" t="s">
        <v>2907</v>
      </c>
      <c r="C3546" s="200" t="s">
        <v>136</v>
      </c>
      <c r="D3546" s="204">
        <v>-3436000</v>
      </c>
      <c r="E3546" s="201">
        <v>45689</v>
      </c>
      <c r="F3546" s="200" t="s">
        <v>256</v>
      </c>
      <c r="G3546" s="200" t="s">
        <v>107</v>
      </c>
      <c r="H3546" s="200" t="s">
        <v>121</v>
      </c>
      <c r="I3546" s="648" t="s">
        <v>329</v>
      </c>
    </row>
    <row r="3547" spans="1:9" ht="15" customHeight="1">
      <c r="A3547" s="199">
        <v>45716</v>
      </c>
      <c r="B3547" s="202" t="s">
        <v>2908</v>
      </c>
      <c r="C3547" s="200" t="s">
        <v>136</v>
      </c>
      <c r="D3547" s="204">
        <v>-1467000</v>
      </c>
      <c r="E3547" s="201">
        <v>45689</v>
      </c>
      <c r="F3547" s="200" t="s">
        <v>296</v>
      </c>
      <c r="G3547" s="200" t="s">
        <v>328</v>
      </c>
      <c r="H3547" s="200" t="s">
        <v>567</v>
      </c>
    </row>
    <row r="3548" spans="1:9" ht="15" customHeight="1">
      <c r="A3548" s="199">
        <v>45716</v>
      </c>
      <c r="B3548" s="202" t="s">
        <v>2908</v>
      </c>
      <c r="C3548" s="200" t="s">
        <v>136</v>
      </c>
      <c r="D3548" s="204">
        <v>-733500</v>
      </c>
      <c r="E3548" s="201">
        <v>45689</v>
      </c>
      <c r="F3548" s="200" t="s">
        <v>296</v>
      </c>
      <c r="G3548" s="200" t="s">
        <v>411</v>
      </c>
      <c r="H3548" s="200" t="s">
        <v>567</v>
      </c>
      <c r="I3548" s="648" t="s">
        <v>329</v>
      </c>
    </row>
    <row r="3549" spans="1:9" ht="15" customHeight="1">
      <c r="A3549" s="199">
        <v>45716</v>
      </c>
      <c r="B3549" s="202" t="s">
        <v>2908</v>
      </c>
      <c r="C3549" s="200" t="s">
        <v>136</v>
      </c>
      <c r="D3549" s="204">
        <v>-733500</v>
      </c>
      <c r="E3549" s="201">
        <v>45689</v>
      </c>
      <c r="F3549" s="200" t="s">
        <v>296</v>
      </c>
      <c r="G3549" s="200" t="s">
        <v>984</v>
      </c>
      <c r="H3549" s="200" t="s">
        <v>567</v>
      </c>
      <c r="I3549" s="648" t="s">
        <v>329</v>
      </c>
    </row>
    <row r="3550" spans="1:9" ht="15" customHeight="1">
      <c r="A3550" s="199">
        <v>45716</v>
      </c>
      <c r="B3550" s="202" t="s">
        <v>2909</v>
      </c>
      <c r="C3550" s="200" t="s">
        <v>136</v>
      </c>
      <c r="D3550" s="204">
        <v>-4839200</v>
      </c>
      <c r="E3550" s="201">
        <v>45689</v>
      </c>
      <c r="F3550" s="200" t="s">
        <v>256</v>
      </c>
      <c r="G3550" s="200" t="s">
        <v>256</v>
      </c>
      <c r="H3550" s="200" t="s">
        <v>121</v>
      </c>
    </row>
    <row r="3551" spans="1:9" ht="15" customHeight="1">
      <c r="A3551" s="199">
        <v>45716</v>
      </c>
      <c r="B3551" s="202" t="s">
        <v>2910</v>
      </c>
      <c r="C3551" s="200" t="s">
        <v>136</v>
      </c>
      <c r="D3551" s="204">
        <v>-12862000</v>
      </c>
      <c r="E3551" s="201">
        <v>45689</v>
      </c>
      <c r="F3551" s="200" t="s">
        <v>256</v>
      </c>
      <c r="G3551" s="200" t="s">
        <v>256</v>
      </c>
      <c r="H3551" s="200" t="s">
        <v>121</v>
      </c>
    </row>
    <row r="3552" spans="1:9" ht="15" customHeight="1">
      <c r="A3552" s="199">
        <v>45716</v>
      </c>
      <c r="B3552" s="202" t="s">
        <v>2911</v>
      </c>
      <c r="C3552" s="200" t="s">
        <v>136</v>
      </c>
      <c r="D3552" s="204">
        <v>-12862000</v>
      </c>
      <c r="E3552" s="201">
        <v>45689</v>
      </c>
      <c r="F3552" s="200" t="s">
        <v>256</v>
      </c>
      <c r="G3552" s="200" t="s">
        <v>256</v>
      </c>
      <c r="H3552" s="200" t="s">
        <v>121</v>
      </c>
    </row>
    <row r="3553" spans="1:8" ht="15" customHeight="1">
      <c r="A3553" s="199">
        <v>45716</v>
      </c>
      <c r="B3553" s="202" t="s">
        <v>2912</v>
      </c>
      <c r="C3553" s="200" t="s">
        <v>136</v>
      </c>
      <c r="D3553" s="204">
        <v>-882000</v>
      </c>
      <c r="E3553" s="201">
        <v>45689</v>
      </c>
      <c r="F3553" s="200" t="s">
        <v>256</v>
      </c>
      <c r="G3553" s="200" t="s">
        <v>256</v>
      </c>
      <c r="H3553" s="200" t="s">
        <v>121</v>
      </c>
    </row>
    <row r="3554" spans="1:8" ht="15" customHeight="1">
      <c r="A3554" s="199">
        <v>45716</v>
      </c>
      <c r="B3554" s="202" t="s">
        <v>2913</v>
      </c>
      <c r="C3554" s="200" t="s">
        <v>136</v>
      </c>
      <c r="D3554" s="204">
        <v>-2300000</v>
      </c>
      <c r="E3554" s="201">
        <v>45689</v>
      </c>
      <c r="F3554" s="200" t="s">
        <v>256</v>
      </c>
      <c r="G3554" s="200" t="s">
        <v>256</v>
      </c>
      <c r="H3554" s="200" t="s">
        <v>121</v>
      </c>
    </row>
    <row r="3555" spans="1:8" ht="15" customHeight="1">
      <c r="A3555" s="199">
        <v>45716</v>
      </c>
      <c r="B3555" s="202" t="s">
        <v>2914</v>
      </c>
      <c r="C3555" s="200" t="s">
        <v>136</v>
      </c>
      <c r="D3555" s="204">
        <v>-904080</v>
      </c>
      <c r="E3555" s="201">
        <v>45689</v>
      </c>
      <c r="F3555" s="200" t="s">
        <v>256</v>
      </c>
      <c r="G3555" s="200" t="s">
        <v>256</v>
      </c>
      <c r="H3555" s="200" t="s">
        <v>121</v>
      </c>
    </row>
    <row r="3556" spans="1:8" ht="15" customHeight="1">
      <c r="A3556" s="199">
        <v>45716</v>
      </c>
      <c r="B3556" s="202" t="s">
        <v>2915</v>
      </c>
      <c r="C3556" s="200" t="s">
        <v>136</v>
      </c>
      <c r="D3556" s="204">
        <v>-754810</v>
      </c>
      <c r="E3556" s="201">
        <v>45689</v>
      </c>
      <c r="F3556" s="200" t="s">
        <v>256</v>
      </c>
      <c r="G3556" s="200" t="s">
        <v>256</v>
      </c>
      <c r="H3556" s="200" t="s">
        <v>121</v>
      </c>
    </row>
    <row r="3557" spans="1:8" ht="15" customHeight="1">
      <c r="A3557" s="199">
        <v>45716</v>
      </c>
      <c r="B3557" s="202" t="s">
        <v>2916</v>
      </c>
      <c r="C3557" s="200" t="s">
        <v>136</v>
      </c>
      <c r="D3557" s="204">
        <v>-3220000</v>
      </c>
      <c r="E3557" s="201">
        <v>45689</v>
      </c>
      <c r="F3557" s="200" t="s">
        <v>256</v>
      </c>
      <c r="G3557" s="200" t="s">
        <v>256</v>
      </c>
      <c r="H3557" s="200" t="s">
        <v>121</v>
      </c>
    </row>
    <row r="3558" spans="1:8" ht="15" customHeight="1">
      <c r="A3558" s="199">
        <v>45716</v>
      </c>
      <c r="B3558" s="202" t="s">
        <v>2917</v>
      </c>
      <c r="C3558" s="200" t="s">
        <v>136</v>
      </c>
      <c r="D3558" s="204">
        <v>-813000</v>
      </c>
      <c r="E3558" s="201">
        <v>45689</v>
      </c>
      <c r="F3558" s="200" t="s">
        <v>256</v>
      </c>
      <c r="G3558" s="200" t="s">
        <v>256</v>
      </c>
      <c r="H3558" s="200" t="s">
        <v>121</v>
      </c>
    </row>
    <row r="3559" spans="1:8" ht="15" customHeight="1">
      <c r="A3559" s="199">
        <v>45716</v>
      </c>
      <c r="B3559" s="202" t="s">
        <v>2918</v>
      </c>
      <c r="C3559" s="200" t="s">
        <v>136</v>
      </c>
      <c r="D3559" s="204">
        <v>-1886000</v>
      </c>
      <c r="E3559" s="201">
        <v>45689</v>
      </c>
      <c r="F3559" s="200" t="s">
        <v>256</v>
      </c>
      <c r="G3559" s="200" t="s">
        <v>256</v>
      </c>
      <c r="H3559" s="200" t="s">
        <v>121</v>
      </c>
    </row>
    <row r="3560" spans="1:8" ht="15" customHeight="1">
      <c r="A3560" s="199">
        <v>45716</v>
      </c>
      <c r="B3560" s="202" t="s">
        <v>2919</v>
      </c>
      <c r="C3560" s="200" t="s">
        <v>136</v>
      </c>
      <c r="D3560" s="204">
        <v>-355875</v>
      </c>
      <c r="E3560" s="201">
        <v>45689</v>
      </c>
      <c r="F3560" s="200" t="s">
        <v>256</v>
      </c>
      <c r="G3560" s="200" t="s">
        <v>256</v>
      </c>
      <c r="H3560" s="200" t="s">
        <v>121</v>
      </c>
    </row>
    <row r="3561" spans="1:8" ht="15" customHeight="1">
      <c r="A3561" s="199">
        <v>45716</v>
      </c>
      <c r="B3561" s="202" t="s">
        <v>2920</v>
      </c>
      <c r="C3561" s="200" t="s">
        <v>136</v>
      </c>
      <c r="D3561" s="204">
        <v>-1182000</v>
      </c>
      <c r="E3561" s="201">
        <v>45689</v>
      </c>
      <c r="F3561" s="200" t="s">
        <v>256</v>
      </c>
      <c r="G3561" s="200" t="s">
        <v>256</v>
      </c>
      <c r="H3561" s="200" t="s">
        <v>121</v>
      </c>
    </row>
    <row r="3562" spans="1:8" ht="15" customHeight="1">
      <c r="A3562" s="199">
        <v>45716</v>
      </c>
      <c r="B3562" s="202" t="s">
        <v>2921</v>
      </c>
      <c r="C3562" s="200" t="s">
        <v>136</v>
      </c>
      <c r="D3562" s="204">
        <v>-754810</v>
      </c>
      <c r="E3562" s="201">
        <v>45689</v>
      </c>
      <c r="F3562" s="200" t="s">
        <v>256</v>
      </c>
      <c r="G3562" s="200" t="s">
        <v>256</v>
      </c>
      <c r="H3562" s="200" t="s">
        <v>121</v>
      </c>
    </row>
    <row r="3563" spans="1:8" ht="15" customHeight="1">
      <c r="A3563" s="199">
        <v>45716</v>
      </c>
      <c r="B3563" s="202" t="s">
        <v>2922</v>
      </c>
      <c r="C3563" s="200" t="s">
        <v>136</v>
      </c>
      <c r="D3563" s="204">
        <v>-754810</v>
      </c>
      <c r="E3563" s="201">
        <v>45689</v>
      </c>
      <c r="F3563" s="200" t="s">
        <v>256</v>
      </c>
      <c r="G3563" s="200" t="s">
        <v>256</v>
      </c>
      <c r="H3563" s="200" t="s">
        <v>121</v>
      </c>
    </row>
    <row r="3564" spans="1:8" ht="15" customHeight="1">
      <c r="A3564" s="199">
        <v>45716</v>
      </c>
      <c r="B3564" s="202" t="s">
        <v>2923</v>
      </c>
      <c r="C3564" s="200" t="s">
        <v>136</v>
      </c>
      <c r="D3564" s="204">
        <v>-3036000</v>
      </c>
      <c r="E3564" s="201">
        <v>45689</v>
      </c>
      <c r="F3564" s="200" t="s">
        <v>256</v>
      </c>
      <c r="G3564" s="200" t="s">
        <v>256</v>
      </c>
      <c r="H3564" s="200" t="s">
        <v>121</v>
      </c>
    </row>
    <row r="3565" spans="1:8" ht="15" customHeight="1">
      <c r="A3565" s="199">
        <v>45716</v>
      </c>
      <c r="B3565" s="202" t="s">
        <v>2924</v>
      </c>
      <c r="C3565" s="200" t="s">
        <v>136</v>
      </c>
      <c r="D3565" s="204">
        <v>-2760000</v>
      </c>
      <c r="E3565" s="201">
        <v>45689</v>
      </c>
      <c r="F3565" s="200" t="s">
        <v>256</v>
      </c>
      <c r="G3565" s="200" t="s">
        <v>256</v>
      </c>
      <c r="H3565" s="200" t="s">
        <v>121</v>
      </c>
    </row>
    <row r="3566" spans="1:8" ht="15" customHeight="1">
      <c r="A3566" s="199">
        <v>45716</v>
      </c>
      <c r="B3566" s="202" t="s">
        <v>2925</v>
      </c>
      <c r="C3566" s="200" t="s">
        <v>136</v>
      </c>
      <c r="D3566" s="204">
        <v>-754810</v>
      </c>
      <c r="E3566" s="201">
        <v>45689</v>
      </c>
      <c r="F3566" s="200" t="s">
        <v>256</v>
      </c>
      <c r="G3566" s="200" t="s">
        <v>256</v>
      </c>
      <c r="H3566" s="200" t="s">
        <v>121</v>
      </c>
    </row>
    <row r="3567" spans="1:8" ht="15" customHeight="1">
      <c r="A3567" s="199">
        <v>45716</v>
      </c>
      <c r="B3567" s="202" t="s">
        <v>2926</v>
      </c>
      <c r="C3567" s="200" t="s">
        <v>136</v>
      </c>
      <c r="D3567" s="204">
        <v>-2316000</v>
      </c>
      <c r="E3567" s="201">
        <v>45689</v>
      </c>
      <c r="F3567" s="200" t="s">
        <v>256</v>
      </c>
      <c r="G3567" s="200" t="s">
        <v>256</v>
      </c>
      <c r="H3567" s="200" t="s">
        <v>121</v>
      </c>
    </row>
    <row r="3568" spans="1:8" ht="15" customHeight="1">
      <c r="A3568" s="199">
        <v>45716</v>
      </c>
      <c r="B3568" s="202" t="s">
        <v>2927</v>
      </c>
      <c r="C3568" s="200" t="s">
        <v>136</v>
      </c>
      <c r="D3568" s="204">
        <v>-882000</v>
      </c>
      <c r="E3568" s="201">
        <v>45689</v>
      </c>
      <c r="F3568" s="200" t="s">
        <v>256</v>
      </c>
      <c r="G3568" s="200" t="s">
        <v>256</v>
      </c>
      <c r="H3568" s="200" t="s">
        <v>121</v>
      </c>
    </row>
    <row r="3569" spans="1:9" ht="15" customHeight="1">
      <c r="A3569" s="199">
        <v>45716</v>
      </c>
      <c r="B3569" s="202" t="s">
        <v>2928</v>
      </c>
      <c r="C3569" s="200" t="s">
        <v>136</v>
      </c>
      <c r="D3569" s="716">
        <v>-4048837.8539999998</v>
      </c>
      <c r="E3569" s="201">
        <v>45689</v>
      </c>
      <c r="F3569" s="200" t="s">
        <v>256</v>
      </c>
      <c r="G3569" s="200" t="s">
        <v>107</v>
      </c>
      <c r="H3569" s="200" t="s">
        <v>121</v>
      </c>
    </row>
    <row r="3570" spans="1:9" ht="15" customHeight="1">
      <c r="A3570" s="199">
        <v>45716</v>
      </c>
      <c r="B3570" s="202" t="s">
        <v>2929</v>
      </c>
      <c r="C3570" s="200" t="s">
        <v>136</v>
      </c>
      <c r="D3570" s="204">
        <v>-3100138</v>
      </c>
      <c r="E3570" s="201">
        <v>45689</v>
      </c>
      <c r="F3570" s="200" t="s">
        <v>296</v>
      </c>
      <c r="G3570" s="200" t="s">
        <v>2418</v>
      </c>
      <c r="H3570" s="200" t="s">
        <v>342</v>
      </c>
    </row>
    <row r="3571" spans="1:9" ht="15" customHeight="1">
      <c r="A3571" s="199">
        <v>45716</v>
      </c>
      <c r="B3571" s="202" t="s">
        <v>2930</v>
      </c>
      <c r="C3571" s="200" t="s">
        <v>136</v>
      </c>
      <c r="D3571" s="204">
        <v>-4675219</v>
      </c>
      <c r="E3571" s="201">
        <v>45689</v>
      </c>
      <c r="F3571" s="200" t="s">
        <v>297</v>
      </c>
      <c r="G3571" s="200" t="s">
        <v>2931</v>
      </c>
      <c r="H3571" s="200" t="s">
        <v>342</v>
      </c>
    </row>
    <row r="3572" spans="1:9" ht="15" customHeight="1">
      <c r="A3572" s="199">
        <v>45716</v>
      </c>
      <c r="B3572" s="202" t="s">
        <v>2932</v>
      </c>
      <c r="C3572" s="200" t="s">
        <v>136</v>
      </c>
      <c r="D3572" s="204">
        <v>-4371360</v>
      </c>
      <c r="E3572" s="201">
        <v>45689</v>
      </c>
      <c r="F3572" s="200" t="s">
        <v>256</v>
      </c>
      <c r="G3572" s="200" t="s">
        <v>107</v>
      </c>
      <c r="H3572" s="200" t="s">
        <v>121</v>
      </c>
    </row>
    <row r="3573" spans="1:9" ht="15" customHeight="1">
      <c r="A3573" s="199">
        <v>45716</v>
      </c>
      <c r="B3573" s="202" t="s">
        <v>2933</v>
      </c>
      <c r="C3573" s="200" t="s">
        <v>136</v>
      </c>
      <c r="D3573" s="204">
        <v>-2768000</v>
      </c>
      <c r="E3573" s="201">
        <v>45689</v>
      </c>
      <c r="F3573" s="200" t="s">
        <v>256</v>
      </c>
      <c r="G3573" s="200" t="s">
        <v>107</v>
      </c>
      <c r="H3573" s="200" t="s">
        <v>121</v>
      </c>
    </row>
    <row r="3574" spans="1:9" ht="15" customHeight="1">
      <c r="A3574" s="199">
        <v>45716</v>
      </c>
      <c r="B3574" s="202" t="s">
        <v>2934</v>
      </c>
      <c r="C3574" s="200" t="s">
        <v>136</v>
      </c>
      <c r="D3574" s="204">
        <v>-754810</v>
      </c>
      <c r="E3574" s="201">
        <v>45689</v>
      </c>
      <c r="F3574" s="200" t="s">
        <v>256</v>
      </c>
      <c r="G3574" s="200" t="s">
        <v>107</v>
      </c>
      <c r="H3574" s="200" t="s">
        <v>121</v>
      </c>
    </row>
    <row r="3575" spans="1:9" ht="15" customHeight="1">
      <c r="A3575" s="199">
        <v>45716</v>
      </c>
      <c r="B3575" s="202" t="s">
        <v>2935</v>
      </c>
      <c r="C3575" s="200" t="s">
        <v>136</v>
      </c>
      <c r="D3575" s="204">
        <v>-2500000</v>
      </c>
      <c r="E3575" s="201">
        <v>45689</v>
      </c>
      <c r="F3575" s="200" t="s">
        <v>256</v>
      </c>
      <c r="G3575" s="200" t="s">
        <v>107</v>
      </c>
      <c r="H3575" s="200" t="s">
        <v>121</v>
      </c>
    </row>
    <row r="3576" spans="1:9" ht="15" customHeight="1">
      <c r="A3576" s="199">
        <v>45716</v>
      </c>
      <c r="B3576" s="202" t="s">
        <v>2936</v>
      </c>
      <c r="C3576" s="200" t="s">
        <v>136</v>
      </c>
      <c r="D3576" s="204">
        <v>-3901100</v>
      </c>
      <c r="E3576" s="201">
        <v>45689</v>
      </c>
      <c r="F3576" s="200" t="s">
        <v>256</v>
      </c>
      <c r="G3576" s="200" t="s">
        <v>107</v>
      </c>
      <c r="H3576" s="200" t="s">
        <v>121</v>
      </c>
    </row>
    <row r="3577" spans="1:9" ht="15" customHeight="1">
      <c r="A3577" s="199">
        <v>45716</v>
      </c>
      <c r="B3577" s="202" t="s">
        <v>2937</v>
      </c>
      <c r="C3577" s="200" t="s">
        <v>136</v>
      </c>
      <c r="D3577" s="204">
        <v>-2324000</v>
      </c>
      <c r="E3577" s="201">
        <v>45689</v>
      </c>
      <c r="F3577" s="200" t="s">
        <v>256</v>
      </c>
      <c r="G3577" s="200" t="s">
        <v>107</v>
      </c>
      <c r="H3577" s="200" t="s">
        <v>121</v>
      </c>
    </row>
    <row r="3578" spans="1:9" ht="15" customHeight="1">
      <c r="A3578" s="199">
        <v>45716</v>
      </c>
      <c r="B3578" s="202" t="s">
        <v>2938</v>
      </c>
      <c r="C3578" s="200" t="s">
        <v>136</v>
      </c>
      <c r="D3578" s="204">
        <v>-2747733.3333333335</v>
      </c>
      <c r="E3578" s="201">
        <v>45689</v>
      </c>
      <c r="F3578" s="200" t="s">
        <v>256</v>
      </c>
      <c r="G3578" s="200" t="s">
        <v>107</v>
      </c>
      <c r="H3578" s="200" t="s">
        <v>121</v>
      </c>
    </row>
    <row r="3579" spans="1:9" ht="15" customHeight="1">
      <c r="A3579" s="199">
        <v>45716</v>
      </c>
      <c r="B3579" s="202" t="s">
        <v>2939</v>
      </c>
      <c r="C3579" s="200" t="s">
        <v>136</v>
      </c>
      <c r="D3579" s="204">
        <v>-4140000</v>
      </c>
      <c r="E3579" s="201">
        <v>45689</v>
      </c>
      <c r="F3579" s="200" t="s">
        <v>296</v>
      </c>
      <c r="G3579" s="200" t="s">
        <v>453</v>
      </c>
      <c r="H3579" s="200" t="s">
        <v>121</v>
      </c>
    </row>
    <row r="3580" spans="1:9" ht="15" customHeight="1">
      <c r="A3580" s="199">
        <v>45716</v>
      </c>
      <c r="B3580" s="202" t="s">
        <v>2940</v>
      </c>
      <c r="C3580" s="200" t="s">
        <v>136</v>
      </c>
      <c r="D3580" s="204">
        <v>-2760000</v>
      </c>
      <c r="E3580" s="201">
        <v>45689</v>
      </c>
      <c r="F3580" s="200" t="s">
        <v>296</v>
      </c>
      <c r="G3580" s="200" t="s">
        <v>453</v>
      </c>
      <c r="H3580" s="200" t="s">
        <v>121</v>
      </c>
    </row>
    <row r="3581" spans="1:9" ht="15" customHeight="1">
      <c r="A3581" s="199">
        <v>45716</v>
      </c>
      <c r="B3581" s="202" t="s">
        <v>2941</v>
      </c>
      <c r="C3581" s="200" t="s">
        <v>136</v>
      </c>
      <c r="D3581" s="204">
        <v>-3404000</v>
      </c>
      <c r="E3581" s="201">
        <v>45689</v>
      </c>
      <c r="F3581" s="200" t="s">
        <v>296</v>
      </c>
      <c r="G3581" s="200" t="s">
        <v>453</v>
      </c>
      <c r="H3581" s="200" t="s">
        <v>121</v>
      </c>
    </row>
    <row r="3582" spans="1:9" ht="15" customHeight="1">
      <c r="A3582" s="199">
        <v>45716</v>
      </c>
      <c r="B3582" s="202" t="s">
        <v>2942</v>
      </c>
      <c r="C3582" s="200" t="s">
        <v>136</v>
      </c>
      <c r="D3582" s="204">
        <v>-2944000</v>
      </c>
      <c r="E3582" s="201">
        <v>45689</v>
      </c>
      <c r="F3582" s="200" t="s">
        <v>296</v>
      </c>
      <c r="G3582" s="200" t="s">
        <v>453</v>
      </c>
      <c r="H3582" s="200" t="s">
        <v>121</v>
      </c>
    </row>
    <row r="3583" spans="1:9" ht="15" customHeight="1">
      <c r="A3583" s="199">
        <v>45716</v>
      </c>
      <c r="B3583" s="202" t="s">
        <v>2943</v>
      </c>
      <c r="C3583" s="200" t="s">
        <v>136</v>
      </c>
      <c r="D3583" s="204">
        <v>-1237333.3333333333</v>
      </c>
      <c r="E3583" s="201">
        <v>45689</v>
      </c>
      <c r="F3583" s="200" t="s">
        <v>296</v>
      </c>
      <c r="G3583" s="200" t="s">
        <v>453</v>
      </c>
      <c r="H3583" s="200" t="s">
        <v>121</v>
      </c>
    </row>
    <row r="3584" spans="1:9" ht="15" customHeight="1">
      <c r="A3584" s="199">
        <v>45715</v>
      </c>
      <c r="B3584" s="202" t="s">
        <v>2674</v>
      </c>
      <c r="C3584" s="200" t="s">
        <v>204</v>
      </c>
      <c r="D3584" s="204">
        <v>366236</v>
      </c>
      <c r="E3584" s="201">
        <v>45689</v>
      </c>
      <c r="F3584" s="200" t="s">
        <v>297</v>
      </c>
      <c r="G3584" s="200" t="s">
        <v>1578</v>
      </c>
      <c r="H3584" s="200" t="s">
        <v>837</v>
      </c>
      <c r="I3584" s="648" t="s">
        <v>329</v>
      </c>
    </row>
    <row r="3585" spans="1:9" ht="15" customHeight="1">
      <c r="A3585" s="199">
        <v>45715</v>
      </c>
      <c r="B3585" s="202" t="s">
        <v>2674</v>
      </c>
      <c r="C3585" s="200" t="s">
        <v>204</v>
      </c>
      <c r="D3585" s="204">
        <v>366237</v>
      </c>
      <c r="E3585" s="201">
        <v>45689</v>
      </c>
      <c r="F3585" s="200" t="s">
        <v>297</v>
      </c>
      <c r="G3585" s="200" t="s">
        <v>1313</v>
      </c>
      <c r="H3585" s="200" t="s">
        <v>837</v>
      </c>
      <c r="I3585" s="648" t="s">
        <v>329</v>
      </c>
    </row>
    <row r="3586" spans="1:9" ht="15" customHeight="1">
      <c r="A3586" s="199">
        <v>45715</v>
      </c>
      <c r="B3586" s="202" t="s">
        <v>2674</v>
      </c>
      <c r="C3586" s="200" t="s">
        <v>204</v>
      </c>
      <c r="D3586" s="204">
        <v>366237</v>
      </c>
      <c r="E3586" s="201">
        <v>45689</v>
      </c>
      <c r="F3586" s="200" t="s">
        <v>297</v>
      </c>
      <c r="G3586" s="200" t="s">
        <v>71</v>
      </c>
      <c r="H3586" s="200" t="s">
        <v>837</v>
      </c>
      <c r="I3586" s="648" t="s">
        <v>329</v>
      </c>
    </row>
    <row r="3587" spans="1:9" s="664" customFormat="1" ht="15" customHeight="1">
      <c r="A3587" s="663">
        <v>45722</v>
      </c>
      <c r="B3587" s="648" t="s">
        <v>2732</v>
      </c>
      <c r="C3587" s="648" t="s">
        <v>307</v>
      </c>
      <c r="D3587" s="649">
        <v>-7000</v>
      </c>
      <c r="E3587" s="665">
        <v>45717</v>
      </c>
      <c r="F3587" s="648" t="s">
        <v>296</v>
      </c>
      <c r="G3587" s="648" t="s">
        <v>328</v>
      </c>
      <c r="H3587" s="648" t="s">
        <v>268</v>
      </c>
      <c r="I3587" s="648"/>
    </row>
    <row r="3588" spans="1:9" ht="15" customHeight="1">
      <c r="A3588" s="199">
        <v>45722</v>
      </c>
      <c r="B3588" s="202" t="s">
        <v>2732</v>
      </c>
      <c r="C3588" s="200" t="s">
        <v>307</v>
      </c>
      <c r="D3588" s="204">
        <v>-14000</v>
      </c>
      <c r="E3588" s="201">
        <v>45717</v>
      </c>
      <c r="F3588" s="200" t="s">
        <v>297</v>
      </c>
      <c r="G3588" s="200" t="s">
        <v>67</v>
      </c>
      <c r="H3588" s="200" t="s">
        <v>268</v>
      </c>
    </row>
    <row r="3589" spans="1:9" ht="15" customHeight="1">
      <c r="A3589" s="199">
        <v>45722</v>
      </c>
      <c r="B3589" s="202" t="s">
        <v>2732</v>
      </c>
      <c r="C3589" s="200" t="s">
        <v>307</v>
      </c>
      <c r="D3589" s="204">
        <v>-7000</v>
      </c>
      <c r="E3589" s="201">
        <v>45717</v>
      </c>
      <c r="F3589" s="200" t="s">
        <v>296</v>
      </c>
      <c r="G3589" s="200" t="s">
        <v>337</v>
      </c>
      <c r="H3589" s="200" t="s">
        <v>326</v>
      </c>
    </row>
    <row r="3590" spans="1:9" ht="15" customHeight="1">
      <c r="A3590" s="199">
        <v>45722</v>
      </c>
      <c r="B3590" s="202" t="s">
        <v>2732</v>
      </c>
      <c r="C3590" s="200" t="s">
        <v>307</v>
      </c>
      <c r="D3590" s="204">
        <v>-47768</v>
      </c>
      <c r="E3590" s="201">
        <v>45717</v>
      </c>
      <c r="F3590" s="200" t="s">
        <v>297</v>
      </c>
      <c r="G3590" s="200" t="s">
        <v>1313</v>
      </c>
      <c r="H3590" s="200" t="s">
        <v>268</v>
      </c>
    </row>
    <row r="3591" spans="1:9" ht="15" customHeight="1">
      <c r="A3591" s="199">
        <v>45722</v>
      </c>
      <c r="B3591" s="202" t="s">
        <v>2944</v>
      </c>
      <c r="C3591" s="200" t="s">
        <v>372</v>
      </c>
      <c r="D3591" s="645">
        <v>-770</v>
      </c>
      <c r="E3591" s="201">
        <v>45717</v>
      </c>
      <c r="F3591" s="200" t="s">
        <v>297</v>
      </c>
      <c r="G3591" s="200" t="s">
        <v>1313</v>
      </c>
      <c r="H3591" s="200" t="s">
        <v>268</v>
      </c>
    </row>
    <row r="3592" spans="1:9" ht="15" customHeight="1">
      <c r="A3592" s="199">
        <v>45722</v>
      </c>
      <c r="B3592" s="202" t="s">
        <v>2945</v>
      </c>
      <c r="C3592" s="200" t="s">
        <v>372</v>
      </c>
      <c r="D3592" s="645">
        <v>-462</v>
      </c>
      <c r="E3592" s="201">
        <v>45717</v>
      </c>
      <c r="F3592" s="200" t="s">
        <v>297</v>
      </c>
      <c r="G3592" s="200" t="s">
        <v>1313</v>
      </c>
      <c r="H3592" s="200" t="s">
        <v>268</v>
      </c>
    </row>
    <row r="3593" spans="1:9" ht="15" customHeight="1">
      <c r="A3593" s="199">
        <v>45722</v>
      </c>
      <c r="B3593" s="202" t="s">
        <v>2946</v>
      </c>
      <c r="C3593" s="200" t="s">
        <v>307</v>
      </c>
      <c r="D3593" s="204">
        <v>-95100</v>
      </c>
      <c r="E3593" s="201">
        <v>45717</v>
      </c>
      <c r="F3593" s="200" t="s">
        <v>256</v>
      </c>
      <c r="G3593" s="200" t="s">
        <v>256</v>
      </c>
      <c r="H3593" s="200" t="s">
        <v>263</v>
      </c>
    </row>
    <row r="3594" spans="1:9" ht="15" customHeight="1">
      <c r="A3594" s="199">
        <v>45700</v>
      </c>
      <c r="B3594" s="202" t="s">
        <v>2947</v>
      </c>
      <c r="C3594" s="200" t="s">
        <v>307</v>
      </c>
      <c r="D3594" s="204">
        <v>-275000</v>
      </c>
      <c r="E3594" s="201">
        <v>45717</v>
      </c>
      <c r="F3594" s="200" t="s">
        <v>296</v>
      </c>
      <c r="G3594" s="200" t="s">
        <v>328</v>
      </c>
      <c r="H3594" s="200" t="s">
        <v>342</v>
      </c>
      <c r="I3594" s="200" t="s">
        <v>2948</v>
      </c>
    </row>
    <row r="3595" spans="1:9" ht="15" customHeight="1">
      <c r="A3595" s="199">
        <v>45700</v>
      </c>
      <c r="B3595" s="202" t="s">
        <v>2949</v>
      </c>
      <c r="C3595" s="200" t="s">
        <v>307</v>
      </c>
      <c r="D3595" s="204">
        <v>-19200</v>
      </c>
      <c r="E3595" s="201">
        <v>45717</v>
      </c>
      <c r="F3595" s="200" t="s">
        <v>296</v>
      </c>
      <c r="G3595" s="200" t="s">
        <v>328</v>
      </c>
      <c r="H3595" s="200" t="s">
        <v>342</v>
      </c>
      <c r="I3595" s="200" t="s">
        <v>2948</v>
      </c>
    </row>
    <row r="3596" spans="1:9" ht="15" customHeight="1">
      <c r="A3596" s="199">
        <v>45650</v>
      </c>
      <c r="B3596" s="202" t="s">
        <v>2950</v>
      </c>
      <c r="C3596" s="200" t="s">
        <v>307</v>
      </c>
      <c r="D3596" s="204">
        <v>-130200</v>
      </c>
      <c r="E3596" s="201">
        <v>45717</v>
      </c>
      <c r="F3596" s="200" t="s">
        <v>296</v>
      </c>
      <c r="G3596" s="200" t="s">
        <v>337</v>
      </c>
      <c r="H3596" s="200" t="s">
        <v>326</v>
      </c>
      <c r="I3596" s="200" t="s">
        <v>2951</v>
      </c>
    </row>
    <row r="3597" spans="1:9" ht="15" customHeight="1">
      <c r="A3597" s="199">
        <v>45650</v>
      </c>
      <c r="B3597" s="202" t="s">
        <v>2952</v>
      </c>
      <c r="C3597" s="200" t="s">
        <v>307</v>
      </c>
      <c r="D3597" s="204">
        <v>-40000</v>
      </c>
      <c r="E3597" s="201">
        <v>45717</v>
      </c>
      <c r="F3597" s="200" t="s">
        <v>296</v>
      </c>
      <c r="G3597" s="200" t="s">
        <v>337</v>
      </c>
      <c r="H3597" s="200" t="s">
        <v>326</v>
      </c>
      <c r="I3597" s="200" t="s">
        <v>2951</v>
      </c>
    </row>
    <row r="3598" spans="1:9" ht="15" customHeight="1">
      <c r="A3598" s="199">
        <v>45713</v>
      </c>
      <c r="B3598" s="202" t="s">
        <v>2953</v>
      </c>
      <c r="C3598" s="200" t="s">
        <v>307</v>
      </c>
      <c r="D3598" s="204">
        <v>-512250</v>
      </c>
      <c r="E3598" s="201">
        <v>45717</v>
      </c>
      <c r="F3598" s="200" t="s">
        <v>296</v>
      </c>
      <c r="G3598" s="200" t="s">
        <v>337</v>
      </c>
      <c r="H3598" s="200" t="s">
        <v>488</v>
      </c>
      <c r="I3598" s="200" t="s">
        <v>2951</v>
      </c>
    </row>
    <row r="3599" spans="1:9" ht="15" customHeight="1">
      <c r="A3599" s="199">
        <v>45713</v>
      </c>
      <c r="B3599" s="202" t="s">
        <v>2954</v>
      </c>
      <c r="C3599" s="200" t="s">
        <v>307</v>
      </c>
      <c r="D3599" s="204">
        <v>-20000</v>
      </c>
      <c r="E3599" s="201">
        <v>45717</v>
      </c>
      <c r="F3599" s="200" t="s">
        <v>296</v>
      </c>
      <c r="G3599" s="200" t="s">
        <v>337</v>
      </c>
      <c r="H3599" s="200" t="s">
        <v>326</v>
      </c>
      <c r="I3599" s="200" t="s">
        <v>2951</v>
      </c>
    </row>
    <row r="3600" spans="1:9" ht="15" customHeight="1">
      <c r="A3600" s="199">
        <v>45712</v>
      </c>
      <c r="B3600" s="202" t="s">
        <v>2955</v>
      </c>
      <c r="C3600" s="200" t="s">
        <v>307</v>
      </c>
      <c r="D3600" s="204">
        <v>-22000</v>
      </c>
      <c r="E3600" s="201">
        <v>45717</v>
      </c>
      <c r="F3600" s="200" t="s">
        <v>296</v>
      </c>
      <c r="G3600" s="200" t="s">
        <v>337</v>
      </c>
      <c r="H3600" s="200" t="s">
        <v>322</v>
      </c>
      <c r="I3600" s="200" t="s">
        <v>2951</v>
      </c>
    </row>
    <row r="3601" spans="1:9" ht="15" customHeight="1">
      <c r="A3601" s="199">
        <v>45714</v>
      </c>
      <c r="B3601" s="202" t="s">
        <v>2956</v>
      </c>
      <c r="C3601" s="200" t="s">
        <v>307</v>
      </c>
      <c r="D3601" s="204">
        <v>-5025</v>
      </c>
      <c r="E3601" s="201">
        <v>45717</v>
      </c>
      <c r="F3601" s="200" t="s">
        <v>296</v>
      </c>
      <c r="G3601" s="200" t="s">
        <v>337</v>
      </c>
      <c r="H3601" s="200" t="s">
        <v>326</v>
      </c>
      <c r="I3601" s="200" t="s">
        <v>2951</v>
      </c>
    </row>
    <row r="3602" spans="1:9" ht="15" customHeight="1">
      <c r="A3602" s="199">
        <v>45714</v>
      </c>
      <c r="B3602" s="202" t="s">
        <v>2957</v>
      </c>
      <c r="C3602" s="200" t="s">
        <v>307</v>
      </c>
      <c r="D3602" s="204">
        <v>-301911</v>
      </c>
      <c r="E3602" s="201">
        <v>45717</v>
      </c>
      <c r="F3602" s="200" t="s">
        <v>296</v>
      </c>
      <c r="G3602" s="200" t="s">
        <v>337</v>
      </c>
      <c r="H3602" s="200" t="s">
        <v>366</v>
      </c>
      <c r="I3602" s="200" t="s">
        <v>2951</v>
      </c>
    </row>
    <row r="3603" spans="1:9" ht="15" customHeight="1">
      <c r="A3603" s="199">
        <v>45714</v>
      </c>
      <c r="B3603" s="202" t="s">
        <v>2958</v>
      </c>
      <c r="C3603" s="200" t="s">
        <v>307</v>
      </c>
      <c r="D3603" s="204">
        <v>-25000</v>
      </c>
      <c r="E3603" s="201">
        <v>45717</v>
      </c>
      <c r="F3603" s="200" t="s">
        <v>296</v>
      </c>
      <c r="G3603" s="200" t="s">
        <v>337</v>
      </c>
      <c r="H3603" s="200" t="s">
        <v>326</v>
      </c>
      <c r="I3603" s="200" t="s">
        <v>2951</v>
      </c>
    </row>
    <row r="3604" spans="1:9" ht="15" customHeight="1">
      <c r="A3604" s="199">
        <v>45714</v>
      </c>
      <c r="B3604" s="202" t="s">
        <v>2959</v>
      </c>
      <c r="C3604" s="200" t="s">
        <v>307</v>
      </c>
      <c r="D3604" s="204">
        <v>-24000</v>
      </c>
      <c r="E3604" s="201">
        <v>45717</v>
      </c>
      <c r="F3604" s="200" t="s">
        <v>296</v>
      </c>
      <c r="G3604" s="200" t="s">
        <v>337</v>
      </c>
      <c r="H3604" s="200" t="s">
        <v>326</v>
      </c>
      <c r="I3604" s="200" t="s">
        <v>2951</v>
      </c>
    </row>
    <row r="3605" spans="1:9" ht="15" customHeight="1">
      <c r="A3605" s="199">
        <v>45715</v>
      </c>
      <c r="B3605" s="202" t="s">
        <v>2960</v>
      </c>
      <c r="C3605" s="200" t="s">
        <v>307</v>
      </c>
      <c r="D3605" s="204">
        <v>-78200</v>
      </c>
      <c r="E3605" s="201">
        <v>45717</v>
      </c>
      <c r="F3605" s="200" t="s">
        <v>296</v>
      </c>
      <c r="G3605" s="200" t="s">
        <v>337</v>
      </c>
      <c r="H3605" s="200" t="s">
        <v>488</v>
      </c>
      <c r="I3605" s="200" t="s">
        <v>2951</v>
      </c>
    </row>
    <row r="3606" spans="1:9" ht="15" customHeight="1">
      <c r="A3606" s="199">
        <v>45715</v>
      </c>
      <c r="B3606" s="202" t="s">
        <v>2954</v>
      </c>
      <c r="C3606" s="200" t="s">
        <v>307</v>
      </c>
      <c r="D3606" s="204">
        <v>-30000</v>
      </c>
      <c r="E3606" s="201">
        <v>45717</v>
      </c>
      <c r="F3606" s="200" t="s">
        <v>296</v>
      </c>
      <c r="G3606" s="200" t="s">
        <v>337</v>
      </c>
      <c r="H3606" s="200" t="s">
        <v>326</v>
      </c>
      <c r="I3606" s="200" t="s">
        <v>2951</v>
      </c>
    </row>
    <row r="3607" spans="1:9" ht="15" customHeight="1">
      <c r="A3607" s="199">
        <v>45716</v>
      </c>
      <c r="B3607" s="202" t="s">
        <v>2961</v>
      </c>
      <c r="C3607" s="200" t="s">
        <v>307</v>
      </c>
      <c r="D3607" s="204">
        <v>-40000</v>
      </c>
      <c r="E3607" s="201">
        <v>45717</v>
      </c>
      <c r="F3607" s="200" t="s">
        <v>296</v>
      </c>
      <c r="G3607" s="200" t="s">
        <v>337</v>
      </c>
      <c r="H3607" s="200" t="s">
        <v>326</v>
      </c>
      <c r="I3607" s="200" t="s">
        <v>2951</v>
      </c>
    </row>
    <row r="3608" spans="1:9" ht="15" customHeight="1">
      <c r="A3608" s="199">
        <v>45710</v>
      </c>
      <c r="B3608" s="202" t="s">
        <v>1890</v>
      </c>
      <c r="C3608" s="200" t="s">
        <v>307</v>
      </c>
      <c r="D3608" s="204">
        <v>-14500</v>
      </c>
      <c r="E3608" s="201">
        <v>45717</v>
      </c>
      <c r="F3608" s="200" t="s">
        <v>296</v>
      </c>
      <c r="G3608" s="200" t="s">
        <v>522</v>
      </c>
      <c r="H3608" s="200" t="s">
        <v>326</v>
      </c>
      <c r="I3608" s="200" t="s">
        <v>2962</v>
      </c>
    </row>
    <row r="3609" spans="1:9" ht="15" customHeight="1">
      <c r="A3609" s="199">
        <v>45712</v>
      </c>
      <c r="B3609" s="202" t="s">
        <v>1892</v>
      </c>
      <c r="C3609" s="200" t="s">
        <v>307</v>
      </c>
      <c r="D3609" s="204">
        <v>-14500</v>
      </c>
      <c r="E3609" s="201">
        <v>45717</v>
      </c>
      <c r="F3609" s="200" t="s">
        <v>296</v>
      </c>
      <c r="G3609" s="200" t="s">
        <v>522</v>
      </c>
      <c r="H3609" s="200" t="s">
        <v>326</v>
      </c>
      <c r="I3609" s="200" t="s">
        <v>2962</v>
      </c>
    </row>
    <row r="3610" spans="1:9" ht="15" customHeight="1">
      <c r="A3610" s="199">
        <v>45712</v>
      </c>
      <c r="B3610" s="202" t="s">
        <v>1712</v>
      </c>
      <c r="C3610" s="200" t="s">
        <v>307</v>
      </c>
      <c r="D3610" s="204">
        <v>-160000</v>
      </c>
      <c r="E3610" s="201">
        <v>45717</v>
      </c>
      <c r="F3610" s="200" t="s">
        <v>296</v>
      </c>
      <c r="G3610" s="200" t="s">
        <v>522</v>
      </c>
      <c r="H3610" s="200" t="s">
        <v>326</v>
      </c>
      <c r="I3610" s="200" t="s">
        <v>2962</v>
      </c>
    </row>
    <row r="3611" spans="1:9" ht="15" customHeight="1">
      <c r="A3611" s="199">
        <v>45712</v>
      </c>
      <c r="B3611" s="202" t="s">
        <v>2637</v>
      </c>
      <c r="C3611" s="200" t="s">
        <v>307</v>
      </c>
      <c r="D3611" s="204">
        <v>-30000</v>
      </c>
      <c r="E3611" s="201">
        <v>45717</v>
      </c>
      <c r="F3611" s="200" t="s">
        <v>296</v>
      </c>
      <c r="G3611" s="200" t="s">
        <v>522</v>
      </c>
      <c r="H3611" s="200" t="s">
        <v>326</v>
      </c>
      <c r="I3611" s="200" t="s">
        <v>2962</v>
      </c>
    </row>
    <row r="3612" spans="1:9" ht="15" customHeight="1">
      <c r="A3612" s="199">
        <v>45713</v>
      </c>
      <c r="B3612" s="202" t="s">
        <v>2963</v>
      </c>
      <c r="C3612" s="200" t="s">
        <v>307</v>
      </c>
      <c r="D3612" s="204">
        <v>-1420000</v>
      </c>
      <c r="E3612" s="201">
        <v>45717</v>
      </c>
      <c r="F3612" s="200" t="s">
        <v>296</v>
      </c>
      <c r="G3612" s="200" t="s">
        <v>522</v>
      </c>
      <c r="H3612" s="200" t="s">
        <v>421</v>
      </c>
      <c r="I3612" s="200" t="s">
        <v>2962</v>
      </c>
    </row>
    <row r="3613" spans="1:9" ht="15" customHeight="1">
      <c r="A3613" s="199">
        <v>45713</v>
      </c>
      <c r="B3613" s="202" t="s">
        <v>2964</v>
      </c>
      <c r="C3613" s="200" t="s">
        <v>307</v>
      </c>
      <c r="D3613" s="204">
        <v>-20000</v>
      </c>
      <c r="E3613" s="201">
        <v>45717</v>
      </c>
      <c r="F3613" s="200" t="s">
        <v>296</v>
      </c>
      <c r="G3613" s="200" t="s">
        <v>522</v>
      </c>
      <c r="H3613" s="200" t="s">
        <v>322</v>
      </c>
      <c r="I3613" s="200" t="s">
        <v>2962</v>
      </c>
    </row>
    <row r="3614" spans="1:9" ht="15" customHeight="1">
      <c r="A3614" s="199">
        <v>45714</v>
      </c>
      <c r="B3614" s="202" t="s">
        <v>2965</v>
      </c>
      <c r="C3614" s="200" t="s">
        <v>307</v>
      </c>
      <c r="D3614" s="204">
        <v>-170000</v>
      </c>
      <c r="E3614" s="201">
        <v>45717</v>
      </c>
      <c r="F3614" s="200" t="s">
        <v>296</v>
      </c>
      <c r="G3614" s="200" t="s">
        <v>522</v>
      </c>
      <c r="H3614" s="200" t="s">
        <v>326</v>
      </c>
      <c r="I3614" s="200" t="s">
        <v>2962</v>
      </c>
    </row>
    <row r="3615" spans="1:9" ht="15" customHeight="1">
      <c r="A3615" s="199">
        <v>45714</v>
      </c>
      <c r="B3615" s="202" t="s">
        <v>2966</v>
      </c>
      <c r="C3615" s="200" t="s">
        <v>307</v>
      </c>
      <c r="D3615" s="204">
        <v>-50000</v>
      </c>
      <c r="E3615" s="201">
        <v>45717</v>
      </c>
      <c r="F3615" s="200" t="s">
        <v>296</v>
      </c>
      <c r="G3615" s="200" t="s">
        <v>522</v>
      </c>
      <c r="H3615" s="200" t="s">
        <v>326</v>
      </c>
      <c r="I3615" s="200" t="s">
        <v>2962</v>
      </c>
    </row>
    <row r="3616" spans="1:9" ht="15" customHeight="1">
      <c r="A3616" s="199">
        <v>45714</v>
      </c>
      <c r="B3616" s="202" t="s">
        <v>2967</v>
      </c>
      <c r="C3616" s="200" t="s">
        <v>307</v>
      </c>
      <c r="D3616" s="204">
        <v>-20000</v>
      </c>
      <c r="E3616" s="201">
        <v>45717</v>
      </c>
      <c r="F3616" s="200" t="s">
        <v>296</v>
      </c>
      <c r="G3616" s="200" t="s">
        <v>522</v>
      </c>
      <c r="H3616" s="200" t="s">
        <v>326</v>
      </c>
      <c r="I3616" s="200" t="s">
        <v>2962</v>
      </c>
    </row>
    <row r="3617" spans="1:9" ht="15" customHeight="1">
      <c r="A3617" s="199">
        <v>45714</v>
      </c>
      <c r="B3617" s="202" t="s">
        <v>1709</v>
      </c>
      <c r="C3617" s="200" t="s">
        <v>307</v>
      </c>
      <c r="D3617" s="204">
        <v>-73000</v>
      </c>
      <c r="E3617" s="201">
        <v>45717</v>
      </c>
      <c r="F3617" s="200" t="s">
        <v>296</v>
      </c>
      <c r="G3617" s="200" t="s">
        <v>522</v>
      </c>
      <c r="H3617" s="200" t="s">
        <v>488</v>
      </c>
      <c r="I3617" s="200" t="s">
        <v>2962</v>
      </c>
    </row>
    <row r="3618" spans="1:9" ht="15" customHeight="1">
      <c r="A3618" s="199">
        <v>45715</v>
      </c>
      <c r="B3618" s="202" t="s">
        <v>2637</v>
      </c>
      <c r="C3618" s="200" t="s">
        <v>307</v>
      </c>
      <c r="D3618" s="204">
        <v>-30000</v>
      </c>
      <c r="E3618" s="201">
        <v>45717</v>
      </c>
      <c r="F3618" s="200" t="s">
        <v>296</v>
      </c>
      <c r="G3618" s="200" t="s">
        <v>522</v>
      </c>
      <c r="H3618" s="200" t="s">
        <v>326</v>
      </c>
      <c r="I3618" s="200" t="s">
        <v>2962</v>
      </c>
    </row>
    <row r="3619" spans="1:9" ht="15" customHeight="1">
      <c r="A3619" s="199">
        <v>45715</v>
      </c>
      <c r="B3619" s="202" t="s">
        <v>2968</v>
      </c>
      <c r="C3619" s="200" t="s">
        <v>307</v>
      </c>
      <c r="D3619" s="204">
        <v>-198000</v>
      </c>
      <c r="E3619" s="201">
        <v>45717</v>
      </c>
      <c r="F3619" s="200" t="s">
        <v>296</v>
      </c>
      <c r="G3619" s="200" t="s">
        <v>522</v>
      </c>
      <c r="H3619" s="200" t="s">
        <v>1079</v>
      </c>
      <c r="I3619" s="200" t="s">
        <v>2962</v>
      </c>
    </row>
    <row r="3620" spans="1:9" ht="15" customHeight="1">
      <c r="A3620" s="199">
        <v>45715</v>
      </c>
      <c r="B3620" s="202" t="s">
        <v>2969</v>
      </c>
      <c r="C3620" s="200" t="s">
        <v>307</v>
      </c>
      <c r="D3620" s="204">
        <v>-292000</v>
      </c>
      <c r="E3620" s="201">
        <v>45717</v>
      </c>
      <c r="F3620" s="200" t="s">
        <v>296</v>
      </c>
      <c r="G3620" s="200" t="s">
        <v>522</v>
      </c>
      <c r="H3620" s="200" t="s">
        <v>488</v>
      </c>
      <c r="I3620" s="200" t="s">
        <v>2962</v>
      </c>
    </row>
    <row r="3621" spans="1:9" ht="15" customHeight="1">
      <c r="A3621" s="199">
        <v>45715</v>
      </c>
      <c r="B3621" s="202" t="s">
        <v>2970</v>
      </c>
      <c r="C3621" s="200" t="s">
        <v>307</v>
      </c>
      <c r="D3621" s="204">
        <v>-20000</v>
      </c>
      <c r="E3621" s="201">
        <v>45717</v>
      </c>
      <c r="F3621" s="200" t="s">
        <v>296</v>
      </c>
      <c r="G3621" s="200" t="s">
        <v>522</v>
      </c>
      <c r="H3621" s="200" t="s">
        <v>322</v>
      </c>
      <c r="I3621" s="200" t="s">
        <v>2962</v>
      </c>
    </row>
    <row r="3622" spans="1:9" ht="15" customHeight="1">
      <c r="A3622" s="199">
        <v>45715</v>
      </c>
      <c r="B3622" s="202" t="s">
        <v>1890</v>
      </c>
      <c r="C3622" s="200" t="s">
        <v>307</v>
      </c>
      <c r="D3622" s="204">
        <v>-14500</v>
      </c>
      <c r="E3622" s="201">
        <v>45717</v>
      </c>
      <c r="F3622" s="200" t="s">
        <v>296</v>
      </c>
      <c r="G3622" s="200" t="s">
        <v>522</v>
      </c>
      <c r="H3622" s="200" t="s">
        <v>326</v>
      </c>
      <c r="I3622" s="200" t="s">
        <v>2962</v>
      </c>
    </row>
    <row r="3623" spans="1:9" ht="15" customHeight="1">
      <c r="A3623" s="199">
        <v>45716</v>
      </c>
      <c r="B3623" s="202" t="s">
        <v>1892</v>
      </c>
      <c r="C3623" s="200" t="s">
        <v>307</v>
      </c>
      <c r="D3623" s="204">
        <v>-14500</v>
      </c>
      <c r="E3623" s="201">
        <v>45717</v>
      </c>
      <c r="F3623" s="200" t="s">
        <v>296</v>
      </c>
      <c r="G3623" s="200" t="s">
        <v>522</v>
      </c>
      <c r="H3623" s="200" t="s">
        <v>326</v>
      </c>
      <c r="I3623" s="200" t="s">
        <v>2962</v>
      </c>
    </row>
    <row r="3624" spans="1:9" ht="15" customHeight="1">
      <c r="A3624" s="199">
        <v>45675</v>
      </c>
      <c r="B3624" s="202" t="s">
        <v>2971</v>
      </c>
      <c r="C3624" s="200" t="s">
        <v>307</v>
      </c>
      <c r="D3624" s="204">
        <v>-14500</v>
      </c>
      <c r="E3624" s="201">
        <v>45717</v>
      </c>
      <c r="F3624" s="200" t="s">
        <v>296</v>
      </c>
      <c r="G3624" s="200" t="s">
        <v>44</v>
      </c>
      <c r="H3624" s="200" t="s">
        <v>326</v>
      </c>
      <c r="I3624" s="200" t="s">
        <v>2972</v>
      </c>
    </row>
    <row r="3625" spans="1:9" ht="15" customHeight="1">
      <c r="A3625" s="199">
        <v>45677</v>
      </c>
      <c r="B3625" s="202" t="s">
        <v>2973</v>
      </c>
      <c r="C3625" s="200" t="s">
        <v>307</v>
      </c>
      <c r="D3625" s="204">
        <v>-14500</v>
      </c>
      <c r="E3625" s="201">
        <v>45717</v>
      </c>
      <c r="F3625" s="200" t="s">
        <v>296</v>
      </c>
      <c r="G3625" s="200" t="s">
        <v>44</v>
      </c>
      <c r="H3625" s="200" t="s">
        <v>326</v>
      </c>
      <c r="I3625" s="200" t="s">
        <v>2972</v>
      </c>
    </row>
    <row r="3626" spans="1:9" ht="15" customHeight="1">
      <c r="A3626" s="199">
        <v>45701</v>
      </c>
      <c r="B3626" s="202" t="s">
        <v>980</v>
      </c>
      <c r="C3626" s="200" t="s">
        <v>307</v>
      </c>
      <c r="D3626" s="204">
        <v>-150000</v>
      </c>
      <c r="E3626" s="201">
        <v>45717</v>
      </c>
      <c r="F3626" s="200" t="s">
        <v>296</v>
      </c>
      <c r="G3626" s="200" t="s">
        <v>44</v>
      </c>
      <c r="H3626" s="200" t="s">
        <v>326</v>
      </c>
      <c r="I3626" s="200" t="s">
        <v>2972</v>
      </c>
    </row>
    <row r="3627" spans="1:9" ht="15" customHeight="1">
      <c r="A3627" s="199">
        <v>45702</v>
      </c>
      <c r="B3627" s="202" t="s">
        <v>2974</v>
      </c>
      <c r="C3627" s="200" t="s">
        <v>307</v>
      </c>
      <c r="D3627" s="204">
        <v>-261000</v>
      </c>
      <c r="E3627" s="201">
        <v>45717</v>
      </c>
      <c r="F3627" s="200" t="s">
        <v>296</v>
      </c>
      <c r="G3627" s="200" t="s">
        <v>44</v>
      </c>
      <c r="H3627" s="200" t="s">
        <v>429</v>
      </c>
      <c r="I3627" s="200" t="s">
        <v>2972</v>
      </c>
    </row>
    <row r="3628" spans="1:9" ht="15" customHeight="1">
      <c r="A3628" s="199">
        <v>45703</v>
      </c>
      <c r="B3628" s="202" t="s">
        <v>2975</v>
      </c>
      <c r="C3628" s="200" t="s">
        <v>307</v>
      </c>
      <c r="D3628" s="204">
        <v>-298000</v>
      </c>
      <c r="E3628" s="201">
        <v>45717</v>
      </c>
      <c r="F3628" s="200" t="s">
        <v>296</v>
      </c>
      <c r="G3628" s="200" t="s">
        <v>44</v>
      </c>
      <c r="H3628" s="200" t="s">
        <v>1079</v>
      </c>
      <c r="I3628" s="200" t="s">
        <v>2972</v>
      </c>
    </row>
    <row r="3629" spans="1:9" ht="15" customHeight="1">
      <c r="A3629" s="199">
        <v>45706</v>
      </c>
      <c r="B3629" s="202" t="s">
        <v>2976</v>
      </c>
      <c r="C3629" s="200" t="s">
        <v>307</v>
      </c>
      <c r="D3629" s="204">
        <v>-30000</v>
      </c>
      <c r="E3629" s="201">
        <v>45717</v>
      </c>
      <c r="F3629" s="200" t="s">
        <v>296</v>
      </c>
      <c r="G3629" s="200" t="s">
        <v>44</v>
      </c>
      <c r="H3629" s="200" t="s">
        <v>326</v>
      </c>
      <c r="I3629" s="200" t="s">
        <v>2972</v>
      </c>
    </row>
    <row r="3630" spans="1:9" ht="15" customHeight="1">
      <c r="A3630" s="199">
        <v>45706</v>
      </c>
      <c r="B3630" s="202" t="s">
        <v>2977</v>
      </c>
      <c r="C3630" s="200" t="s">
        <v>307</v>
      </c>
      <c r="D3630" s="204">
        <v>-50000</v>
      </c>
      <c r="E3630" s="201">
        <v>45717</v>
      </c>
      <c r="F3630" s="200" t="s">
        <v>296</v>
      </c>
      <c r="G3630" s="200" t="s">
        <v>44</v>
      </c>
      <c r="H3630" s="200" t="s">
        <v>429</v>
      </c>
      <c r="I3630" s="200" t="s">
        <v>2972</v>
      </c>
    </row>
    <row r="3631" spans="1:9" ht="15" customHeight="1">
      <c r="A3631" s="199">
        <v>45712</v>
      </c>
      <c r="B3631" s="202" t="s">
        <v>980</v>
      </c>
      <c r="C3631" s="200" t="s">
        <v>307</v>
      </c>
      <c r="D3631" s="204">
        <v>-150000</v>
      </c>
      <c r="E3631" s="201">
        <v>45717</v>
      </c>
      <c r="F3631" s="200" t="s">
        <v>296</v>
      </c>
      <c r="G3631" s="200" t="s">
        <v>44</v>
      </c>
      <c r="H3631" s="200" t="s">
        <v>326</v>
      </c>
      <c r="I3631" s="200" t="s">
        <v>2972</v>
      </c>
    </row>
    <row r="3632" spans="1:9" ht="15" customHeight="1">
      <c r="A3632" s="199">
        <v>45712</v>
      </c>
      <c r="B3632" s="202" t="s">
        <v>2978</v>
      </c>
      <c r="C3632" s="200" t="s">
        <v>307</v>
      </c>
      <c r="D3632" s="204">
        <v>-10500</v>
      </c>
      <c r="E3632" s="201">
        <v>45717</v>
      </c>
      <c r="F3632" s="200" t="s">
        <v>296</v>
      </c>
      <c r="G3632" s="200" t="s">
        <v>44</v>
      </c>
      <c r="H3632" s="200" t="s">
        <v>429</v>
      </c>
      <c r="I3632" s="200" t="s">
        <v>2972</v>
      </c>
    </row>
    <row r="3633" spans="1:9" ht="15" customHeight="1">
      <c r="A3633" s="199">
        <v>45713</v>
      </c>
      <c r="B3633" s="202" t="s">
        <v>2979</v>
      </c>
      <c r="C3633" s="200" t="s">
        <v>307</v>
      </c>
      <c r="D3633" s="204">
        <v>-20100</v>
      </c>
      <c r="E3633" s="201">
        <v>45717</v>
      </c>
      <c r="F3633" s="200" t="s">
        <v>296</v>
      </c>
      <c r="G3633" s="200" t="s">
        <v>44</v>
      </c>
      <c r="H3633" s="200" t="s">
        <v>1079</v>
      </c>
      <c r="I3633" s="200" t="s">
        <v>2972</v>
      </c>
    </row>
    <row r="3634" spans="1:9" ht="15" customHeight="1">
      <c r="A3634" s="199">
        <v>45715</v>
      </c>
      <c r="B3634" s="202" t="s">
        <v>2980</v>
      </c>
      <c r="C3634" s="200" t="s">
        <v>307</v>
      </c>
      <c r="D3634" s="204">
        <v>-15000</v>
      </c>
      <c r="E3634" s="201">
        <v>45717</v>
      </c>
      <c r="F3634" s="200" t="s">
        <v>296</v>
      </c>
      <c r="G3634" s="200" t="s">
        <v>44</v>
      </c>
      <c r="H3634" s="200" t="s">
        <v>488</v>
      </c>
      <c r="I3634" s="200" t="s">
        <v>2972</v>
      </c>
    </row>
    <row r="3635" spans="1:9" ht="15" customHeight="1">
      <c r="A3635" s="199">
        <v>45716</v>
      </c>
      <c r="B3635" s="202" t="s">
        <v>2981</v>
      </c>
      <c r="C3635" s="200" t="s">
        <v>307</v>
      </c>
      <c r="D3635" s="204">
        <v>-80000</v>
      </c>
      <c r="E3635" s="201">
        <v>45717</v>
      </c>
      <c r="F3635" s="200" t="s">
        <v>296</v>
      </c>
      <c r="G3635" s="200" t="s">
        <v>337</v>
      </c>
      <c r="H3635" s="200" t="s">
        <v>366</v>
      </c>
      <c r="I3635" s="200" t="s">
        <v>2982</v>
      </c>
    </row>
    <row r="3636" spans="1:9" ht="15" customHeight="1">
      <c r="A3636" s="199">
        <v>45716</v>
      </c>
      <c r="B3636" s="202" t="s">
        <v>2748</v>
      </c>
      <c r="C3636" s="200" t="s">
        <v>307</v>
      </c>
      <c r="D3636" s="204">
        <v>-6600</v>
      </c>
      <c r="E3636" s="201">
        <v>45717</v>
      </c>
      <c r="F3636" s="200" t="s">
        <v>296</v>
      </c>
      <c r="G3636" s="200" t="s">
        <v>337</v>
      </c>
      <c r="H3636" s="200" t="s">
        <v>366</v>
      </c>
      <c r="I3636" s="200" t="s">
        <v>2982</v>
      </c>
    </row>
    <row r="3637" spans="1:9" ht="15" customHeight="1">
      <c r="A3637" s="199">
        <v>45716</v>
      </c>
      <c r="B3637" s="202" t="s">
        <v>2983</v>
      </c>
      <c r="C3637" s="200" t="s">
        <v>307</v>
      </c>
      <c r="D3637" s="204">
        <v>-37500</v>
      </c>
      <c r="E3637" s="201">
        <v>45717</v>
      </c>
      <c r="F3637" s="200" t="s">
        <v>296</v>
      </c>
      <c r="G3637" s="200" t="s">
        <v>337</v>
      </c>
      <c r="H3637" s="200" t="s">
        <v>322</v>
      </c>
      <c r="I3637" s="200" t="s">
        <v>2982</v>
      </c>
    </row>
    <row r="3638" spans="1:9" ht="15" customHeight="1">
      <c r="A3638" s="199">
        <v>45716</v>
      </c>
      <c r="B3638" s="202" t="s">
        <v>2984</v>
      </c>
      <c r="C3638" s="200" t="s">
        <v>307</v>
      </c>
      <c r="D3638" s="204">
        <v>-15000</v>
      </c>
      <c r="E3638" s="201">
        <v>45717</v>
      </c>
      <c r="F3638" s="200" t="s">
        <v>296</v>
      </c>
      <c r="G3638" s="200" t="s">
        <v>337</v>
      </c>
      <c r="H3638" s="200" t="s">
        <v>326</v>
      </c>
      <c r="I3638" s="200" t="s">
        <v>2982</v>
      </c>
    </row>
    <row r="3639" spans="1:9" ht="15" customHeight="1">
      <c r="A3639" s="199">
        <v>45716</v>
      </c>
      <c r="B3639" s="202" t="s">
        <v>2985</v>
      </c>
      <c r="C3639" s="200" t="s">
        <v>307</v>
      </c>
      <c r="D3639" s="204">
        <v>-53100</v>
      </c>
      <c r="E3639" s="201">
        <v>45717</v>
      </c>
      <c r="F3639" s="200" t="s">
        <v>296</v>
      </c>
      <c r="G3639" s="200" t="s">
        <v>337</v>
      </c>
      <c r="H3639" s="200" t="s">
        <v>488</v>
      </c>
      <c r="I3639" s="200" t="s">
        <v>2982</v>
      </c>
    </row>
    <row r="3640" spans="1:9" ht="15" customHeight="1">
      <c r="A3640" s="199">
        <v>45719</v>
      </c>
      <c r="B3640" s="202" t="s">
        <v>2986</v>
      </c>
      <c r="C3640" s="200" t="s">
        <v>307</v>
      </c>
      <c r="D3640" s="204">
        <v>-200000</v>
      </c>
      <c r="E3640" s="201">
        <v>45717</v>
      </c>
      <c r="F3640" s="200" t="s">
        <v>296</v>
      </c>
      <c r="G3640" s="200" t="s">
        <v>522</v>
      </c>
      <c r="H3640" s="200" t="s">
        <v>488</v>
      </c>
      <c r="I3640" s="200" t="s">
        <v>2982</v>
      </c>
    </row>
    <row r="3641" spans="1:9" ht="15" customHeight="1">
      <c r="A3641" s="199">
        <v>45719</v>
      </c>
      <c r="B3641" s="202" t="s">
        <v>2987</v>
      </c>
      <c r="C3641" s="200" t="s">
        <v>307</v>
      </c>
      <c r="D3641" s="204">
        <v>-25000</v>
      </c>
      <c r="E3641" s="201">
        <v>45717</v>
      </c>
      <c r="F3641" s="200" t="s">
        <v>296</v>
      </c>
      <c r="G3641" s="200" t="s">
        <v>522</v>
      </c>
      <c r="H3641" s="200" t="s">
        <v>488</v>
      </c>
      <c r="I3641" s="200" t="s">
        <v>2982</v>
      </c>
    </row>
    <row r="3642" spans="1:9" ht="15" customHeight="1">
      <c r="A3642" s="199">
        <v>45719</v>
      </c>
      <c r="B3642" s="202" t="s">
        <v>2988</v>
      </c>
      <c r="C3642" s="200" t="s">
        <v>307</v>
      </c>
      <c r="D3642" s="204">
        <v>-10000</v>
      </c>
      <c r="E3642" s="201">
        <v>45717</v>
      </c>
      <c r="F3642" s="200" t="s">
        <v>296</v>
      </c>
      <c r="G3642" s="200" t="s">
        <v>522</v>
      </c>
      <c r="H3642" s="200" t="s">
        <v>442</v>
      </c>
      <c r="I3642" s="200" t="s">
        <v>2982</v>
      </c>
    </row>
    <row r="3643" spans="1:9" ht="15" customHeight="1">
      <c r="A3643" s="199">
        <v>45719</v>
      </c>
      <c r="B3643" s="202" t="s">
        <v>2989</v>
      </c>
      <c r="C3643" s="200" t="s">
        <v>307</v>
      </c>
      <c r="D3643" s="204">
        <v>-21481.88</v>
      </c>
      <c r="E3643" s="201">
        <v>45717</v>
      </c>
      <c r="F3643" s="200" t="s">
        <v>296</v>
      </c>
      <c r="G3643" s="200" t="s">
        <v>337</v>
      </c>
      <c r="H3643" s="200" t="s">
        <v>366</v>
      </c>
      <c r="I3643" s="200" t="s">
        <v>2982</v>
      </c>
    </row>
    <row r="3644" spans="1:9" ht="15" customHeight="1">
      <c r="A3644" s="199">
        <v>45719</v>
      </c>
      <c r="B3644" s="202" t="s">
        <v>2989</v>
      </c>
      <c r="C3644" s="200" t="s">
        <v>307</v>
      </c>
      <c r="D3644" s="204">
        <v>-84238.91</v>
      </c>
      <c r="E3644" s="201">
        <v>45717</v>
      </c>
      <c r="F3644" s="200" t="s">
        <v>296</v>
      </c>
      <c r="G3644" s="200" t="s">
        <v>321</v>
      </c>
      <c r="H3644" s="200" t="s">
        <v>366</v>
      </c>
      <c r="I3644" s="200" t="s">
        <v>2982</v>
      </c>
    </row>
    <row r="3645" spans="1:9" ht="15" customHeight="1">
      <c r="A3645" s="199">
        <v>45716</v>
      </c>
      <c r="B3645" s="202" t="s">
        <v>2990</v>
      </c>
      <c r="C3645" s="200" t="s">
        <v>307</v>
      </c>
      <c r="D3645" s="204">
        <v>-40900</v>
      </c>
      <c r="E3645" s="201">
        <v>45717</v>
      </c>
      <c r="F3645" s="200" t="s">
        <v>296</v>
      </c>
      <c r="G3645" s="200" t="s">
        <v>984</v>
      </c>
      <c r="H3645" s="200" t="s">
        <v>350</v>
      </c>
      <c r="I3645" s="200" t="s">
        <v>2982</v>
      </c>
    </row>
    <row r="3646" spans="1:9" ht="15" customHeight="1">
      <c r="A3646" s="199">
        <v>45716</v>
      </c>
      <c r="B3646" s="202" t="s">
        <v>2991</v>
      </c>
      <c r="C3646" s="200" t="s">
        <v>307</v>
      </c>
      <c r="D3646" s="204">
        <v>-10000</v>
      </c>
      <c r="E3646" s="201">
        <v>45717</v>
      </c>
      <c r="F3646" s="200" t="s">
        <v>296</v>
      </c>
      <c r="G3646" s="200" t="s">
        <v>984</v>
      </c>
      <c r="H3646" s="200" t="s">
        <v>350</v>
      </c>
      <c r="I3646" s="200" t="s">
        <v>2982</v>
      </c>
    </row>
    <row r="3647" spans="1:9" ht="15" customHeight="1">
      <c r="A3647" s="199">
        <v>45716</v>
      </c>
      <c r="B3647" s="202" t="s">
        <v>2992</v>
      </c>
      <c r="C3647" s="200" t="s">
        <v>307</v>
      </c>
      <c r="D3647" s="204">
        <v>-19200</v>
      </c>
      <c r="E3647" s="201">
        <v>45717</v>
      </c>
      <c r="F3647" s="200" t="s">
        <v>296</v>
      </c>
      <c r="G3647" s="200" t="s">
        <v>875</v>
      </c>
      <c r="H3647" s="200" t="s">
        <v>377</v>
      </c>
      <c r="I3647" s="200" t="s">
        <v>2982</v>
      </c>
    </row>
    <row r="3648" spans="1:9" ht="15" customHeight="1">
      <c r="A3648" s="199">
        <v>45716</v>
      </c>
      <c r="B3648" s="202" t="s">
        <v>2993</v>
      </c>
      <c r="C3648" s="200" t="s">
        <v>307</v>
      </c>
      <c r="D3648" s="204">
        <v>-30000</v>
      </c>
      <c r="E3648" s="201">
        <v>45717</v>
      </c>
      <c r="F3648" s="200" t="s">
        <v>296</v>
      </c>
      <c r="G3648" s="200" t="s">
        <v>2994</v>
      </c>
      <c r="H3648" s="200" t="s">
        <v>346</v>
      </c>
      <c r="I3648" s="200" t="s">
        <v>2982</v>
      </c>
    </row>
    <row r="3649" spans="1:9" ht="15" customHeight="1">
      <c r="A3649" s="199">
        <v>45719</v>
      </c>
      <c r="B3649" s="202" t="s">
        <v>2995</v>
      </c>
      <c r="C3649" s="200" t="s">
        <v>307</v>
      </c>
      <c r="D3649" s="204">
        <v>-28199.48</v>
      </c>
      <c r="E3649" s="201">
        <v>45717</v>
      </c>
      <c r="F3649" s="200" t="s">
        <v>395</v>
      </c>
      <c r="G3649" s="531" t="s">
        <v>395</v>
      </c>
      <c r="H3649" s="200" t="s">
        <v>350</v>
      </c>
      <c r="I3649" s="673"/>
    </row>
    <row r="3650" spans="1:9" ht="15" customHeight="1">
      <c r="A3650" s="199">
        <v>45719</v>
      </c>
      <c r="B3650" s="202" t="s">
        <v>2996</v>
      </c>
      <c r="C3650" s="200" t="s">
        <v>307</v>
      </c>
      <c r="D3650" s="204">
        <v>-4500</v>
      </c>
      <c r="E3650" s="201">
        <v>45717</v>
      </c>
      <c r="F3650" s="200" t="s">
        <v>395</v>
      </c>
      <c r="G3650" s="531" t="s">
        <v>395</v>
      </c>
      <c r="H3650" s="200" t="s">
        <v>346</v>
      </c>
      <c r="I3650" s="673"/>
    </row>
    <row r="3651" spans="1:9" ht="15" customHeight="1">
      <c r="A3651" s="199">
        <v>45719</v>
      </c>
      <c r="B3651" s="202" t="s">
        <v>2997</v>
      </c>
      <c r="C3651" s="200" t="s">
        <v>307</v>
      </c>
      <c r="D3651" s="204">
        <v>-30000</v>
      </c>
      <c r="E3651" s="201">
        <v>45717</v>
      </c>
      <c r="F3651" s="200" t="s">
        <v>395</v>
      </c>
      <c r="G3651" s="531" t="s">
        <v>395</v>
      </c>
      <c r="H3651" s="200" t="s">
        <v>346</v>
      </c>
      <c r="I3651" s="673"/>
    </row>
    <row r="3652" spans="1:9" ht="15" customHeight="1">
      <c r="A3652" s="199">
        <v>45712</v>
      </c>
      <c r="B3652" s="202" t="s">
        <v>2998</v>
      </c>
      <c r="C3652" s="200" t="s">
        <v>307</v>
      </c>
      <c r="D3652" s="204">
        <v>-15000</v>
      </c>
      <c r="E3652" s="201">
        <v>45717</v>
      </c>
      <c r="F3652" s="200" t="s">
        <v>296</v>
      </c>
      <c r="G3652" s="200" t="s">
        <v>337</v>
      </c>
      <c r="H3652" s="200" t="s">
        <v>326</v>
      </c>
      <c r="I3652" s="200" t="s">
        <v>2982</v>
      </c>
    </row>
    <row r="3653" spans="1:9" ht="15" customHeight="1">
      <c r="A3653" s="199">
        <v>45712</v>
      </c>
      <c r="B3653" s="202" t="s">
        <v>2999</v>
      </c>
      <c r="C3653" s="200" t="s">
        <v>307</v>
      </c>
      <c r="D3653" s="204">
        <v>-50000</v>
      </c>
      <c r="E3653" s="201">
        <v>45717</v>
      </c>
      <c r="F3653" s="200" t="s">
        <v>296</v>
      </c>
      <c r="G3653" s="200" t="s">
        <v>522</v>
      </c>
      <c r="H3653" s="200" t="s">
        <v>442</v>
      </c>
      <c r="I3653" s="200" t="s">
        <v>2982</v>
      </c>
    </row>
    <row r="3654" spans="1:9" ht="15" customHeight="1">
      <c r="A3654" s="199">
        <v>45713</v>
      </c>
      <c r="B3654" s="202" t="s">
        <v>3000</v>
      </c>
      <c r="C3654" s="200" t="s">
        <v>307</v>
      </c>
      <c r="D3654" s="204">
        <v>-10000</v>
      </c>
      <c r="E3654" s="201">
        <v>45717</v>
      </c>
      <c r="F3654" s="200" t="s">
        <v>296</v>
      </c>
      <c r="G3654" s="200" t="s">
        <v>337</v>
      </c>
      <c r="H3654" s="200" t="s">
        <v>326</v>
      </c>
      <c r="I3654" s="200" t="s">
        <v>2982</v>
      </c>
    </row>
    <row r="3655" spans="1:9" ht="15" customHeight="1">
      <c r="A3655" s="199">
        <v>45714</v>
      </c>
      <c r="B3655" s="202" t="s">
        <v>3001</v>
      </c>
      <c r="C3655" s="200" t="s">
        <v>307</v>
      </c>
      <c r="D3655" s="204">
        <v>-5000</v>
      </c>
      <c r="E3655" s="201">
        <v>45717</v>
      </c>
      <c r="F3655" s="200" t="s">
        <v>296</v>
      </c>
      <c r="G3655" s="200" t="s">
        <v>522</v>
      </c>
      <c r="H3655" s="200" t="s">
        <v>442</v>
      </c>
      <c r="I3655" s="200" t="s">
        <v>2982</v>
      </c>
    </row>
    <row r="3656" spans="1:9" ht="15" customHeight="1">
      <c r="A3656" s="199">
        <v>45715</v>
      </c>
      <c r="B3656" s="202" t="s">
        <v>3002</v>
      </c>
      <c r="C3656" s="200" t="s">
        <v>307</v>
      </c>
      <c r="D3656" s="204">
        <v>-30000</v>
      </c>
      <c r="E3656" s="201">
        <v>45717</v>
      </c>
      <c r="F3656" s="200" t="s">
        <v>296</v>
      </c>
      <c r="G3656" s="200" t="s">
        <v>522</v>
      </c>
      <c r="H3656" s="200" t="s">
        <v>442</v>
      </c>
      <c r="I3656" s="200" t="s">
        <v>2982</v>
      </c>
    </row>
    <row r="3657" spans="1:9" ht="15" customHeight="1">
      <c r="A3657" s="199">
        <v>45715</v>
      </c>
      <c r="B3657" s="202" t="s">
        <v>3003</v>
      </c>
      <c r="C3657" s="200" t="s">
        <v>307</v>
      </c>
      <c r="D3657" s="204">
        <v>-30000</v>
      </c>
      <c r="E3657" s="201">
        <v>45717</v>
      </c>
      <c r="F3657" s="200" t="s">
        <v>296</v>
      </c>
      <c r="G3657" s="200" t="s">
        <v>522</v>
      </c>
      <c r="H3657" s="200" t="s">
        <v>442</v>
      </c>
      <c r="I3657" s="200" t="s">
        <v>2982</v>
      </c>
    </row>
    <row r="3658" spans="1:9" ht="15" customHeight="1">
      <c r="A3658" s="199">
        <v>45715</v>
      </c>
      <c r="B3658" s="202" t="s">
        <v>3004</v>
      </c>
      <c r="C3658" s="200" t="s">
        <v>307</v>
      </c>
      <c r="D3658" s="204">
        <v>-30000</v>
      </c>
      <c r="E3658" s="201">
        <v>45717</v>
      </c>
      <c r="F3658" s="200" t="s">
        <v>296</v>
      </c>
      <c r="G3658" s="200" t="s">
        <v>522</v>
      </c>
      <c r="H3658" s="200" t="s">
        <v>442</v>
      </c>
      <c r="I3658" s="200" t="s">
        <v>2982</v>
      </c>
    </row>
    <row r="3659" spans="1:9" ht="15" customHeight="1">
      <c r="A3659" s="199">
        <v>45712</v>
      </c>
      <c r="B3659" s="202" t="s">
        <v>1937</v>
      </c>
      <c r="C3659" s="200" t="s">
        <v>307</v>
      </c>
      <c r="D3659" s="204">
        <v>-7000</v>
      </c>
      <c r="E3659" s="201">
        <v>45717</v>
      </c>
      <c r="F3659" s="200" t="s">
        <v>296</v>
      </c>
      <c r="G3659" s="200" t="s">
        <v>328</v>
      </c>
      <c r="H3659" s="200" t="s">
        <v>268</v>
      </c>
      <c r="I3659" s="200" t="s">
        <v>2982</v>
      </c>
    </row>
    <row r="3660" spans="1:9" ht="15" customHeight="1">
      <c r="A3660" s="199">
        <v>45712</v>
      </c>
      <c r="B3660" s="202" t="s">
        <v>3005</v>
      </c>
      <c r="C3660" s="200" t="s">
        <v>307</v>
      </c>
      <c r="D3660" s="204">
        <v>-32999.1</v>
      </c>
      <c r="E3660" s="201">
        <v>45717</v>
      </c>
      <c r="F3660" s="200" t="s">
        <v>256</v>
      </c>
      <c r="G3660" s="200" t="s">
        <v>256</v>
      </c>
      <c r="H3660" s="200" t="s">
        <v>263</v>
      </c>
      <c r="I3660" s="200" t="s">
        <v>2982</v>
      </c>
    </row>
    <row r="3661" spans="1:9" ht="15" customHeight="1">
      <c r="A3661" s="199">
        <v>45712</v>
      </c>
      <c r="B3661" s="202" t="s">
        <v>3006</v>
      </c>
      <c r="C3661" s="200" t="s">
        <v>307</v>
      </c>
      <c r="D3661" s="204">
        <v>-83629</v>
      </c>
      <c r="E3661" s="201">
        <v>45717</v>
      </c>
      <c r="F3661" s="200" t="s">
        <v>296</v>
      </c>
      <c r="G3661" s="200" t="s">
        <v>984</v>
      </c>
      <c r="H3661" s="200" t="s">
        <v>350</v>
      </c>
      <c r="I3661" s="200" t="s">
        <v>2982</v>
      </c>
    </row>
    <row r="3662" spans="1:9" ht="15" customHeight="1">
      <c r="A3662" s="199">
        <v>45713</v>
      </c>
      <c r="B3662" s="202" t="s">
        <v>431</v>
      </c>
      <c r="C3662" s="200" t="s">
        <v>307</v>
      </c>
      <c r="D3662" s="204">
        <v>-15200</v>
      </c>
      <c r="E3662" s="201">
        <v>45717</v>
      </c>
      <c r="F3662" s="200" t="s">
        <v>256</v>
      </c>
      <c r="G3662" s="200" t="s">
        <v>256</v>
      </c>
      <c r="H3662" s="200" t="s">
        <v>263</v>
      </c>
      <c r="I3662" s="200" t="s">
        <v>2982</v>
      </c>
    </row>
    <row r="3663" spans="1:9" ht="15" customHeight="1">
      <c r="A3663" s="199">
        <v>45713</v>
      </c>
      <c r="B3663" s="202" t="s">
        <v>3007</v>
      </c>
      <c r="C3663" s="200" t="s">
        <v>307</v>
      </c>
      <c r="D3663" s="204">
        <v>-8917</v>
      </c>
      <c r="E3663" s="201">
        <v>45717</v>
      </c>
      <c r="F3663" s="200" t="s">
        <v>297</v>
      </c>
      <c r="G3663" s="200" t="s">
        <v>1313</v>
      </c>
      <c r="H3663" s="200" t="s">
        <v>377</v>
      </c>
      <c r="I3663" s="200" t="s">
        <v>2982</v>
      </c>
    </row>
    <row r="3664" spans="1:9" ht="15" customHeight="1">
      <c r="A3664" s="199">
        <v>45714</v>
      </c>
      <c r="B3664" s="202" t="s">
        <v>3008</v>
      </c>
      <c r="C3664" s="200" t="s">
        <v>307</v>
      </c>
      <c r="D3664" s="204">
        <v>-17999.05</v>
      </c>
      <c r="E3664" s="201">
        <v>45717</v>
      </c>
      <c r="F3664" s="200" t="s">
        <v>297</v>
      </c>
      <c r="G3664" s="200" t="s">
        <v>1313</v>
      </c>
      <c r="H3664" s="200" t="s">
        <v>379</v>
      </c>
      <c r="I3664" s="200" t="s">
        <v>2982</v>
      </c>
    </row>
    <row r="3665" spans="1:9" ht="15" customHeight="1">
      <c r="A3665" s="199">
        <v>45715</v>
      </c>
      <c r="B3665" s="202" t="s">
        <v>3009</v>
      </c>
      <c r="C3665" s="200" t="s">
        <v>307</v>
      </c>
      <c r="D3665" s="204">
        <v>-10000</v>
      </c>
      <c r="E3665" s="201">
        <v>45717</v>
      </c>
      <c r="F3665" s="200" t="s">
        <v>296</v>
      </c>
      <c r="G3665" s="200" t="s">
        <v>411</v>
      </c>
      <c r="H3665" s="200" t="s">
        <v>346</v>
      </c>
      <c r="I3665" s="200" t="s">
        <v>2982</v>
      </c>
    </row>
    <row r="3666" spans="1:9" ht="15" customHeight="1">
      <c r="A3666" s="199">
        <v>45715</v>
      </c>
      <c r="B3666" s="202" t="s">
        <v>3010</v>
      </c>
      <c r="C3666" s="200" t="s">
        <v>307</v>
      </c>
      <c r="D3666" s="204">
        <v>-74000</v>
      </c>
      <c r="E3666" s="201">
        <v>45717</v>
      </c>
      <c r="F3666" s="200" t="s">
        <v>296</v>
      </c>
      <c r="G3666" s="200" t="s">
        <v>411</v>
      </c>
      <c r="H3666" s="200" t="s">
        <v>377</v>
      </c>
      <c r="I3666" s="200" t="s">
        <v>2982</v>
      </c>
    </row>
    <row r="3667" spans="1:9" ht="15" customHeight="1">
      <c r="A3667" s="199">
        <v>45715</v>
      </c>
      <c r="B3667" s="202" t="s">
        <v>3011</v>
      </c>
      <c r="C3667" s="200" t="s">
        <v>307</v>
      </c>
      <c r="D3667" s="204">
        <v>-26700</v>
      </c>
      <c r="E3667" s="201">
        <v>45717</v>
      </c>
      <c r="F3667" s="200" t="s">
        <v>297</v>
      </c>
      <c r="G3667" s="200" t="s">
        <v>1313</v>
      </c>
      <c r="H3667" s="200" t="s">
        <v>350</v>
      </c>
      <c r="I3667" s="200" t="s">
        <v>2982</v>
      </c>
    </row>
    <row r="3668" spans="1:9" ht="15" customHeight="1">
      <c r="A3668" s="199">
        <v>45715</v>
      </c>
      <c r="B3668" s="202" t="s">
        <v>3012</v>
      </c>
      <c r="C3668" s="200" t="s">
        <v>307</v>
      </c>
      <c r="D3668" s="204">
        <v>-42300</v>
      </c>
      <c r="E3668" s="201">
        <v>45717</v>
      </c>
      <c r="F3668" s="200" t="s">
        <v>296</v>
      </c>
      <c r="G3668" s="200" t="s">
        <v>2994</v>
      </c>
      <c r="H3668" s="200" t="s">
        <v>379</v>
      </c>
      <c r="I3668" s="648" t="s">
        <v>329</v>
      </c>
    </row>
    <row r="3669" spans="1:9" ht="15" customHeight="1">
      <c r="A3669" s="199">
        <v>45715</v>
      </c>
      <c r="B3669" s="202" t="s">
        <v>3013</v>
      </c>
      <c r="C3669" s="200" t="s">
        <v>307</v>
      </c>
      <c r="D3669" s="204">
        <v>-75960</v>
      </c>
      <c r="E3669" s="201">
        <v>45717</v>
      </c>
      <c r="F3669" s="200" t="s">
        <v>296</v>
      </c>
      <c r="G3669" s="200" t="s">
        <v>411</v>
      </c>
      <c r="H3669" s="200" t="s">
        <v>377</v>
      </c>
      <c r="I3669" s="200" t="s">
        <v>2982</v>
      </c>
    </row>
    <row r="3670" spans="1:9" ht="15" customHeight="1">
      <c r="A3670" s="199">
        <v>45720</v>
      </c>
      <c r="B3670" s="202" t="s">
        <v>3014</v>
      </c>
      <c r="C3670" s="200" t="s">
        <v>307</v>
      </c>
      <c r="D3670" s="204">
        <v>-54000</v>
      </c>
      <c r="E3670" s="201">
        <v>45717</v>
      </c>
      <c r="F3670" s="200" t="s">
        <v>296</v>
      </c>
      <c r="G3670" s="200" t="s">
        <v>482</v>
      </c>
      <c r="H3670" s="200" t="s">
        <v>268</v>
      </c>
    </row>
    <row r="3671" spans="1:9" ht="15" customHeight="1">
      <c r="A3671" s="199">
        <v>45720</v>
      </c>
      <c r="B3671" s="202" t="s">
        <v>3014</v>
      </c>
      <c r="C3671" s="200" t="s">
        <v>307</v>
      </c>
      <c r="D3671" s="204">
        <v>-7000</v>
      </c>
      <c r="E3671" s="201">
        <v>45717</v>
      </c>
      <c r="F3671" s="200" t="s">
        <v>297</v>
      </c>
      <c r="G3671" s="200" t="s">
        <v>69</v>
      </c>
      <c r="H3671" s="200" t="s">
        <v>268</v>
      </c>
    </row>
    <row r="3672" spans="1:9" ht="15" customHeight="1">
      <c r="A3672" s="199">
        <v>45720</v>
      </c>
      <c r="B3672" s="202" t="s">
        <v>3014</v>
      </c>
      <c r="C3672" s="200" t="s">
        <v>307</v>
      </c>
      <c r="D3672" s="204">
        <v>-63264</v>
      </c>
      <c r="E3672" s="201">
        <v>45717</v>
      </c>
      <c r="F3672" s="200" t="s">
        <v>296</v>
      </c>
      <c r="G3672" s="200" t="s">
        <v>328</v>
      </c>
      <c r="H3672" s="200" t="s">
        <v>268</v>
      </c>
    </row>
    <row r="3673" spans="1:9" ht="15" customHeight="1">
      <c r="A3673" s="199">
        <v>45720</v>
      </c>
      <c r="B3673" s="202" t="s">
        <v>3014</v>
      </c>
      <c r="C3673" s="200" t="s">
        <v>307</v>
      </c>
      <c r="D3673" s="204">
        <v>-37000</v>
      </c>
      <c r="E3673" s="201">
        <v>45717</v>
      </c>
      <c r="F3673" s="200" t="s">
        <v>296</v>
      </c>
      <c r="G3673" s="200" t="s">
        <v>984</v>
      </c>
      <c r="H3673" s="200" t="s">
        <v>268</v>
      </c>
    </row>
    <row r="3674" spans="1:9" ht="15" customHeight="1">
      <c r="A3674" s="199">
        <v>45720</v>
      </c>
      <c r="B3674" s="202" t="s">
        <v>3014</v>
      </c>
      <c r="C3674" s="200" t="s">
        <v>307</v>
      </c>
      <c r="D3674" s="204">
        <v>-7000</v>
      </c>
      <c r="E3674" s="201">
        <v>45717</v>
      </c>
      <c r="F3674" s="200" t="s">
        <v>297</v>
      </c>
      <c r="G3674" s="200" t="s">
        <v>1313</v>
      </c>
      <c r="H3674" s="200" t="s">
        <v>268</v>
      </c>
    </row>
    <row r="3675" spans="1:9" ht="15" customHeight="1">
      <c r="A3675" s="199">
        <v>45720</v>
      </c>
      <c r="B3675" s="202" t="s">
        <v>3015</v>
      </c>
      <c r="C3675" s="200" t="s">
        <v>372</v>
      </c>
      <c r="D3675" s="645">
        <v>-1710</v>
      </c>
      <c r="E3675" s="201">
        <v>45717</v>
      </c>
      <c r="F3675" s="200" t="s">
        <v>296</v>
      </c>
      <c r="G3675" s="200" t="s">
        <v>328</v>
      </c>
      <c r="H3675" s="200" t="s">
        <v>268</v>
      </c>
    </row>
    <row r="3676" spans="1:9" ht="15" customHeight="1">
      <c r="A3676" s="199">
        <v>45720</v>
      </c>
      <c r="B3676" s="202" t="s">
        <v>3016</v>
      </c>
      <c r="C3676" s="200" t="s">
        <v>372</v>
      </c>
      <c r="D3676" s="645">
        <v>-1026</v>
      </c>
      <c r="E3676" s="201">
        <v>45717</v>
      </c>
      <c r="F3676" s="200" t="s">
        <v>296</v>
      </c>
      <c r="G3676" s="200" t="s">
        <v>328</v>
      </c>
      <c r="H3676" s="200" t="s">
        <v>268</v>
      </c>
    </row>
    <row r="3677" spans="1:9" ht="15" customHeight="1">
      <c r="A3677" s="199">
        <v>45350</v>
      </c>
      <c r="B3677" s="202" t="s">
        <v>2773</v>
      </c>
      <c r="C3677" s="200" t="s">
        <v>307</v>
      </c>
      <c r="D3677" s="204">
        <v>-7000</v>
      </c>
      <c r="E3677" s="201">
        <v>45717</v>
      </c>
      <c r="F3677" s="200" t="s">
        <v>296</v>
      </c>
      <c r="G3677" s="200" t="s">
        <v>411</v>
      </c>
      <c r="H3677" s="200" t="s">
        <v>268</v>
      </c>
      <c r="I3677" s="200" t="s">
        <v>1899</v>
      </c>
    </row>
    <row r="3678" spans="1:9" ht="15" customHeight="1">
      <c r="A3678" s="199">
        <v>45350</v>
      </c>
      <c r="B3678" s="202" t="s">
        <v>3017</v>
      </c>
      <c r="C3678" s="200" t="s">
        <v>307</v>
      </c>
      <c r="D3678" s="204">
        <v>-17000</v>
      </c>
      <c r="E3678" s="201">
        <v>45717</v>
      </c>
      <c r="F3678" s="200" t="s">
        <v>296</v>
      </c>
      <c r="G3678" s="200" t="s">
        <v>411</v>
      </c>
      <c r="H3678" s="200" t="s">
        <v>268</v>
      </c>
      <c r="I3678" s="200" t="s">
        <v>1899</v>
      </c>
    </row>
    <row r="3679" spans="1:9" ht="15" customHeight="1">
      <c r="A3679" s="199">
        <v>45350</v>
      </c>
      <c r="B3679" s="202" t="s">
        <v>3018</v>
      </c>
      <c r="C3679" s="200" t="s">
        <v>307</v>
      </c>
      <c r="D3679" s="204">
        <v>-6500</v>
      </c>
      <c r="E3679" s="201">
        <v>45717</v>
      </c>
      <c r="F3679" s="200" t="s">
        <v>297</v>
      </c>
      <c r="G3679" s="200" t="s">
        <v>1578</v>
      </c>
      <c r="H3679" s="200" t="s">
        <v>268</v>
      </c>
      <c r="I3679" s="200" t="s">
        <v>1899</v>
      </c>
    </row>
    <row r="3680" spans="1:9" ht="15" customHeight="1">
      <c r="A3680" s="199">
        <v>45350</v>
      </c>
      <c r="B3680" s="202" t="s">
        <v>3019</v>
      </c>
      <c r="C3680" s="200" t="s">
        <v>307</v>
      </c>
      <c r="D3680" s="204">
        <v>-36000</v>
      </c>
      <c r="E3680" s="201">
        <v>45717</v>
      </c>
      <c r="F3680" s="200" t="s">
        <v>296</v>
      </c>
      <c r="G3680" s="200" t="s">
        <v>411</v>
      </c>
      <c r="H3680" s="200" t="s">
        <v>567</v>
      </c>
      <c r="I3680" s="200" t="s">
        <v>1899</v>
      </c>
    </row>
    <row r="3681" spans="1:9" ht="15" customHeight="1">
      <c r="A3681" s="199">
        <v>45350</v>
      </c>
      <c r="B3681" s="202" t="s">
        <v>3020</v>
      </c>
      <c r="C3681" s="200" t="s">
        <v>307</v>
      </c>
      <c r="D3681" s="204">
        <v>-6500</v>
      </c>
      <c r="E3681" s="201">
        <v>45717</v>
      </c>
      <c r="F3681" s="200" t="s">
        <v>297</v>
      </c>
      <c r="G3681" s="200" t="s">
        <v>1578</v>
      </c>
      <c r="H3681" s="200" t="s">
        <v>268</v>
      </c>
      <c r="I3681" s="200" t="s">
        <v>1899</v>
      </c>
    </row>
    <row r="3682" spans="1:9" ht="15" customHeight="1">
      <c r="A3682" s="199">
        <v>45350</v>
      </c>
      <c r="B3682" s="202" t="s">
        <v>3021</v>
      </c>
      <c r="C3682" s="200" t="s">
        <v>307</v>
      </c>
      <c r="D3682" s="204">
        <v>-6500</v>
      </c>
      <c r="E3682" s="201">
        <v>45717</v>
      </c>
      <c r="F3682" s="200" t="s">
        <v>297</v>
      </c>
      <c r="G3682" s="200" t="s">
        <v>1578</v>
      </c>
      <c r="H3682" s="200" t="s">
        <v>268</v>
      </c>
      <c r="I3682" s="200" t="s">
        <v>1899</v>
      </c>
    </row>
    <row r="3683" spans="1:9" ht="15" customHeight="1">
      <c r="A3683" s="199">
        <v>45350</v>
      </c>
      <c r="B3683" s="202" t="s">
        <v>3022</v>
      </c>
      <c r="C3683" s="200" t="s">
        <v>307</v>
      </c>
      <c r="D3683" s="204">
        <v>-17000</v>
      </c>
      <c r="E3683" s="201">
        <v>45717</v>
      </c>
      <c r="F3683" s="200" t="s">
        <v>296</v>
      </c>
      <c r="G3683" s="200" t="s">
        <v>411</v>
      </c>
      <c r="H3683" s="200" t="s">
        <v>268</v>
      </c>
      <c r="I3683" s="200" t="s">
        <v>1899</v>
      </c>
    </row>
    <row r="3684" spans="1:9" ht="15" customHeight="1">
      <c r="A3684" s="199">
        <v>45720</v>
      </c>
      <c r="B3684" s="202" t="s">
        <v>3023</v>
      </c>
      <c r="C3684" s="200" t="s">
        <v>307</v>
      </c>
      <c r="D3684" s="716">
        <v>-36000</v>
      </c>
      <c r="E3684" s="201">
        <v>45717</v>
      </c>
      <c r="F3684" s="200" t="s">
        <v>256</v>
      </c>
      <c r="G3684" s="200" t="s">
        <v>256</v>
      </c>
      <c r="H3684" s="200" t="s">
        <v>9</v>
      </c>
    </row>
    <row r="3685" spans="1:9" ht="15" customHeight="1">
      <c r="A3685" s="199">
        <v>45719</v>
      </c>
      <c r="B3685" s="202" t="s">
        <v>3024</v>
      </c>
      <c r="C3685" s="200" t="s">
        <v>307</v>
      </c>
      <c r="D3685" s="204">
        <v>-31900</v>
      </c>
      <c r="E3685" s="201">
        <v>45717</v>
      </c>
      <c r="F3685" s="200" t="s">
        <v>256</v>
      </c>
      <c r="G3685" s="200" t="s">
        <v>256</v>
      </c>
      <c r="H3685" s="200" t="s">
        <v>270</v>
      </c>
      <c r="I3685" s="200" t="s">
        <v>3025</v>
      </c>
    </row>
    <row r="3686" spans="1:9" ht="15" customHeight="1">
      <c r="A3686" s="199">
        <v>45719</v>
      </c>
      <c r="B3686" s="202" t="s">
        <v>3026</v>
      </c>
      <c r="C3686" s="200" t="s">
        <v>307</v>
      </c>
      <c r="D3686" s="204">
        <v>-48000</v>
      </c>
      <c r="E3686" s="201">
        <v>45717</v>
      </c>
      <c r="F3686" s="200" t="s">
        <v>256</v>
      </c>
      <c r="G3686" s="200" t="s">
        <v>256</v>
      </c>
      <c r="H3686" s="200" t="s">
        <v>270</v>
      </c>
      <c r="I3686" s="200" t="s">
        <v>3025</v>
      </c>
    </row>
    <row r="3687" spans="1:9" ht="15" customHeight="1">
      <c r="A3687" s="199">
        <v>45720</v>
      </c>
      <c r="B3687" s="202" t="s">
        <v>1716</v>
      </c>
      <c r="C3687" s="200" t="s">
        <v>307</v>
      </c>
      <c r="D3687" s="204">
        <v>-2100</v>
      </c>
      <c r="E3687" s="201">
        <v>45717</v>
      </c>
      <c r="F3687" s="200" t="s">
        <v>256</v>
      </c>
      <c r="G3687" s="200" t="s">
        <v>256</v>
      </c>
      <c r="H3687" s="200" t="s">
        <v>270</v>
      </c>
      <c r="I3687" s="200" t="s">
        <v>3025</v>
      </c>
    </row>
    <row r="3688" spans="1:9" ht="15" customHeight="1">
      <c r="A3688" s="199">
        <v>45716</v>
      </c>
      <c r="B3688" s="202" t="s">
        <v>3027</v>
      </c>
      <c r="C3688" s="200" t="s">
        <v>307</v>
      </c>
      <c r="D3688" s="204">
        <v>-10000</v>
      </c>
      <c r="E3688" s="201">
        <v>45717</v>
      </c>
      <c r="F3688" s="200" t="s">
        <v>296</v>
      </c>
      <c r="G3688" s="200" t="s">
        <v>875</v>
      </c>
      <c r="H3688" s="200" t="s">
        <v>268</v>
      </c>
    </row>
    <row r="3689" spans="1:9" ht="15" customHeight="1">
      <c r="A3689" s="199">
        <v>45716</v>
      </c>
      <c r="B3689" s="202" t="s">
        <v>3028</v>
      </c>
      <c r="C3689" s="200" t="s">
        <v>307</v>
      </c>
      <c r="D3689" s="204">
        <v>-13000</v>
      </c>
      <c r="E3689" s="201">
        <v>45717</v>
      </c>
      <c r="F3689" s="200" t="s">
        <v>296</v>
      </c>
      <c r="G3689" s="200" t="s">
        <v>875</v>
      </c>
      <c r="H3689" s="200" t="s">
        <v>268</v>
      </c>
    </row>
    <row r="3690" spans="1:9" ht="15" customHeight="1">
      <c r="A3690" s="199">
        <v>45716</v>
      </c>
      <c r="B3690" s="202" t="s">
        <v>3029</v>
      </c>
      <c r="C3690" s="200" t="s">
        <v>307</v>
      </c>
      <c r="D3690" s="204">
        <v>-22000</v>
      </c>
      <c r="E3690" s="201">
        <v>45717</v>
      </c>
      <c r="F3690" s="200" t="s">
        <v>296</v>
      </c>
      <c r="G3690" s="200" t="s">
        <v>44</v>
      </c>
      <c r="H3690" s="200" t="s">
        <v>326</v>
      </c>
      <c r="I3690" s="200" t="s">
        <v>3030</v>
      </c>
    </row>
    <row r="3691" spans="1:9" ht="15" customHeight="1">
      <c r="A3691" s="199">
        <v>45716</v>
      </c>
      <c r="B3691" s="202" t="s">
        <v>3031</v>
      </c>
      <c r="C3691" s="200" t="s">
        <v>307</v>
      </c>
      <c r="D3691" s="204">
        <v>-22000</v>
      </c>
      <c r="E3691" s="201">
        <v>45717</v>
      </c>
      <c r="F3691" s="200" t="s">
        <v>296</v>
      </c>
      <c r="G3691" s="200" t="s">
        <v>522</v>
      </c>
      <c r="H3691" s="200" t="s">
        <v>326</v>
      </c>
      <c r="I3691" s="200" t="s">
        <v>3030</v>
      </c>
    </row>
    <row r="3692" spans="1:9" ht="15" customHeight="1">
      <c r="A3692" s="199">
        <v>45716</v>
      </c>
      <c r="B3692" s="202" t="s">
        <v>729</v>
      </c>
      <c r="C3692" s="200" t="s">
        <v>307</v>
      </c>
      <c r="D3692" s="204">
        <v>-4500</v>
      </c>
      <c r="E3692" s="201">
        <v>45717</v>
      </c>
      <c r="F3692" s="200" t="s">
        <v>296</v>
      </c>
      <c r="G3692" s="200" t="s">
        <v>44</v>
      </c>
      <c r="H3692" s="200" t="s">
        <v>326</v>
      </c>
      <c r="I3692" s="200" t="s">
        <v>3030</v>
      </c>
    </row>
    <row r="3693" spans="1:9" ht="15" customHeight="1">
      <c r="A3693" s="199">
        <v>45716</v>
      </c>
      <c r="B3693" s="202" t="s">
        <v>729</v>
      </c>
      <c r="C3693" s="200" t="s">
        <v>307</v>
      </c>
      <c r="D3693" s="204">
        <v>-4500</v>
      </c>
      <c r="E3693" s="201">
        <v>45717</v>
      </c>
      <c r="F3693" s="200" t="s">
        <v>296</v>
      </c>
      <c r="G3693" s="200" t="s">
        <v>337</v>
      </c>
      <c r="H3693" s="200" t="s">
        <v>326</v>
      </c>
      <c r="I3693" s="200" t="s">
        <v>3030</v>
      </c>
    </row>
    <row r="3694" spans="1:9" ht="15" customHeight="1">
      <c r="A3694" s="199">
        <v>45716</v>
      </c>
      <c r="B3694" s="202" t="s">
        <v>3032</v>
      </c>
      <c r="C3694" s="200" t="s">
        <v>307</v>
      </c>
      <c r="D3694" s="204">
        <v>-30185</v>
      </c>
      <c r="E3694" s="201">
        <v>45717</v>
      </c>
      <c r="F3694" s="200" t="s">
        <v>296</v>
      </c>
      <c r="G3694" s="200" t="s">
        <v>337</v>
      </c>
      <c r="H3694" s="200" t="s">
        <v>322</v>
      </c>
      <c r="I3694" s="200" t="s">
        <v>3030</v>
      </c>
    </row>
    <row r="3695" spans="1:9" ht="15" customHeight="1">
      <c r="A3695" s="199">
        <v>45716</v>
      </c>
      <c r="B3695" s="202" t="s">
        <v>3032</v>
      </c>
      <c r="C3695" s="200" t="s">
        <v>307</v>
      </c>
      <c r="D3695" s="204">
        <v>-30185</v>
      </c>
      <c r="E3695" s="201">
        <v>45717</v>
      </c>
      <c r="F3695" s="200" t="s">
        <v>296</v>
      </c>
      <c r="G3695" s="200" t="s">
        <v>44</v>
      </c>
      <c r="H3695" s="200" t="s">
        <v>322</v>
      </c>
      <c r="I3695" s="200" t="s">
        <v>3030</v>
      </c>
    </row>
    <row r="3696" spans="1:9" ht="15" customHeight="1">
      <c r="A3696" s="199">
        <v>45705</v>
      </c>
      <c r="B3696" s="202" t="s">
        <v>3033</v>
      </c>
      <c r="C3696" s="200" t="s">
        <v>307</v>
      </c>
      <c r="D3696" s="204">
        <v>-15000</v>
      </c>
      <c r="E3696" s="201">
        <v>45717</v>
      </c>
      <c r="F3696" s="200" t="s">
        <v>296</v>
      </c>
      <c r="G3696" s="200" t="s">
        <v>411</v>
      </c>
      <c r="H3696" s="200" t="s">
        <v>342</v>
      </c>
      <c r="I3696" s="200" t="s">
        <v>3034</v>
      </c>
    </row>
    <row r="3697" spans="1:9" ht="15" customHeight="1">
      <c r="A3697" s="199">
        <v>45705</v>
      </c>
      <c r="B3697" s="202" t="s">
        <v>3035</v>
      </c>
      <c r="C3697" s="200" t="s">
        <v>307</v>
      </c>
      <c r="D3697" s="204">
        <v>-96000</v>
      </c>
      <c r="E3697" s="201">
        <v>45717</v>
      </c>
      <c r="F3697" s="200" t="s">
        <v>296</v>
      </c>
      <c r="G3697" s="200" t="s">
        <v>411</v>
      </c>
      <c r="H3697" s="200" t="s">
        <v>350</v>
      </c>
      <c r="I3697" s="200" t="s">
        <v>3034</v>
      </c>
    </row>
    <row r="3698" spans="1:9" ht="15" customHeight="1">
      <c r="A3698" s="199">
        <v>45706</v>
      </c>
      <c r="B3698" s="202" t="s">
        <v>3036</v>
      </c>
      <c r="C3698" s="200" t="s">
        <v>307</v>
      </c>
      <c r="D3698" s="204">
        <v>-22000</v>
      </c>
      <c r="E3698" s="201">
        <v>45717</v>
      </c>
      <c r="F3698" s="200" t="s">
        <v>296</v>
      </c>
      <c r="G3698" s="200" t="s">
        <v>411</v>
      </c>
      <c r="H3698" s="200" t="s">
        <v>342</v>
      </c>
      <c r="I3698" s="200" t="s">
        <v>3034</v>
      </c>
    </row>
    <row r="3699" spans="1:9" ht="15" customHeight="1">
      <c r="A3699" s="199">
        <v>45706</v>
      </c>
      <c r="B3699" s="202" t="s">
        <v>3037</v>
      </c>
      <c r="C3699" s="200" t="s">
        <v>307</v>
      </c>
      <c r="D3699" s="204">
        <v>-300000</v>
      </c>
      <c r="E3699" s="201">
        <v>45717</v>
      </c>
      <c r="F3699" s="200" t="s">
        <v>296</v>
      </c>
      <c r="G3699" s="200" t="s">
        <v>411</v>
      </c>
      <c r="H3699" s="200" t="s">
        <v>342</v>
      </c>
      <c r="I3699" s="200" t="s">
        <v>3034</v>
      </c>
    </row>
    <row r="3700" spans="1:9" ht="15" customHeight="1">
      <c r="A3700" s="199">
        <v>45706</v>
      </c>
      <c r="B3700" s="202" t="s">
        <v>3038</v>
      </c>
      <c r="C3700" s="200" t="s">
        <v>307</v>
      </c>
      <c r="D3700" s="204">
        <v>-360000</v>
      </c>
      <c r="E3700" s="201">
        <v>45717</v>
      </c>
      <c r="F3700" s="200" t="s">
        <v>296</v>
      </c>
      <c r="G3700" s="200" t="s">
        <v>411</v>
      </c>
      <c r="H3700" s="200" t="s">
        <v>342</v>
      </c>
      <c r="I3700" s="200" t="s">
        <v>3034</v>
      </c>
    </row>
    <row r="3701" spans="1:9" ht="15" customHeight="1">
      <c r="A3701" s="199">
        <v>45706</v>
      </c>
      <c r="B3701" s="202" t="s">
        <v>3039</v>
      </c>
      <c r="C3701" s="200" t="s">
        <v>307</v>
      </c>
      <c r="D3701" s="204">
        <v>-8000</v>
      </c>
      <c r="E3701" s="201">
        <v>45717</v>
      </c>
      <c r="F3701" s="200" t="s">
        <v>296</v>
      </c>
      <c r="G3701" s="200" t="s">
        <v>411</v>
      </c>
      <c r="H3701" s="200" t="s">
        <v>268</v>
      </c>
      <c r="I3701" s="200" t="s">
        <v>3034</v>
      </c>
    </row>
    <row r="3702" spans="1:9" ht="15" customHeight="1">
      <c r="A3702" s="199">
        <v>45706</v>
      </c>
      <c r="B3702" s="202" t="s">
        <v>3040</v>
      </c>
      <c r="C3702" s="200" t="s">
        <v>307</v>
      </c>
      <c r="D3702" s="204">
        <v>-26000</v>
      </c>
      <c r="E3702" s="201">
        <v>45717</v>
      </c>
      <c r="F3702" s="200" t="s">
        <v>296</v>
      </c>
      <c r="G3702" s="200" t="s">
        <v>411</v>
      </c>
      <c r="H3702" s="200" t="s">
        <v>268</v>
      </c>
      <c r="I3702" s="200" t="s">
        <v>3034</v>
      </c>
    </row>
    <row r="3703" spans="1:9" ht="15" customHeight="1">
      <c r="A3703" s="199">
        <v>45707</v>
      </c>
      <c r="B3703" s="202" t="s">
        <v>3041</v>
      </c>
      <c r="C3703" s="200" t="s">
        <v>307</v>
      </c>
      <c r="D3703" s="204">
        <v>-30000</v>
      </c>
      <c r="E3703" s="201">
        <v>45717</v>
      </c>
      <c r="F3703" s="200" t="s">
        <v>296</v>
      </c>
      <c r="G3703" s="200" t="s">
        <v>411</v>
      </c>
      <c r="H3703" s="200" t="s">
        <v>342</v>
      </c>
      <c r="I3703" s="200" t="s">
        <v>3034</v>
      </c>
    </row>
    <row r="3704" spans="1:9" ht="15" customHeight="1">
      <c r="A3704" s="199">
        <v>45708</v>
      </c>
      <c r="B3704" s="202" t="s">
        <v>3042</v>
      </c>
      <c r="C3704" s="200" t="s">
        <v>307</v>
      </c>
      <c r="D3704" s="204">
        <v>-15000</v>
      </c>
      <c r="E3704" s="201">
        <v>45717</v>
      </c>
      <c r="F3704" s="200" t="s">
        <v>296</v>
      </c>
      <c r="G3704" s="200" t="s">
        <v>411</v>
      </c>
      <c r="H3704" s="200" t="s">
        <v>342</v>
      </c>
      <c r="I3704" s="200" t="s">
        <v>3034</v>
      </c>
    </row>
    <row r="3705" spans="1:9" ht="15" customHeight="1">
      <c r="A3705" s="199">
        <v>45708</v>
      </c>
      <c r="B3705" s="202" t="s">
        <v>3043</v>
      </c>
      <c r="C3705" s="200" t="s">
        <v>307</v>
      </c>
      <c r="D3705" s="204">
        <v>-400000</v>
      </c>
      <c r="E3705" s="201">
        <v>45717</v>
      </c>
      <c r="F3705" s="200" t="s">
        <v>296</v>
      </c>
      <c r="G3705" s="200" t="s">
        <v>411</v>
      </c>
      <c r="H3705" s="200" t="s">
        <v>342</v>
      </c>
      <c r="I3705" s="200" t="s">
        <v>3034</v>
      </c>
    </row>
    <row r="3706" spans="1:9" ht="15" customHeight="1">
      <c r="A3706" s="199">
        <v>45722</v>
      </c>
      <c r="B3706" s="202" t="s">
        <v>3044</v>
      </c>
      <c r="C3706" s="200" t="s">
        <v>307</v>
      </c>
      <c r="D3706" s="204">
        <v>26600</v>
      </c>
      <c r="E3706" s="201">
        <v>45717</v>
      </c>
      <c r="F3706" s="200" t="s">
        <v>296</v>
      </c>
      <c r="G3706" s="200" t="s">
        <v>522</v>
      </c>
      <c r="H3706" s="200" t="s">
        <v>490</v>
      </c>
    </row>
    <row r="3707" spans="1:9" ht="15" customHeight="1">
      <c r="A3707" s="199">
        <v>45722</v>
      </c>
      <c r="B3707" s="202" t="s">
        <v>3045</v>
      </c>
      <c r="C3707" s="200" t="s">
        <v>136</v>
      </c>
      <c r="D3707" s="649">
        <v>-3632850</v>
      </c>
      <c r="E3707" s="201">
        <v>45717</v>
      </c>
      <c r="F3707" s="200" t="s">
        <v>256</v>
      </c>
      <c r="G3707" s="200" t="s">
        <v>256</v>
      </c>
      <c r="H3707" s="200" t="s">
        <v>257</v>
      </c>
    </row>
    <row r="3708" spans="1:9" ht="15" customHeight="1">
      <c r="A3708" s="199">
        <v>45722</v>
      </c>
      <c r="B3708" s="202" t="s">
        <v>3046</v>
      </c>
      <c r="C3708" s="200" t="s">
        <v>372</v>
      </c>
      <c r="D3708" s="645">
        <v>-126360</v>
      </c>
      <c r="E3708" s="201">
        <v>45717</v>
      </c>
      <c r="F3708" s="200" t="s">
        <v>256</v>
      </c>
      <c r="G3708" s="200" t="s">
        <v>256</v>
      </c>
      <c r="H3708" s="200" t="s">
        <v>257</v>
      </c>
    </row>
    <row r="3709" spans="1:9" ht="15" customHeight="1">
      <c r="A3709" s="199">
        <v>45722</v>
      </c>
      <c r="B3709" s="530" t="s">
        <v>371</v>
      </c>
      <c r="C3709" s="750" t="s">
        <v>372</v>
      </c>
      <c r="D3709" s="645">
        <v>161544.57999999999</v>
      </c>
      <c r="E3709" s="201">
        <v>45717</v>
      </c>
      <c r="F3709" s="200" t="s">
        <v>256</v>
      </c>
    </row>
    <row r="3710" spans="1:9" ht="15" customHeight="1">
      <c r="A3710" s="199">
        <v>45722</v>
      </c>
      <c r="B3710" s="530" t="s">
        <v>373</v>
      </c>
      <c r="C3710" s="750" t="s">
        <v>136</v>
      </c>
      <c r="D3710" s="645">
        <v>-2307779.7200000002</v>
      </c>
      <c r="E3710" s="201">
        <v>45717</v>
      </c>
      <c r="F3710" s="200" t="s">
        <v>315</v>
      </c>
    </row>
    <row r="3711" spans="1:9" ht="15" customHeight="1">
      <c r="A3711" s="199">
        <v>45722</v>
      </c>
      <c r="B3711" s="530" t="s">
        <v>373</v>
      </c>
      <c r="C3711" s="531" t="s">
        <v>136</v>
      </c>
      <c r="D3711" s="649">
        <f>-6243980-1143.58</f>
        <v>-6245123.5800000001</v>
      </c>
      <c r="E3711" s="201">
        <v>45717</v>
      </c>
      <c r="F3711" s="200" t="s">
        <v>298</v>
      </c>
    </row>
    <row r="3712" spans="1:9" ht="15" customHeight="1">
      <c r="A3712" s="199">
        <v>45719</v>
      </c>
      <c r="B3712" s="530" t="s">
        <v>3047</v>
      </c>
      <c r="C3712" s="200" t="s">
        <v>204</v>
      </c>
      <c r="D3712" s="204">
        <v>-1290455</v>
      </c>
      <c r="E3712" s="201">
        <v>45717</v>
      </c>
      <c r="F3712" s="200" t="s">
        <v>315</v>
      </c>
    </row>
    <row r="3713" spans="1:8" ht="15" customHeight="1">
      <c r="A3713" s="199">
        <v>45719</v>
      </c>
      <c r="B3713" s="530" t="s">
        <v>3047</v>
      </c>
      <c r="C3713" s="531" t="s">
        <v>204</v>
      </c>
      <c r="D3713" s="649">
        <f>-3701293-75922</f>
        <v>-3777215</v>
      </c>
      <c r="E3713" s="201">
        <v>45717</v>
      </c>
      <c r="F3713" s="200" t="s">
        <v>298</v>
      </c>
    </row>
    <row r="3714" spans="1:8" ht="15" customHeight="1">
      <c r="A3714" s="199">
        <v>45720</v>
      </c>
      <c r="B3714" s="202" t="s">
        <v>3048</v>
      </c>
      <c r="C3714" s="200" t="s">
        <v>204</v>
      </c>
      <c r="D3714" s="649">
        <v>-11600</v>
      </c>
      <c r="E3714" s="201">
        <v>45717</v>
      </c>
      <c r="F3714" s="200" t="s">
        <v>296</v>
      </c>
      <c r="G3714" s="200" t="s">
        <v>807</v>
      </c>
      <c r="H3714" s="200" t="s">
        <v>322</v>
      </c>
    </row>
    <row r="3715" spans="1:8" ht="15" customHeight="1">
      <c r="A3715" s="199">
        <v>45720</v>
      </c>
      <c r="B3715" s="202" t="s">
        <v>3048</v>
      </c>
      <c r="C3715" s="200" t="s">
        <v>204</v>
      </c>
      <c r="D3715" s="649">
        <v>-11600</v>
      </c>
      <c r="E3715" s="201">
        <v>45717</v>
      </c>
      <c r="F3715" s="200" t="s">
        <v>296</v>
      </c>
      <c r="G3715" s="200" t="s">
        <v>44</v>
      </c>
      <c r="H3715" s="200" t="s">
        <v>322</v>
      </c>
    </row>
    <row r="3716" spans="1:8" ht="15" customHeight="1">
      <c r="A3716" s="199">
        <v>45720</v>
      </c>
      <c r="B3716" s="722" t="s">
        <v>3049</v>
      </c>
      <c r="C3716" s="200" t="s">
        <v>204</v>
      </c>
      <c r="D3716" s="649">
        <v>-69951</v>
      </c>
      <c r="E3716" s="201">
        <v>45717</v>
      </c>
      <c r="F3716" s="200" t="s">
        <v>296</v>
      </c>
      <c r="G3716" s="200" t="s">
        <v>57</v>
      </c>
      <c r="H3716" s="200" t="s">
        <v>105</v>
      </c>
    </row>
    <row r="3717" spans="1:8" ht="15" customHeight="1">
      <c r="A3717" s="199">
        <v>45720</v>
      </c>
      <c r="B3717" s="202" t="s">
        <v>3050</v>
      </c>
      <c r="C3717" s="200" t="s">
        <v>204</v>
      </c>
      <c r="D3717" s="649">
        <v>-2717647</v>
      </c>
      <c r="E3717" s="201">
        <v>45717</v>
      </c>
      <c r="F3717" s="200" t="s">
        <v>296</v>
      </c>
      <c r="G3717" s="200" t="s">
        <v>1124</v>
      </c>
      <c r="H3717" s="200" t="s">
        <v>342</v>
      </c>
    </row>
    <row r="3718" spans="1:8" ht="15" customHeight="1">
      <c r="A3718" s="199">
        <v>45720</v>
      </c>
      <c r="B3718" s="202" t="s">
        <v>3051</v>
      </c>
      <c r="C3718" s="200" t="s">
        <v>372</v>
      </c>
      <c r="D3718" s="645">
        <v>-82353</v>
      </c>
      <c r="E3718" s="201">
        <v>45717</v>
      </c>
      <c r="F3718" s="200" t="s">
        <v>296</v>
      </c>
      <c r="G3718" s="200" t="s">
        <v>1124</v>
      </c>
      <c r="H3718" s="200" t="s">
        <v>342</v>
      </c>
    </row>
    <row r="3719" spans="1:8" ht="15" customHeight="1">
      <c r="A3719" s="199">
        <v>45720</v>
      </c>
      <c r="B3719" s="202" t="s">
        <v>3052</v>
      </c>
      <c r="C3719" s="200" t="s">
        <v>204</v>
      </c>
      <c r="D3719" s="649">
        <v>-8100000</v>
      </c>
      <c r="E3719" s="201">
        <v>45717</v>
      </c>
      <c r="F3719" s="200" t="s">
        <v>452</v>
      </c>
      <c r="G3719" s="200" t="s">
        <v>453</v>
      </c>
      <c r="H3719" s="200" t="s">
        <v>98</v>
      </c>
    </row>
    <row r="3720" spans="1:8" ht="15" customHeight="1">
      <c r="A3720" s="199">
        <v>45720</v>
      </c>
      <c r="B3720" s="202" t="s">
        <v>3053</v>
      </c>
      <c r="C3720" s="200" t="s">
        <v>372</v>
      </c>
      <c r="D3720" s="645">
        <v>-825000</v>
      </c>
      <c r="E3720" s="201">
        <v>45717</v>
      </c>
      <c r="F3720" s="200" t="s">
        <v>452</v>
      </c>
      <c r="G3720" s="200" t="s">
        <v>453</v>
      </c>
      <c r="H3720" s="200" t="s">
        <v>98</v>
      </c>
    </row>
    <row r="3721" spans="1:8" ht="15" customHeight="1">
      <c r="A3721" s="199">
        <v>45720</v>
      </c>
      <c r="B3721" s="202" t="s">
        <v>3054</v>
      </c>
      <c r="C3721" s="200" t="s">
        <v>204</v>
      </c>
      <c r="D3721" s="649">
        <v>-208609</v>
      </c>
      <c r="E3721" s="201">
        <v>45717</v>
      </c>
      <c r="F3721" s="200" t="s">
        <v>296</v>
      </c>
      <c r="G3721" s="200" t="s">
        <v>482</v>
      </c>
      <c r="H3721" s="200" t="s">
        <v>1066</v>
      </c>
    </row>
    <row r="3722" spans="1:8" ht="15" customHeight="1">
      <c r="A3722" s="199">
        <v>45720</v>
      </c>
      <c r="B3722" s="202" t="s">
        <v>3055</v>
      </c>
      <c r="C3722" s="200" t="s">
        <v>372</v>
      </c>
      <c r="D3722" s="645">
        <v>-5119</v>
      </c>
      <c r="E3722" s="201">
        <v>45717</v>
      </c>
      <c r="F3722" s="200" t="s">
        <v>296</v>
      </c>
      <c r="G3722" s="200" t="s">
        <v>482</v>
      </c>
      <c r="H3722" s="200" t="s">
        <v>1066</v>
      </c>
    </row>
    <row r="3723" spans="1:8" ht="15" customHeight="1">
      <c r="A3723" s="199">
        <v>45720</v>
      </c>
      <c r="B3723" s="202" t="s">
        <v>3056</v>
      </c>
      <c r="C3723" s="200" t="s">
        <v>204</v>
      </c>
      <c r="D3723" s="649">
        <v>-225000</v>
      </c>
      <c r="E3723" s="201">
        <v>45717</v>
      </c>
      <c r="F3723" s="200" t="s">
        <v>297</v>
      </c>
      <c r="G3723" s="200" t="s">
        <v>1313</v>
      </c>
      <c r="H3723" s="200" t="s">
        <v>342</v>
      </c>
    </row>
    <row r="3724" spans="1:8" ht="15" customHeight="1">
      <c r="A3724" s="199">
        <v>45720</v>
      </c>
      <c r="B3724" s="202" t="s">
        <v>3057</v>
      </c>
      <c r="C3724" s="200" t="s">
        <v>204</v>
      </c>
      <c r="D3724" s="649">
        <v>-13051933</v>
      </c>
      <c r="E3724" s="201">
        <v>45717</v>
      </c>
      <c r="F3724" s="200" t="s">
        <v>296</v>
      </c>
      <c r="G3724" s="200" t="s">
        <v>337</v>
      </c>
      <c r="H3724" s="200" t="s">
        <v>366</v>
      </c>
    </row>
    <row r="3725" spans="1:8" ht="15" customHeight="1">
      <c r="A3725" s="199">
        <v>45720</v>
      </c>
      <c r="B3725" s="202" t="s">
        <v>3058</v>
      </c>
      <c r="C3725" s="200" t="s">
        <v>204</v>
      </c>
      <c r="D3725" s="649">
        <v>-667307</v>
      </c>
      <c r="E3725" s="201">
        <v>45717</v>
      </c>
      <c r="F3725" s="200" t="s">
        <v>297</v>
      </c>
      <c r="G3725" s="200" t="s">
        <v>1313</v>
      </c>
      <c r="H3725" s="200" t="s">
        <v>518</v>
      </c>
    </row>
    <row r="3726" spans="1:8" ht="15" customHeight="1">
      <c r="A3726" s="199">
        <v>45720</v>
      </c>
      <c r="B3726" s="202" t="s">
        <v>3059</v>
      </c>
      <c r="C3726" s="200" t="s">
        <v>204</v>
      </c>
      <c r="D3726" s="649">
        <v>-1907233</v>
      </c>
      <c r="E3726" s="201">
        <v>45717</v>
      </c>
      <c r="F3726" s="200" t="s">
        <v>296</v>
      </c>
      <c r="G3726" s="200" t="s">
        <v>337</v>
      </c>
      <c r="H3726" s="200" t="s">
        <v>366</v>
      </c>
    </row>
    <row r="3727" spans="1:8" ht="15" customHeight="1">
      <c r="A3727" s="199">
        <v>45720</v>
      </c>
      <c r="B3727" s="202" t="s">
        <v>3060</v>
      </c>
      <c r="C3727" s="200" t="s">
        <v>204</v>
      </c>
      <c r="D3727" s="649">
        <v>-406721</v>
      </c>
      <c r="E3727" s="201">
        <v>45717</v>
      </c>
      <c r="F3727" s="200" t="s">
        <v>297</v>
      </c>
      <c r="G3727" s="200" t="s">
        <v>69</v>
      </c>
      <c r="H3727" s="200" t="s">
        <v>350</v>
      </c>
    </row>
    <row r="3728" spans="1:8" ht="15" customHeight="1">
      <c r="A3728" s="199">
        <v>45720</v>
      </c>
      <c r="B3728" s="202" t="s">
        <v>3061</v>
      </c>
      <c r="C3728" s="200" t="s">
        <v>372</v>
      </c>
      <c r="D3728" s="645">
        <v>-2106</v>
      </c>
      <c r="E3728" s="201">
        <v>45717</v>
      </c>
      <c r="F3728" s="200" t="s">
        <v>297</v>
      </c>
      <c r="G3728" s="200" t="s">
        <v>69</v>
      </c>
      <c r="H3728" s="200" t="s">
        <v>350</v>
      </c>
    </row>
    <row r="3729" spans="1:8" ht="15" customHeight="1">
      <c r="A3729" s="199">
        <v>45720</v>
      </c>
      <c r="B3729" s="202" t="s">
        <v>3062</v>
      </c>
      <c r="C3729" s="200" t="s">
        <v>372</v>
      </c>
      <c r="D3729" s="645">
        <v>-8773</v>
      </c>
      <c r="E3729" s="201">
        <v>45717</v>
      </c>
      <c r="F3729" s="200" t="s">
        <v>297</v>
      </c>
      <c r="G3729" s="200" t="s">
        <v>69</v>
      </c>
      <c r="H3729" s="200" t="s">
        <v>350</v>
      </c>
    </row>
    <row r="3730" spans="1:8" ht="15" customHeight="1">
      <c r="A3730" s="199">
        <v>45720</v>
      </c>
      <c r="B3730" s="202" t="s">
        <v>3060</v>
      </c>
      <c r="C3730" s="200" t="s">
        <v>204</v>
      </c>
      <c r="D3730" s="649">
        <v>-213880</v>
      </c>
      <c r="E3730" s="201">
        <v>45717</v>
      </c>
      <c r="F3730" s="200" t="s">
        <v>297</v>
      </c>
      <c r="G3730" s="200" t="s">
        <v>1313</v>
      </c>
      <c r="H3730" s="200" t="s">
        <v>350</v>
      </c>
    </row>
    <row r="3731" spans="1:8" ht="15" customHeight="1">
      <c r="A3731" s="199">
        <v>45720</v>
      </c>
      <c r="B3731" s="202" t="s">
        <v>3061</v>
      </c>
      <c r="C3731" s="200" t="s">
        <v>372</v>
      </c>
      <c r="D3731" s="645">
        <v>-1107</v>
      </c>
      <c r="E3731" s="201">
        <v>45717</v>
      </c>
      <c r="F3731" s="200" t="s">
        <v>297</v>
      </c>
      <c r="G3731" s="200" t="s">
        <v>1313</v>
      </c>
      <c r="H3731" s="200" t="s">
        <v>350</v>
      </c>
    </row>
    <row r="3732" spans="1:8" ht="15" customHeight="1">
      <c r="A3732" s="199">
        <v>45720</v>
      </c>
      <c r="B3732" s="202" t="s">
        <v>3062</v>
      </c>
      <c r="C3732" s="200" t="s">
        <v>372</v>
      </c>
      <c r="D3732" s="645">
        <v>-4613</v>
      </c>
      <c r="E3732" s="201">
        <v>45717</v>
      </c>
      <c r="F3732" s="200" t="s">
        <v>297</v>
      </c>
      <c r="G3732" s="200" t="s">
        <v>1313</v>
      </c>
      <c r="H3732" s="200" t="s">
        <v>350</v>
      </c>
    </row>
    <row r="3733" spans="1:8" ht="15" customHeight="1">
      <c r="A3733" s="199">
        <v>45720</v>
      </c>
      <c r="B3733" s="202" t="s">
        <v>3063</v>
      </c>
      <c r="C3733" s="200" t="s">
        <v>204</v>
      </c>
      <c r="D3733" s="649">
        <v>-364432</v>
      </c>
      <c r="E3733" s="201">
        <v>45717</v>
      </c>
      <c r="F3733" s="200" t="s">
        <v>297</v>
      </c>
      <c r="G3733" s="200" t="s">
        <v>1313</v>
      </c>
      <c r="H3733" s="200" t="s">
        <v>350</v>
      </c>
    </row>
    <row r="3734" spans="1:8" ht="15" customHeight="1">
      <c r="A3734" s="199">
        <v>45720</v>
      </c>
      <c r="B3734" s="202" t="s">
        <v>3064</v>
      </c>
      <c r="C3734" s="200" t="s">
        <v>372</v>
      </c>
      <c r="D3734" s="645">
        <v>-1887</v>
      </c>
      <c r="E3734" s="201">
        <v>45717</v>
      </c>
      <c r="F3734" s="200" t="s">
        <v>297</v>
      </c>
      <c r="G3734" s="200" t="s">
        <v>1313</v>
      </c>
      <c r="H3734" s="200" t="s">
        <v>350</v>
      </c>
    </row>
    <row r="3735" spans="1:8" ht="15" customHeight="1">
      <c r="A3735" s="199">
        <v>45720</v>
      </c>
      <c r="B3735" s="202" t="s">
        <v>3065</v>
      </c>
      <c r="C3735" s="200" t="s">
        <v>372</v>
      </c>
      <c r="D3735" s="645">
        <v>-7861</v>
      </c>
      <c r="E3735" s="201">
        <v>45717</v>
      </c>
      <c r="F3735" s="200" t="s">
        <v>297</v>
      </c>
      <c r="G3735" s="200" t="s">
        <v>1313</v>
      </c>
      <c r="H3735" s="200" t="s">
        <v>350</v>
      </c>
    </row>
    <row r="3736" spans="1:8" ht="15" customHeight="1">
      <c r="A3736" s="199">
        <v>45720</v>
      </c>
      <c r="B3736" s="202" t="s">
        <v>3066</v>
      </c>
      <c r="C3736" s="200" t="s">
        <v>204</v>
      </c>
      <c r="D3736" s="649">
        <v>-292768</v>
      </c>
      <c r="E3736" s="201">
        <v>45717</v>
      </c>
      <c r="F3736" s="200" t="s">
        <v>296</v>
      </c>
      <c r="G3736" s="200" t="s">
        <v>2994</v>
      </c>
      <c r="H3736" s="200" t="s">
        <v>350</v>
      </c>
    </row>
    <row r="3737" spans="1:8" ht="15" customHeight="1">
      <c r="A3737" s="199">
        <v>45720</v>
      </c>
      <c r="B3737" s="202" t="s">
        <v>3067</v>
      </c>
      <c r="C3737" s="200" t="s">
        <v>372</v>
      </c>
      <c r="D3737" s="645">
        <v>-1516</v>
      </c>
      <c r="E3737" s="201">
        <v>45717</v>
      </c>
      <c r="F3737" s="200" t="s">
        <v>296</v>
      </c>
      <c r="G3737" s="200" t="s">
        <v>2994</v>
      </c>
      <c r="H3737" s="200" t="s">
        <v>350</v>
      </c>
    </row>
    <row r="3738" spans="1:8" ht="15" customHeight="1">
      <c r="A3738" s="199">
        <v>45720</v>
      </c>
      <c r="B3738" s="202" t="s">
        <v>3068</v>
      </c>
      <c r="C3738" s="200" t="s">
        <v>372</v>
      </c>
      <c r="D3738" s="645">
        <v>-6315</v>
      </c>
      <c r="E3738" s="201">
        <v>45717</v>
      </c>
      <c r="F3738" s="200" t="s">
        <v>296</v>
      </c>
      <c r="G3738" s="200" t="s">
        <v>2994</v>
      </c>
      <c r="H3738" s="200" t="s">
        <v>350</v>
      </c>
    </row>
    <row r="3739" spans="1:8" ht="15" customHeight="1">
      <c r="A3739" s="199">
        <v>45720</v>
      </c>
      <c r="B3739" s="202" t="s">
        <v>3066</v>
      </c>
      <c r="C3739" s="200" t="s">
        <v>204</v>
      </c>
      <c r="D3739" s="649">
        <v>-486975</v>
      </c>
      <c r="E3739" s="201">
        <v>45717</v>
      </c>
      <c r="F3739" s="200" t="s">
        <v>297</v>
      </c>
      <c r="G3739" s="200" t="s">
        <v>1313</v>
      </c>
      <c r="H3739" s="200" t="s">
        <v>350</v>
      </c>
    </row>
    <row r="3740" spans="1:8" ht="15" customHeight="1">
      <c r="A3740" s="199">
        <v>45720</v>
      </c>
      <c r="B3740" s="202" t="s">
        <v>3067</v>
      </c>
      <c r="C3740" s="200" t="s">
        <v>372</v>
      </c>
      <c r="D3740" s="645">
        <v>-2521</v>
      </c>
      <c r="E3740" s="201">
        <v>45717</v>
      </c>
      <c r="F3740" s="200" t="s">
        <v>297</v>
      </c>
      <c r="G3740" s="200" t="s">
        <v>1313</v>
      </c>
      <c r="H3740" s="200" t="s">
        <v>350</v>
      </c>
    </row>
    <row r="3741" spans="1:8" ht="15" customHeight="1">
      <c r="A3741" s="199">
        <v>45720</v>
      </c>
      <c r="B3741" s="202" t="s">
        <v>3068</v>
      </c>
      <c r="C3741" s="200" t="s">
        <v>372</v>
      </c>
      <c r="D3741" s="645">
        <v>-10504</v>
      </c>
      <c r="E3741" s="201">
        <v>45717</v>
      </c>
      <c r="F3741" s="200" t="s">
        <v>297</v>
      </c>
      <c r="G3741" s="200" t="s">
        <v>1313</v>
      </c>
      <c r="H3741" s="200" t="s">
        <v>350</v>
      </c>
    </row>
    <row r="3742" spans="1:8" ht="15" customHeight="1">
      <c r="A3742" s="199">
        <v>45720</v>
      </c>
      <c r="B3742" s="202" t="s">
        <v>3069</v>
      </c>
      <c r="C3742" s="200" t="s">
        <v>204</v>
      </c>
      <c r="D3742" s="649">
        <v>-366666.66666599998</v>
      </c>
      <c r="E3742" s="201">
        <v>45717</v>
      </c>
      <c r="F3742" s="200" t="s">
        <v>296</v>
      </c>
      <c r="G3742" s="200" t="s">
        <v>513</v>
      </c>
      <c r="H3742" s="200" t="s">
        <v>366</v>
      </c>
    </row>
    <row r="3743" spans="1:8" ht="15" customHeight="1">
      <c r="A3743" s="199">
        <v>45720</v>
      </c>
      <c r="B3743" s="202" t="s">
        <v>3069</v>
      </c>
      <c r="C3743" s="200" t="s">
        <v>204</v>
      </c>
      <c r="D3743" s="649">
        <v>-366666.66666599998</v>
      </c>
      <c r="E3743" s="201">
        <v>45717</v>
      </c>
      <c r="F3743" s="200" t="s">
        <v>296</v>
      </c>
      <c r="G3743" s="200" t="s">
        <v>321</v>
      </c>
      <c r="H3743" s="200" t="s">
        <v>366</v>
      </c>
    </row>
    <row r="3744" spans="1:8" ht="15" customHeight="1">
      <c r="A3744" s="199">
        <v>45720</v>
      </c>
      <c r="B3744" s="202" t="s">
        <v>3069</v>
      </c>
      <c r="C3744" s="200" t="s">
        <v>204</v>
      </c>
      <c r="D3744" s="649">
        <v>-366666.66666599998</v>
      </c>
      <c r="E3744" s="201">
        <v>45717</v>
      </c>
      <c r="F3744" s="200" t="s">
        <v>296</v>
      </c>
      <c r="G3744" s="200" t="s">
        <v>337</v>
      </c>
      <c r="H3744" s="200" t="s">
        <v>366</v>
      </c>
    </row>
    <row r="3745" spans="1:8" ht="15" customHeight="1">
      <c r="A3745" s="199">
        <v>45720</v>
      </c>
      <c r="B3745" s="202" t="s">
        <v>3070</v>
      </c>
      <c r="C3745" s="200" t="s">
        <v>204</v>
      </c>
      <c r="D3745" s="649">
        <v>-898872</v>
      </c>
      <c r="E3745" s="201">
        <v>45717</v>
      </c>
      <c r="F3745" s="200" t="s">
        <v>296</v>
      </c>
      <c r="G3745" s="200" t="s">
        <v>1124</v>
      </c>
      <c r="H3745" s="200" t="s">
        <v>518</v>
      </c>
    </row>
    <row r="3746" spans="1:8" ht="15" customHeight="1">
      <c r="A3746" s="199">
        <v>45720</v>
      </c>
      <c r="B3746" s="202" t="s">
        <v>1654</v>
      </c>
      <c r="C3746" s="200" t="s">
        <v>204</v>
      </c>
      <c r="D3746" s="649">
        <v>-850000</v>
      </c>
      <c r="E3746" s="201">
        <v>45717</v>
      </c>
      <c r="F3746" s="200" t="s">
        <v>256</v>
      </c>
      <c r="G3746" s="200" t="s">
        <v>107</v>
      </c>
      <c r="H3746" s="200" t="s">
        <v>121</v>
      </c>
    </row>
    <row r="3747" spans="1:8" ht="15" customHeight="1">
      <c r="A3747" s="199">
        <v>45720</v>
      </c>
      <c r="B3747" s="202" t="s">
        <v>3071</v>
      </c>
      <c r="C3747" s="200" t="s">
        <v>204</v>
      </c>
      <c r="D3747" s="649">
        <v>-1027000</v>
      </c>
      <c r="E3747" s="201">
        <v>45717</v>
      </c>
      <c r="F3747" s="200" t="s">
        <v>256</v>
      </c>
      <c r="G3747" s="200" t="s">
        <v>107</v>
      </c>
      <c r="H3747" s="200" t="s">
        <v>777</v>
      </c>
    </row>
    <row r="3748" spans="1:8" ht="15" customHeight="1">
      <c r="A3748" s="199">
        <v>45720</v>
      </c>
      <c r="B3748" s="202" t="s">
        <v>3072</v>
      </c>
      <c r="C3748" s="200" t="s">
        <v>204</v>
      </c>
      <c r="D3748" s="649">
        <v>-653333</v>
      </c>
      <c r="E3748" s="201">
        <v>45717</v>
      </c>
      <c r="F3748" s="200" t="s">
        <v>296</v>
      </c>
      <c r="G3748" s="200" t="s">
        <v>337</v>
      </c>
      <c r="H3748" s="200" t="s">
        <v>446</v>
      </c>
    </row>
    <row r="3749" spans="1:8" ht="15" customHeight="1">
      <c r="A3749" s="199">
        <v>45720</v>
      </c>
      <c r="B3749" s="202" t="s">
        <v>3072</v>
      </c>
      <c r="C3749" s="200" t="s">
        <v>204</v>
      </c>
      <c r="D3749" s="649">
        <v>-653333</v>
      </c>
      <c r="E3749" s="201">
        <v>45717</v>
      </c>
      <c r="F3749" s="200" t="s">
        <v>296</v>
      </c>
      <c r="G3749" s="200" t="s">
        <v>522</v>
      </c>
      <c r="H3749" s="648" t="s">
        <v>446</v>
      </c>
    </row>
    <row r="3750" spans="1:8" ht="15" customHeight="1">
      <c r="A3750" s="199">
        <v>45720</v>
      </c>
      <c r="B3750" s="202" t="s">
        <v>3072</v>
      </c>
      <c r="C3750" s="200" t="s">
        <v>204</v>
      </c>
      <c r="D3750" s="649">
        <v>-653333</v>
      </c>
      <c r="E3750" s="201">
        <v>45717</v>
      </c>
      <c r="F3750" s="200" t="s">
        <v>296</v>
      </c>
      <c r="G3750" s="200" t="s">
        <v>44</v>
      </c>
      <c r="H3750" s="200" t="s">
        <v>326</v>
      </c>
    </row>
    <row r="3751" spans="1:8" ht="15" customHeight="1">
      <c r="A3751" s="199">
        <v>45720</v>
      </c>
      <c r="B3751" s="202" t="s">
        <v>3073</v>
      </c>
      <c r="C3751" s="200" t="s">
        <v>204</v>
      </c>
      <c r="D3751" s="649">
        <v>-21900</v>
      </c>
      <c r="E3751" s="201">
        <v>45717</v>
      </c>
      <c r="F3751" s="200" t="s">
        <v>296</v>
      </c>
      <c r="G3751" s="200" t="s">
        <v>453</v>
      </c>
      <c r="H3751" s="200" t="s">
        <v>98</v>
      </c>
    </row>
    <row r="3752" spans="1:8" ht="15" customHeight="1">
      <c r="A3752" s="199">
        <v>45720</v>
      </c>
      <c r="B3752" s="202" t="s">
        <v>3074</v>
      </c>
      <c r="C3752" s="200" t="s">
        <v>204</v>
      </c>
      <c r="D3752" s="649">
        <v>-21900</v>
      </c>
      <c r="E3752" s="201">
        <v>45717</v>
      </c>
      <c r="F3752" s="200" t="s">
        <v>296</v>
      </c>
      <c r="G3752" s="200" t="s">
        <v>453</v>
      </c>
      <c r="H3752" s="200" t="s">
        <v>98</v>
      </c>
    </row>
    <row r="3753" spans="1:8" ht="15" customHeight="1">
      <c r="A3753" s="199">
        <v>45720</v>
      </c>
      <c r="B3753" s="202" t="s">
        <v>3075</v>
      </c>
      <c r="C3753" s="200" t="s">
        <v>204</v>
      </c>
      <c r="D3753" s="649">
        <v>-21900</v>
      </c>
      <c r="E3753" s="201">
        <v>45717</v>
      </c>
      <c r="F3753" s="200" t="s">
        <v>296</v>
      </c>
      <c r="G3753" s="200" t="s">
        <v>453</v>
      </c>
      <c r="H3753" s="200" t="s">
        <v>98</v>
      </c>
    </row>
    <row r="3754" spans="1:8" ht="15" customHeight="1">
      <c r="A3754" s="199">
        <v>45720</v>
      </c>
      <c r="B3754" s="202" t="s">
        <v>3076</v>
      </c>
      <c r="C3754" s="200" t="s">
        <v>204</v>
      </c>
      <c r="D3754" s="649">
        <v>-21900</v>
      </c>
      <c r="E3754" s="201">
        <v>45717</v>
      </c>
      <c r="F3754" s="200" t="s">
        <v>296</v>
      </c>
      <c r="G3754" s="200" t="s">
        <v>453</v>
      </c>
      <c r="H3754" s="200" t="s">
        <v>98</v>
      </c>
    </row>
    <row r="3755" spans="1:8" ht="15" customHeight="1">
      <c r="A3755" s="199">
        <v>45720</v>
      </c>
      <c r="B3755" s="202" t="s">
        <v>3077</v>
      </c>
      <c r="C3755" s="200" t="s">
        <v>204</v>
      </c>
      <c r="D3755" s="649">
        <v>-21900</v>
      </c>
      <c r="E3755" s="201">
        <v>45717</v>
      </c>
      <c r="F3755" s="200" t="s">
        <v>296</v>
      </c>
      <c r="G3755" s="200" t="s">
        <v>453</v>
      </c>
      <c r="H3755" s="200" t="s">
        <v>98</v>
      </c>
    </row>
    <row r="3756" spans="1:8" ht="15" customHeight="1">
      <c r="A3756" s="199">
        <v>45720</v>
      </c>
      <c r="B3756" s="202" t="s">
        <v>3078</v>
      </c>
      <c r="C3756" s="200" t="s">
        <v>204</v>
      </c>
      <c r="D3756" s="649">
        <v>-40900</v>
      </c>
      <c r="E3756" s="201">
        <v>45717</v>
      </c>
      <c r="F3756" s="200" t="s">
        <v>256</v>
      </c>
      <c r="G3756" s="200" t="s">
        <v>256</v>
      </c>
      <c r="H3756" s="200" t="s">
        <v>267</v>
      </c>
    </row>
    <row r="3757" spans="1:8" ht="15" customHeight="1">
      <c r="A3757" s="199">
        <v>45720</v>
      </c>
      <c r="B3757" s="202" t="s">
        <v>3079</v>
      </c>
      <c r="C3757" s="200" t="s">
        <v>204</v>
      </c>
      <c r="D3757" s="649">
        <v>-5940000</v>
      </c>
      <c r="E3757" s="201">
        <v>45717</v>
      </c>
      <c r="F3757" s="200" t="s">
        <v>296</v>
      </c>
      <c r="G3757" s="200" t="s">
        <v>337</v>
      </c>
      <c r="H3757" s="200" t="s">
        <v>366</v>
      </c>
    </row>
    <row r="3758" spans="1:8" ht="15" customHeight="1">
      <c r="A3758" s="199">
        <v>45720</v>
      </c>
      <c r="B3758" s="202" t="s">
        <v>3080</v>
      </c>
      <c r="C3758" s="200" t="s">
        <v>372</v>
      </c>
      <c r="D3758" s="645">
        <v>-605000</v>
      </c>
      <c r="E3758" s="201">
        <v>45717</v>
      </c>
      <c r="F3758" s="200" t="s">
        <v>296</v>
      </c>
      <c r="G3758" s="200" t="s">
        <v>337</v>
      </c>
      <c r="H3758" s="200" t="s">
        <v>366</v>
      </c>
    </row>
    <row r="3759" spans="1:8" ht="15" customHeight="1">
      <c r="A3759" s="199">
        <v>45720</v>
      </c>
      <c r="B3759" s="202" t="s">
        <v>3081</v>
      </c>
      <c r="C3759" s="200" t="s">
        <v>204</v>
      </c>
      <c r="D3759" s="649">
        <v>-120000</v>
      </c>
      <c r="E3759" s="201">
        <v>45717</v>
      </c>
      <c r="F3759" s="200" t="s">
        <v>256</v>
      </c>
      <c r="G3759" s="200" t="s">
        <v>256</v>
      </c>
      <c r="H3759" s="200" t="s">
        <v>9</v>
      </c>
    </row>
    <row r="3760" spans="1:8" ht="15" customHeight="1">
      <c r="A3760" s="199">
        <v>45720</v>
      </c>
      <c r="B3760" s="202" t="s">
        <v>3082</v>
      </c>
      <c r="C3760" s="200" t="s">
        <v>204</v>
      </c>
      <c r="D3760" s="649">
        <v>-180000</v>
      </c>
      <c r="E3760" s="201">
        <v>45717</v>
      </c>
      <c r="F3760" s="200" t="s">
        <v>256</v>
      </c>
      <c r="G3760" s="200" t="s">
        <v>256</v>
      </c>
      <c r="H3760" s="200" t="s">
        <v>9</v>
      </c>
    </row>
    <row r="3761" spans="1:9" ht="15" customHeight="1">
      <c r="A3761" s="199">
        <v>45720</v>
      </c>
      <c r="B3761" s="202" t="s">
        <v>3083</v>
      </c>
      <c r="C3761" s="200" t="s">
        <v>204</v>
      </c>
      <c r="D3761" s="649">
        <v>-180000</v>
      </c>
      <c r="E3761" s="201">
        <v>45717</v>
      </c>
      <c r="F3761" s="200" t="s">
        <v>256</v>
      </c>
      <c r="G3761" s="200" t="s">
        <v>256</v>
      </c>
      <c r="H3761" s="200" t="s">
        <v>9</v>
      </c>
    </row>
    <row r="3762" spans="1:9" ht="15" customHeight="1">
      <c r="A3762" s="199">
        <v>45720</v>
      </c>
      <c r="B3762" s="202" t="s">
        <v>3084</v>
      </c>
      <c r="C3762" s="200" t="s">
        <v>204</v>
      </c>
      <c r="D3762" s="649">
        <v>-1111467</v>
      </c>
      <c r="E3762" s="201">
        <v>45717</v>
      </c>
      <c r="F3762" s="200" t="s">
        <v>256</v>
      </c>
      <c r="G3762" s="200" t="s">
        <v>256</v>
      </c>
      <c r="H3762" s="200" t="s">
        <v>267</v>
      </c>
    </row>
    <row r="3763" spans="1:9" ht="15" customHeight="1">
      <c r="A3763" s="199">
        <v>45720</v>
      </c>
      <c r="B3763" s="202" t="s">
        <v>3085</v>
      </c>
      <c r="C3763" s="200" t="s">
        <v>372</v>
      </c>
      <c r="D3763" s="645">
        <v>-5632</v>
      </c>
      <c r="E3763" s="201">
        <v>45717</v>
      </c>
      <c r="F3763" s="200" t="s">
        <v>256</v>
      </c>
      <c r="G3763" s="200" t="s">
        <v>256</v>
      </c>
      <c r="H3763" s="200" t="s">
        <v>267</v>
      </c>
    </row>
    <row r="3764" spans="1:9" ht="15" customHeight="1">
      <c r="A3764" s="199">
        <v>45720</v>
      </c>
      <c r="B3764" s="202" t="s">
        <v>1538</v>
      </c>
      <c r="C3764" s="200" t="s">
        <v>204</v>
      </c>
      <c r="D3764" s="649">
        <v>-283480</v>
      </c>
      <c r="E3764" s="201">
        <v>45717</v>
      </c>
      <c r="F3764" s="200" t="s">
        <v>296</v>
      </c>
      <c r="G3764" s="200" t="s">
        <v>337</v>
      </c>
      <c r="H3764" s="200" t="s">
        <v>322</v>
      </c>
    </row>
    <row r="3765" spans="1:9" ht="15" customHeight="1">
      <c r="A3765" s="199">
        <v>45720</v>
      </c>
      <c r="B3765" s="202" t="s">
        <v>1538</v>
      </c>
      <c r="C3765" s="200" t="s">
        <v>204</v>
      </c>
      <c r="D3765" s="649">
        <v>-283480</v>
      </c>
      <c r="E3765" s="201">
        <v>45717</v>
      </c>
      <c r="F3765" s="200" t="s">
        <v>296</v>
      </c>
      <c r="G3765" s="200" t="s">
        <v>44</v>
      </c>
      <c r="H3765" s="200" t="s">
        <v>322</v>
      </c>
    </row>
    <row r="3766" spans="1:9" ht="15" customHeight="1">
      <c r="A3766" s="199">
        <v>45720</v>
      </c>
      <c r="B3766" s="202" t="s">
        <v>3086</v>
      </c>
      <c r="C3766" s="200" t="s">
        <v>204</v>
      </c>
      <c r="D3766" s="649">
        <v>-256910</v>
      </c>
      <c r="E3766" s="201">
        <v>45717</v>
      </c>
      <c r="F3766" s="200" t="s">
        <v>296</v>
      </c>
      <c r="G3766" s="200" t="s">
        <v>453</v>
      </c>
      <c r="H3766" s="200" t="s">
        <v>97</v>
      </c>
    </row>
    <row r="3767" spans="1:9" ht="15" customHeight="1">
      <c r="A3767" s="199">
        <v>45720</v>
      </c>
      <c r="B3767" s="202" t="s">
        <v>3087</v>
      </c>
      <c r="C3767" s="200" t="s">
        <v>204</v>
      </c>
      <c r="D3767" s="649">
        <v>-343230</v>
      </c>
      <c r="E3767" s="201">
        <v>45717</v>
      </c>
      <c r="F3767" s="200" t="s">
        <v>296</v>
      </c>
      <c r="G3767" s="200" t="s">
        <v>453</v>
      </c>
      <c r="H3767" s="200" t="s">
        <v>97</v>
      </c>
    </row>
    <row r="3768" spans="1:9" ht="15" customHeight="1">
      <c r="A3768" s="199">
        <v>45713</v>
      </c>
      <c r="B3768" s="202" t="s">
        <v>3088</v>
      </c>
      <c r="C3768" s="200" t="s">
        <v>204</v>
      </c>
      <c r="D3768" s="649">
        <v>-20000</v>
      </c>
      <c r="E3768" s="201">
        <v>45717</v>
      </c>
      <c r="F3768" s="200" t="s">
        <v>296</v>
      </c>
      <c r="G3768" s="200" t="s">
        <v>1362</v>
      </c>
      <c r="H3768" s="200" t="s">
        <v>268</v>
      </c>
      <c r="I3768" s="200" t="s">
        <v>3089</v>
      </c>
    </row>
    <row r="3769" spans="1:9" ht="15" customHeight="1">
      <c r="A3769" s="199">
        <v>45695</v>
      </c>
      <c r="B3769" s="202" t="s">
        <v>1745</v>
      </c>
      <c r="C3769" s="200" t="s">
        <v>204</v>
      </c>
      <c r="D3769" s="649">
        <v>-12000</v>
      </c>
      <c r="E3769" s="201">
        <v>45717</v>
      </c>
      <c r="F3769" s="200" t="s">
        <v>256</v>
      </c>
      <c r="G3769" s="200" t="s">
        <v>107</v>
      </c>
      <c r="H3769" s="200" t="s">
        <v>275</v>
      </c>
      <c r="I3769" s="200" t="s">
        <v>3090</v>
      </c>
    </row>
    <row r="3770" spans="1:9" ht="15" customHeight="1">
      <c r="A3770" s="199">
        <v>45702</v>
      </c>
      <c r="B3770" s="202" t="s">
        <v>1745</v>
      </c>
      <c r="C3770" s="200" t="s">
        <v>204</v>
      </c>
      <c r="D3770" s="649">
        <v>-55800</v>
      </c>
      <c r="E3770" s="201">
        <v>45717</v>
      </c>
      <c r="F3770" s="200" t="s">
        <v>256</v>
      </c>
      <c r="G3770" s="200" t="s">
        <v>107</v>
      </c>
      <c r="H3770" s="200" t="s">
        <v>275</v>
      </c>
      <c r="I3770" s="200" t="s">
        <v>3090</v>
      </c>
    </row>
    <row r="3771" spans="1:9" ht="15" customHeight="1">
      <c r="A3771" s="199">
        <v>45702</v>
      </c>
      <c r="B3771" s="202" t="s">
        <v>3091</v>
      </c>
      <c r="C3771" s="200" t="s">
        <v>204</v>
      </c>
      <c r="D3771" s="649">
        <v>-31800</v>
      </c>
      <c r="E3771" s="201">
        <v>45717</v>
      </c>
      <c r="F3771" s="200" t="s">
        <v>256</v>
      </c>
      <c r="G3771" s="200" t="s">
        <v>107</v>
      </c>
      <c r="H3771" s="200" t="s">
        <v>275</v>
      </c>
      <c r="I3771" s="200" t="s">
        <v>3090</v>
      </c>
    </row>
    <row r="3772" spans="1:9" ht="15" customHeight="1">
      <c r="A3772" s="199">
        <v>45702</v>
      </c>
      <c r="B3772" s="202" t="s">
        <v>3091</v>
      </c>
      <c r="C3772" s="200" t="s">
        <v>204</v>
      </c>
      <c r="D3772" s="649">
        <v>-32060</v>
      </c>
      <c r="E3772" s="201">
        <v>45717</v>
      </c>
      <c r="F3772" s="200" t="s">
        <v>256</v>
      </c>
      <c r="G3772" s="200" t="s">
        <v>107</v>
      </c>
      <c r="H3772" s="200" t="s">
        <v>275</v>
      </c>
      <c r="I3772" s="200" t="s">
        <v>3090</v>
      </c>
    </row>
    <row r="3773" spans="1:9" ht="15" customHeight="1">
      <c r="A3773" s="199">
        <v>45705</v>
      </c>
      <c r="B3773" s="202" t="s">
        <v>3092</v>
      </c>
      <c r="C3773" s="200" t="s">
        <v>204</v>
      </c>
      <c r="D3773" s="649">
        <v>-67250</v>
      </c>
      <c r="E3773" s="201">
        <v>45717</v>
      </c>
      <c r="F3773" s="200" t="s">
        <v>256</v>
      </c>
      <c r="G3773" s="200" t="s">
        <v>107</v>
      </c>
      <c r="H3773" s="200" t="s">
        <v>777</v>
      </c>
      <c r="I3773" s="200" t="s">
        <v>3090</v>
      </c>
    </row>
    <row r="3774" spans="1:9" ht="15" customHeight="1">
      <c r="A3774" s="199">
        <v>45722</v>
      </c>
      <c r="B3774" s="202" t="s">
        <v>3093</v>
      </c>
      <c r="C3774" s="200" t="s">
        <v>204</v>
      </c>
      <c r="D3774" s="649">
        <v>-800000</v>
      </c>
      <c r="E3774" s="201">
        <v>45717</v>
      </c>
      <c r="F3774" s="200" t="s">
        <v>296</v>
      </c>
      <c r="G3774" s="200" t="s">
        <v>453</v>
      </c>
      <c r="H3774" s="200" t="s">
        <v>103</v>
      </c>
    </row>
    <row r="3775" spans="1:9" ht="15" customHeight="1">
      <c r="A3775" s="199">
        <v>45722</v>
      </c>
      <c r="B3775" s="202" t="s">
        <v>3094</v>
      </c>
      <c r="C3775" s="200" t="s">
        <v>204</v>
      </c>
      <c r="D3775" s="649">
        <v>-6393036</v>
      </c>
      <c r="E3775" s="201">
        <v>45717</v>
      </c>
      <c r="F3775" s="200" t="s">
        <v>256</v>
      </c>
      <c r="G3775" s="200" t="s">
        <v>256</v>
      </c>
      <c r="H3775" s="200" t="s">
        <v>257</v>
      </c>
    </row>
    <row r="3776" spans="1:9" ht="15" customHeight="1">
      <c r="A3776" s="199">
        <v>45722</v>
      </c>
      <c r="B3776" s="202" t="s">
        <v>3095</v>
      </c>
      <c r="C3776" s="200" t="s">
        <v>372</v>
      </c>
      <c r="D3776" s="645">
        <v>-194740</v>
      </c>
      <c r="E3776" s="201">
        <v>45717</v>
      </c>
      <c r="F3776" s="200" t="s">
        <v>256</v>
      </c>
      <c r="G3776" s="200" t="s">
        <v>256</v>
      </c>
      <c r="H3776" s="200" t="s">
        <v>257</v>
      </c>
    </row>
    <row r="3777" spans="1:9" ht="15" customHeight="1">
      <c r="A3777" s="199">
        <v>45722</v>
      </c>
      <c r="B3777" s="202" t="s">
        <v>3096</v>
      </c>
      <c r="C3777" s="200" t="s">
        <v>372</v>
      </c>
      <c r="D3777" s="645">
        <v>-33384</v>
      </c>
      <c r="E3777" s="201">
        <v>45717</v>
      </c>
      <c r="F3777" s="200" t="s">
        <v>256</v>
      </c>
      <c r="G3777" s="200" t="s">
        <v>256</v>
      </c>
      <c r="H3777" s="200" t="s">
        <v>257</v>
      </c>
    </row>
    <row r="3778" spans="1:9" ht="15" customHeight="1">
      <c r="A3778" s="199">
        <v>45722</v>
      </c>
      <c r="B3778" s="202" t="s">
        <v>3097</v>
      </c>
      <c r="C3778" s="200" t="s">
        <v>204</v>
      </c>
      <c r="D3778" s="649">
        <v>-800000</v>
      </c>
      <c r="E3778" s="201">
        <v>45717</v>
      </c>
      <c r="F3778" s="200" t="s">
        <v>296</v>
      </c>
      <c r="G3778" s="200" t="s">
        <v>453</v>
      </c>
      <c r="H3778" s="200" t="s">
        <v>103</v>
      </c>
    </row>
    <row r="3779" spans="1:9" ht="15" customHeight="1">
      <c r="A3779" s="199">
        <v>45722</v>
      </c>
      <c r="B3779" s="202" t="s">
        <v>3098</v>
      </c>
      <c r="C3779" s="200" t="s">
        <v>204</v>
      </c>
      <c r="D3779" s="649">
        <v>-312662.03999999998</v>
      </c>
      <c r="E3779" s="201">
        <v>45717</v>
      </c>
      <c r="F3779" s="200" t="s">
        <v>256</v>
      </c>
      <c r="G3779" s="200" t="s">
        <v>256</v>
      </c>
      <c r="H3779" s="200" t="s">
        <v>9</v>
      </c>
    </row>
    <row r="3780" spans="1:9" ht="15" customHeight="1">
      <c r="A3780" s="199">
        <v>45722</v>
      </c>
      <c r="B3780" s="202" t="s">
        <v>3099</v>
      </c>
      <c r="C3780" s="200" t="s">
        <v>372</v>
      </c>
      <c r="D3780" s="645">
        <v>-10532</v>
      </c>
      <c r="E3780" s="201">
        <v>45717</v>
      </c>
      <c r="F3780" s="200" t="s">
        <v>256</v>
      </c>
      <c r="G3780" s="200" t="s">
        <v>256</v>
      </c>
      <c r="H3780" s="200" t="s">
        <v>9</v>
      </c>
    </row>
    <row r="3781" spans="1:9" ht="15" customHeight="1">
      <c r="A3781" s="199">
        <v>45722</v>
      </c>
      <c r="B3781" s="202" t="s">
        <v>3100</v>
      </c>
      <c r="C3781" s="200" t="s">
        <v>372</v>
      </c>
      <c r="D3781" s="645">
        <v>-1806</v>
      </c>
      <c r="E3781" s="201">
        <v>45717</v>
      </c>
      <c r="F3781" s="200" t="s">
        <v>256</v>
      </c>
      <c r="G3781" s="200" t="s">
        <v>256</v>
      </c>
      <c r="H3781" s="200" t="s">
        <v>9</v>
      </c>
    </row>
    <row r="3782" spans="1:9" ht="15" customHeight="1">
      <c r="A3782" s="199">
        <v>45712</v>
      </c>
      <c r="B3782" s="202" t="s">
        <v>2564</v>
      </c>
      <c r="C3782" s="200" t="s">
        <v>204</v>
      </c>
      <c r="D3782" s="649">
        <v>-330000</v>
      </c>
      <c r="E3782" s="201">
        <v>45717</v>
      </c>
      <c r="F3782" s="200" t="s">
        <v>296</v>
      </c>
      <c r="G3782" s="200" t="s">
        <v>1124</v>
      </c>
      <c r="H3782" s="200" t="s">
        <v>857</v>
      </c>
      <c r="I3782" s="200" t="s">
        <v>1776</v>
      </c>
    </row>
    <row r="3783" spans="1:9" ht="15" customHeight="1">
      <c r="A3783" s="199">
        <v>45712</v>
      </c>
      <c r="B3783" s="202" t="s">
        <v>1799</v>
      </c>
      <c r="C3783" s="200" t="s">
        <v>204</v>
      </c>
      <c r="D3783" s="649">
        <v>-180000</v>
      </c>
      <c r="E3783" s="201">
        <v>45717</v>
      </c>
      <c r="F3783" s="200" t="s">
        <v>296</v>
      </c>
      <c r="G3783" s="200" t="s">
        <v>1124</v>
      </c>
      <c r="H3783" s="200" t="s">
        <v>342</v>
      </c>
      <c r="I3783" s="200" t="s">
        <v>1776</v>
      </c>
    </row>
    <row r="3784" spans="1:9" ht="15" customHeight="1">
      <c r="A3784" s="199">
        <v>45712</v>
      </c>
      <c r="B3784" s="202" t="s">
        <v>3101</v>
      </c>
      <c r="C3784" s="200" t="s">
        <v>204</v>
      </c>
      <c r="D3784" s="649">
        <v>-140000</v>
      </c>
      <c r="E3784" s="201">
        <v>45717</v>
      </c>
      <c r="F3784" s="200" t="s">
        <v>296</v>
      </c>
      <c r="G3784" s="200" t="s">
        <v>1124</v>
      </c>
      <c r="H3784" s="200" t="s">
        <v>857</v>
      </c>
      <c r="I3784" s="200" t="s">
        <v>1776</v>
      </c>
    </row>
    <row r="3785" spans="1:9" ht="15" customHeight="1">
      <c r="A3785" s="199">
        <v>45712</v>
      </c>
      <c r="B3785" s="202" t="s">
        <v>3102</v>
      </c>
      <c r="C3785" s="200" t="s">
        <v>204</v>
      </c>
      <c r="D3785" s="649">
        <v>-31960</v>
      </c>
      <c r="E3785" s="201">
        <v>45717</v>
      </c>
      <c r="F3785" s="200" t="s">
        <v>296</v>
      </c>
      <c r="G3785" s="200" t="s">
        <v>1124</v>
      </c>
      <c r="H3785" s="200" t="s">
        <v>268</v>
      </c>
      <c r="I3785" s="200" t="s">
        <v>1776</v>
      </c>
    </row>
    <row r="3786" spans="1:9" ht="15" customHeight="1">
      <c r="A3786" s="199">
        <v>45712</v>
      </c>
      <c r="B3786" s="202" t="s">
        <v>3103</v>
      </c>
      <c r="C3786" s="200" t="s">
        <v>204</v>
      </c>
      <c r="D3786" s="649">
        <v>-18200</v>
      </c>
      <c r="E3786" s="201">
        <v>45717</v>
      </c>
      <c r="F3786" s="200" t="s">
        <v>296</v>
      </c>
      <c r="G3786" s="200" t="s">
        <v>1124</v>
      </c>
      <c r="H3786" s="200" t="s">
        <v>342</v>
      </c>
      <c r="I3786" s="200" t="s">
        <v>1776</v>
      </c>
    </row>
    <row r="3787" spans="1:9" ht="15" customHeight="1">
      <c r="A3787" s="199">
        <v>45712</v>
      </c>
      <c r="B3787" s="202" t="s">
        <v>3104</v>
      </c>
      <c r="C3787" s="200" t="s">
        <v>204</v>
      </c>
      <c r="D3787" s="649">
        <v>-19000</v>
      </c>
      <c r="E3787" s="201">
        <v>45717</v>
      </c>
      <c r="F3787" s="200" t="s">
        <v>296</v>
      </c>
      <c r="G3787" s="200" t="s">
        <v>1124</v>
      </c>
      <c r="H3787" s="200" t="s">
        <v>342</v>
      </c>
      <c r="I3787" s="200" t="s">
        <v>1776</v>
      </c>
    </row>
    <row r="3788" spans="1:9" ht="15" customHeight="1">
      <c r="A3788" s="199">
        <v>45713</v>
      </c>
      <c r="B3788" s="202" t="s">
        <v>1788</v>
      </c>
      <c r="C3788" s="200" t="s">
        <v>204</v>
      </c>
      <c r="D3788" s="649">
        <v>-22000</v>
      </c>
      <c r="E3788" s="201">
        <v>45717</v>
      </c>
      <c r="F3788" s="200" t="s">
        <v>296</v>
      </c>
      <c r="G3788" s="200" t="s">
        <v>1124</v>
      </c>
      <c r="H3788" s="200" t="s">
        <v>268</v>
      </c>
      <c r="I3788" s="200" t="s">
        <v>1776</v>
      </c>
    </row>
    <row r="3789" spans="1:9" ht="15" customHeight="1">
      <c r="A3789" s="199">
        <v>45713</v>
      </c>
      <c r="B3789" s="202" t="s">
        <v>3105</v>
      </c>
      <c r="C3789" s="200" t="s">
        <v>204</v>
      </c>
      <c r="D3789" s="649">
        <v>-6000</v>
      </c>
      <c r="E3789" s="201">
        <v>45717</v>
      </c>
      <c r="F3789" s="200" t="s">
        <v>296</v>
      </c>
      <c r="G3789" s="200" t="s">
        <v>1124</v>
      </c>
      <c r="H3789" s="200" t="s">
        <v>268</v>
      </c>
      <c r="I3789" s="200" t="s">
        <v>1776</v>
      </c>
    </row>
    <row r="3790" spans="1:9" ht="15" customHeight="1">
      <c r="A3790" s="199">
        <v>45713</v>
      </c>
      <c r="B3790" s="202" t="s">
        <v>3106</v>
      </c>
      <c r="C3790" s="200" t="s">
        <v>204</v>
      </c>
      <c r="D3790" s="649">
        <v>-12997</v>
      </c>
      <c r="E3790" s="201">
        <v>45717</v>
      </c>
      <c r="F3790" s="200" t="s">
        <v>296</v>
      </c>
      <c r="G3790" s="200" t="s">
        <v>1124</v>
      </c>
      <c r="H3790" s="200" t="s">
        <v>268</v>
      </c>
      <c r="I3790" s="200" t="s">
        <v>1776</v>
      </c>
    </row>
    <row r="3791" spans="1:9" ht="15" customHeight="1">
      <c r="A3791" s="199">
        <v>45713</v>
      </c>
      <c r="B3791" s="202" t="s">
        <v>498</v>
      </c>
      <c r="C3791" s="200" t="s">
        <v>204</v>
      </c>
      <c r="D3791" s="649">
        <v>-33400</v>
      </c>
      <c r="E3791" s="201">
        <v>45717</v>
      </c>
      <c r="F3791" s="200" t="s">
        <v>296</v>
      </c>
      <c r="G3791" s="200" t="s">
        <v>1124</v>
      </c>
      <c r="H3791" s="200" t="s">
        <v>342</v>
      </c>
      <c r="I3791" s="200" t="s">
        <v>1776</v>
      </c>
    </row>
    <row r="3792" spans="1:9" ht="15" customHeight="1">
      <c r="A3792" s="199">
        <v>45713</v>
      </c>
      <c r="B3792" s="202" t="s">
        <v>3107</v>
      </c>
      <c r="C3792" s="200" t="s">
        <v>204</v>
      </c>
      <c r="D3792" s="649">
        <v>-22000</v>
      </c>
      <c r="E3792" s="201">
        <v>45717</v>
      </c>
      <c r="F3792" s="200" t="s">
        <v>296</v>
      </c>
      <c r="G3792" s="200" t="s">
        <v>1124</v>
      </c>
      <c r="H3792" s="200" t="s">
        <v>268</v>
      </c>
      <c r="I3792" s="200" t="s">
        <v>1776</v>
      </c>
    </row>
    <row r="3793" spans="1:9" ht="15" customHeight="1">
      <c r="A3793" s="199">
        <v>45713</v>
      </c>
      <c r="B3793" s="202" t="s">
        <v>3105</v>
      </c>
      <c r="C3793" s="200" t="s">
        <v>204</v>
      </c>
      <c r="D3793" s="649">
        <v>-12000</v>
      </c>
      <c r="E3793" s="201">
        <v>45717</v>
      </c>
      <c r="F3793" s="200" t="s">
        <v>296</v>
      </c>
      <c r="G3793" s="200" t="s">
        <v>1124</v>
      </c>
      <c r="H3793" s="200" t="s">
        <v>268</v>
      </c>
      <c r="I3793" s="200" t="s">
        <v>1776</v>
      </c>
    </row>
    <row r="3794" spans="1:9" ht="15" customHeight="1">
      <c r="A3794" s="199">
        <v>45714</v>
      </c>
      <c r="B3794" s="202" t="s">
        <v>3108</v>
      </c>
      <c r="C3794" s="200" t="s">
        <v>204</v>
      </c>
      <c r="D3794" s="649">
        <v>-6000</v>
      </c>
      <c r="E3794" s="201">
        <v>45717</v>
      </c>
      <c r="F3794" s="200" t="s">
        <v>296</v>
      </c>
      <c r="G3794" s="200" t="s">
        <v>1124</v>
      </c>
      <c r="H3794" s="200" t="s">
        <v>268</v>
      </c>
      <c r="I3794" s="200" t="s">
        <v>1776</v>
      </c>
    </row>
    <row r="3795" spans="1:9" ht="15" customHeight="1">
      <c r="A3795" s="199">
        <v>45714</v>
      </c>
      <c r="B3795" s="202" t="s">
        <v>3109</v>
      </c>
      <c r="C3795" s="200" t="s">
        <v>204</v>
      </c>
      <c r="D3795" s="649">
        <v>-20000</v>
      </c>
      <c r="E3795" s="201">
        <v>45717</v>
      </c>
      <c r="F3795" s="200" t="s">
        <v>296</v>
      </c>
      <c r="G3795" s="200" t="s">
        <v>1124</v>
      </c>
      <c r="H3795" s="200" t="s">
        <v>268</v>
      </c>
      <c r="I3795" s="200" t="s">
        <v>1776</v>
      </c>
    </row>
    <row r="3796" spans="1:9" ht="15" customHeight="1">
      <c r="A3796" s="199">
        <v>45714</v>
      </c>
      <c r="B3796" s="202" t="s">
        <v>3103</v>
      </c>
      <c r="C3796" s="200" t="s">
        <v>204</v>
      </c>
      <c r="D3796" s="649">
        <v>-18200</v>
      </c>
      <c r="E3796" s="201">
        <v>45717</v>
      </c>
      <c r="F3796" s="200" t="s">
        <v>296</v>
      </c>
      <c r="G3796" s="200" t="s">
        <v>1124</v>
      </c>
      <c r="H3796" s="200" t="s">
        <v>342</v>
      </c>
      <c r="I3796" s="200" t="s">
        <v>1776</v>
      </c>
    </row>
    <row r="3797" spans="1:9" ht="15" customHeight="1">
      <c r="A3797" s="199">
        <v>45714</v>
      </c>
      <c r="B3797" s="202" t="s">
        <v>3104</v>
      </c>
      <c r="C3797" s="200" t="s">
        <v>204</v>
      </c>
      <c r="D3797" s="649">
        <v>-9300</v>
      </c>
      <c r="E3797" s="201">
        <v>45717</v>
      </c>
      <c r="F3797" s="200" t="s">
        <v>296</v>
      </c>
      <c r="G3797" s="200" t="s">
        <v>1124</v>
      </c>
      <c r="H3797" s="200" t="s">
        <v>342</v>
      </c>
      <c r="I3797" s="200" t="s">
        <v>1776</v>
      </c>
    </row>
    <row r="3798" spans="1:9" ht="15" customHeight="1">
      <c r="A3798" s="199">
        <v>45714</v>
      </c>
      <c r="B3798" s="202" t="s">
        <v>3110</v>
      </c>
      <c r="C3798" s="200" t="s">
        <v>204</v>
      </c>
      <c r="D3798" s="649">
        <v>-31880</v>
      </c>
      <c r="E3798" s="201">
        <v>45717</v>
      </c>
      <c r="F3798" s="200" t="s">
        <v>296</v>
      </c>
      <c r="G3798" s="200" t="s">
        <v>1124</v>
      </c>
      <c r="H3798" s="200" t="s">
        <v>268</v>
      </c>
      <c r="I3798" s="200" t="s">
        <v>1776</v>
      </c>
    </row>
    <row r="3799" spans="1:9" ht="15" customHeight="1">
      <c r="A3799" s="199">
        <v>45714</v>
      </c>
      <c r="B3799" s="202" t="s">
        <v>3111</v>
      </c>
      <c r="C3799" s="200" t="s">
        <v>204</v>
      </c>
      <c r="D3799" s="649">
        <v>-4200</v>
      </c>
      <c r="E3799" s="201">
        <v>45717</v>
      </c>
      <c r="F3799" s="200" t="s">
        <v>296</v>
      </c>
      <c r="G3799" s="200" t="s">
        <v>1124</v>
      </c>
      <c r="H3799" s="200" t="s">
        <v>342</v>
      </c>
      <c r="I3799" s="200" t="s">
        <v>1776</v>
      </c>
    </row>
    <row r="3800" spans="1:9" ht="15" customHeight="1">
      <c r="A3800" s="199">
        <v>45715</v>
      </c>
      <c r="B3800" s="202" t="s">
        <v>498</v>
      </c>
      <c r="C3800" s="200" t="s">
        <v>204</v>
      </c>
      <c r="D3800" s="649">
        <v>-27608</v>
      </c>
      <c r="E3800" s="201">
        <v>45717</v>
      </c>
      <c r="F3800" s="200" t="s">
        <v>296</v>
      </c>
      <c r="G3800" s="200" t="s">
        <v>1124</v>
      </c>
      <c r="H3800" s="200" t="s">
        <v>342</v>
      </c>
      <c r="I3800" s="200" t="s">
        <v>1776</v>
      </c>
    </row>
    <row r="3801" spans="1:9" ht="15" customHeight="1">
      <c r="A3801" s="199">
        <v>45715</v>
      </c>
      <c r="B3801" s="202" t="s">
        <v>3112</v>
      </c>
      <c r="C3801" s="200" t="s">
        <v>204</v>
      </c>
      <c r="D3801" s="649">
        <v>-6000</v>
      </c>
      <c r="E3801" s="201">
        <v>45717</v>
      </c>
      <c r="F3801" s="200" t="s">
        <v>296</v>
      </c>
      <c r="G3801" s="200" t="s">
        <v>1124</v>
      </c>
      <c r="H3801" s="200" t="s">
        <v>342</v>
      </c>
      <c r="I3801" s="200" t="s">
        <v>1776</v>
      </c>
    </row>
    <row r="3802" spans="1:9" ht="15" customHeight="1">
      <c r="A3802" s="199">
        <v>45715</v>
      </c>
      <c r="B3802" s="202" t="s">
        <v>3101</v>
      </c>
      <c r="C3802" s="200" t="s">
        <v>204</v>
      </c>
      <c r="D3802" s="649">
        <v>-120000</v>
      </c>
      <c r="E3802" s="201">
        <v>45717</v>
      </c>
      <c r="F3802" s="200" t="s">
        <v>296</v>
      </c>
      <c r="G3802" s="200" t="s">
        <v>1124</v>
      </c>
      <c r="H3802" s="200" t="s">
        <v>857</v>
      </c>
      <c r="I3802" s="200" t="s">
        <v>1776</v>
      </c>
    </row>
    <row r="3803" spans="1:9" ht="15" customHeight="1">
      <c r="A3803" s="199">
        <v>45715</v>
      </c>
      <c r="B3803" s="202" t="s">
        <v>1799</v>
      </c>
      <c r="C3803" s="200" t="s">
        <v>204</v>
      </c>
      <c r="D3803" s="649">
        <v>-180000</v>
      </c>
      <c r="E3803" s="201">
        <v>45717</v>
      </c>
      <c r="F3803" s="200" t="s">
        <v>296</v>
      </c>
      <c r="G3803" s="200" t="s">
        <v>1124</v>
      </c>
      <c r="H3803" s="200" t="s">
        <v>342</v>
      </c>
      <c r="I3803" s="200" t="s">
        <v>1776</v>
      </c>
    </row>
    <row r="3804" spans="1:9" ht="15" customHeight="1">
      <c r="A3804" s="199">
        <v>45715</v>
      </c>
      <c r="B3804" s="202" t="s">
        <v>3106</v>
      </c>
      <c r="C3804" s="200" t="s">
        <v>204</v>
      </c>
      <c r="D3804" s="649">
        <v>-16000</v>
      </c>
      <c r="E3804" s="201">
        <v>45717</v>
      </c>
      <c r="F3804" s="200" t="s">
        <v>296</v>
      </c>
      <c r="G3804" s="200" t="s">
        <v>1124</v>
      </c>
      <c r="H3804" s="200" t="s">
        <v>268</v>
      </c>
      <c r="I3804" s="200" t="s">
        <v>1776</v>
      </c>
    </row>
    <row r="3805" spans="1:9" ht="15" customHeight="1">
      <c r="A3805" s="199">
        <v>45715</v>
      </c>
      <c r="B3805" s="202" t="s">
        <v>3113</v>
      </c>
      <c r="C3805" s="200" t="s">
        <v>204</v>
      </c>
      <c r="D3805" s="649">
        <v>-6000</v>
      </c>
      <c r="E3805" s="201">
        <v>45717</v>
      </c>
      <c r="F3805" s="200" t="s">
        <v>296</v>
      </c>
      <c r="G3805" s="200" t="s">
        <v>1124</v>
      </c>
      <c r="H3805" s="200" t="s">
        <v>268</v>
      </c>
      <c r="I3805" s="200" t="s">
        <v>1776</v>
      </c>
    </row>
    <row r="3806" spans="1:9" ht="15" customHeight="1">
      <c r="A3806" s="199">
        <v>45715</v>
      </c>
      <c r="B3806" s="202" t="s">
        <v>3114</v>
      </c>
      <c r="C3806" s="200" t="s">
        <v>204</v>
      </c>
      <c r="D3806" s="649">
        <v>-20000</v>
      </c>
      <c r="E3806" s="201">
        <v>45717</v>
      </c>
      <c r="F3806" s="200" t="s">
        <v>296</v>
      </c>
      <c r="G3806" s="200" t="s">
        <v>1124</v>
      </c>
      <c r="H3806" s="200" t="s">
        <v>268</v>
      </c>
      <c r="I3806" s="200" t="s">
        <v>1776</v>
      </c>
    </row>
    <row r="3807" spans="1:9" ht="15" customHeight="1">
      <c r="A3807" s="199">
        <v>45715</v>
      </c>
      <c r="B3807" s="202" t="s">
        <v>1788</v>
      </c>
      <c r="C3807" s="200" t="s">
        <v>204</v>
      </c>
      <c r="D3807" s="649">
        <v>-24000</v>
      </c>
      <c r="E3807" s="201">
        <v>45717</v>
      </c>
      <c r="F3807" s="200" t="s">
        <v>296</v>
      </c>
      <c r="G3807" s="200" t="s">
        <v>1124</v>
      </c>
      <c r="H3807" s="200" t="s">
        <v>268</v>
      </c>
      <c r="I3807" s="200" t="s">
        <v>1776</v>
      </c>
    </row>
    <row r="3808" spans="1:9" ht="15" customHeight="1">
      <c r="A3808" s="199">
        <v>45716</v>
      </c>
      <c r="B3808" s="202" t="s">
        <v>3115</v>
      </c>
      <c r="C3808" s="200" t="s">
        <v>204</v>
      </c>
      <c r="D3808" s="649">
        <v>-70000</v>
      </c>
      <c r="E3808" s="201">
        <v>45717</v>
      </c>
      <c r="F3808" s="200" t="s">
        <v>296</v>
      </c>
      <c r="G3808" s="200" t="s">
        <v>1124</v>
      </c>
      <c r="H3808" s="200" t="s">
        <v>342</v>
      </c>
      <c r="I3808" s="200" t="s">
        <v>1776</v>
      </c>
    </row>
    <row r="3809" spans="1:9" ht="15" customHeight="1">
      <c r="A3809" s="199">
        <v>45716</v>
      </c>
      <c r="B3809" s="202" t="s">
        <v>3112</v>
      </c>
      <c r="C3809" s="200" t="s">
        <v>204</v>
      </c>
      <c r="D3809" s="649">
        <v>-6000</v>
      </c>
      <c r="E3809" s="201">
        <v>45717</v>
      </c>
      <c r="F3809" s="200" t="s">
        <v>296</v>
      </c>
      <c r="G3809" s="200" t="s">
        <v>1124</v>
      </c>
      <c r="H3809" s="200" t="s">
        <v>342</v>
      </c>
      <c r="I3809" s="200" t="s">
        <v>1776</v>
      </c>
    </row>
    <row r="3810" spans="1:9" ht="15" customHeight="1">
      <c r="A3810" s="199">
        <v>45716</v>
      </c>
      <c r="B3810" s="202" t="s">
        <v>3116</v>
      </c>
      <c r="C3810" s="200" t="s">
        <v>204</v>
      </c>
      <c r="D3810" s="649">
        <v>-70500</v>
      </c>
      <c r="E3810" s="201">
        <v>45717</v>
      </c>
      <c r="F3810" s="200" t="s">
        <v>296</v>
      </c>
      <c r="G3810" s="200" t="s">
        <v>1124</v>
      </c>
      <c r="H3810" s="200" t="s">
        <v>350</v>
      </c>
      <c r="I3810" s="200" t="s">
        <v>1776</v>
      </c>
    </row>
    <row r="3811" spans="1:9" ht="15" customHeight="1">
      <c r="A3811" s="199">
        <v>45716</v>
      </c>
      <c r="B3811" s="202" t="s">
        <v>3117</v>
      </c>
      <c r="C3811" s="200" t="s">
        <v>204</v>
      </c>
      <c r="D3811" s="649">
        <v>-32220</v>
      </c>
      <c r="E3811" s="201">
        <v>45717</v>
      </c>
      <c r="F3811" s="200" t="s">
        <v>296</v>
      </c>
      <c r="G3811" s="200" t="s">
        <v>1124</v>
      </c>
      <c r="H3811" s="200" t="s">
        <v>268</v>
      </c>
      <c r="I3811" s="200" t="s">
        <v>1776</v>
      </c>
    </row>
    <row r="3812" spans="1:9" ht="15" customHeight="1">
      <c r="A3812" s="199">
        <v>45716</v>
      </c>
      <c r="B3812" s="202" t="s">
        <v>3106</v>
      </c>
      <c r="C3812" s="200" t="s">
        <v>204</v>
      </c>
      <c r="D3812" s="649">
        <v>-31760</v>
      </c>
      <c r="E3812" s="201">
        <v>45717</v>
      </c>
      <c r="F3812" s="200" t="s">
        <v>296</v>
      </c>
      <c r="G3812" s="200" t="s">
        <v>1124</v>
      </c>
      <c r="H3812" s="200" t="s">
        <v>268</v>
      </c>
      <c r="I3812" s="200" t="s">
        <v>1776</v>
      </c>
    </row>
    <row r="3813" spans="1:9" ht="15" customHeight="1">
      <c r="A3813" s="199">
        <v>45716</v>
      </c>
      <c r="B3813" s="202" t="s">
        <v>3118</v>
      </c>
      <c r="C3813" s="200" t="s">
        <v>204</v>
      </c>
      <c r="D3813" s="649">
        <v>-32423</v>
      </c>
      <c r="E3813" s="201">
        <v>45717</v>
      </c>
      <c r="F3813" s="200" t="s">
        <v>296</v>
      </c>
      <c r="G3813" s="200" t="s">
        <v>1124</v>
      </c>
      <c r="H3813" s="200" t="s">
        <v>268</v>
      </c>
      <c r="I3813" s="200" t="s">
        <v>1776</v>
      </c>
    </row>
    <row r="3814" spans="1:9" ht="15" customHeight="1">
      <c r="A3814" s="199">
        <v>45716</v>
      </c>
      <c r="B3814" s="202" t="s">
        <v>3119</v>
      </c>
      <c r="C3814" s="200" t="s">
        <v>204</v>
      </c>
      <c r="D3814" s="649">
        <v>-14850</v>
      </c>
      <c r="E3814" s="201">
        <v>45717</v>
      </c>
      <c r="F3814" s="200" t="s">
        <v>296</v>
      </c>
      <c r="G3814" s="200" t="s">
        <v>341</v>
      </c>
      <c r="H3814" s="200" t="s">
        <v>342</v>
      </c>
      <c r="I3814" s="200" t="s">
        <v>1776</v>
      </c>
    </row>
    <row r="3815" spans="1:9" ht="15" customHeight="1">
      <c r="A3815" s="199">
        <v>45716</v>
      </c>
      <c r="B3815" s="202" t="s">
        <v>3120</v>
      </c>
      <c r="C3815" s="200" t="s">
        <v>204</v>
      </c>
      <c r="D3815" s="649">
        <v>-44550</v>
      </c>
      <c r="E3815" s="201">
        <v>45717</v>
      </c>
      <c r="F3815" s="200" t="s">
        <v>296</v>
      </c>
      <c r="G3815" s="200" t="s">
        <v>341</v>
      </c>
      <c r="H3815" s="200" t="s">
        <v>342</v>
      </c>
      <c r="I3815" s="200" t="s">
        <v>1776</v>
      </c>
    </row>
    <row r="3816" spans="1:9" ht="15" customHeight="1">
      <c r="A3816" s="199">
        <v>45716</v>
      </c>
      <c r="B3816" s="202" t="s">
        <v>3121</v>
      </c>
      <c r="C3816" s="200" t="s">
        <v>204</v>
      </c>
      <c r="D3816" s="649">
        <v>-43956</v>
      </c>
      <c r="E3816" s="201">
        <v>45717</v>
      </c>
      <c r="F3816" s="200" t="s">
        <v>296</v>
      </c>
      <c r="G3816" s="200" t="s">
        <v>341</v>
      </c>
      <c r="H3816" s="200" t="s">
        <v>342</v>
      </c>
      <c r="I3816" s="200" t="s">
        <v>1776</v>
      </c>
    </row>
    <row r="3817" spans="1:9" ht="15" customHeight="1">
      <c r="A3817" s="199">
        <v>45716</v>
      </c>
      <c r="B3817" s="202" t="s">
        <v>2567</v>
      </c>
      <c r="C3817" s="200" t="s">
        <v>204</v>
      </c>
      <c r="D3817" s="649">
        <v>-32000</v>
      </c>
      <c r="E3817" s="201">
        <v>45717</v>
      </c>
      <c r="F3817" s="200" t="s">
        <v>296</v>
      </c>
      <c r="G3817" s="200" t="s">
        <v>1124</v>
      </c>
      <c r="H3817" s="200" t="s">
        <v>350</v>
      </c>
      <c r="I3817" s="200" t="s">
        <v>1776</v>
      </c>
    </row>
    <row r="3818" spans="1:9" ht="15" customHeight="1">
      <c r="A3818" s="199">
        <v>45722</v>
      </c>
      <c r="B3818" s="202" t="s">
        <v>3122</v>
      </c>
      <c r="C3818" s="200" t="s">
        <v>204</v>
      </c>
      <c r="D3818" s="649">
        <v>-14343109</v>
      </c>
      <c r="E3818" s="201">
        <v>45717</v>
      </c>
      <c r="F3818" s="200" t="s">
        <v>296</v>
      </c>
      <c r="G3818" s="200" t="s">
        <v>415</v>
      </c>
      <c r="H3818" s="200" t="s">
        <v>655</v>
      </c>
      <c r="I3818" s="648" t="s">
        <v>329</v>
      </c>
    </row>
    <row r="3819" spans="1:9" ht="15" customHeight="1">
      <c r="A3819" s="199">
        <v>45722</v>
      </c>
      <c r="B3819" s="202" t="s">
        <v>3123</v>
      </c>
      <c r="C3819" s="200" t="s">
        <v>204</v>
      </c>
      <c r="D3819" s="649">
        <v>-5378666</v>
      </c>
      <c r="E3819" s="201">
        <v>45717</v>
      </c>
      <c r="F3819" s="200" t="s">
        <v>296</v>
      </c>
      <c r="G3819" s="200" t="s">
        <v>411</v>
      </c>
      <c r="H3819" s="200" t="s">
        <v>655</v>
      </c>
    </row>
    <row r="3820" spans="1:9" ht="15" customHeight="1">
      <c r="A3820" s="199">
        <v>45722</v>
      </c>
      <c r="B3820" s="202" t="s">
        <v>3124</v>
      </c>
      <c r="C3820" s="200" t="s">
        <v>204</v>
      </c>
      <c r="D3820" s="649">
        <v>-12251405</v>
      </c>
      <c r="E3820" s="201">
        <v>45717</v>
      </c>
      <c r="F3820" s="200" t="s">
        <v>297</v>
      </c>
      <c r="G3820" s="200" t="s">
        <v>1578</v>
      </c>
      <c r="H3820" s="200" t="s">
        <v>655</v>
      </c>
    </row>
    <row r="3821" spans="1:9" ht="15" customHeight="1">
      <c r="A3821" s="199">
        <v>45722</v>
      </c>
      <c r="B3821" s="202" t="s">
        <v>3125</v>
      </c>
      <c r="C3821" s="200" t="s">
        <v>204</v>
      </c>
      <c r="D3821" s="649">
        <v>-43029326</v>
      </c>
      <c r="E3821" s="201">
        <v>45717</v>
      </c>
      <c r="F3821" s="200" t="s">
        <v>296</v>
      </c>
      <c r="G3821" s="200" t="s">
        <v>1124</v>
      </c>
      <c r="H3821" s="200" t="s">
        <v>655</v>
      </c>
      <c r="I3821" s="648" t="s">
        <v>329</v>
      </c>
    </row>
    <row r="3822" spans="1:9" ht="15" customHeight="1">
      <c r="A3822" s="199">
        <v>45705</v>
      </c>
      <c r="B3822" s="202" t="s">
        <v>3126</v>
      </c>
      <c r="C3822" s="200" t="s">
        <v>204</v>
      </c>
      <c r="D3822" s="649">
        <v>-25000</v>
      </c>
      <c r="E3822" s="201">
        <v>45717</v>
      </c>
      <c r="F3822" s="200" t="s">
        <v>296</v>
      </c>
      <c r="G3822" s="200" t="s">
        <v>453</v>
      </c>
      <c r="H3822" s="200" t="s">
        <v>97</v>
      </c>
      <c r="I3822" s="200" t="s">
        <v>3127</v>
      </c>
    </row>
    <row r="3823" spans="1:9" ht="15" customHeight="1">
      <c r="A3823" s="199">
        <v>45705</v>
      </c>
      <c r="B3823" s="202" t="s">
        <v>3128</v>
      </c>
      <c r="C3823" s="200" t="s">
        <v>204</v>
      </c>
      <c r="D3823" s="649">
        <v>-28300</v>
      </c>
      <c r="E3823" s="201">
        <v>45717</v>
      </c>
      <c r="F3823" s="200" t="s">
        <v>296</v>
      </c>
      <c r="G3823" s="200" t="s">
        <v>453</v>
      </c>
      <c r="H3823" s="200" t="s">
        <v>97</v>
      </c>
      <c r="I3823" s="200" t="s">
        <v>3127</v>
      </c>
    </row>
    <row r="3824" spans="1:9" ht="15" customHeight="1">
      <c r="A3824" s="199">
        <v>45705</v>
      </c>
      <c r="B3824" s="202" t="s">
        <v>3129</v>
      </c>
      <c r="C3824" s="200" t="s">
        <v>204</v>
      </c>
      <c r="D3824" s="649">
        <v>-52000</v>
      </c>
      <c r="E3824" s="201">
        <v>45717</v>
      </c>
      <c r="F3824" s="200" t="s">
        <v>296</v>
      </c>
      <c r="G3824" s="200" t="s">
        <v>453</v>
      </c>
      <c r="H3824" s="200" t="s">
        <v>97</v>
      </c>
      <c r="I3824" s="200" t="s">
        <v>3127</v>
      </c>
    </row>
    <row r="3825" spans="1:9" ht="15" customHeight="1">
      <c r="A3825" s="199">
        <v>45706</v>
      </c>
      <c r="B3825" s="202" t="s">
        <v>3130</v>
      </c>
      <c r="C3825" s="200" t="s">
        <v>204</v>
      </c>
      <c r="D3825" s="649">
        <v>-8472</v>
      </c>
      <c r="E3825" s="201">
        <v>45717</v>
      </c>
      <c r="F3825" s="200" t="s">
        <v>296</v>
      </c>
      <c r="G3825" s="200" t="s">
        <v>453</v>
      </c>
      <c r="H3825" s="200" t="s">
        <v>97</v>
      </c>
      <c r="I3825" s="200" t="s">
        <v>3127</v>
      </c>
    </row>
    <row r="3826" spans="1:9" ht="15" customHeight="1">
      <c r="A3826" s="199">
        <v>45706</v>
      </c>
      <c r="B3826" s="202" t="s">
        <v>3131</v>
      </c>
      <c r="C3826" s="200" t="s">
        <v>204</v>
      </c>
      <c r="D3826" s="649">
        <v>-15000</v>
      </c>
      <c r="E3826" s="201">
        <v>45717</v>
      </c>
      <c r="F3826" s="200" t="s">
        <v>296</v>
      </c>
      <c r="G3826" s="200" t="s">
        <v>453</v>
      </c>
      <c r="H3826" s="200" t="s">
        <v>97</v>
      </c>
      <c r="I3826" s="200" t="s">
        <v>3127</v>
      </c>
    </row>
    <row r="3827" spans="1:9" ht="15" customHeight="1">
      <c r="A3827" s="199">
        <v>45706</v>
      </c>
      <c r="B3827" s="202" t="s">
        <v>3132</v>
      </c>
      <c r="C3827" s="200" t="s">
        <v>204</v>
      </c>
      <c r="D3827" s="649">
        <v>-130000</v>
      </c>
      <c r="E3827" s="201">
        <v>45717</v>
      </c>
      <c r="F3827" s="200" t="s">
        <v>296</v>
      </c>
      <c r="G3827" s="200" t="s">
        <v>453</v>
      </c>
      <c r="H3827" s="200" t="s">
        <v>97</v>
      </c>
      <c r="I3827" s="200" t="s">
        <v>3127</v>
      </c>
    </row>
    <row r="3828" spans="1:9" ht="15" customHeight="1">
      <c r="A3828" s="199">
        <v>45707</v>
      </c>
      <c r="B3828" s="202" t="s">
        <v>3133</v>
      </c>
      <c r="C3828" s="200" t="s">
        <v>204</v>
      </c>
      <c r="D3828" s="649">
        <v>-36000</v>
      </c>
      <c r="E3828" s="201">
        <v>45717</v>
      </c>
      <c r="F3828" s="200" t="s">
        <v>296</v>
      </c>
      <c r="G3828" s="200" t="s">
        <v>453</v>
      </c>
      <c r="H3828" s="200" t="s">
        <v>97</v>
      </c>
      <c r="I3828" s="200" t="s">
        <v>3127</v>
      </c>
    </row>
    <row r="3829" spans="1:9" ht="15" customHeight="1">
      <c r="A3829" s="199">
        <v>45707</v>
      </c>
      <c r="B3829" s="202" t="s">
        <v>3134</v>
      </c>
      <c r="C3829" s="200" t="s">
        <v>204</v>
      </c>
      <c r="D3829" s="649">
        <v>-15000</v>
      </c>
      <c r="E3829" s="201">
        <v>45717</v>
      </c>
      <c r="F3829" s="200" t="s">
        <v>296</v>
      </c>
      <c r="G3829" s="200" t="s">
        <v>453</v>
      </c>
      <c r="H3829" s="200" t="s">
        <v>97</v>
      </c>
      <c r="I3829" s="200" t="s">
        <v>3127</v>
      </c>
    </row>
    <row r="3830" spans="1:9" ht="15" customHeight="1">
      <c r="A3830" s="199">
        <v>45708</v>
      </c>
      <c r="B3830" s="202" t="s">
        <v>3135</v>
      </c>
      <c r="C3830" s="200" t="s">
        <v>204</v>
      </c>
      <c r="D3830" s="649">
        <f>-6765-102</f>
        <v>-6867</v>
      </c>
      <c r="E3830" s="201">
        <v>45717</v>
      </c>
      <c r="F3830" s="200" t="s">
        <v>296</v>
      </c>
      <c r="G3830" s="200" t="s">
        <v>453</v>
      </c>
      <c r="H3830" s="200" t="s">
        <v>97</v>
      </c>
      <c r="I3830" s="200" t="s">
        <v>3127</v>
      </c>
    </row>
    <row r="3831" spans="1:9" ht="15" customHeight="1">
      <c r="A3831" s="199">
        <v>45709</v>
      </c>
      <c r="B3831" s="202" t="s">
        <v>3136</v>
      </c>
      <c r="C3831" s="200" t="s">
        <v>204</v>
      </c>
      <c r="D3831" s="649">
        <v>-88000</v>
      </c>
      <c r="E3831" s="201">
        <v>45717</v>
      </c>
      <c r="F3831" s="200" t="s">
        <v>296</v>
      </c>
      <c r="G3831" s="200" t="s">
        <v>453</v>
      </c>
      <c r="H3831" s="200" t="s">
        <v>97</v>
      </c>
      <c r="I3831" s="200" t="s">
        <v>3127</v>
      </c>
    </row>
    <row r="3832" spans="1:9" ht="15" customHeight="1">
      <c r="A3832" s="199">
        <v>45710</v>
      </c>
      <c r="B3832" s="202" t="s">
        <v>3137</v>
      </c>
      <c r="C3832" s="200" t="s">
        <v>204</v>
      </c>
      <c r="D3832" s="649">
        <v>-9662</v>
      </c>
      <c r="E3832" s="201">
        <v>45717</v>
      </c>
      <c r="F3832" s="200" t="s">
        <v>296</v>
      </c>
      <c r="G3832" s="200" t="s">
        <v>453</v>
      </c>
      <c r="H3832" s="200" t="s">
        <v>97</v>
      </c>
      <c r="I3832" s="200" t="s">
        <v>3127</v>
      </c>
    </row>
    <row r="3833" spans="1:9" ht="15" customHeight="1">
      <c r="A3833" s="199">
        <v>45709</v>
      </c>
      <c r="B3833" s="202" t="s">
        <v>3138</v>
      </c>
      <c r="C3833" s="200" t="s">
        <v>204</v>
      </c>
      <c r="D3833" s="649">
        <v>-60000</v>
      </c>
      <c r="E3833" s="201">
        <v>45717</v>
      </c>
      <c r="F3833" s="200" t="s">
        <v>296</v>
      </c>
      <c r="G3833" s="200" t="s">
        <v>453</v>
      </c>
      <c r="H3833" s="200" t="s">
        <v>97</v>
      </c>
      <c r="I3833" s="200" t="s">
        <v>3127</v>
      </c>
    </row>
    <row r="3834" spans="1:9" ht="15" customHeight="1">
      <c r="A3834" s="199">
        <v>45709</v>
      </c>
      <c r="B3834" s="202" t="s">
        <v>3139</v>
      </c>
      <c r="C3834" s="200" t="s">
        <v>204</v>
      </c>
      <c r="D3834" s="649">
        <v>-18700</v>
      </c>
      <c r="E3834" s="201">
        <v>45717</v>
      </c>
      <c r="F3834" s="200" t="s">
        <v>296</v>
      </c>
      <c r="G3834" s="200" t="s">
        <v>453</v>
      </c>
      <c r="H3834" s="200" t="s">
        <v>97</v>
      </c>
      <c r="I3834" s="200" t="s">
        <v>3127</v>
      </c>
    </row>
    <row r="3835" spans="1:9" ht="15" customHeight="1">
      <c r="A3835" s="199">
        <v>45709</v>
      </c>
      <c r="B3835" s="202" t="s">
        <v>3140</v>
      </c>
      <c r="C3835" s="200" t="s">
        <v>204</v>
      </c>
      <c r="D3835" s="649">
        <v>-80000</v>
      </c>
      <c r="E3835" s="201">
        <v>45717</v>
      </c>
      <c r="F3835" s="200" t="s">
        <v>296</v>
      </c>
      <c r="G3835" s="200" t="s">
        <v>453</v>
      </c>
      <c r="H3835" s="200" t="s">
        <v>97</v>
      </c>
      <c r="I3835" s="200" t="s">
        <v>3127</v>
      </c>
    </row>
    <row r="3836" spans="1:9" ht="15" customHeight="1">
      <c r="A3836" s="199">
        <v>45709</v>
      </c>
      <c r="B3836" s="202" t="s">
        <v>3141</v>
      </c>
      <c r="C3836" s="200" t="s">
        <v>204</v>
      </c>
      <c r="D3836" s="649">
        <v>-25000</v>
      </c>
      <c r="E3836" s="201">
        <v>45717</v>
      </c>
      <c r="F3836" s="200" t="s">
        <v>296</v>
      </c>
      <c r="G3836" s="200" t="s">
        <v>453</v>
      </c>
      <c r="H3836" s="200" t="s">
        <v>97</v>
      </c>
      <c r="I3836" s="200" t="s">
        <v>3127</v>
      </c>
    </row>
    <row r="3837" spans="1:9" ht="15" customHeight="1">
      <c r="A3837" s="199">
        <v>45714</v>
      </c>
      <c r="B3837" s="202" t="s">
        <v>3142</v>
      </c>
      <c r="C3837" s="200" t="s">
        <v>204</v>
      </c>
      <c r="D3837" s="649">
        <v>-60000</v>
      </c>
      <c r="E3837" s="201">
        <v>45717</v>
      </c>
      <c r="F3837" s="200" t="s">
        <v>296</v>
      </c>
      <c r="G3837" s="200" t="s">
        <v>453</v>
      </c>
      <c r="H3837" s="200" t="s">
        <v>97</v>
      </c>
      <c r="I3837" s="200" t="s">
        <v>3127</v>
      </c>
    </row>
    <row r="3838" spans="1:9" ht="15" customHeight="1">
      <c r="A3838" s="199">
        <v>45714</v>
      </c>
      <c r="B3838" s="202" t="s">
        <v>3143</v>
      </c>
      <c r="C3838" s="200" t="s">
        <v>204</v>
      </c>
      <c r="D3838" s="649">
        <v>-45300</v>
      </c>
      <c r="E3838" s="201">
        <v>45717</v>
      </c>
      <c r="F3838" s="200" t="s">
        <v>296</v>
      </c>
      <c r="G3838" s="200" t="s">
        <v>453</v>
      </c>
      <c r="H3838" s="200" t="s">
        <v>97</v>
      </c>
      <c r="I3838" s="200" t="s">
        <v>3127</v>
      </c>
    </row>
    <row r="3839" spans="1:9" ht="15" customHeight="1">
      <c r="A3839" s="199">
        <v>45349</v>
      </c>
      <c r="B3839" s="202" t="s">
        <v>3144</v>
      </c>
      <c r="C3839" s="200" t="s">
        <v>204</v>
      </c>
      <c r="D3839" s="649">
        <v>-12000</v>
      </c>
      <c r="E3839" s="201">
        <v>45717</v>
      </c>
      <c r="F3839" s="200" t="s">
        <v>296</v>
      </c>
      <c r="G3839" s="200" t="s">
        <v>453</v>
      </c>
      <c r="H3839" s="200" t="s">
        <v>97</v>
      </c>
      <c r="I3839" s="200" t="s">
        <v>3127</v>
      </c>
    </row>
    <row r="3840" spans="1:9" ht="15" customHeight="1">
      <c r="A3840" s="199">
        <v>45350</v>
      </c>
      <c r="B3840" s="202" t="s">
        <v>3145</v>
      </c>
      <c r="C3840" s="200" t="s">
        <v>204</v>
      </c>
      <c r="D3840" s="649">
        <v>-340000</v>
      </c>
      <c r="E3840" s="201">
        <v>45717</v>
      </c>
      <c r="F3840" s="200" t="s">
        <v>296</v>
      </c>
      <c r="G3840" s="200" t="s">
        <v>453</v>
      </c>
      <c r="H3840" s="200" t="s">
        <v>97</v>
      </c>
      <c r="I3840" s="200" t="s">
        <v>3127</v>
      </c>
    </row>
    <row r="3841" spans="1:9" ht="15" customHeight="1">
      <c r="A3841" s="199">
        <v>45716</v>
      </c>
      <c r="B3841" s="202" t="s">
        <v>3146</v>
      </c>
      <c r="C3841" s="200" t="s">
        <v>204</v>
      </c>
      <c r="D3841" s="649">
        <v>-50000</v>
      </c>
      <c r="E3841" s="201">
        <v>45717</v>
      </c>
      <c r="F3841" s="200" t="s">
        <v>296</v>
      </c>
      <c r="G3841" s="200" t="s">
        <v>453</v>
      </c>
      <c r="H3841" s="200" t="s">
        <v>97</v>
      </c>
      <c r="I3841" s="200" t="s">
        <v>3127</v>
      </c>
    </row>
    <row r="3842" spans="1:9" ht="15" customHeight="1">
      <c r="A3842" s="199">
        <v>45350</v>
      </c>
      <c r="B3842" s="202" t="s">
        <v>3147</v>
      </c>
      <c r="C3842" s="200" t="s">
        <v>204</v>
      </c>
      <c r="D3842" s="649">
        <v>-66000</v>
      </c>
      <c r="E3842" s="201">
        <v>45717</v>
      </c>
      <c r="F3842" s="200" t="s">
        <v>296</v>
      </c>
      <c r="G3842" s="200" t="s">
        <v>453</v>
      </c>
      <c r="H3842" s="200" t="s">
        <v>97</v>
      </c>
      <c r="I3842" s="200" t="s">
        <v>3127</v>
      </c>
    </row>
    <row r="3843" spans="1:9" ht="15" customHeight="1">
      <c r="A3843" s="199">
        <v>45350</v>
      </c>
      <c r="B3843" s="202" t="s">
        <v>3148</v>
      </c>
      <c r="C3843" s="200" t="s">
        <v>204</v>
      </c>
      <c r="D3843" s="649">
        <v>-130000</v>
      </c>
      <c r="E3843" s="201">
        <v>45717</v>
      </c>
      <c r="F3843" s="200" t="s">
        <v>296</v>
      </c>
      <c r="G3843" s="200" t="s">
        <v>453</v>
      </c>
      <c r="H3843" s="200" t="s">
        <v>97</v>
      </c>
      <c r="I3843" s="200" t="s">
        <v>3127</v>
      </c>
    </row>
    <row r="3844" spans="1:9" ht="15" customHeight="1">
      <c r="A3844" s="199">
        <v>45352</v>
      </c>
      <c r="B3844" s="202" t="s">
        <v>3149</v>
      </c>
      <c r="C3844" s="200" t="s">
        <v>204</v>
      </c>
      <c r="D3844" s="649">
        <v>-60000</v>
      </c>
      <c r="E3844" s="201">
        <v>45717</v>
      </c>
      <c r="F3844" s="200" t="s">
        <v>296</v>
      </c>
      <c r="G3844" s="200" t="s">
        <v>453</v>
      </c>
      <c r="H3844" s="200" t="s">
        <v>97</v>
      </c>
      <c r="I3844" s="200" t="s">
        <v>3127</v>
      </c>
    </row>
    <row r="3845" spans="1:9" ht="15" customHeight="1">
      <c r="A3845" s="199">
        <v>45722</v>
      </c>
      <c r="B3845" s="202" t="s">
        <v>3150</v>
      </c>
      <c r="C3845" s="200" t="s">
        <v>204</v>
      </c>
      <c r="D3845" s="649">
        <v>-2685000</v>
      </c>
      <c r="E3845" s="201">
        <v>45717</v>
      </c>
      <c r="F3845" s="200" t="s">
        <v>256</v>
      </c>
      <c r="G3845" s="200" t="s">
        <v>256</v>
      </c>
      <c r="H3845" s="200" t="s">
        <v>258</v>
      </c>
    </row>
    <row r="3846" spans="1:9" ht="15" customHeight="1">
      <c r="A3846" s="199">
        <v>45722</v>
      </c>
      <c r="B3846" s="202" t="s">
        <v>3151</v>
      </c>
      <c r="C3846" s="200" t="s">
        <v>372</v>
      </c>
      <c r="D3846" s="645">
        <v>-275000</v>
      </c>
      <c r="E3846" s="201">
        <v>45717</v>
      </c>
      <c r="F3846" s="200" t="s">
        <v>256</v>
      </c>
      <c r="G3846" s="200" t="s">
        <v>256</v>
      </c>
      <c r="H3846" s="200" t="s">
        <v>258</v>
      </c>
    </row>
    <row r="3847" spans="1:9" ht="15" customHeight="1">
      <c r="A3847" s="199">
        <v>45753</v>
      </c>
      <c r="B3847" s="202" t="s">
        <v>3152</v>
      </c>
      <c r="C3847" s="200" t="s">
        <v>372</v>
      </c>
      <c r="D3847" s="645">
        <v>-15000</v>
      </c>
      <c r="E3847" s="201">
        <v>45717</v>
      </c>
      <c r="F3847" s="200" t="s">
        <v>256</v>
      </c>
      <c r="G3847" s="200" t="s">
        <v>256</v>
      </c>
      <c r="H3847" s="200" t="s">
        <v>258</v>
      </c>
    </row>
    <row r="3848" spans="1:9" ht="15" customHeight="1">
      <c r="A3848" s="199">
        <v>45722</v>
      </c>
      <c r="B3848" s="202" t="s">
        <v>3153</v>
      </c>
      <c r="C3848" s="200" t="s">
        <v>204</v>
      </c>
      <c r="D3848" s="649">
        <v>-333635</v>
      </c>
      <c r="E3848" s="201">
        <v>45717</v>
      </c>
      <c r="F3848" s="200" t="s">
        <v>296</v>
      </c>
      <c r="G3848" s="200" t="s">
        <v>2994</v>
      </c>
      <c r="H3848" s="200" t="s">
        <v>518</v>
      </c>
    </row>
    <row r="3849" spans="1:9" ht="15" customHeight="1">
      <c r="A3849" s="199">
        <v>45722</v>
      </c>
      <c r="B3849" s="202" t="s">
        <v>1925</v>
      </c>
      <c r="C3849" s="200" t="s">
        <v>204</v>
      </c>
      <c r="D3849" s="649">
        <v>-66000</v>
      </c>
      <c r="E3849" s="201">
        <v>45717</v>
      </c>
      <c r="F3849" s="200" t="s">
        <v>297</v>
      </c>
      <c r="G3849" s="200" t="s">
        <v>69</v>
      </c>
      <c r="H3849" s="200" t="s">
        <v>268</v>
      </c>
    </row>
    <row r="3850" spans="1:9" ht="15" customHeight="1">
      <c r="A3850" s="199">
        <v>45722</v>
      </c>
      <c r="B3850" s="202" t="s">
        <v>1925</v>
      </c>
      <c r="C3850" s="200" t="s">
        <v>204</v>
      </c>
      <c r="D3850" s="649">
        <v>-207760</v>
      </c>
      <c r="E3850" s="201">
        <v>45717</v>
      </c>
      <c r="F3850" s="200" t="s">
        <v>297</v>
      </c>
      <c r="G3850" s="200" t="s">
        <v>1313</v>
      </c>
      <c r="H3850" s="200" t="s">
        <v>268</v>
      </c>
    </row>
    <row r="3851" spans="1:9" ht="15" customHeight="1">
      <c r="A3851" s="199">
        <v>45722</v>
      </c>
      <c r="B3851" s="202" t="s">
        <v>1925</v>
      </c>
      <c r="C3851" s="200" t="s">
        <v>204</v>
      </c>
      <c r="D3851" s="649">
        <v>-56000</v>
      </c>
      <c r="E3851" s="201">
        <v>45717</v>
      </c>
      <c r="F3851" s="200" t="s">
        <v>296</v>
      </c>
      <c r="G3851" s="200" t="s">
        <v>328</v>
      </c>
      <c r="H3851" s="200" t="s">
        <v>268</v>
      </c>
    </row>
    <row r="3852" spans="1:9" ht="15" customHeight="1">
      <c r="A3852" s="199">
        <v>45722</v>
      </c>
      <c r="B3852" s="202" t="s">
        <v>1925</v>
      </c>
      <c r="C3852" s="200" t="s">
        <v>204</v>
      </c>
      <c r="D3852" s="649">
        <v>-68000</v>
      </c>
      <c r="E3852" s="201">
        <v>45717</v>
      </c>
      <c r="F3852" s="200" t="s">
        <v>296</v>
      </c>
      <c r="G3852" s="200" t="s">
        <v>337</v>
      </c>
      <c r="H3852" s="200" t="s">
        <v>326</v>
      </c>
    </row>
    <row r="3853" spans="1:9" ht="15" customHeight="1">
      <c r="A3853" s="199">
        <v>45753</v>
      </c>
      <c r="B3853" s="202" t="s">
        <v>1925</v>
      </c>
      <c r="C3853" s="200" t="s">
        <v>204</v>
      </c>
      <c r="D3853" s="649">
        <v>-63000</v>
      </c>
      <c r="E3853" s="201">
        <v>45717</v>
      </c>
      <c r="F3853" s="200" t="s">
        <v>296</v>
      </c>
      <c r="G3853" s="200" t="s">
        <v>984</v>
      </c>
      <c r="H3853" s="200" t="s">
        <v>268</v>
      </c>
    </row>
    <row r="3854" spans="1:9" ht="15" customHeight="1">
      <c r="A3854" s="199">
        <v>45753</v>
      </c>
      <c r="B3854" s="202" t="s">
        <v>1925</v>
      </c>
      <c r="C3854" s="200" t="s">
        <v>204</v>
      </c>
      <c r="D3854" s="649">
        <v>-10000</v>
      </c>
      <c r="E3854" s="201">
        <v>45717</v>
      </c>
      <c r="F3854" s="200" t="s">
        <v>296</v>
      </c>
      <c r="G3854" s="200" t="s">
        <v>411</v>
      </c>
      <c r="H3854" s="200" t="s">
        <v>268</v>
      </c>
    </row>
    <row r="3855" spans="1:9" ht="15" customHeight="1">
      <c r="A3855" s="199">
        <v>45753</v>
      </c>
      <c r="B3855" s="722" t="s">
        <v>1925</v>
      </c>
      <c r="C3855" s="200" t="s">
        <v>204</v>
      </c>
      <c r="D3855" s="649">
        <v>-71000</v>
      </c>
      <c r="E3855" s="201">
        <v>45717</v>
      </c>
      <c r="F3855" s="200" t="s">
        <v>296</v>
      </c>
      <c r="G3855" s="200" t="s">
        <v>57</v>
      </c>
      <c r="H3855" s="200" t="s">
        <v>105</v>
      </c>
    </row>
    <row r="3856" spans="1:9" ht="15" customHeight="1">
      <c r="A3856" s="199">
        <v>45753</v>
      </c>
      <c r="B3856" s="202" t="s">
        <v>1925</v>
      </c>
      <c r="C3856" s="200" t="s">
        <v>204</v>
      </c>
      <c r="D3856" s="649">
        <v>-40000</v>
      </c>
      <c r="E3856" s="201">
        <v>45717</v>
      </c>
      <c r="F3856" s="200" t="s">
        <v>395</v>
      </c>
      <c r="G3856" s="531" t="s">
        <v>395</v>
      </c>
      <c r="H3856" s="200" t="s">
        <v>268</v>
      </c>
      <c r="I3856" s="673"/>
    </row>
    <row r="3857" spans="1:8" ht="15" customHeight="1">
      <c r="A3857" s="199">
        <v>45753</v>
      </c>
      <c r="B3857" s="202" t="s">
        <v>1925</v>
      </c>
      <c r="C3857" s="200" t="s">
        <v>204</v>
      </c>
      <c r="D3857" s="649">
        <v>-30000</v>
      </c>
      <c r="E3857" s="201">
        <v>45717</v>
      </c>
      <c r="F3857" s="200" t="s">
        <v>296</v>
      </c>
      <c r="G3857" s="200" t="s">
        <v>522</v>
      </c>
      <c r="H3857" s="200" t="s">
        <v>326</v>
      </c>
    </row>
    <row r="3858" spans="1:8" ht="15" customHeight="1">
      <c r="A3858" s="199">
        <v>45722</v>
      </c>
      <c r="B3858" s="202" t="s">
        <v>1925</v>
      </c>
      <c r="C3858" s="200" t="s">
        <v>204</v>
      </c>
      <c r="D3858" s="649">
        <v>-18000</v>
      </c>
      <c r="E3858" s="201">
        <v>45717</v>
      </c>
      <c r="F3858" s="200" t="s">
        <v>296</v>
      </c>
      <c r="G3858" s="200" t="s">
        <v>2994</v>
      </c>
      <c r="H3858" s="200" t="s">
        <v>268</v>
      </c>
    </row>
    <row r="3859" spans="1:8" ht="15" customHeight="1">
      <c r="A3859" s="199">
        <v>45722</v>
      </c>
      <c r="B3859" s="202" t="s">
        <v>3154</v>
      </c>
      <c r="C3859" s="200" t="s">
        <v>372</v>
      </c>
      <c r="D3859" s="645">
        <v>-6400</v>
      </c>
      <c r="E3859" s="201">
        <v>45717</v>
      </c>
      <c r="F3859" s="200" t="s">
        <v>297</v>
      </c>
      <c r="G3859" s="200" t="s">
        <v>1313</v>
      </c>
      <c r="H3859" s="200" t="s">
        <v>268</v>
      </c>
    </row>
    <row r="3860" spans="1:8" ht="15" customHeight="1">
      <c r="A3860" s="199">
        <v>45722</v>
      </c>
      <c r="B3860" s="202" t="s">
        <v>3155</v>
      </c>
      <c r="C3860" s="200" t="s">
        <v>372</v>
      </c>
      <c r="D3860" s="645">
        <v>-3840</v>
      </c>
      <c r="E3860" s="201">
        <v>45717</v>
      </c>
      <c r="F3860" s="200" t="s">
        <v>297</v>
      </c>
      <c r="G3860" s="200" t="s">
        <v>1313</v>
      </c>
      <c r="H3860" s="200" t="s">
        <v>268</v>
      </c>
    </row>
    <row r="3861" spans="1:8" ht="15" customHeight="1">
      <c r="A3861" s="199">
        <v>45722</v>
      </c>
      <c r="B3861" s="202" t="s">
        <v>3156</v>
      </c>
      <c r="C3861" s="200" t="s">
        <v>204</v>
      </c>
      <c r="D3861" s="649">
        <v>-369388</v>
      </c>
      <c r="E3861" s="201">
        <v>45717</v>
      </c>
      <c r="F3861" s="200" t="s">
        <v>297</v>
      </c>
      <c r="G3861" s="200" t="s">
        <v>67</v>
      </c>
      <c r="H3861" s="531" t="s">
        <v>364</v>
      </c>
    </row>
    <row r="3862" spans="1:8" ht="15" customHeight="1">
      <c r="A3862" s="199">
        <v>45722</v>
      </c>
      <c r="B3862" s="202" t="s">
        <v>3157</v>
      </c>
      <c r="C3862" s="200" t="s">
        <v>204</v>
      </c>
      <c r="D3862" s="649">
        <v>-1006481</v>
      </c>
      <c r="E3862" s="201">
        <v>45717</v>
      </c>
      <c r="F3862" s="200" t="s">
        <v>296</v>
      </c>
      <c r="G3862" s="200" t="s">
        <v>1124</v>
      </c>
      <c r="H3862" s="200" t="s">
        <v>857</v>
      </c>
    </row>
    <row r="3863" spans="1:8" ht="15" customHeight="1">
      <c r="A3863" s="199">
        <v>45722</v>
      </c>
      <c r="B3863" s="202" t="s">
        <v>3158</v>
      </c>
      <c r="C3863" s="200" t="s">
        <v>204</v>
      </c>
      <c r="D3863" s="649">
        <v>-2200000</v>
      </c>
      <c r="E3863" s="201">
        <v>45717</v>
      </c>
      <c r="F3863" s="200" t="s">
        <v>296</v>
      </c>
      <c r="G3863" s="648" t="s">
        <v>453</v>
      </c>
      <c r="H3863" s="648" t="s">
        <v>96</v>
      </c>
    </row>
    <row r="3864" spans="1:8" ht="15" customHeight="1">
      <c r="A3864" s="199">
        <v>45722</v>
      </c>
      <c r="B3864" s="202" t="s">
        <v>3159</v>
      </c>
      <c r="C3864" s="200" t="s">
        <v>204</v>
      </c>
      <c r="D3864" s="649">
        <v>-16800</v>
      </c>
      <c r="E3864" s="201">
        <v>45717</v>
      </c>
      <c r="F3864" s="200" t="s">
        <v>256</v>
      </c>
      <c r="G3864" s="200" t="s">
        <v>256</v>
      </c>
      <c r="H3864" s="200" t="s">
        <v>267</v>
      </c>
    </row>
    <row r="3865" spans="1:8" ht="15" customHeight="1">
      <c r="A3865" s="199">
        <v>45753</v>
      </c>
      <c r="B3865" s="202" t="s">
        <v>3160</v>
      </c>
      <c r="C3865" s="200" t="s">
        <v>204</v>
      </c>
      <c r="D3865" s="649">
        <v>-20000</v>
      </c>
      <c r="E3865" s="201">
        <v>45717</v>
      </c>
      <c r="F3865" s="200" t="s">
        <v>256</v>
      </c>
      <c r="G3865" s="200" t="s">
        <v>256</v>
      </c>
      <c r="H3865" s="200" t="s">
        <v>267</v>
      </c>
    </row>
    <row r="3866" spans="1:8" ht="15" customHeight="1">
      <c r="A3866" s="199">
        <v>45753</v>
      </c>
      <c r="B3866" s="202" t="s">
        <v>3161</v>
      </c>
      <c r="C3866" s="200" t="s">
        <v>204</v>
      </c>
      <c r="D3866" s="649">
        <v>-150000</v>
      </c>
      <c r="E3866" s="201">
        <v>45717</v>
      </c>
      <c r="F3866" s="200" t="s">
        <v>256</v>
      </c>
      <c r="G3866" s="648" t="s">
        <v>256</v>
      </c>
      <c r="H3866" s="648" t="s">
        <v>9</v>
      </c>
    </row>
    <row r="3867" spans="1:8" ht="15" customHeight="1">
      <c r="A3867" s="199">
        <v>45722</v>
      </c>
      <c r="B3867" s="202" t="s">
        <v>3162</v>
      </c>
      <c r="C3867" s="200" t="s">
        <v>204</v>
      </c>
      <c r="D3867" s="649">
        <v>-70800</v>
      </c>
      <c r="E3867" s="201">
        <v>45717</v>
      </c>
      <c r="F3867" s="200" t="s">
        <v>256</v>
      </c>
      <c r="G3867" s="200" t="s">
        <v>256</v>
      </c>
      <c r="H3867" s="200" t="s">
        <v>267</v>
      </c>
    </row>
    <row r="3868" spans="1:8" ht="15" customHeight="1">
      <c r="A3868" s="199">
        <v>45722</v>
      </c>
      <c r="B3868" s="202" t="s">
        <v>3163</v>
      </c>
      <c r="C3868" s="200" t="s">
        <v>204</v>
      </c>
      <c r="D3868" s="649">
        <v>-1575000</v>
      </c>
      <c r="E3868" s="201">
        <v>45717</v>
      </c>
      <c r="F3868" s="200" t="s">
        <v>256</v>
      </c>
      <c r="G3868" s="200" t="s">
        <v>256</v>
      </c>
      <c r="H3868" s="200" t="s">
        <v>9</v>
      </c>
    </row>
    <row r="3869" spans="1:8" ht="15" customHeight="1">
      <c r="A3869" s="199">
        <v>45722</v>
      </c>
      <c r="B3869" s="202" t="s">
        <v>3164</v>
      </c>
      <c r="C3869" s="200" t="s">
        <v>204</v>
      </c>
      <c r="D3869" s="649">
        <v>-1300000</v>
      </c>
      <c r="E3869" s="201">
        <v>45717</v>
      </c>
      <c r="F3869" s="200" t="s">
        <v>256</v>
      </c>
      <c r="G3869" s="200" t="s">
        <v>107</v>
      </c>
      <c r="H3869" s="200" t="s">
        <v>777</v>
      </c>
    </row>
    <row r="3870" spans="1:8" ht="15" customHeight="1">
      <c r="A3870" s="199">
        <v>45721</v>
      </c>
      <c r="B3870" s="202" t="s">
        <v>3165</v>
      </c>
      <c r="C3870" s="200" t="s">
        <v>204</v>
      </c>
      <c r="D3870" s="649">
        <v>-132236</v>
      </c>
      <c r="E3870" s="201">
        <v>45717</v>
      </c>
      <c r="F3870" s="200" t="s">
        <v>296</v>
      </c>
      <c r="G3870" s="200" t="s">
        <v>875</v>
      </c>
      <c r="H3870" s="531" t="s">
        <v>386</v>
      </c>
    </row>
    <row r="3871" spans="1:8" ht="15" customHeight="1">
      <c r="A3871" s="199">
        <v>45721</v>
      </c>
      <c r="B3871" s="202" t="s">
        <v>3165</v>
      </c>
      <c r="C3871" s="200" t="s">
        <v>204</v>
      </c>
      <c r="D3871" s="649">
        <v>-606900</v>
      </c>
      <c r="E3871" s="201">
        <v>45717</v>
      </c>
      <c r="F3871" s="200" t="s">
        <v>296</v>
      </c>
      <c r="G3871" s="200" t="s">
        <v>411</v>
      </c>
      <c r="H3871" s="531" t="s">
        <v>386</v>
      </c>
    </row>
    <row r="3872" spans="1:8" ht="15" customHeight="1">
      <c r="A3872" s="199">
        <v>45721</v>
      </c>
      <c r="B3872" s="202" t="s">
        <v>3165</v>
      </c>
      <c r="C3872" s="200" t="s">
        <v>204</v>
      </c>
      <c r="D3872" s="649">
        <v>-606900</v>
      </c>
      <c r="E3872" s="201">
        <v>45717</v>
      </c>
      <c r="F3872" s="200" t="s">
        <v>297</v>
      </c>
      <c r="G3872" s="200" t="s">
        <v>1313</v>
      </c>
      <c r="H3872" s="531" t="s">
        <v>386</v>
      </c>
    </row>
    <row r="3873" spans="1:9" ht="15" customHeight="1">
      <c r="A3873" s="199">
        <v>45721</v>
      </c>
      <c r="B3873" s="202" t="s">
        <v>3165</v>
      </c>
      <c r="C3873" s="200" t="s">
        <v>204</v>
      </c>
      <c r="D3873" s="649">
        <v>-111864</v>
      </c>
      <c r="E3873" s="201">
        <v>45717</v>
      </c>
      <c r="F3873" s="200" t="s">
        <v>296</v>
      </c>
      <c r="G3873" s="200" t="s">
        <v>341</v>
      </c>
      <c r="H3873" s="531" t="s">
        <v>386</v>
      </c>
      <c r="I3873" s="648" t="s">
        <v>329</v>
      </c>
    </row>
    <row r="3874" spans="1:9" ht="15" customHeight="1">
      <c r="A3874" s="199">
        <v>45721</v>
      </c>
      <c r="B3874" s="202" t="s">
        <v>3165</v>
      </c>
      <c r="C3874" s="200" t="s">
        <v>204</v>
      </c>
      <c r="D3874" s="649">
        <v>-2335419</v>
      </c>
      <c r="E3874" s="201">
        <v>45717</v>
      </c>
      <c r="F3874" s="200" t="s">
        <v>296</v>
      </c>
      <c r="G3874" s="200" t="s">
        <v>328</v>
      </c>
      <c r="H3874" s="531" t="s">
        <v>386</v>
      </c>
    </row>
    <row r="3875" spans="1:9" ht="15" customHeight="1">
      <c r="A3875" s="199">
        <v>45720</v>
      </c>
      <c r="B3875" s="202" t="s">
        <v>3166</v>
      </c>
      <c r="C3875" s="200" t="s">
        <v>204</v>
      </c>
      <c r="D3875" s="649">
        <v>-32492754</v>
      </c>
      <c r="E3875" s="201">
        <v>45717</v>
      </c>
      <c r="F3875" s="200" t="s">
        <v>296</v>
      </c>
      <c r="G3875" s="200" t="s">
        <v>807</v>
      </c>
      <c r="H3875" s="200" t="s">
        <v>848</v>
      </c>
    </row>
    <row r="3876" spans="1:9" ht="15" customHeight="1">
      <c r="A3876" s="199">
        <v>45720</v>
      </c>
      <c r="B3876" s="202" t="s">
        <v>3166</v>
      </c>
      <c r="C3876" s="200" t="s">
        <v>204</v>
      </c>
      <c r="D3876" s="649">
        <v>-32492754</v>
      </c>
      <c r="E3876" s="201">
        <v>45717</v>
      </c>
      <c r="F3876" s="200" t="s">
        <v>296</v>
      </c>
      <c r="G3876" s="200" t="s">
        <v>1980</v>
      </c>
      <c r="H3876" s="200" t="s">
        <v>848</v>
      </c>
    </row>
    <row r="3877" spans="1:9" ht="15" customHeight="1">
      <c r="A3877" s="199">
        <v>45720</v>
      </c>
      <c r="B3877" s="202" t="s">
        <v>3166</v>
      </c>
      <c r="C3877" s="200" t="s">
        <v>204</v>
      </c>
      <c r="D3877" s="649">
        <v>-32492754</v>
      </c>
      <c r="E3877" s="201">
        <v>45717</v>
      </c>
      <c r="F3877" s="200" t="s">
        <v>296</v>
      </c>
      <c r="G3877" s="200" t="s">
        <v>1983</v>
      </c>
      <c r="H3877" s="200" t="s">
        <v>848</v>
      </c>
    </row>
    <row r="3878" spans="1:9" ht="15" customHeight="1">
      <c r="A3878" s="199">
        <v>45720</v>
      </c>
      <c r="B3878" s="202" t="s">
        <v>3166</v>
      </c>
      <c r="C3878" s="200" t="s">
        <v>204</v>
      </c>
      <c r="D3878" s="649">
        <v>-32492754</v>
      </c>
      <c r="E3878" s="201">
        <v>45717</v>
      </c>
      <c r="F3878" s="200" t="s">
        <v>296</v>
      </c>
      <c r="G3878" s="200" t="s">
        <v>3167</v>
      </c>
      <c r="H3878" s="200" t="s">
        <v>848</v>
      </c>
    </row>
    <row r="3879" spans="1:9" ht="15" customHeight="1">
      <c r="A3879" s="199">
        <v>45720</v>
      </c>
      <c r="B3879" s="202" t="s">
        <v>3166</v>
      </c>
      <c r="C3879" s="200" t="s">
        <v>204</v>
      </c>
      <c r="D3879" s="649">
        <v>-32492754</v>
      </c>
      <c r="E3879" s="201">
        <v>45717</v>
      </c>
      <c r="F3879" s="200" t="s">
        <v>296</v>
      </c>
      <c r="G3879" s="200" t="s">
        <v>3167</v>
      </c>
      <c r="H3879" s="200" t="s">
        <v>848</v>
      </c>
    </row>
    <row r="3880" spans="1:9" ht="15" customHeight="1">
      <c r="A3880" s="199">
        <v>45720</v>
      </c>
      <c r="B3880" s="202" t="s">
        <v>3166</v>
      </c>
      <c r="C3880" s="200" t="s">
        <v>204</v>
      </c>
      <c r="D3880" s="649">
        <v>-32492754</v>
      </c>
      <c r="E3880" s="201">
        <v>45717</v>
      </c>
      <c r="F3880" s="200" t="s">
        <v>296</v>
      </c>
      <c r="G3880" s="200" t="s">
        <v>3167</v>
      </c>
      <c r="H3880" s="200" t="s">
        <v>848</v>
      </c>
    </row>
    <row r="3881" spans="1:9" ht="15" customHeight="1">
      <c r="A3881" s="199">
        <v>45720</v>
      </c>
      <c r="B3881" s="202" t="s">
        <v>3166</v>
      </c>
      <c r="C3881" s="200" t="s">
        <v>204</v>
      </c>
      <c r="D3881" s="649">
        <v>-32492754</v>
      </c>
      <c r="E3881" s="201">
        <v>45717</v>
      </c>
      <c r="F3881" s="200" t="s">
        <v>296</v>
      </c>
      <c r="G3881" s="200" t="s">
        <v>3167</v>
      </c>
      <c r="H3881" s="200" t="s">
        <v>848</v>
      </c>
    </row>
    <row r="3882" spans="1:9" ht="15" customHeight="1">
      <c r="A3882" s="199">
        <v>45720</v>
      </c>
      <c r="B3882" s="202" t="s">
        <v>3166</v>
      </c>
      <c r="C3882" s="200" t="s">
        <v>204</v>
      </c>
      <c r="D3882" s="649">
        <v>-32492754</v>
      </c>
      <c r="E3882" s="201">
        <v>45717</v>
      </c>
      <c r="F3882" s="200" t="s">
        <v>296</v>
      </c>
      <c r="G3882" s="200" t="s">
        <v>3167</v>
      </c>
      <c r="H3882" s="200" t="s">
        <v>848</v>
      </c>
    </row>
    <row r="3883" spans="1:9" ht="15" customHeight="1">
      <c r="A3883" s="199">
        <v>45720</v>
      </c>
      <c r="B3883" s="202" t="s">
        <v>3168</v>
      </c>
      <c r="C3883" s="200" t="s">
        <v>204</v>
      </c>
      <c r="D3883" s="649">
        <v>-78206800</v>
      </c>
      <c r="E3883" s="201">
        <v>45717</v>
      </c>
      <c r="F3883" s="200" t="s">
        <v>296</v>
      </c>
      <c r="G3883" s="200" t="s">
        <v>807</v>
      </c>
      <c r="H3883" s="200" t="s">
        <v>670</v>
      </c>
    </row>
    <row r="3884" spans="1:9" ht="15" customHeight="1">
      <c r="A3884" s="199">
        <v>45720</v>
      </c>
      <c r="B3884" s="202" t="s">
        <v>3168</v>
      </c>
      <c r="C3884" s="200" t="s">
        <v>204</v>
      </c>
      <c r="D3884" s="649">
        <v>-123522000</v>
      </c>
      <c r="E3884" s="201">
        <v>45717</v>
      </c>
      <c r="F3884" s="200" t="s">
        <v>296</v>
      </c>
      <c r="G3884" s="200" t="s">
        <v>1980</v>
      </c>
      <c r="H3884" s="200" t="s">
        <v>670</v>
      </c>
    </row>
    <row r="3885" spans="1:9" ht="15" customHeight="1">
      <c r="A3885" s="199">
        <v>45720</v>
      </c>
      <c r="B3885" s="202" t="s">
        <v>3168</v>
      </c>
      <c r="C3885" s="200" t="s">
        <v>204</v>
      </c>
      <c r="D3885" s="649">
        <v>-123522000</v>
      </c>
      <c r="E3885" s="201">
        <v>45717</v>
      </c>
      <c r="F3885" s="200" t="s">
        <v>296</v>
      </c>
      <c r="G3885" s="200" t="s">
        <v>1983</v>
      </c>
      <c r="H3885" s="200" t="s">
        <v>670</v>
      </c>
    </row>
    <row r="3886" spans="1:9" ht="15" customHeight="1">
      <c r="A3886" s="199">
        <v>45720</v>
      </c>
      <c r="B3886" s="202" t="s">
        <v>3169</v>
      </c>
      <c r="C3886" s="200" t="s">
        <v>204</v>
      </c>
      <c r="D3886" s="649">
        <v>-69000</v>
      </c>
      <c r="E3886" s="201">
        <v>45717</v>
      </c>
      <c r="F3886" s="200" t="s">
        <v>256</v>
      </c>
      <c r="G3886" s="200" t="s">
        <v>256</v>
      </c>
      <c r="H3886" s="200" t="s">
        <v>261</v>
      </c>
    </row>
    <row r="3887" spans="1:9" ht="15" customHeight="1">
      <c r="A3887" s="199">
        <v>45720</v>
      </c>
      <c r="B3887" s="202" t="s">
        <v>3170</v>
      </c>
      <c r="C3887" s="200" t="s">
        <v>204</v>
      </c>
      <c r="D3887" s="649">
        <v>-189800</v>
      </c>
      <c r="E3887" s="201">
        <v>45717</v>
      </c>
      <c r="F3887" s="200" t="s">
        <v>256</v>
      </c>
      <c r="G3887" s="200" t="s">
        <v>256</v>
      </c>
      <c r="H3887" s="200" t="s">
        <v>261</v>
      </c>
    </row>
    <row r="3888" spans="1:9" ht="15" customHeight="1">
      <c r="A3888" s="199">
        <v>45720</v>
      </c>
      <c r="B3888" s="202" t="s">
        <v>3171</v>
      </c>
      <c r="C3888" s="200" t="s">
        <v>204</v>
      </c>
      <c r="D3888" s="649">
        <v>-4181400</v>
      </c>
      <c r="E3888" s="201">
        <v>45717</v>
      </c>
      <c r="F3888" s="200" t="s">
        <v>296</v>
      </c>
      <c r="G3888" s="648" t="s">
        <v>1087</v>
      </c>
      <c r="H3888" s="648" t="s">
        <v>322</v>
      </c>
    </row>
    <row r="3889" spans="1:9" ht="15" customHeight="1">
      <c r="A3889" s="199">
        <v>45720</v>
      </c>
      <c r="B3889" s="202" t="s">
        <v>3172</v>
      </c>
      <c r="C3889" s="200" t="s">
        <v>372</v>
      </c>
      <c r="D3889" s="645">
        <v>-102600</v>
      </c>
      <c r="E3889" s="201">
        <v>45717</v>
      </c>
      <c r="F3889" s="200" t="s">
        <v>296</v>
      </c>
      <c r="G3889" s="648" t="s">
        <v>1087</v>
      </c>
      <c r="H3889" s="648" t="s">
        <v>322</v>
      </c>
    </row>
    <row r="3890" spans="1:9" ht="15" customHeight="1">
      <c r="A3890" s="199">
        <v>45720</v>
      </c>
      <c r="B3890" s="202" t="s">
        <v>3173</v>
      </c>
      <c r="C3890" s="200" t="s">
        <v>204</v>
      </c>
      <c r="D3890" s="649">
        <v>-9000000</v>
      </c>
      <c r="E3890" s="201">
        <v>45717</v>
      </c>
      <c r="F3890" s="200" t="s">
        <v>296</v>
      </c>
      <c r="G3890" s="200" t="s">
        <v>522</v>
      </c>
      <c r="H3890" s="200" t="s">
        <v>488</v>
      </c>
    </row>
    <row r="3891" spans="1:9" ht="15" customHeight="1">
      <c r="A3891" s="199">
        <v>45720</v>
      </c>
      <c r="B3891" s="202" t="s">
        <v>3174</v>
      </c>
      <c r="C3891" s="200" t="s">
        <v>204</v>
      </c>
      <c r="D3891" s="649">
        <v>-421300</v>
      </c>
      <c r="E3891" s="201">
        <v>45717</v>
      </c>
      <c r="F3891" s="200" t="s">
        <v>296</v>
      </c>
      <c r="G3891" s="200" t="s">
        <v>482</v>
      </c>
      <c r="H3891" s="200" t="s">
        <v>342</v>
      </c>
    </row>
    <row r="3892" spans="1:9" ht="15" customHeight="1">
      <c r="A3892" s="199">
        <v>45720</v>
      </c>
      <c r="B3892" s="202" t="s">
        <v>3175</v>
      </c>
      <c r="C3892" s="200" t="s">
        <v>204</v>
      </c>
      <c r="D3892" s="649">
        <v>-50200</v>
      </c>
      <c r="E3892" s="201">
        <v>45717</v>
      </c>
      <c r="F3892" s="200" t="s">
        <v>296</v>
      </c>
      <c r="G3892" s="200" t="s">
        <v>453</v>
      </c>
      <c r="H3892" s="200" t="s">
        <v>121</v>
      </c>
    </row>
    <row r="3893" spans="1:9" ht="15" customHeight="1">
      <c r="A3893" s="199">
        <v>45720</v>
      </c>
      <c r="B3893" s="202" t="s">
        <v>3176</v>
      </c>
      <c r="C3893" s="200" t="s">
        <v>204</v>
      </c>
      <c r="D3893" s="649">
        <v>-45900</v>
      </c>
      <c r="E3893" s="201">
        <v>45717</v>
      </c>
      <c r="F3893" s="200" t="s">
        <v>296</v>
      </c>
      <c r="G3893" s="200" t="s">
        <v>453</v>
      </c>
      <c r="H3893" s="200" t="s">
        <v>121</v>
      </c>
    </row>
    <row r="3894" spans="1:9" ht="15" customHeight="1">
      <c r="A3894" s="199">
        <v>45720</v>
      </c>
      <c r="B3894" s="202" t="s">
        <v>3175</v>
      </c>
      <c r="C3894" s="200" t="s">
        <v>204</v>
      </c>
      <c r="D3894" s="649">
        <v>-48200</v>
      </c>
      <c r="E3894" s="201">
        <v>45717</v>
      </c>
      <c r="F3894" s="200" t="s">
        <v>296</v>
      </c>
      <c r="G3894" s="200" t="s">
        <v>453</v>
      </c>
      <c r="H3894" s="200" t="s">
        <v>121</v>
      </c>
    </row>
    <row r="3895" spans="1:9" ht="15" customHeight="1">
      <c r="A3895" s="199">
        <v>45720</v>
      </c>
      <c r="B3895" s="202" t="s">
        <v>3177</v>
      </c>
      <c r="C3895" s="200" t="s">
        <v>204</v>
      </c>
      <c r="D3895" s="649">
        <v>-7000</v>
      </c>
      <c r="E3895" s="201">
        <v>45717</v>
      </c>
      <c r="F3895" s="200" t="s">
        <v>256</v>
      </c>
      <c r="G3895" s="200" t="s">
        <v>107</v>
      </c>
      <c r="H3895" s="200" t="s">
        <v>121</v>
      </c>
    </row>
    <row r="3896" spans="1:9" ht="15" customHeight="1">
      <c r="A3896" s="199">
        <v>45720</v>
      </c>
      <c r="B3896" s="202" t="s">
        <v>3178</v>
      </c>
      <c r="C3896" s="200" t="s">
        <v>204</v>
      </c>
      <c r="D3896" s="649">
        <v>-606618</v>
      </c>
      <c r="E3896" s="201">
        <v>45717</v>
      </c>
      <c r="F3896" s="200" t="s">
        <v>256</v>
      </c>
      <c r="G3896" s="200" t="s">
        <v>256</v>
      </c>
      <c r="H3896" s="200" t="s">
        <v>270</v>
      </c>
    </row>
    <row r="3897" spans="1:9" ht="15" customHeight="1">
      <c r="A3897" s="199">
        <v>45721</v>
      </c>
      <c r="B3897" s="202" t="s">
        <v>1593</v>
      </c>
      <c r="C3897" s="200" t="s">
        <v>204</v>
      </c>
      <c r="D3897" s="649">
        <v>-57600000</v>
      </c>
      <c r="E3897" s="201">
        <v>45717</v>
      </c>
      <c r="F3897" s="200" t="s">
        <v>1594</v>
      </c>
      <c r="G3897" s="200" t="s">
        <v>1595</v>
      </c>
    </row>
    <row r="3898" spans="1:9" ht="15" customHeight="1">
      <c r="A3898" s="199">
        <v>45722</v>
      </c>
      <c r="B3898" s="202" t="s">
        <v>2203</v>
      </c>
      <c r="C3898" s="200" t="s">
        <v>307</v>
      </c>
      <c r="D3898" s="204">
        <v>-7250</v>
      </c>
      <c r="E3898" s="201">
        <v>45717</v>
      </c>
      <c r="F3898" s="200" t="s">
        <v>296</v>
      </c>
      <c r="G3898" s="200" t="s">
        <v>1980</v>
      </c>
      <c r="H3898" s="200" t="s">
        <v>326</v>
      </c>
      <c r="I3898" s="200" t="s">
        <v>3179</v>
      </c>
    </row>
    <row r="3899" spans="1:9" ht="15" customHeight="1">
      <c r="A3899" s="199">
        <v>45722</v>
      </c>
      <c r="B3899" s="202" t="s">
        <v>2203</v>
      </c>
      <c r="C3899" s="200" t="s">
        <v>307</v>
      </c>
      <c r="D3899" s="204">
        <v>-7250</v>
      </c>
      <c r="E3899" s="201">
        <v>45717</v>
      </c>
      <c r="F3899" s="200" t="s">
        <v>296</v>
      </c>
      <c r="G3899" s="200" t="s">
        <v>1983</v>
      </c>
      <c r="H3899" s="200" t="s">
        <v>326</v>
      </c>
      <c r="I3899" s="200" t="s">
        <v>3179</v>
      </c>
    </row>
    <row r="3900" spans="1:9" ht="15" customHeight="1">
      <c r="A3900" s="199">
        <v>45722</v>
      </c>
      <c r="B3900" s="202" t="s">
        <v>3180</v>
      </c>
      <c r="C3900" s="200" t="s">
        <v>307</v>
      </c>
      <c r="D3900" s="204">
        <v>-72000</v>
      </c>
      <c r="E3900" s="201">
        <v>45717</v>
      </c>
      <c r="F3900" s="200" t="s">
        <v>296</v>
      </c>
      <c r="G3900" s="200" t="s">
        <v>1980</v>
      </c>
      <c r="H3900" s="200" t="s">
        <v>326</v>
      </c>
      <c r="I3900" s="200" t="s">
        <v>3179</v>
      </c>
    </row>
    <row r="3901" spans="1:9" ht="15" customHeight="1">
      <c r="A3901" s="199">
        <v>45722</v>
      </c>
      <c r="B3901" s="202" t="s">
        <v>3180</v>
      </c>
      <c r="C3901" s="200" t="s">
        <v>307</v>
      </c>
      <c r="D3901" s="204">
        <v>-72000</v>
      </c>
      <c r="E3901" s="201">
        <v>45717</v>
      </c>
      <c r="F3901" s="200" t="s">
        <v>296</v>
      </c>
      <c r="G3901" s="200" t="s">
        <v>1983</v>
      </c>
      <c r="H3901" s="200" t="s">
        <v>326</v>
      </c>
      <c r="I3901" s="200" t="s">
        <v>3179</v>
      </c>
    </row>
    <row r="3902" spans="1:9" ht="15" customHeight="1">
      <c r="A3902" s="199">
        <v>45722</v>
      </c>
      <c r="B3902" s="202" t="s">
        <v>3181</v>
      </c>
      <c r="C3902" s="200" t="s">
        <v>307</v>
      </c>
      <c r="D3902" s="204">
        <v>-60000</v>
      </c>
      <c r="E3902" s="201">
        <v>45717</v>
      </c>
      <c r="F3902" s="200" t="s">
        <v>296</v>
      </c>
      <c r="G3902" s="200" t="s">
        <v>1980</v>
      </c>
      <c r="H3902" s="200" t="s">
        <v>326</v>
      </c>
      <c r="I3902" s="200" t="s">
        <v>3179</v>
      </c>
    </row>
    <row r="3903" spans="1:9" ht="15" customHeight="1">
      <c r="A3903" s="199">
        <v>45722</v>
      </c>
      <c r="B3903" s="202" t="s">
        <v>3181</v>
      </c>
      <c r="C3903" s="200" t="s">
        <v>307</v>
      </c>
      <c r="D3903" s="204">
        <v>-60000</v>
      </c>
      <c r="E3903" s="201">
        <v>45717</v>
      </c>
      <c r="F3903" s="200" t="s">
        <v>296</v>
      </c>
      <c r="G3903" s="200" t="s">
        <v>1983</v>
      </c>
      <c r="H3903" s="200" t="s">
        <v>326</v>
      </c>
      <c r="I3903" s="200" t="s">
        <v>3179</v>
      </c>
    </row>
    <row r="3904" spans="1:9" ht="15" customHeight="1">
      <c r="A3904" s="199">
        <v>45722</v>
      </c>
      <c r="B3904" s="202" t="s">
        <v>3182</v>
      </c>
      <c r="C3904" s="200" t="s">
        <v>307</v>
      </c>
      <c r="D3904" s="204">
        <v>-50000</v>
      </c>
      <c r="E3904" s="201">
        <v>45717</v>
      </c>
      <c r="F3904" s="200" t="s">
        <v>296</v>
      </c>
      <c r="G3904" s="200" t="s">
        <v>1980</v>
      </c>
      <c r="H3904" s="200" t="s">
        <v>326</v>
      </c>
      <c r="I3904" s="200" t="s">
        <v>3179</v>
      </c>
    </row>
    <row r="3905" spans="1:9" ht="15" customHeight="1">
      <c r="A3905" s="199">
        <v>45722</v>
      </c>
      <c r="B3905" s="202" t="s">
        <v>3182</v>
      </c>
      <c r="C3905" s="200" t="s">
        <v>307</v>
      </c>
      <c r="D3905" s="204">
        <v>-50000</v>
      </c>
      <c r="E3905" s="201">
        <v>45717</v>
      </c>
      <c r="F3905" s="200" t="s">
        <v>296</v>
      </c>
      <c r="G3905" s="200" t="s">
        <v>1983</v>
      </c>
      <c r="H3905" s="200" t="s">
        <v>326</v>
      </c>
      <c r="I3905" s="200" t="s">
        <v>3179</v>
      </c>
    </row>
    <row r="3906" spans="1:9" ht="15" customHeight="1">
      <c r="A3906" s="199">
        <v>45722</v>
      </c>
      <c r="B3906" s="202" t="s">
        <v>3183</v>
      </c>
      <c r="C3906" s="200" t="s">
        <v>307</v>
      </c>
      <c r="D3906" s="204">
        <v>-7250</v>
      </c>
      <c r="E3906" s="201">
        <v>45717</v>
      </c>
      <c r="F3906" s="200" t="s">
        <v>296</v>
      </c>
      <c r="G3906" s="200" t="s">
        <v>1980</v>
      </c>
      <c r="H3906" s="200" t="s">
        <v>326</v>
      </c>
      <c r="I3906" s="200" t="s">
        <v>3179</v>
      </c>
    </row>
    <row r="3907" spans="1:9" ht="15" customHeight="1">
      <c r="A3907" s="199">
        <v>45722</v>
      </c>
      <c r="B3907" s="202" t="s">
        <v>3183</v>
      </c>
      <c r="C3907" s="200" t="s">
        <v>307</v>
      </c>
      <c r="D3907" s="204">
        <v>-7250</v>
      </c>
      <c r="E3907" s="201">
        <v>45717</v>
      </c>
      <c r="F3907" s="200" t="s">
        <v>296</v>
      </c>
      <c r="G3907" s="200" t="s">
        <v>1983</v>
      </c>
      <c r="H3907" s="200" t="s">
        <v>326</v>
      </c>
      <c r="I3907" s="200" t="s">
        <v>3179</v>
      </c>
    </row>
    <row r="3908" spans="1:9" ht="15" customHeight="1">
      <c r="A3908" s="199">
        <v>45702</v>
      </c>
      <c r="B3908" s="202" t="s">
        <v>3184</v>
      </c>
      <c r="C3908" s="200" t="s">
        <v>307</v>
      </c>
      <c r="D3908" s="204">
        <v>-6500</v>
      </c>
      <c r="E3908" s="201">
        <v>45717</v>
      </c>
      <c r="F3908" s="200" t="s">
        <v>296</v>
      </c>
      <c r="G3908" s="200" t="s">
        <v>411</v>
      </c>
      <c r="H3908" s="200" t="s">
        <v>268</v>
      </c>
      <c r="I3908" s="200" t="s">
        <v>3185</v>
      </c>
    </row>
    <row r="3909" spans="1:9" ht="15" customHeight="1">
      <c r="A3909" s="199">
        <v>45705</v>
      </c>
      <c r="B3909" s="202" t="s">
        <v>3186</v>
      </c>
      <c r="C3909" s="200" t="s">
        <v>307</v>
      </c>
      <c r="D3909" s="204">
        <v>-6500</v>
      </c>
      <c r="E3909" s="201">
        <v>45717</v>
      </c>
      <c r="F3909" s="200" t="s">
        <v>296</v>
      </c>
      <c r="G3909" s="200" t="s">
        <v>411</v>
      </c>
      <c r="H3909" s="200" t="s">
        <v>268</v>
      </c>
      <c r="I3909" s="200" t="s">
        <v>3185</v>
      </c>
    </row>
    <row r="3910" spans="1:9" ht="15" customHeight="1">
      <c r="A3910" s="199">
        <v>45705</v>
      </c>
      <c r="B3910" s="202" t="s">
        <v>3187</v>
      </c>
      <c r="C3910" s="200" t="s">
        <v>307</v>
      </c>
      <c r="D3910" s="204">
        <v>-6500</v>
      </c>
      <c r="E3910" s="201">
        <v>45717</v>
      </c>
      <c r="F3910" s="200" t="s">
        <v>296</v>
      </c>
      <c r="G3910" s="200" t="s">
        <v>411</v>
      </c>
      <c r="H3910" s="200" t="s">
        <v>268</v>
      </c>
      <c r="I3910" s="200" t="s">
        <v>3185</v>
      </c>
    </row>
    <row r="3911" spans="1:9" ht="15" customHeight="1">
      <c r="A3911" s="199">
        <v>45706</v>
      </c>
      <c r="B3911" s="202" t="s">
        <v>3188</v>
      </c>
      <c r="C3911" s="200" t="s">
        <v>307</v>
      </c>
      <c r="D3911" s="204">
        <v>-6500</v>
      </c>
      <c r="E3911" s="201">
        <v>45717</v>
      </c>
      <c r="F3911" s="200" t="s">
        <v>296</v>
      </c>
      <c r="G3911" s="200" t="s">
        <v>411</v>
      </c>
      <c r="H3911" s="200" t="s">
        <v>268</v>
      </c>
      <c r="I3911" s="200" t="s">
        <v>3185</v>
      </c>
    </row>
    <row r="3912" spans="1:9" ht="15" customHeight="1">
      <c r="A3912" s="199">
        <v>45709</v>
      </c>
      <c r="B3912" s="202" t="s">
        <v>3187</v>
      </c>
      <c r="C3912" s="200" t="s">
        <v>307</v>
      </c>
      <c r="D3912" s="204">
        <v>-6500</v>
      </c>
      <c r="E3912" s="201">
        <v>45717</v>
      </c>
      <c r="F3912" s="200" t="s">
        <v>296</v>
      </c>
      <c r="G3912" s="200" t="s">
        <v>411</v>
      </c>
      <c r="H3912" s="200" t="s">
        <v>268</v>
      </c>
      <c r="I3912" s="200" t="s">
        <v>3185</v>
      </c>
    </row>
    <row r="3913" spans="1:9" ht="15" customHeight="1">
      <c r="A3913" s="199">
        <v>45712</v>
      </c>
      <c r="B3913" s="202" t="s">
        <v>3189</v>
      </c>
      <c r="C3913" s="200" t="s">
        <v>307</v>
      </c>
      <c r="D3913" s="204">
        <v>-6500</v>
      </c>
      <c r="E3913" s="201">
        <v>45717</v>
      </c>
      <c r="F3913" s="200" t="s">
        <v>296</v>
      </c>
      <c r="G3913" s="200" t="s">
        <v>411</v>
      </c>
      <c r="H3913" s="200" t="s">
        <v>268</v>
      </c>
      <c r="I3913" s="200" t="s">
        <v>3185</v>
      </c>
    </row>
    <row r="3914" spans="1:9" ht="15" customHeight="1">
      <c r="A3914" s="199">
        <v>45711</v>
      </c>
      <c r="B3914" s="202" t="s">
        <v>3190</v>
      </c>
      <c r="C3914" s="200" t="s">
        <v>307</v>
      </c>
      <c r="D3914" s="204">
        <v>-15000</v>
      </c>
      <c r="E3914" s="201">
        <v>45717</v>
      </c>
      <c r="F3914" s="200" t="s">
        <v>296</v>
      </c>
      <c r="G3914" s="200" t="s">
        <v>411</v>
      </c>
      <c r="H3914" s="200" t="s">
        <v>268</v>
      </c>
      <c r="I3914" s="200" t="s">
        <v>3185</v>
      </c>
    </row>
    <row r="3915" spans="1:9" ht="15" customHeight="1">
      <c r="A3915" s="199">
        <v>45716</v>
      </c>
      <c r="B3915" s="202" t="s">
        <v>3191</v>
      </c>
      <c r="C3915" s="200" t="s">
        <v>307</v>
      </c>
      <c r="D3915" s="204">
        <v>-17000</v>
      </c>
      <c r="E3915" s="201">
        <v>45717</v>
      </c>
      <c r="F3915" s="200" t="s">
        <v>296</v>
      </c>
      <c r="G3915" s="200" t="s">
        <v>411</v>
      </c>
      <c r="H3915" s="200" t="s">
        <v>268</v>
      </c>
      <c r="I3915" s="200" t="s">
        <v>3185</v>
      </c>
    </row>
    <row r="3916" spans="1:9" ht="15" customHeight="1">
      <c r="A3916" s="199">
        <v>45716</v>
      </c>
      <c r="B3916" s="202" t="s">
        <v>474</v>
      </c>
      <c r="C3916" s="200" t="s">
        <v>307</v>
      </c>
      <c r="D3916" s="204">
        <v>-6500</v>
      </c>
      <c r="E3916" s="201">
        <v>45717</v>
      </c>
      <c r="F3916" s="200" t="s">
        <v>296</v>
      </c>
      <c r="G3916" s="200" t="s">
        <v>411</v>
      </c>
      <c r="H3916" s="200" t="s">
        <v>268</v>
      </c>
      <c r="I3916" s="200" t="s">
        <v>3185</v>
      </c>
    </row>
    <row r="3917" spans="1:9" ht="15" customHeight="1">
      <c r="A3917" s="199">
        <v>45716</v>
      </c>
      <c r="B3917" s="202" t="s">
        <v>1745</v>
      </c>
      <c r="C3917" s="200" t="s">
        <v>307</v>
      </c>
      <c r="D3917" s="204">
        <v>-18000</v>
      </c>
      <c r="E3917" s="201">
        <v>45717</v>
      </c>
      <c r="F3917" s="200" t="s">
        <v>296</v>
      </c>
      <c r="G3917" s="200" t="s">
        <v>411</v>
      </c>
      <c r="H3917" s="200" t="s">
        <v>342</v>
      </c>
      <c r="I3917" s="200" t="s">
        <v>3185</v>
      </c>
    </row>
    <row r="3918" spans="1:9" ht="15" customHeight="1">
      <c r="A3918" s="199">
        <v>45719</v>
      </c>
      <c r="B3918" s="202" t="s">
        <v>3190</v>
      </c>
      <c r="C3918" s="200" t="s">
        <v>307</v>
      </c>
      <c r="D3918" s="204">
        <v>-17000</v>
      </c>
      <c r="E3918" s="201">
        <v>45717</v>
      </c>
      <c r="F3918" s="200" t="s">
        <v>296</v>
      </c>
      <c r="G3918" s="200" t="s">
        <v>411</v>
      </c>
      <c r="H3918" s="200" t="s">
        <v>268</v>
      </c>
      <c r="I3918" s="200" t="s">
        <v>3185</v>
      </c>
    </row>
    <row r="3919" spans="1:9" ht="15" customHeight="1">
      <c r="A3919" s="199">
        <v>45716</v>
      </c>
      <c r="B3919" s="202" t="s">
        <v>498</v>
      </c>
      <c r="C3919" s="200" t="s">
        <v>307</v>
      </c>
      <c r="D3919" s="204">
        <v>-3333</v>
      </c>
      <c r="E3919" s="201">
        <v>45717</v>
      </c>
      <c r="F3919" s="200" t="s">
        <v>296</v>
      </c>
      <c r="G3919" s="200" t="s">
        <v>337</v>
      </c>
      <c r="H3919" s="200" t="s">
        <v>326</v>
      </c>
      <c r="I3919" s="200" t="s">
        <v>1901</v>
      </c>
    </row>
    <row r="3920" spans="1:9" ht="15" customHeight="1">
      <c r="A3920" s="199">
        <v>45716</v>
      </c>
      <c r="B3920" s="202" t="s">
        <v>498</v>
      </c>
      <c r="C3920" s="200" t="s">
        <v>307</v>
      </c>
      <c r="D3920" s="204">
        <v>-3333</v>
      </c>
      <c r="E3920" s="201">
        <v>45717</v>
      </c>
      <c r="F3920" s="200" t="s">
        <v>296</v>
      </c>
      <c r="G3920" s="200" t="s">
        <v>44</v>
      </c>
      <c r="H3920" s="200" t="s">
        <v>326</v>
      </c>
      <c r="I3920" s="200" t="s">
        <v>1901</v>
      </c>
    </row>
    <row r="3921" spans="1:9" ht="15" customHeight="1">
      <c r="A3921" s="199">
        <v>45716</v>
      </c>
      <c r="B3921" s="202" t="s">
        <v>498</v>
      </c>
      <c r="C3921" s="200" t="s">
        <v>307</v>
      </c>
      <c r="D3921" s="204">
        <v>-3333</v>
      </c>
      <c r="E3921" s="201">
        <v>45717</v>
      </c>
      <c r="F3921" s="200" t="s">
        <v>296</v>
      </c>
      <c r="G3921" s="200" t="s">
        <v>522</v>
      </c>
      <c r="H3921" s="200" t="s">
        <v>326</v>
      </c>
      <c r="I3921" s="200" t="s">
        <v>1901</v>
      </c>
    </row>
    <row r="3922" spans="1:9" ht="15" customHeight="1">
      <c r="A3922" s="199">
        <v>45716</v>
      </c>
      <c r="B3922" s="202" t="s">
        <v>1020</v>
      </c>
      <c r="C3922" s="200" t="s">
        <v>307</v>
      </c>
      <c r="D3922" s="204">
        <v>-6667</v>
      </c>
      <c r="E3922" s="201">
        <v>45717</v>
      </c>
      <c r="F3922" s="200" t="s">
        <v>296</v>
      </c>
      <c r="G3922" s="200" t="s">
        <v>337</v>
      </c>
      <c r="H3922" s="200" t="s">
        <v>326</v>
      </c>
      <c r="I3922" s="200" t="s">
        <v>1901</v>
      </c>
    </row>
    <row r="3923" spans="1:9" ht="15" customHeight="1">
      <c r="A3923" s="199">
        <v>45716</v>
      </c>
      <c r="B3923" s="202" t="s">
        <v>1020</v>
      </c>
      <c r="C3923" s="200" t="s">
        <v>307</v>
      </c>
      <c r="D3923" s="204">
        <v>-6667</v>
      </c>
      <c r="E3923" s="201">
        <v>45717</v>
      </c>
      <c r="F3923" s="200" t="s">
        <v>296</v>
      </c>
      <c r="G3923" s="200" t="s">
        <v>44</v>
      </c>
      <c r="H3923" s="200" t="s">
        <v>326</v>
      </c>
      <c r="I3923" s="200" t="s">
        <v>1901</v>
      </c>
    </row>
    <row r="3924" spans="1:9" ht="15" customHeight="1">
      <c r="A3924" s="199">
        <v>45716</v>
      </c>
      <c r="B3924" s="202" t="s">
        <v>1020</v>
      </c>
      <c r="C3924" s="200" t="s">
        <v>307</v>
      </c>
      <c r="D3924" s="204">
        <v>-6667</v>
      </c>
      <c r="E3924" s="201">
        <v>45717</v>
      </c>
      <c r="F3924" s="200" t="s">
        <v>296</v>
      </c>
      <c r="G3924" s="200" t="s">
        <v>522</v>
      </c>
      <c r="H3924" s="200" t="s">
        <v>326</v>
      </c>
      <c r="I3924" s="200" t="s">
        <v>1901</v>
      </c>
    </row>
    <row r="3925" spans="1:9" ht="15" customHeight="1">
      <c r="A3925" s="199">
        <v>45716</v>
      </c>
      <c r="B3925" s="202" t="s">
        <v>3192</v>
      </c>
      <c r="C3925" s="200" t="s">
        <v>307</v>
      </c>
      <c r="D3925" s="204">
        <v>-16600</v>
      </c>
      <c r="E3925" s="201">
        <v>45717</v>
      </c>
      <c r="F3925" s="200" t="s">
        <v>296</v>
      </c>
      <c r="G3925" s="200" t="s">
        <v>337</v>
      </c>
      <c r="H3925" s="200" t="s">
        <v>326</v>
      </c>
      <c r="I3925" s="200" t="s">
        <v>1901</v>
      </c>
    </row>
    <row r="3926" spans="1:9" ht="15" customHeight="1">
      <c r="A3926" s="199">
        <v>45716</v>
      </c>
      <c r="B3926" s="202" t="s">
        <v>3192</v>
      </c>
      <c r="C3926" s="200" t="s">
        <v>307</v>
      </c>
      <c r="D3926" s="204">
        <v>-16600</v>
      </c>
      <c r="E3926" s="201">
        <v>45717</v>
      </c>
      <c r="F3926" s="200" t="s">
        <v>296</v>
      </c>
      <c r="G3926" s="200" t="s">
        <v>44</v>
      </c>
      <c r="H3926" s="200" t="s">
        <v>326</v>
      </c>
      <c r="I3926" s="648" t="s">
        <v>329</v>
      </c>
    </row>
    <row r="3927" spans="1:9" ht="15" customHeight="1">
      <c r="A3927" s="199">
        <v>45716</v>
      </c>
      <c r="B3927" s="202" t="s">
        <v>3192</v>
      </c>
      <c r="C3927" s="200" t="s">
        <v>307</v>
      </c>
      <c r="D3927" s="204">
        <v>-16600</v>
      </c>
      <c r="E3927" s="201">
        <v>45717</v>
      </c>
      <c r="F3927" s="200" t="s">
        <v>296</v>
      </c>
      <c r="G3927" s="200" t="s">
        <v>522</v>
      </c>
      <c r="H3927" s="200" t="s">
        <v>326</v>
      </c>
      <c r="I3927" s="200" t="s">
        <v>1901</v>
      </c>
    </row>
    <row r="3928" spans="1:9" ht="15" customHeight="1">
      <c r="A3928" s="199">
        <v>45719</v>
      </c>
      <c r="B3928" s="202" t="s">
        <v>3193</v>
      </c>
      <c r="C3928" s="200" t="s">
        <v>307</v>
      </c>
      <c r="D3928" s="204">
        <v>-13015</v>
      </c>
      <c r="E3928" s="201">
        <v>45717</v>
      </c>
      <c r="F3928" s="200" t="s">
        <v>296</v>
      </c>
      <c r="G3928" s="200" t="s">
        <v>453</v>
      </c>
      <c r="H3928" s="200" t="s">
        <v>97</v>
      </c>
      <c r="I3928" s="200" t="s">
        <v>1901</v>
      </c>
    </row>
    <row r="3929" spans="1:9" ht="15" customHeight="1">
      <c r="A3929" s="199">
        <v>45719</v>
      </c>
      <c r="B3929" s="202" t="s">
        <v>1745</v>
      </c>
      <c r="C3929" s="200" t="s">
        <v>307</v>
      </c>
      <c r="D3929" s="204">
        <v>-25000</v>
      </c>
      <c r="E3929" s="201">
        <v>45717</v>
      </c>
      <c r="F3929" s="200" t="s">
        <v>296</v>
      </c>
      <c r="G3929" s="200" t="s">
        <v>453</v>
      </c>
      <c r="H3929" s="200" t="s">
        <v>97</v>
      </c>
      <c r="I3929" s="200" t="s">
        <v>1901</v>
      </c>
    </row>
    <row r="3930" spans="1:9" ht="15" customHeight="1">
      <c r="A3930" s="199">
        <v>45719</v>
      </c>
      <c r="B3930" s="202" t="s">
        <v>2784</v>
      </c>
      <c r="C3930" s="200" t="s">
        <v>204</v>
      </c>
      <c r="D3930" s="645">
        <v>750000000</v>
      </c>
      <c r="E3930" s="201">
        <v>45717</v>
      </c>
      <c r="F3930" s="200" t="s">
        <v>652</v>
      </c>
      <c r="G3930" s="200" t="s">
        <v>807</v>
      </c>
    </row>
    <row r="3931" spans="1:9" ht="15" customHeight="1">
      <c r="A3931" s="199">
        <v>45719</v>
      </c>
      <c r="B3931" s="202" t="s">
        <v>2783</v>
      </c>
      <c r="C3931" s="200" t="s">
        <v>204</v>
      </c>
      <c r="D3931" s="645">
        <v>700000000</v>
      </c>
      <c r="E3931" s="201">
        <v>45717</v>
      </c>
      <c r="F3931" s="200" t="s">
        <v>652</v>
      </c>
      <c r="G3931" s="200" t="s">
        <v>1980</v>
      </c>
    </row>
    <row r="3932" spans="1:9" ht="15" customHeight="1">
      <c r="A3932" s="199">
        <v>45693</v>
      </c>
      <c r="B3932" s="202" t="s">
        <v>3194</v>
      </c>
      <c r="C3932" s="200" t="s">
        <v>204</v>
      </c>
      <c r="D3932" s="649">
        <v>-241245</v>
      </c>
      <c r="E3932" s="201">
        <v>45717</v>
      </c>
      <c r="F3932" s="200" t="s">
        <v>296</v>
      </c>
      <c r="G3932" s="200" t="s">
        <v>1124</v>
      </c>
      <c r="H3932" s="200" t="s">
        <v>342</v>
      </c>
    </row>
    <row r="3933" spans="1:9" ht="15" customHeight="1">
      <c r="A3933" s="199">
        <v>45693</v>
      </c>
      <c r="B3933" s="202" t="s">
        <v>3194</v>
      </c>
      <c r="C3933" s="200" t="s">
        <v>204</v>
      </c>
      <c r="D3933" s="649">
        <v>-241245</v>
      </c>
      <c r="E3933" s="201">
        <v>45717</v>
      </c>
      <c r="F3933" s="200" t="s">
        <v>296</v>
      </c>
      <c r="G3933" s="200" t="s">
        <v>1362</v>
      </c>
      <c r="H3933" s="200" t="s">
        <v>342</v>
      </c>
    </row>
    <row r="3934" spans="1:9" ht="15" customHeight="1">
      <c r="A3934" s="199">
        <v>45723</v>
      </c>
      <c r="B3934" s="202" t="s">
        <v>3195</v>
      </c>
      <c r="C3934" s="200" t="s">
        <v>136</v>
      </c>
      <c r="D3934" s="649">
        <v>2874377</v>
      </c>
      <c r="E3934" s="201">
        <v>45717</v>
      </c>
      <c r="F3934" s="200" t="s">
        <v>395</v>
      </c>
      <c r="G3934" s="531" t="s">
        <v>395</v>
      </c>
      <c r="I3934" s="673"/>
    </row>
    <row r="3935" spans="1:9" ht="15" customHeight="1">
      <c r="A3935" s="199">
        <v>45719</v>
      </c>
      <c r="B3935" s="202" t="s">
        <v>1925</v>
      </c>
      <c r="C3935" s="200" t="s">
        <v>136</v>
      </c>
      <c r="D3935" s="649">
        <v>-89000</v>
      </c>
      <c r="E3935" s="201">
        <v>45717</v>
      </c>
      <c r="F3935" s="200" t="s">
        <v>296</v>
      </c>
      <c r="G3935" s="200" t="s">
        <v>337</v>
      </c>
      <c r="H3935" s="200" t="s">
        <v>326</v>
      </c>
    </row>
    <row r="3936" spans="1:9" ht="15" customHeight="1">
      <c r="A3936" s="199">
        <v>45719</v>
      </c>
      <c r="B3936" s="202" t="s">
        <v>1925</v>
      </c>
      <c r="C3936" s="200" t="s">
        <v>136</v>
      </c>
      <c r="D3936" s="649">
        <v>-188000</v>
      </c>
      <c r="E3936" s="201">
        <v>45717</v>
      </c>
      <c r="F3936" s="200" t="s">
        <v>296</v>
      </c>
      <c r="G3936" s="200" t="s">
        <v>328</v>
      </c>
      <c r="H3936" s="200" t="s">
        <v>268</v>
      </c>
    </row>
    <row r="3937" spans="1:9" ht="15" customHeight="1">
      <c r="A3937" s="199">
        <v>45719</v>
      </c>
      <c r="B3937" s="202" t="s">
        <v>1925</v>
      </c>
      <c r="C3937" s="200" t="s">
        <v>136</v>
      </c>
      <c r="D3937" s="649">
        <v>-309296</v>
      </c>
      <c r="E3937" s="201">
        <v>45717</v>
      </c>
      <c r="F3937" s="200" t="s">
        <v>296</v>
      </c>
      <c r="G3937" s="200" t="s">
        <v>411</v>
      </c>
      <c r="H3937" s="200" t="s">
        <v>268</v>
      </c>
    </row>
    <row r="3938" spans="1:9" ht="15" customHeight="1">
      <c r="A3938" s="199">
        <v>45719</v>
      </c>
      <c r="B3938" s="202" t="s">
        <v>1925</v>
      </c>
      <c r="C3938" s="200" t="s">
        <v>136</v>
      </c>
      <c r="D3938" s="649">
        <v>-100000</v>
      </c>
      <c r="E3938" s="201">
        <v>45717</v>
      </c>
      <c r="F3938" s="200" t="s">
        <v>296</v>
      </c>
      <c r="G3938" s="200" t="s">
        <v>482</v>
      </c>
      <c r="H3938" s="200" t="s">
        <v>268</v>
      </c>
    </row>
    <row r="3939" spans="1:9" ht="15" customHeight="1">
      <c r="A3939" s="199">
        <v>45719</v>
      </c>
      <c r="B3939" s="202" t="s">
        <v>1925</v>
      </c>
      <c r="C3939" s="200" t="s">
        <v>136</v>
      </c>
      <c r="D3939" s="649">
        <v>-133000</v>
      </c>
      <c r="E3939" s="201">
        <v>45717</v>
      </c>
      <c r="F3939" s="200" t="s">
        <v>296</v>
      </c>
      <c r="G3939" s="200" t="s">
        <v>984</v>
      </c>
      <c r="H3939" s="200" t="s">
        <v>268</v>
      </c>
    </row>
    <row r="3940" spans="1:9" ht="15" customHeight="1">
      <c r="A3940" s="199">
        <v>45719</v>
      </c>
      <c r="B3940" s="202" t="s">
        <v>1925</v>
      </c>
      <c r="C3940" s="200" t="s">
        <v>136</v>
      </c>
      <c r="D3940" s="649">
        <v>-10000</v>
      </c>
      <c r="E3940" s="201">
        <v>45717</v>
      </c>
      <c r="F3940" s="200" t="s">
        <v>256</v>
      </c>
      <c r="G3940" s="200" t="s">
        <v>256</v>
      </c>
      <c r="H3940" s="200" t="s">
        <v>268</v>
      </c>
    </row>
    <row r="3941" spans="1:9" ht="15" customHeight="1">
      <c r="A3941" s="199">
        <v>45719</v>
      </c>
      <c r="B3941" s="202" t="s">
        <v>1925</v>
      </c>
      <c r="C3941" s="200" t="s">
        <v>136</v>
      </c>
      <c r="D3941" s="649">
        <v>-154000</v>
      </c>
      <c r="E3941" s="201">
        <v>45717</v>
      </c>
      <c r="F3941" s="200" t="s">
        <v>297</v>
      </c>
      <c r="G3941" s="200" t="s">
        <v>1313</v>
      </c>
      <c r="H3941" s="200" t="s">
        <v>268</v>
      </c>
    </row>
    <row r="3942" spans="1:9" ht="15" customHeight="1">
      <c r="A3942" s="199">
        <v>45719</v>
      </c>
      <c r="B3942" s="202" t="s">
        <v>1925</v>
      </c>
      <c r="C3942" s="200" t="s">
        <v>136</v>
      </c>
      <c r="D3942" s="649">
        <v>-7000</v>
      </c>
      <c r="E3942" s="201">
        <v>45717</v>
      </c>
      <c r="F3942" s="200" t="s">
        <v>296</v>
      </c>
      <c r="G3942" s="200" t="s">
        <v>390</v>
      </c>
      <c r="H3942" s="200" t="s">
        <v>268</v>
      </c>
      <c r="I3942" s="648" t="s">
        <v>329</v>
      </c>
    </row>
    <row r="3943" spans="1:9" ht="15" customHeight="1">
      <c r="A3943" s="199">
        <v>45719</v>
      </c>
      <c r="B3943" s="202" t="s">
        <v>1925</v>
      </c>
      <c r="C3943" s="200" t="s">
        <v>136</v>
      </c>
      <c r="D3943" s="649">
        <v>-40000</v>
      </c>
      <c r="E3943" s="201">
        <v>45717</v>
      </c>
      <c r="F3943" s="200" t="s">
        <v>395</v>
      </c>
      <c r="G3943" s="531" t="s">
        <v>395</v>
      </c>
      <c r="H3943" s="200" t="s">
        <v>268</v>
      </c>
      <c r="I3943" s="673"/>
    </row>
    <row r="3944" spans="1:9" ht="15" customHeight="1">
      <c r="A3944" s="199">
        <v>45719</v>
      </c>
      <c r="B3944" s="202" t="s">
        <v>1925</v>
      </c>
      <c r="C3944" s="200" t="s">
        <v>136</v>
      </c>
      <c r="D3944" s="649">
        <v>-67000</v>
      </c>
      <c r="E3944" s="201">
        <v>45717</v>
      </c>
      <c r="F3944" s="200" t="s">
        <v>296</v>
      </c>
      <c r="G3944" s="200" t="s">
        <v>522</v>
      </c>
      <c r="H3944" s="200" t="s">
        <v>326</v>
      </c>
      <c r="I3944" s="648" t="s">
        <v>329</v>
      </c>
    </row>
    <row r="3945" spans="1:9" ht="15" customHeight="1">
      <c r="A3945" s="199">
        <v>45719</v>
      </c>
      <c r="B3945" s="202" t="s">
        <v>1925</v>
      </c>
      <c r="C3945" s="200" t="s">
        <v>136</v>
      </c>
      <c r="D3945" s="649">
        <v>-53000</v>
      </c>
      <c r="E3945" s="201">
        <v>45717</v>
      </c>
      <c r="F3945" s="200" t="s">
        <v>297</v>
      </c>
      <c r="G3945" s="200" t="s">
        <v>69</v>
      </c>
      <c r="H3945" s="200" t="s">
        <v>268</v>
      </c>
    </row>
    <row r="3946" spans="1:9" ht="15" customHeight="1">
      <c r="A3946" s="199">
        <v>45719</v>
      </c>
      <c r="B3946" s="202" t="s">
        <v>1926</v>
      </c>
      <c r="C3946" s="200" t="s">
        <v>372</v>
      </c>
      <c r="D3946" s="645">
        <v>-11690</v>
      </c>
      <c r="E3946" s="201">
        <v>45717</v>
      </c>
      <c r="F3946" s="200" t="s">
        <v>296</v>
      </c>
      <c r="G3946" s="200" t="s">
        <v>411</v>
      </c>
      <c r="H3946" s="200" t="s">
        <v>268</v>
      </c>
    </row>
    <row r="3947" spans="1:9" ht="15" customHeight="1">
      <c r="A3947" s="199">
        <v>45719</v>
      </c>
      <c r="B3947" s="202" t="s">
        <v>1927</v>
      </c>
      <c r="C3947" s="200" t="s">
        <v>372</v>
      </c>
      <c r="D3947" s="645">
        <v>-7014</v>
      </c>
      <c r="E3947" s="201">
        <v>45717</v>
      </c>
      <c r="F3947" s="200" t="s">
        <v>296</v>
      </c>
      <c r="G3947" s="200" t="s">
        <v>411</v>
      </c>
      <c r="H3947" s="200" t="s">
        <v>268</v>
      </c>
    </row>
    <row r="3948" spans="1:9" ht="15" customHeight="1">
      <c r="A3948" s="199">
        <v>45719</v>
      </c>
      <c r="B3948" s="202" t="s">
        <v>3196</v>
      </c>
      <c r="C3948" s="200" t="s">
        <v>136</v>
      </c>
      <c r="D3948" s="649">
        <v>-402565</v>
      </c>
      <c r="E3948" s="201">
        <v>45717</v>
      </c>
      <c r="F3948" s="200" t="s">
        <v>296</v>
      </c>
      <c r="G3948" s="200" t="s">
        <v>337</v>
      </c>
      <c r="H3948" s="200" t="s">
        <v>421</v>
      </c>
    </row>
    <row r="3949" spans="1:9" ht="15" customHeight="1">
      <c r="A3949" s="199">
        <v>45719</v>
      </c>
      <c r="B3949" s="202" t="s">
        <v>3197</v>
      </c>
      <c r="C3949" s="200" t="s">
        <v>136</v>
      </c>
      <c r="D3949" s="649">
        <v>-210266</v>
      </c>
      <c r="E3949" s="201">
        <v>45717</v>
      </c>
      <c r="F3949" s="200" t="s">
        <v>296</v>
      </c>
      <c r="G3949" s="200" t="s">
        <v>337</v>
      </c>
      <c r="H3949" s="200" t="s">
        <v>421</v>
      </c>
      <c r="I3949" s="648" t="s">
        <v>329</v>
      </c>
    </row>
    <row r="3950" spans="1:9" ht="15" customHeight="1">
      <c r="A3950" s="199">
        <v>45722</v>
      </c>
      <c r="B3950" s="202" t="s">
        <v>3198</v>
      </c>
      <c r="C3950" s="200" t="s">
        <v>136</v>
      </c>
      <c r="D3950" s="649">
        <v>12857527</v>
      </c>
      <c r="E3950" s="665">
        <v>45717</v>
      </c>
      <c r="F3950" s="648" t="s">
        <v>983</v>
      </c>
      <c r="G3950" s="648" t="s">
        <v>3199</v>
      </c>
    </row>
    <row r="3951" spans="1:9" ht="15" customHeight="1">
      <c r="A3951" s="199">
        <v>45719</v>
      </c>
      <c r="B3951" s="202" t="s">
        <v>313</v>
      </c>
      <c r="C3951" s="200" t="s">
        <v>314</v>
      </c>
      <c r="D3951" s="645">
        <v>-11111111</v>
      </c>
      <c r="E3951" s="201">
        <v>45717</v>
      </c>
      <c r="F3951" s="200" t="s">
        <v>298</v>
      </c>
    </row>
    <row r="3952" spans="1:9" ht="15" customHeight="1">
      <c r="A3952" s="199">
        <v>45719</v>
      </c>
      <c r="B3952" s="202" t="s">
        <v>313</v>
      </c>
      <c r="C3952" s="200" t="s">
        <v>314</v>
      </c>
      <c r="D3952" s="645">
        <v>-2752466</v>
      </c>
      <c r="E3952" s="201">
        <v>45717</v>
      </c>
      <c r="F3952" s="200" t="s">
        <v>315</v>
      </c>
    </row>
    <row r="3953" spans="1:9" ht="15" customHeight="1">
      <c r="A3953" s="199">
        <v>45720</v>
      </c>
      <c r="B3953" s="202" t="s">
        <v>3200</v>
      </c>
      <c r="C3953" s="200" t="s">
        <v>314</v>
      </c>
      <c r="D3953" s="645">
        <v>-87470</v>
      </c>
      <c r="E3953" s="201">
        <v>45717</v>
      </c>
      <c r="F3953" s="200" t="s">
        <v>256</v>
      </c>
      <c r="G3953" s="200" t="s">
        <v>256</v>
      </c>
      <c r="H3953" s="200" t="s">
        <v>263</v>
      </c>
    </row>
    <row r="3954" spans="1:9" ht="15" customHeight="1">
      <c r="A3954" s="199">
        <v>45720</v>
      </c>
      <c r="B3954" s="202" t="s">
        <v>3201</v>
      </c>
      <c r="C3954" s="200" t="s">
        <v>314</v>
      </c>
      <c r="D3954" s="645">
        <v>-499900</v>
      </c>
      <c r="E3954" s="201">
        <v>45717</v>
      </c>
      <c r="F3954" s="200" t="s">
        <v>256</v>
      </c>
      <c r="G3954" s="200" t="s">
        <v>256</v>
      </c>
      <c r="H3954" s="200" t="s">
        <v>9</v>
      </c>
    </row>
    <row r="3955" spans="1:9" ht="15" customHeight="1">
      <c r="A3955" s="199">
        <v>45719</v>
      </c>
      <c r="B3955" s="202" t="s">
        <v>3202</v>
      </c>
      <c r="C3955" s="200" t="s">
        <v>314</v>
      </c>
      <c r="D3955" s="645">
        <v>5633063.3799999999</v>
      </c>
      <c r="E3955" s="734">
        <v>45717</v>
      </c>
      <c r="F3955" s="732" t="s">
        <v>297</v>
      </c>
      <c r="G3955" s="732" t="s">
        <v>69</v>
      </c>
    </row>
    <row r="3956" spans="1:9" ht="15" customHeight="1">
      <c r="A3956" s="199">
        <v>45719</v>
      </c>
      <c r="B3956" s="202" t="s">
        <v>3203</v>
      </c>
      <c r="C3956" s="200" t="s">
        <v>314</v>
      </c>
      <c r="D3956" s="645">
        <v>25998052.68</v>
      </c>
      <c r="E3956" s="665">
        <v>45717</v>
      </c>
      <c r="F3956" s="648" t="s">
        <v>983</v>
      </c>
      <c r="G3956" s="648" t="s">
        <v>45</v>
      </c>
    </row>
    <row r="3957" spans="1:9" ht="15" customHeight="1">
      <c r="A3957" s="808">
        <v>45719</v>
      </c>
      <c r="B3957" s="809" t="s">
        <v>3204</v>
      </c>
      <c r="C3957" s="809" t="s">
        <v>204</v>
      </c>
      <c r="D3957" s="775">
        <v>-75155297.544444442</v>
      </c>
      <c r="E3957" s="811">
        <v>45717</v>
      </c>
      <c r="F3957" s="809" t="s">
        <v>296</v>
      </c>
      <c r="G3957" s="809" t="s">
        <v>2418</v>
      </c>
      <c r="H3957" s="809" t="s">
        <v>655</v>
      </c>
      <c r="I3957" s="809" t="s">
        <v>329</v>
      </c>
    </row>
    <row r="3958" spans="1:9" ht="15" customHeight="1">
      <c r="A3958" s="808">
        <v>45719</v>
      </c>
      <c r="B3958" s="809" t="s">
        <v>3204</v>
      </c>
      <c r="C3958" s="809" t="s">
        <v>204</v>
      </c>
      <c r="D3958" s="775">
        <v>-23209724.241666667</v>
      </c>
      <c r="E3958" s="811">
        <v>45717</v>
      </c>
      <c r="F3958" s="809" t="s">
        <v>297</v>
      </c>
      <c r="G3958" s="809" t="s">
        <v>71</v>
      </c>
      <c r="H3958" s="809" t="s">
        <v>655</v>
      </c>
      <c r="I3958" s="809"/>
    </row>
    <row r="3959" spans="1:9" ht="15" customHeight="1">
      <c r="A3959" s="808">
        <v>45719</v>
      </c>
      <c r="B3959" s="809" t="s">
        <v>3204</v>
      </c>
      <c r="C3959" s="809" t="s">
        <v>204</v>
      </c>
      <c r="D3959" s="775">
        <v>-27078011.615277778</v>
      </c>
      <c r="E3959" s="811">
        <v>45717</v>
      </c>
      <c r="F3959" s="809" t="s">
        <v>296</v>
      </c>
      <c r="G3959" s="809" t="s">
        <v>522</v>
      </c>
      <c r="H3959" s="809" t="s">
        <v>3205</v>
      </c>
      <c r="I3959" s="809"/>
    </row>
    <row r="3960" spans="1:9" ht="15" customHeight="1">
      <c r="A3960" s="808">
        <v>45719</v>
      </c>
      <c r="B3960" s="809" t="s">
        <v>3204</v>
      </c>
      <c r="C3960" s="809" t="s">
        <v>204</v>
      </c>
      <c r="D3960" s="775">
        <v>-619478592.25972223</v>
      </c>
      <c r="E3960" s="811">
        <v>45717</v>
      </c>
      <c r="F3960" s="809" t="s">
        <v>296</v>
      </c>
      <c r="G3960" s="809" t="s">
        <v>1825</v>
      </c>
      <c r="H3960" s="809" t="s">
        <v>3205</v>
      </c>
      <c r="I3960" s="809"/>
    </row>
    <row r="3961" spans="1:9" ht="15" customHeight="1">
      <c r="A3961" s="808">
        <v>45719</v>
      </c>
      <c r="B3961" s="809" t="s">
        <v>3204</v>
      </c>
      <c r="C3961" s="809" t="s">
        <v>204</v>
      </c>
      <c r="D3961" s="775">
        <v>-49480763.338888884</v>
      </c>
      <c r="E3961" s="811">
        <v>45717</v>
      </c>
      <c r="F3961" s="809" t="s">
        <v>296</v>
      </c>
      <c r="G3961" s="809" t="s">
        <v>807</v>
      </c>
      <c r="H3961" s="809" t="s">
        <v>3205</v>
      </c>
      <c r="I3961" s="809"/>
    </row>
    <row r="3962" spans="1:9" ht="15" customHeight="1">
      <c r="A3962" s="199">
        <v>45718</v>
      </c>
      <c r="B3962" s="202" t="s">
        <v>3206</v>
      </c>
      <c r="C3962" s="200" t="s">
        <v>398</v>
      </c>
      <c r="D3962" s="658">
        <v>-41407</v>
      </c>
      <c r="E3962" s="201">
        <v>45717</v>
      </c>
      <c r="F3962" s="200" t="s">
        <v>256</v>
      </c>
      <c r="G3962" s="200" t="s">
        <v>256</v>
      </c>
      <c r="H3962" s="541" t="s">
        <v>266</v>
      </c>
    </row>
    <row r="3963" spans="1:9" ht="15" customHeight="1">
      <c r="A3963" s="199">
        <v>45720</v>
      </c>
      <c r="B3963" s="202" t="s">
        <v>3207</v>
      </c>
      <c r="C3963" s="200" t="s">
        <v>398</v>
      </c>
      <c r="D3963" s="658">
        <v>-82702.69</v>
      </c>
      <c r="E3963" s="201">
        <v>45717</v>
      </c>
      <c r="F3963" s="541" t="s">
        <v>256</v>
      </c>
      <c r="G3963" s="541" t="s">
        <v>256</v>
      </c>
      <c r="H3963" s="541" t="s">
        <v>266</v>
      </c>
    </row>
    <row r="3964" spans="1:9" ht="15" customHeight="1">
      <c r="A3964" s="199">
        <v>45720</v>
      </c>
      <c r="B3964" s="202" t="s">
        <v>3208</v>
      </c>
      <c r="C3964" s="200" t="s">
        <v>398</v>
      </c>
      <c r="D3964" s="658">
        <v>-310694</v>
      </c>
      <c r="E3964" s="201">
        <v>45717</v>
      </c>
      <c r="F3964" s="200" t="s">
        <v>256</v>
      </c>
      <c r="G3964" s="200" t="s">
        <v>107</v>
      </c>
      <c r="H3964" s="200" t="s">
        <v>277</v>
      </c>
    </row>
    <row r="3965" spans="1:9" s="723" customFormat="1" ht="15" customHeight="1">
      <c r="A3965" s="724">
        <v>45719</v>
      </c>
      <c r="B3965" s="722" t="s">
        <v>3209</v>
      </c>
      <c r="C3965" s="722" t="s">
        <v>136</v>
      </c>
      <c r="D3965" s="649">
        <v>-20000</v>
      </c>
      <c r="E3965" s="725">
        <v>45717</v>
      </c>
      <c r="F3965" s="722" t="s">
        <v>296</v>
      </c>
      <c r="G3965" s="722" t="s">
        <v>337</v>
      </c>
      <c r="H3965" s="722" t="s">
        <v>366</v>
      </c>
      <c r="I3965" s="722" t="s">
        <v>2951</v>
      </c>
    </row>
    <row r="3966" spans="1:9" ht="15" customHeight="1">
      <c r="A3966" s="199">
        <v>45719</v>
      </c>
      <c r="B3966" s="202" t="s">
        <v>3210</v>
      </c>
      <c r="C3966" s="200" t="s">
        <v>136</v>
      </c>
      <c r="D3966" s="649">
        <v>-35000</v>
      </c>
      <c r="E3966" s="201">
        <v>45717</v>
      </c>
      <c r="F3966" s="200" t="s">
        <v>296</v>
      </c>
      <c r="G3966" s="200" t="s">
        <v>337</v>
      </c>
      <c r="H3966" s="200" t="s">
        <v>366</v>
      </c>
      <c r="I3966" s="200" t="s">
        <v>2951</v>
      </c>
    </row>
    <row r="3967" spans="1:9" ht="15" customHeight="1">
      <c r="A3967" s="199">
        <v>45721</v>
      </c>
      <c r="B3967" s="202" t="s">
        <v>3211</v>
      </c>
      <c r="C3967" s="200" t="s">
        <v>136</v>
      </c>
      <c r="D3967" s="649">
        <v>-855000</v>
      </c>
      <c r="E3967" s="201">
        <v>45717</v>
      </c>
      <c r="F3967" s="200" t="s">
        <v>296</v>
      </c>
      <c r="G3967" s="200" t="s">
        <v>337</v>
      </c>
      <c r="H3967" s="200" t="s">
        <v>488</v>
      </c>
      <c r="I3967" s="200" t="s">
        <v>2951</v>
      </c>
    </row>
    <row r="3968" spans="1:9" ht="15" customHeight="1">
      <c r="A3968" s="199">
        <v>45722</v>
      </c>
      <c r="B3968" s="202" t="s">
        <v>2952</v>
      </c>
      <c r="C3968" s="200" t="s">
        <v>136</v>
      </c>
      <c r="D3968" s="649">
        <v>-25003</v>
      </c>
      <c r="E3968" s="201">
        <v>45717</v>
      </c>
      <c r="F3968" s="200" t="s">
        <v>296</v>
      </c>
      <c r="G3968" s="200" t="s">
        <v>337</v>
      </c>
      <c r="H3968" s="200" t="s">
        <v>326</v>
      </c>
      <c r="I3968" s="200" t="s">
        <v>2951</v>
      </c>
    </row>
    <row r="3969" spans="1:9" ht="15" customHeight="1">
      <c r="A3969" s="199">
        <v>45722</v>
      </c>
      <c r="B3969" s="202" t="s">
        <v>3212</v>
      </c>
      <c r="C3969" s="200" t="s">
        <v>136</v>
      </c>
      <c r="D3969" s="649">
        <v>-170065</v>
      </c>
      <c r="E3969" s="201">
        <v>45717</v>
      </c>
      <c r="F3969" s="200" t="s">
        <v>296</v>
      </c>
      <c r="G3969" s="200" t="s">
        <v>337</v>
      </c>
      <c r="H3969" s="200" t="s">
        <v>326</v>
      </c>
      <c r="I3969" s="200" t="s">
        <v>2951</v>
      </c>
    </row>
    <row r="3970" spans="1:9" ht="15" customHeight="1">
      <c r="A3970" s="199">
        <v>45723</v>
      </c>
      <c r="B3970" s="202" t="s">
        <v>3213</v>
      </c>
      <c r="C3970" s="200" t="s">
        <v>136</v>
      </c>
      <c r="D3970" s="649">
        <v>-969000</v>
      </c>
      <c r="E3970" s="201">
        <v>45717</v>
      </c>
      <c r="F3970" s="200" t="s">
        <v>296</v>
      </c>
      <c r="G3970" s="200" t="s">
        <v>337</v>
      </c>
      <c r="H3970" s="200" t="s">
        <v>488</v>
      </c>
      <c r="I3970" s="200" t="s">
        <v>2951</v>
      </c>
    </row>
    <row r="3971" spans="1:9" ht="15" customHeight="1">
      <c r="A3971" s="199">
        <v>45723</v>
      </c>
      <c r="B3971" s="202" t="s">
        <v>2954</v>
      </c>
      <c r="C3971" s="200" t="s">
        <v>136</v>
      </c>
      <c r="D3971" s="649">
        <v>-20000</v>
      </c>
      <c r="E3971" s="201">
        <v>45717</v>
      </c>
      <c r="F3971" s="200" t="s">
        <v>296</v>
      </c>
      <c r="G3971" s="200" t="s">
        <v>337</v>
      </c>
      <c r="H3971" s="200" t="s">
        <v>326</v>
      </c>
      <c r="I3971" s="200" t="s">
        <v>2951</v>
      </c>
    </row>
    <row r="3972" spans="1:9" ht="15" customHeight="1">
      <c r="A3972" s="199">
        <v>45723</v>
      </c>
      <c r="B3972" s="202" t="s">
        <v>2955</v>
      </c>
      <c r="C3972" s="200" t="s">
        <v>136</v>
      </c>
      <c r="D3972" s="649">
        <v>-3500</v>
      </c>
      <c r="E3972" s="201">
        <v>45717</v>
      </c>
      <c r="F3972" s="200" t="s">
        <v>296</v>
      </c>
      <c r="G3972" s="200" t="s">
        <v>337</v>
      </c>
      <c r="H3972" s="200" t="s">
        <v>326</v>
      </c>
      <c r="I3972" s="200" t="s">
        <v>2951</v>
      </c>
    </row>
    <row r="3973" spans="1:9" ht="15" customHeight="1">
      <c r="A3973" s="199">
        <v>45726</v>
      </c>
      <c r="B3973" s="202" t="s">
        <v>3214</v>
      </c>
      <c r="C3973" s="200" t="s">
        <v>136</v>
      </c>
      <c r="D3973" s="649">
        <v>-67680</v>
      </c>
      <c r="E3973" s="201">
        <v>45717</v>
      </c>
      <c r="F3973" s="200" t="s">
        <v>256</v>
      </c>
      <c r="G3973" s="200" t="s">
        <v>107</v>
      </c>
      <c r="H3973" s="200" t="s">
        <v>115</v>
      </c>
    </row>
    <row r="3974" spans="1:9" ht="15" customHeight="1">
      <c r="A3974" s="199">
        <v>45727</v>
      </c>
      <c r="B3974" s="202" t="s">
        <v>3215</v>
      </c>
      <c r="C3974" s="200" t="s">
        <v>136</v>
      </c>
      <c r="D3974" s="649">
        <v>-2195700</v>
      </c>
      <c r="E3974" s="201">
        <v>45717</v>
      </c>
      <c r="F3974" s="200" t="s">
        <v>296</v>
      </c>
      <c r="G3974" s="200" t="s">
        <v>44</v>
      </c>
      <c r="H3974" s="200" t="s">
        <v>1079</v>
      </c>
    </row>
    <row r="3975" spans="1:9" ht="15" customHeight="1">
      <c r="A3975" s="199">
        <v>45727</v>
      </c>
      <c r="B3975" s="202" t="s">
        <v>3216</v>
      </c>
      <c r="C3975" s="200" t="s">
        <v>372</v>
      </c>
      <c r="D3975" s="645">
        <v>-56300</v>
      </c>
      <c r="E3975" s="201">
        <v>45717</v>
      </c>
      <c r="F3975" s="200" t="s">
        <v>296</v>
      </c>
      <c r="G3975" s="200" t="s">
        <v>44</v>
      </c>
      <c r="H3975" s="200" t="s">
        <v>1079</v>
      </c>
    </row>
    <row r="3976" spans="1:9" ht="15" customHeight="1">
      <c r="A3976" s="199">
        <v>45727</v>
      </c>
      <c r="B3976" s="202" t="s">
        <v>3217</v>
      </c>
      <c r="C3976" s="200" t="s">
        <v>136</v>
      </c>
      <c r="D3976" s="649">
        <v>-1387500</v>
      </c>
      <c r="E3976" s="201">
        <v>45717</v>
      </c>
      <c r="F3976" s="200" t="s">
        <v>296</v>
      </c>
      <c r="G3976" s="200" t="s">
        <v>453</v>
      </c>
      <c r="H3976" s="200" t="s">
        <v>95</v>
      </c>
    </row>
    <row r="3977" spans="1:9" ht="15" customHeight="1">
      <c r="A3977" s="199">
        <v>45727</v>
      </c>
      <c r="B3977" s="202" t="s">
        <v>3218</v>
      </c>
      <c r="C3977" s="200" t="s">
        <v>136</v>
      </c>
      <c r="D3977" s="649">
        <v>-932400</v>
      </c>
      <c r="E3977" s="201">
        <v>45717</v>
      </c>
      <c r="F3977" s="200" t="s">
        <v>296</v>
      </c>
      <c r="G3977" s="200" t="s">
        <v>44</v>
      </c>
      <c r="H3977" s="200" t="s">
        <v>322</v>
      </c>
    </row>
    <row r="3978" spans="1:9" ht="15" customHeight="1">
      <c r="A3978" s="199">
        <v>45727</v>
      </c>
      <c r="B3978" s="202" t="s">
        <v>3219</v>
      </c>
      <c r="C3978" s="200" t="s">
        <v>136</v>
      </c>
      <c r="D3978" s="649">
        <v>-2730000</v>
      </c>
      <c r="E3978" s="201">
        <v>45717</v>
      </c>
      <c r="F3978" s="200" t="s">
        <v>296</v>
      </c>
      <c r="G3978" s="200" t="s">
        <v>337</v>
      </c>
      <c r="H3978" s="200" t="s">
        <v>366</v>
      </c>
    </row>
    <row r="3979" spans="1:9" ht="15" customHeight="1">
      <c r="A3979" s="199">
        <v>45727</v>
      </c>
      <c r="B3979" s="202" t="s">
        <v>3220</v>
      </c>
      <c r="C3979" s="200" t="s">
        <v>136</v>
      </c>
      <c r="D3979" s="649">
        <v>-3847300</v>
      </c>
      <c r="E3979" s="201">
        <v>45717</v>
      </c>
      <c r="F3979" s="200" t="s">
        <v>296</v>
      </c>
      <c r="G3979" s="200" t="s">
        <v>2994</v>
      </c>
      <c r="H3979" s="200" t="s">
        <v>857</v>
      </c>
    </row>
    <row r="3980" spans="1:9" ht="15" customHeight="1">
      <c r="A3980" s="199">
        <v>45727</v>
      </c>
      <c r="B3980" s="202" t="s">
        <v>3221</v>
      </c>
      <c r="C3980" s="200" t="s">
        <v>372</v>
      </c>
      <c r="D3980" s="645">
        <v>-79000</v>
      </c>
      <c r="E3980" s="201">
        <v>45717</v>
      </c>
      <c r="F3980" s="200" t="s">
        <v>296</v>
      </c>
      <c r="G3980" s="200" t="s">
        <v>2994</v>
      </c>
      <c r="H3980" s="200" t="s">
        <v>857</v>
      </c>
    </row>
    <row r="3981" spans="1:9" ht="15" customHeight="1">
      <c r="A3981" s="199">
        <v>45727</v>
      </c>
      <c r="B3981" s="202" t="s">
        <v>3222</v>
      </c>
      <c r="C3981" s="200" t="s">
        <v>372</v>
      </c>
      <c r="D3981" s="645">
        <v>-23700</v>
      </c>
      <c r="E3981" s="201">
        <v>45717</v>
      </c>
      <c r="F3981" s="200" t="s">
        <v>296</v>
      </c>
      <c r="G3981" s="200" t="s">
        <v>2994</v>
      </c>
      <c r="H3981" s="200" t="s">
        <v>857</v>
      </c>
    </row>
    <row r="3982" spans="1:9" ht="15" customHeight="1">
      <c r="A3982" s="199">
        <v>45727</v>
      </c>
      <c r="B3982" s="202" t="s">
        <v>3223</v>
      </c>
      <c r="C3982" s="200" t="s">
        <v>136</v>
      </c>
      <c r="D3982" s="649">
        <v>-1152000</v>
      </c>
      <c r="E3982" s="201">
        <v>45717</v>
      </c>
      <c r="F3982" s="200" t="s">
        <v>256</v>
      </c>
      <c r="G3982" s="200" t="s">
        <v>107</v>
      </c>
      <c r="H3982" s="200" t="s">
        <v>777</v>
      </c>
    </row>
    <row r="3983" spans="1:9" ht="15" customHeight="1">
      <c r="A3983" s="199">
        <v>45727</v>
      </c>
      <c r="B3983" s="202" t="s">
        <v>3224</v>
      </c>
      <c r="C3983" s="200" t="s">
        <v>136</v>
      </c>
      <c r="D3983" s="649">
        <v>-1922250</v>
      </c>
      <c r="E3983" s="201">
        <v>45717</v>
      </c>
      <c r="F3983" s="200" t="s">
        <v>296</v>
      </c>
      <c r="G3983" s="200" t="s">
        <v>328</v>
      </c>
      <c r="H3983" s="200" t="s">
        <v>375</v>
      </c>
    </row>
    <row r="3984" spans="1:9" ht="15" customHeight="1">
      <c r="A3984" s="199">
        <v>45727</v>
      </c>
      <c r="B3984" s="202" t="s">
        <v>3225</v>
      </c>
      <c r="C3984" s="200" t="s">
        <v>136</v>
      </c>
      <c r="D3984" s="649">
        <v>-693334</v>
      </c>
      <c r="E3984" s="201">
        <v>45717</v>
      </c>
      <c r="F3984" s="200" t="s">
        <v>296</v>
      </c>
      <c r="G3984" s="200" t="s">
        <v>337</v>
      </c>
      <c r="H3984" s="200" t="s">
        <v>446</v>
      </c>
    </row>
    <row r="3985" spans="1:9" ht="15" customHeight="1">
      <c r="A3985" s="199">
        <v>45727</v>
      </c>
      <c r="B3985" s="202" t="s">
        <v>3226</v>
      </c>
      <c r="C3985" s="200" t="s">
        <v>372</v>
      </c>
      <c r="D3985" s="645">
        <v>-25147</v>
      </c>
      <c r="E3985" s="201">
        <v>45717</v>
      </c>
      <c r="F3985" s="200" t="s">
        <v>296</v>
      </c>
      <c r="G3985" s="200" t="s">
        <v>337</v>
      </c>
      <c r="H3985" s="200" t="s">
        <v>446</v>
      </c>
    </row>
    <row r="3986" spans="1:9" ht="15" customHeight="1">
      <c r="A3986" s="199">
        <v>45727</v>
      </c>
      <c r="B3986" s="202" t="s">
        <v>3225</v>
      </c>
      <c r="C3986" s="200" t="s">
        <v>136</v>
      </c>
      <c r="D3986" s="649">
        <v>-693333</v>
      </c>
      <c r="E3986" s="201">
        <v>45717</v>
      </c>
      <c r="F3986" s="200" t="s">
        <v>296</v>
      </c>
      <c r="G3986" s="200" t="s">
        <v>522</v>
      </c>
      <c r="H3986" s="200" t="s">
        <v>326</v>
      </c>
    </row>
    <row r="3987" spans="1:9" ht="15" customHeight="1">
      <c r="A3987" s="199">
        <v>45727</v>
      </c>
      <c r="B3987" s="202" t="s">
        <v>3226</v>
      </c>
      <c r="C3987" s="200" t="s">
        <v>372</v>
      </c>
      <c r="D3987" s="645">
        <v>-25147</v>
      </c>
      <c r="E3987" s="201">
        <v>45717</v>
      </c>
      <c r="F3987" s="200" t="s">
        <v>296</v>
      </c>
      <c r="G3987" s="200" t="s">
        <v>522</v>
      </c>
      <c r="H3987" s="200" t="s">
        <v>326</v>
      </c>
    </row>
    <row r="3988" spans="1:9" ht="15" customHeight="1">
      <c r="A3988" s="199">
        <v>45727</v>
      </c>
      <c r="B3988" s="202" t="s">
        <v>3225</v>
      </c>
      <c r="C3988" s="200" t="s">
        <v>136</v>
      </c>
      <c r="D3988" s="649">
        <v>-693333</v>
      </c>
      <c r="E3988" s="201">
        <v>45717</v>
      </c>
      <c r="F3988" s="200" t="s">
        <v>296</v>
      </c>
      <c r="G3988" s="200" t="s">
        <v>44</v>
      </c>
      <c r="H3988" s="200" t="s">
        <v>326</v>
      </c>
    </row>
    <row r="3989" spans="1:9" ht="15" customHeight="1">
      <c r="A3989" s="199">
        <v>45727</v>
      </c>
      <c r="B3989" s="202" t="s">
        <v>3226</v>
      </c>
      <c r="C3989" s="200" t="s">
        <v>372</v>
      </c>
      <c r="D3989" s="645">
        <v>-25147</v>
      </c>
      <c r="E3989" s="201">
        <v>45717</v>
      </c>
      <c r="F3989" s="200" t="s">
        <v>296</v>
      </c>
      <c r="G3989" s="200" t="s">
        <v>44</v>
      </c>
      <c r="H3989" s="200" t="s">
        <v>326</v>
      </c>
    </row>
    <row r="3990" spans="1:9" ht="15" customHeight="1">
      <c r="A3990" s="199">
        <v>45728</v>
      </c>
      <c r="B3990" s="202" t="s">
        <v>3227</v>
      </c>
      <c r="C3990" s="200" t="s">
        <v>136</v>
      </c>
      <c r="D3990" s="649">
        <v>-3985200</v>
      </c>
      <c r="E3990" s="201">
        <v>45717</v>
      </c>
      <c r="F3990" s="200" t="s">
        <v>296</v>
      </c>
      <c r="G3990" s="200" t="s">
        <v>522</v>
      </c>
      <c r="H3990" s="200" t="s">
        <v>811</v>
      </c>
    </row>
    <row r="3991" spans="1:9" ht="15" customHeight="1">
      <c r="A3991" s="199">
        <v>45728</v>
      </c>
      <c r="B3991" s="202" t="s">
        <v>3228</v>
      </c>
      <c r="C3991" s="200" t="s">
        <v>372</v>
      </c>
      <c r="D3991" s="645">
        <v>-40500</v>
      </c>
      <c r="E3991" s="201">
        <v>45717</v>
      </c>
      <c r="F3991" s="200" t="s">
        <v>296</v>
      </c>
      <c r="G3991" s="200" t="s">
        <v>522</v>
      </c>
      <c r="H3991" s="200" t="s">
        <v>811</v>
      </c>
    </row>
    <row r="3992" spans="1:9" ht="15" customHeight="1">
      <c r="A3992" s="199">
        <v>45728</v>
      </c>
      <c r="B3992" s="202" t="s">
        <v>3229</v>
      </c>
      <c r="C3992" s="200" t="s">
        <v>372</v>
      </c>
      <c r="D3992" s="645">
        <v>-24300</v>
      </c>
      <c r="E3992" s="201">
        <v>45717</v>
      </c>
      <c r="F3992" s="200" t="s">
        <v>296</v>
      </c>
      <c r="G3992" s="200" t="s">
        <v>522</v>
      </c>
      <c r="H3992" s="200" t="s">
        <v>811</v>
      </c>
    </row>
    <row r="3993" spans="1:9" ht="15" customHeight="1">
      <c r="A3993" s="199">
        <v>45728</v>
      </c>
      <c r="B3993" s="202" t="s">
        <v>3230</v>
      </c>
      <c r="C3993" s="200" t="s">
        <v>136</v>
      </c>
      <c r="D3993" s="649">
        <v>-2140200</v>
      </c>
      <c r="E3993" s="201">
        <v>45717</v>
      </c>
      <c r="F3993" s="200" t="s">
        <v>296</v>
      </c>
      <c r="G3993" s="200" t="s">
        <v>1825</v>
      </c>
      <c r="H3993" s="200" t="s">
        <v>488</v>
      </c>
    </row>
    <row r="3994" spans="1:9" ht="15" customHeight="1">
      <c r="A3994" s="199">
        <v>45728</v>
      </c>
      <c r="B3994" s="202" t="s">
        <v>3231</v>
      </c>
      <c r="C3994" s="200" t="s">
        <v>372</v>
      </c>
      <c r="D3994" s="645">
        <v>-21750</v>
      </c>
      <c r="E3994" s="201">
        <v>45717</v>
      </c>
      <c r="F3994" s="200" t="s">
        <v>296</v>
      </c>
      <c r="G3994" s="200" t="s">
        <v>1825</v>
      </c>
      <c r="H3994" s="200" t="s">
        <v>488</v>
      </c>
    </row>
    <row r="3995" spans="1:9" ht="15" customHeight="1">
      <c r="A3995" s="199">
        <v>45728</v>
      </c>
      <c r="B3995" s="202" t="s">
        <v>3232</v>
      </c>
      <c r="C3995" s="200" t="s">
        <v>372</v>
      </c>
      <c r="D3995" s="645">
        <v>-13050</v>
      </c>
      <c r="E3995" s="201">
        <v>45717</v>
      </c>
      <c r="F3995" s="200" t="s">
        <v>296</v>
      </c>
      <c r="G3995" s="200" t="s">
        <v>1825</v>
      </c>
      <c r="H3995" s="200" t="s">
        <v>488</v>
      </c>
    </row>
    <row r="3996" spans="1:9" ht="15" customHeight="1">
      <c r="A3996" s="199">
        <v>45728</v>
      </c>
      <c r="B3996" s="202" t="s">
        <v>3230</v>
      </c>
      <c r="C3996" s="200" t="s">
        <v>136</v>
      </c>
      <c r="D3996" s="649">
        <v>-2140200</v>
      </c>
      <c r="E3996" s="201">
        <v>45717</v>
      </c>
      <c r="F3996" s="200" t="s">
        <v>296</v>
      </c>
      <c r="G3996" s="200" t="s">
        <v>1825</v>
      </c>
      <c r="H3996" s="200" t="s">
        <v>490</v>
      </c>
    </row>
    <row r="3997" spans="1:9" ht="15" customHeight="1">
      <c r="A3997" s="199">
        <v>45728</v>
      </c>
      <c r="B3997" s="202" t="s">
        <v>3231</v>
      </c>
      <c r="C3997" s="200" t="s">
        <v>372</v>
      </c>
      <c r="D3997" s="645">
        <v>-21750</v>
      </c>
      <c r="E3997" s="201">
        <v>45717</v>
      </c>
      <c r="F3997" s="200" t="s">
        <v>296</v>
      </c>
      <c r="G3997" s="200" t="s">
        <v>1825</v>
      </c>
      <c r="H3997" s="200" t="s">
        <v>490</v>
      </c>
    </row>
    <row r="3998" spans="1:9" ht="15" customHeight="1">
      <c r="A3998" s="199">
        <v>45728</v>
      </c>
      <c r="B3998" s="202" t="s">
        <v>3232</v>
      </c>
      <c r="C3998" s="200" t="s">
        <v>372</v>
      </c>
      <c r="D3998" s="645">
        <v>-13050</v>
      </c>
      <c r="E3998" s="201">
        <v>45717</v>
      </c>
      <c r="F3998" s="200" t="s">
        <v>296</v>
      </c>
      <c r="G3998" s="200" t="s">
        <v>1825</v>
      </c>
      <c r="H3998" s="200" t="s">
        <v>490</v>
      </c>
    </row>
    <row r="3999" spans="1:9" ht="15" customHeight="1">
      <c r="A3999" s="199">
        <v>45729</v>
      </c>
      <c r="B3999" s="202" t="s">
        <v>3233</v>
      </c>
      <c r="C3999" s="200" t="s">
        <v>136</v>
      </c>
      <c r="D3999" s="649">
        <v>-1128208</v>
      </c>
      <c r="E3999" s="201">
        <v>45717</v>
      </c>
      <c r="F3999" s="200" t="s">
        <v>297</v>
      </c>
      <c r="G3999" s="200" t="s">
        <v>75</v>
      </c>
      <c r="H3999" s="531" t="s">
        <v>386</v>
      </c>
      <c r="I3999" s="648" t="s">
        <v>329</v>
      </c>
    </row>
    <row r="4000" spans="1:9" ht="15" customHeight="1">
      <c r="A4000" s="199">
        <v>45729</v>
      </c>
      <c r="B4000" s="202" t="s">
        <v>3234</v>
      </c>
      <c r="C4000" s="200" t="s">
        <v>136</v>
      </c>
      <c r="D4000" s="649">
        <v>-16746808</v>
      </c>
      <c r="E4000" s="201">
        <v>45717</v>
      </c>
      <c r="F4000" s="200" t="s">
        <v>297</v>
      </c>
      <c r="G4000" s="200" t="s">
        <v>1578</v>
      </c>
      <c r="H4000" s="200" t="s">
        <v>364</v>
      </c>
    </row>
    <row r="4001" spans="1:8" ht="15" customHeight="1">
      <c r="A4001" s="199">
        <v>45727</v>
      </c>
      <c r="B4001" s="202" t="s">
        <v>1816</v>
      </c>
      <c r="C4001" s="200" t="s">
        <v>314</v>
      </c>
      <c r="D4001" s="645">
        <v>-10000</v>
      </c>
      <c r="E4001" s="201">
        <v>45717</v>
      </c>
      <c r="F4001" s="200" t="s">
        <v>525</v>
      </c>
    </row>
    <row r="4002" spans="1:8" ht="15" customHeight="1">
      <c r="A4002" s="199">
        <v>45728</v>
      </c>
      <c r="B4002" s="202" t="s">
        <v>3235</v>
      </c>
      <c r="C4002" s="200" t="s">
        <v>314</v>
      </c>
      <c r="D4002" s="645">
        <v>-51084000</v>
      </c>
      <c r="E4002" s="201">
        <v>45717</v>
      </c>
      <c r="F4002" s="200" t="s">
        <v>296</v>
      </c>
      <c r="G4002" s="200" t="s">
        <v>453</v>
      </c>
      <c r="H4002" s="200" t="s">
        <v>96</v>
      </c>
    </row>
    <row r="4003" spans="1:8" ht="15" customHeight="1">
      <c r="A4003" s="199">
        <v>45729</v>
      </c>
      <c r="B4003" s="202" t="s">
        <v>3236</v>
      </c>
      <c r="C4003" s="200" t="s">
        <v>314</v>
      </c>
      <c r="D4003" s="645">
        <v>-3000000</v>
      </c>
      <c r="E4003" s="201">
        <v>45717</v>
      </c>
      <c r="F4003" s="200" t="s">
        <v>256</v>
      </c>
      <c r="G4003" s="200" t="s">
        <v>107</v>
      </c>
      <c r="H4003" s="200" t="s">
        <v>777</v>
      </c>
    </row>
    <row r="4004" spans="1:8" ht="15" customHeight="1">
      <c r="A4004" s="199">
        <v>45726</v>
      </c>
      <c r="B4004" s="202" t="s">
        <v>3237</v>
      </c>
      <c r="C4004" s="200" t="s">
        <v>204</v>
      </c>
      <c r="D4004" s="658">
        <v>-80400000</v>
      </c>
      <c r="E4004" s="201">
        <v>45717</v>
      </c>
      <c r="F4004" s="200" t="s">
        <v>807</v>
      </c>
      <c r="G4004" s="200" t="s">
        <v>2648</v>
      </c>
    </row>
    <row r="4005" spans="1:8" ht="15" customHeight="1">
      <c r="A4005" s="199">
        <v>45726</v>
      </c>
      <c r="B4005" s="202" t="s">
        <v>3238</v>
      </c>
      <c r="C4005" s="200" t="s">
        <v>204</v>
      </c>
      <c r="D4005" s="658">
        <v>-89000000</v>
      </c>
      <c r="E4005" s="201">
        <v>45717</v>
      </c>
      <c r="F4005" s="200" t="s">
        <v>1980</v>
      </c>
      <c r="G4005" s="200" t="s">
        <v>1981</v>
      </c>
    </row>
    <row r="4006" spans="1:8" ht="15" customHeight="1">
      <c r="A4006" s="199">
        <v>45726</v>
      </c>
      <c r="B4006" s="202" t="s">
        <v>3239</v>
      </c>
      <c r="C4006" s="200" t="s">
        <v>204</v>
      </c>
      <c r="D4006" s="658">
        <v>-809060</v>
      </c>
      <c r="E4006" s="201">
        <v>45717</v>
      </c>
      <c r="F4006" s="200" t="s">
        <v>256</v>
      </c>
      <c r="G4006" s="200" t="s">
        <v>256</v>
      </c>
      <c r="H4006" s="200" t="s">
        <v>269</v>
      </c>
    </row>
    <row r="4007" spans="1:8" ht="15" customHeight="1">
      <c r="A4007" s="199">
        <v>45726</v>
      </c>
      <c r="B4007" s="202" t="s">
        <v>3240</v>
      </c>
      <c r="C4007" s="200" t="s">
        <v>204</v>
      </c>
      <c r="D4007" s="658">
        <v>-11600</v>
      </c>
      <c r="E4007" s="201">
        <v>45717</v>
      </c>
      <c r="F4007" s="200" t="s">
        <v>256</v>
      </c>
      <c r="G4007" s="200" t="s">
        <v>256</v>
      </c>
      <c r="H4007" s="200" t="s">
        <v>261</v>
      </c>
    </row>
    <row r="4008" spans="1:8" ht="15" customHeight="1">
      <c r="A4008" s="199">
        <v>45726</v>
      </c>
      <c r="B4008" s="202" t="s">
        <v>3241</v>
      </c>
      <c r="C4008" s="200" t="s">
        <v>204</v>
      </c>
      <c r="D4008" s="658">
        <v>-59700</v>
      </c>
      <c r="E4008" s="201">
        <v>45717</v>
      </c>
      <c r="F4008" s="200" t="s">
        <v>296</v>
      </c>
      <c r="G4008" s="200" t="s">
        <v>337</v>
      </c>
      <c r="H4008" s="200" t="s">
        <v>429</v>
      </c>
    </row>
    <row r="4009" spans="1:8" ht="15" customHeight="1">
      <c r="A4009" s="199">
        <v>45727</v>
      </c>
      <c r="B4009" s="202" t="s">
        <v>3242</v>
      </c>
      <c r="C4009" s="200" t="s">
        <v>204</v>
      </c>
      <c r="D4009" s="658">
        <v>-62442000</v>
      </c>
      <c r="E4009" s="201">
        <v>45717</v>
      </c>
      <c r="F4009" s="200" t="s">
        <v>525</v>
      </c>
    </row>
    <row r="4010" spans="1:8" ht="15" customHeight="1">
      <c r="A4010" s="199">
        <v>45727</v>
      </c>
      <c r="B4010" s="202" t="s">
        <v>3243</v>
      </c>
      <c r="C4010" s="200" t="s">
        <v>204</v>
      </c>
      <c r="D4010" s="658">
        <v>-30000</v>
      </c>
      <c r="E4010" s="201">
        <v>45717</v>
      </c>
      <c r="F4010" s="200" t="s">
        <v>256</v>
      </c>
      <c r="G4010" s="200" t="s">
        <v>256</v>
      </c>
      <c r="H4010" s="200" t="s">
        <v>267</v>
      </c>
    </row>
    <row r="4011" spans="1:8" ht="15" customHeight="1">
      <c r="A4011" s="199">
        <v>45727</v>
      </c>
      <c r="B4011" s="202" t="s">
        <v>3244</v>
      </c>
      <c r="C4011" s="200" t="s">
        <v>204</v>
      </c>
      <c r="D4011" s="658">
        <v>-693452</v>
      </c>
      <c r="E4011" s="201">
        <v>45717</v>
      </c>
      <c r="F4011" s="200" t="s">
        <v>296</v>
      </c>
      <c r="G4011" s="200" t="s">
        <v>337</v>
      </c>
      <c r="H4011" s="200" t="s">
        <v>421</v>
      </c>
    </row>
    <row r="4012" spans="1:8" ht="15" customHeight="1">
      <c r="A4012" s="199">
        <v>45727</v>
      </c>
      <c r="B4012" s="202" t="s">
        <v>3245</v>
      </c>
      <c r="C4012" s="200" t="s">
        <v>372</v>
      </c>
      <c r="D4012" s="645">
        <v>-14958</v>
      </c>
      <c r="E4012" s="201">
        <v>45717</v>
      </c>
      <c r="F4012" s="200" t="s">
        <v>296</v>
      </c>
      <c r="G4012" s="200" t="s">
        <v>337</v>
      </c>
      <c r="H4012" s="200" t="s">
        <v>421</v>
      </c>
    </row>
    <row r="4013" spans="1:8" ht="15" customHeight="1">
      <c r="A4013" s="199">
        <v>45727</v>
      </c>
      <c r="B4013" s="202" t="s">
        <v>3246</v>
      </c>
      <c r="C4013" s="200" t="s">
        <v>372</v>
      </c>
      <c r="D4013" s="645">
        <v>-3590</v>
      </c>
      <c r="E4013" s="201">
        <v>45717</v>
      </c>
      <c r="F4013" s="200" t="s">
        <v>296</v>
      </c>
      <c r="G4013" s="200" t="s">
        <v>337</v>
      </c>
      <c r="H4013" s="200" t="s">
        <v>421</v>
      </c>
    </row>
    <row r="4014" spans="1:8" ht="15" customHeight="1">
      <c r="A4014" s="199">
        <v>45727</v>
      </c>
      <c r="B4014" s="202" t="s">
        <v>3247</v>
      </c>
      <c r="C4014" s="200" t="s">
        <v>204</v>
      </c>
      <c r="D4014" s="658">
        <v>-432433</v>
      </c>
      <c r="E4014" s="201">
        <v>45717</v>
      </c>
      <c r="F4014" s="200" t="s">
        <v>296</v>
      </c>
      <c r="G4014" s="200" t="s">
        <v>522</v>
      </c>
      <c r="H4014" s="200" t="s">
        <v>429</v>
      </c>
    </row>
    <row r="4015" spans="1:8" ht="15" customHeight="1">
      <c r="A4015" s="199">
        <v>45727</v>
      </c>
      <c r="B4015" s="202" t="s">
        <v>3248</v>
      </c>
      <c r="C4015" s="200" t="s">
        <v>372</v>
      </c>
      <c r="D4015" s="645">
        <v>-9328</v>
      </c>
      <c r="E4015" s="201">
        <v>45717</v>
      </c>
      <c r="F4015" s="200" t="s">
        <v>296</v>
      </c>
      <c r="G4015" s="200" t="s">
        <v>522</v>
      </c>
      <c r="H4015" s="200" t="s">
        <v>429</v>
      </c>
    </row>
    <row r="4016" spans="1:8" ht="15" customHeight="1">
      <c r="A4016" s="199">
        <v>45727</v>
      </c>
      <c r="B4016" s="202" t="s">
        <v>3249</v>
      </c>
      <c r="C4016" s="200" t="s">
        <v>372</v>
      </c>
      <c r="D4016" s="645">
        <v>-2239</v>
      </c>
      <c r="E4016" s="201">
        <v>45717</v>
      </c>
      <c r="F4016" s="200" t="s">
        <v>296</v>
      </c>
      <c r="G4016" s="200" t="s">
        <v>522</v>
      </c>
      <c r="H4016" s="200" t="s">
        <v>429</v>
      </c>
    </row>
    <row r="4017" spans="1:9" ht="15" customHeight="1">
      <c r="A4017" s="199">
        <v>45727</v>
      </c>
      <c r="B4017" s="202" t="s">
        <v>3250</v>
      </c>
      <c r="C4017" s="200" t="s">
        <v>204</v>
      </c>
      <c r="D4017" s="658">
        <v>-207159</v>
      </c>
      <c r="E4017" s="201">
        <v>45717</v>
      </c>
      <c r="F4017" s="200" t="s">
        <v>395</v>
      </c>
      <c r="G4017" s="531" t="s">
        <v>395</v>
      </c>
      <c r="H4017" s="200" t="s">
        <v>350</v>
      </c>
      <c r="I4017" s="673"/>
    </row>
    <row r="4018" spans="1:9" ht="15" customHeight="1">
      <c r="A4018" s="199">
        <v>45727</v>
      </c>
      <c r="B4018" s="202" t="s">
        <v>3251</v>
      </c>
      <c r="C4018" s="200" t="s">
        <v>372</v>
      </c>
      <c r="D4018" s="645">
        <v>-4468</v>
      </c>
      <c r="E4018" s="201">
        <v>45717</v>
      </c>
      <c r="F4018" s="200" t="s">
        <v>395</v>
      </c>
      <c r="G4018" s="531" t="s">
        <v>395</v>
      </c>
      <c r="H4018" s="200" t="s">
        <v>350</v>
      </c>
      <c r="I4018" s="673"/>
    </row>
    <row r="4019" spans="1:9" ht="15" customHeight="1">
      <c r="A4019" s="199">
        <v>45727</v>
      </c>
      <c r="B4019" s="202" t="s">
        <v>3252</v>
      </c>
      <c r="C4019" s="200" t="s">
        <v>372</v>
      </c>
      <c r="D4019" s="645">
        <v>-1072</v>
      </c>
      <c r="E4019" s="201">
        <v>45717</v>
      </c>
      <c r="F4019" s="200" t="s">
        <v>395</v>
      </c>
      <c r="G4019" s="531" t="s">
        <v>395</v>
      </c>
      <c r="H4019" s="200" t="s">
        <v>350</v>
      </c>
      <c r="I4019" s="673"/>
    </row>
    <row r="4020" spans="1:9" ht="15" customHeight="1">
      <c r="A4020" s="199">
        <v>45727</v>
      </c>
      <c r="B4020" s="202" t="s">
        <v>3250</v>
      </c>
      <c r="C4020" s="200" t="s">
        <v>204</v>
      </c>
      <c r="D4020" s="658">
        <v>-348284</v>
      </c>
      <c r="E4020" s="201">
        <v>45717</v>
      </c>
      <c r="F4020" s="200" t="s">
        <v>297</v>
      </c>
      <c r="G4020" s="200" t="s">
        <v>1578</v>
      </c>
      <c r="H4020" s="200" t="s">
        <v>350</v>
      </c>
    </row>
    <row r="4021" spans="1:9" ht="15" customHeight="1">
      <c r="A4021" s="199">
        <v>45727</v>
      </c>
      <c r="B4021" s="202" t="s">
        <v>3251</v>
      </c>
      <c r="C4021" s="200" t="s">
        <v>372</v>
      </c>
      <c r="D4021" s="645">
        <v>-7513</v>
      </c>
      <c r="E4021" s="201">
        <v>45717</v>
      </c>
      <c r="F4021" s="200" t="s">
        <v>297</v>
      </c>
      <c r="G4021" s="200" t="s">
        <v>1578</v>
      </c>
      <c r="H4021" s="200" t="s">
        <v>350</v>
      </c>
    </row>
    <row r="4022" spans="1:9" ht="15" customHeight="1">
      <c r="A4022" s="199">
        <v>45727</v>
      </c>
      <c r="B4022" s="202" t="s">
        <v>3252</v>
      </c>
      <c r="C4022" s="200" t="s">
        <v>372</v>
      </c>
      <c r="D4022" s="645">
        <v>-1803</v>
      </c>
      <c r="E4022" s="201">
        <v>45717</v>
      </c>
      <c r="F4022" s="200" t="s">
        <v>297</v>
      </c>
      <c r="G4022" s="200" t="s">
        <v>1578</v>
      </c>
      <c r="H4022" s="200" t="s">
        <v>350</v>
      </c>
    </row>
    <row r="4023" spans="1:9" ht="15" customHeight="1">
      <c r="A4023" s="199">
        <v>45727</v>
      </c>
      <c r="B4023" s="202" t="s">
        <v>3250</v>
      </c>
      <c r="C4023" s="200" t="s">
        <v>204</v>
      </c>
      <c r="D4023" s="658">
        <v>-180570</v>
      </c>
      <c r="E4023" s="201">
        <v>45717</v>
      </c>
      <c r="F4023" s="200" t="s">
        <v>296</v>
      </c>
      <c r="G4023" s="200" t="s">
        <v>984</v>
      </c>
      <c r="H4023" s="200" t="s">
        <v>350</v>
      </c>
    </row>
    <row r="4024" spans="1:9" ht="15" customHeight="1">
      <c r="A4024" s="199">
        <v>45727</v>
      </c>
      <c r="B4024" s="202" t="s">
        <v>3251</v>
      </c>
      <c r="C4024" s="200" t="s">
        <v>372</v>
      </c>
      <c r="D4024" s="645">
        <v>-3895</v>
      </c>
      <c r="E4024" s="201">
        <v>45717</v>
      </c>
      <c r="F4024" s="200" t="s">
        <v>296</v>
      </c>
      <c r="G4024" s="200" t="s">
        <v>984</v>
      </c>
      <c r="H4024" s="200" t="s">
        <v>350</v>
      </c>
    </row>
    <row r="4025" spans="1:9" ht="15" customHeight="1">
      <c r="A4025" s="199">
        <v>45727</v>
      </c>
      <c r="B4025" s="202" t="s">
        <v>3252</v>
      </c>
      <c r="C4025" s="200" t="s">
        <v>372</v>
      </c>
      <c r="D4025" s="645">
        <v>-935</v>
      </c>
      <c r="E4025" s="201">
        <v>45717</v>
      </c>
      <c r="F4025" s="200" t="s">
        <v>296</v>
      </c>
      <c r="G4025" s="200" t="s">
        <v>984</v>
      </c>
      <c r="H4025" s="200" t="s">
        <v>350</v>
      </c>
    </row>
    <row r="4026" spans="1:9" ht="15" customHeight="1">
      <c r="A4026" s="199">
        <v>45727</v>
      </c>
      <c r="B4026" s="202" t="s">
        <v>3247</v>
      </c>
      <c r="C4026" s="200" t="s">
        <v>204</v>
      </c>
      <c r="D4026" s="658">
        <v>-264524</v>
      </c>
      <c r="E4026" s="201">
        <v>45717</v>
      </c>
      <c r="F4026" s="200" t="s">
        <v>296</v>
      </c>
      <c r="G4026" s="200" t="s">
        <v>522</v>
      </c>
      <c r="H4026" s="200" t="s">
        <v>488</v>
      </c>
    </row>
    <row r="4027" spans="1:9" ht="15" customHeight="1">
      <c r="A4027" s="199">
        <v>45727</v>
      </c>
      <c r="B4027" s="202" t="s">
        <v>3248</v>
      </c>
      <c r="C4027" s="200" t="s">
        <v>372</v>
      </c>
      <c r="D4027" s="645">
        <v>-5706</v>
      </c>
      <c r="E4027" s="201">
        <v>45717</v>
      </c>
      <c r="F4027" s="200" t="s">
        <v>296</v>
      </c>
      <c r="G4027" s="200" t="s">
        <v>522</v>
      </c>
      <c r="H4027" s="200" t="s">
        <v>488</v>
      </c>
    </row>
    <row r="4028" spans="1:9" ht="15" customHeight="1">
      <c r="A4028" s="199">
        <v>45727</v>
      </c>
      <c r="B4028" s="202" t="s">
        <v>3249</v>
      </c>
      <c r="C4028" s="200" t="s">
        <v>372</v>
      </c>
      <c r="D4028" s="645">
        <v>-1369</v>
      </c>
      <c r="E4028" s="201">
        <v>45717</v>
      </c>
      <c r="F4028" s="200" t="s">
        <v>296</v>
      </c>
      <c r="G4028" s="200" t="s">
        <v>522</v>
      </c>
      <c r="H4028" s="200" t="s">
        <v>488</v>
      </c>
    </row>
    <row r="4029" spans="1:9" ht="15" customHeight="1">
      <c r="A4029" s="199">
        <v>45727</v>
      </c>
      <c r="B4029" s="202" t="s">
        <v>3253</v>
      </c>
      <c r="C4029" s="200" t="s">
        <v>204</v>
      </c>
      <c r="D4029" s="658">
        <v>-1482353</v>
      </c>
      <c r="E4029" s="201">
        <v>45717</v>
      </c>
      <c r="F4029" s="200" t="s">
        <v>256</v>
      </c>
      <c r="G4029" s="200" t="s">
        <v>256</v>
      </c>
      <c r="H4029" s="200" t="s">
        <v>9</v>
      </c>
    </row>
    <row r="4030" spans="1:9" ht="15" customHeight="1">
      <c r="A4030" s="199">
        <v>45727</v>
      </c>
      <c r="B4030" s="202" t="s">
        <v>3254</v>
      </c>
      <c r="C4030" s="200" t="s">
        <v>372</v>
      </c>
      <c r="D4030" s="645">
        <v>-92647</v>
      </c>
      <c r="E4030" s="201">
        <v>45717</v>
      </c>
      <c r="F4030" s="200" t="s">
        <v>256</v>
      </c>
      <c r="G4030" s="200" t="s">
        <v>256</v>
      </c>
      <c r="H4030" s="200" t="s">
        <v>9</v>
      </c>
    </row>
    <row r="4031" spans="1:9" ht="15" customHeight="1">
      <c r="A4031" s="199">
        <v>45727</v>
      </c>
      <c r="B4031" s="202" t="s">
        <v>3255</v>
      </c>
      <c r="C4031" s="200" t="s">
        <v>204</v>
      </c>
      <c r="D4031" s="658">
        <v>-30000</v>
      </c>
      <c r="E4031" s="201">
        <v>45717</v>
      </c>
      <c r="F4031" s="200" t="s">
        <v>256</v>
      </c>
      <c r="G4031" s="200" t="s">
        <v>256</v>
      </c>
      <c r="H4031" s="200" t="s">
        <v>267</v>
      </c>
    </row>
    <row r="4032" spans="1:9" ht="15" customHeight="1">
      <c r="A4032" s="199">
        <v>45727</v>
      </c>
      <c r="B4032" s="202" t="s">
        <v>3256</v>
      </c>
      <c r="C4032" s="200" t="s">
        <v>204</v>
      </c>
      <c r="D4032" s="658">
        <v>-21900</v>
      </c>
      <c r="E4032" s="201">
        <v>45717</v>
      </c>
      <c r="F4032" s="200" t="s">
        <v>296</v>
      </c>
      <c r="G4032" s="200" t="s">
        <v>453</v>
      </c>
      <c r="H4032" s="200" t="s">
        <v>98</v>
      </c>
    </row>
    <row r="4033" spans="1:9" ht="15" customHeight="1">
      <c r="A4033" s="199">
        <v>45727</v>
      </c>
      <c r="B4033" s="202" t="s">
        <v>3257</v>
      </c>
      <c r="C4033" s="200" t="s">
        <v>204</v>
      </c>
      <c r="D4033" s="658">
        <v>-21900</v>
      </c>
      <c r="E4033" s="201">
        <v>45717</v>
      </c>
      <c r="F4033" s="200" t="s">
        <v>296</v>
      </c>
      <c r="G4033" s="200" t="s">
        <v>453</v>
      </c>
      <c r="H4033" s="200" t="s">
        <v>98</v>
      </c>
    </row>
    <row r="4034" spans="1:9" ht="15" customHeight="1">
      <c r="A4034" s="199">
        <v>45727</v>
      </c>
      <c r="B4034" s="202" t="s">
        <v>3258</v>
      </c>
      <c r="C4034" s="200" t="s">
        <v>204</v>
      </c>
      <c r="D4034" s="658">
        <v>-80080</v>
      </c>
      <c r="E4034" s="201">
        <v>45717</v>
      </c>
      <c r="F4034" s="200" t="s">
        <v>297</v>
      </c>
      <c r="G4034" s="200" t="s">
        <v>69</v>
      </c>
      <c r="H4034" s="200" t="s">
        <v>379</v>
      </c>
    </row>
    <row r="4035" spans="1:9" ht="15" customHeight="1">
      <c r="A4035" s="199">
        <v>45727</v>
      </c>
      <c r="B4035" s="202" t="s">
        <v>3259</v>
      </c>
      <c r="C4035" s="200" t="s">
        <v>372</v>
      </c>
      <c r="D4035" s="645">
        <v>-2800</v>
      </c>
      <c r="E4035" s="201">
        <v>45717</v>
      </c>
      <c r="F4035" s="200" t="s">
        <v>297</v>
      </c>
      <c r="G4035" s="200" t="s">
        <v>69</v>
      </c>
      <c r="H4035" s="200" t="s">
        <v>379</v>
      </c>
    </row>
    <row r="4036" spans="1:9" ht="15" customHeight="1">
      <c r="A4036" s="199">
        <v>45727</v>
      </c>
      <c r="B4036" s="202" t="s">
        <v>3260</v>
      </c>
      <c r="C4036" s="200" t="s">
        <v>372</v>
      </c>
      <c r="D4036" s="645">
        <v>-420</v>
      </c>
      <c r="E4036" s="201">
        <v>45717</v>
      </c>
      <c r="F4036" s="200" t="s">
        <v>297</v>
      </c>
      <c r="G4036" s="200" t="s">
        <v>69</v>
      </c>
      <c r="H4036" s="200" t="s">
        <v>379</v>
      </c>
      <c r="I4036" s="648" t="s">
        <v>329</v>
      </c>
    </row>
    <row r="4037" spans="1:9" ht="15" customHeight="1">
      <c r="A4037" s="199">
        <v>45727</v>
      </c>
      <c r="B4037" s="202" t="s">
        <v>3261</v>
      </c>
      <c r="C4037" s="200" t="s">
        <v>204</v>
      </c>
      <c r="D4037" s="658">
        <v>-171600</v>
      </c>
      <c r="E4037" s="201">
        <v>45717</v>
      </c>
      <c r="F4037" s="200" t="s">
        <v>296</v>
      </c>
      <c r="G4037" s="200" t="s">
        <v>482</v>
      </c>
      <c r="H4037" s="200" t="s">
        <v>379</v>
      </c>
    </row>
    <row r="4038" spans="1:9" ht="15" customHeight="1">
      <c r="A4038" s="199">
        <v>45727</v>
      </c>
      <c r="B4038" s="202" t="s">
        <v>3262</v>
      </c>
      <c r="C4038" s="200" t="s">
        <v>372</v>
      </c>
      <c r="D4038" s="645">
        <v>-6000</v>
      </c>
      <c r="E4038" s="201">
        <v>45717</v>
      </c>
      <c r="F4038" s="200" t="s">
        <v>296</v>
      </c>
      <c r="G4038" s="200" t="s">
        <v>482</v>
      </c>
      <c r="H4038" s="200" t="s">
        <v>379</v>
      </c>
    </row>
    <row r="4039" spans="1:9" ht="15" customHeight="1">
      <c r="A4039" s="199">
        <v>45727</v>
      </c>
      <c r="B4039" s="202" t="s">
        <v>3263</v>
      </c>
      <c r="C4039" s="200" t="s">
        <v>372</v>
      </c>
      <c r="D4039" s="645">
        <v>-900</v>
      </c>
      <c r="E4039" s="201">
        <v>45717</v>
      </c>
      <c r="F4039" s="200" t="s">
        <v>296</v>
      </c>
      <c r="G4039" s="200" t="s">
        <v>482</v>
      </c>
      <c r="H4039" s="200" t="s">
        <v>379</v>
      </c>
      <c r="I4039" s="648" t="s">
        <v>329</v>
      </c>
    </row>
    <row r="4040" spans="1:9" ht="15" customHeight="1">
      <c r="A4040" s="199">
        <v>45727</v>
      </c>
      <c r="B4040" s="202" t="s">
        <v>3264</v>
      </c>
      <c r="C4040" s="200" t="s">
        <v>204</v>
      </c>
      <c r="D4040" s="658">
        <v>-291720</v>
      </c>
      <c r="E4040" s="201">
        <v>45717</v>
      </c>
      <c r="F4040" s="200" t="s">
        <v>296</v>
      </c>
      <c r="G4040" s="200" t="s">
        <v>522</v>
      </c>
      <c r="H4040" s="200" t="s">
        <v>322</v>
      </c>
    </row>
    <row r="4041" spans="1:9" ht="15" customHeight="1">
      <c r="A4041" s="199">
        <v>45727</v>
      </c>
      <c r="B4041" s="202" t="s">
        <v>3265</v>
      </c>
      <c r="C4041" s="200" t="s">
        <v>372</v>
      </c>
      <c r="D4041" s="645">
        <v>-10200</v>
      </c>
      <c r="E4041" s="201">
        <v>45717</v>
      </c>
      <c r="F4041" s="200" t="s">
        <v>296</v>
      </c>
      <c r="G4041" s="200" t="s">
        <v>522</v>
      </c>
      <c r="H4041" s="200" t="s">
        <v>322</v>
      </c>
    </row>
    <row r="4042" spans="1:9" ht="15" customHeight="1">
      <c r="A4042" s="199">
        <v>45727</v>
      </c>
      <c r="B4042" s="202" t="s">
        <v>3266</v>
      </c>
      <c r="C4042" s="200" t="s">
        <v>372</v>
      </c>
      <c r="D4042" s="645">
        <v>-1530</v>
      </c>
      <c r="E4042" s="201">
        <v>45717</v>
      </c>
      <c r="F4042" s="200" t="s">
        <v>296</v>
      </c>
      <c r="G4042" s="200" t="s">
        <v>522</v>
      </c>
      <c r="H4042" s="200" t="s">
        <v>322</v>
      </c>
    </row>
    <row r="4043" spans="1:9" ht="15" customHeight="1">
      <c r="A4043" s="199">
        <v>45727</v>
      </c>
      <c r="B4043" s="202" t="s">
        <v>3267</v>
      </c>
      <c r="C4043" s="200" t="s">
        <v>204</v>
      </c>
      <c r="D4043" s="658">
        <v>-327136</v>
      </c>
      <c r="E4043" s="201">
        <v>45717</v>
      </c>
      <c r="F4043" s="200" t="s">
        <v>297</v>
      </c>
      <c r="G4043" s="200" t="s">
        <v>1313</v>
      </c>
      <c r="H4043" s="200" t="s">
        <v>350</v>
      </c>
    </row>
    <row r="4044" spans="1:9" ht="15" customHeight="1">
      <c r="A4044" s="199">
        <v>45727</v>
      </c>
      <c r="B4044" s="202" t="s">
        <v>3268</v>
      </c>
      <c r="C4044" s="200" t="s">
        <v>204</v>
      </c>
      <c r="D4044" s="658">
        <v>-1331700</v>
      </c>
      <c r="E4044" s="201">
        <v>45717</v>
      </c>
      <c r="F4044" s="200" t="s">
        <v>296</v>
      </c>
      <c r="G4044" s="200" t="s">
        <v>1980</v>
      </c>
      <c r="H4044" s="200" t="s">
        <v>322</v>
      </c>
    </row>
    <row r="4045" spans="1:9" ht="15" customHeight="1">
      <c r="A4045" s="199">
        <v>45727</v>
      </c>
      <c r="B4045" s="722" t="s">
        <v>3269</v>
      </c>
      <c r="C4045" s="200" t="s">
        <v>204</v>
      </c>
      <c r="D4045" s="658">
        <v>-1423500</v>
      </c>
      <c r="E4045" s="201">
        <v>45717</v>
      </c>
      <c r="F4045" s="200" t="s">
        <v>296</v>
      </c>
      <c r="G4045" s="200" t="s">
        <v>57</v>
      </c>
      <c r="H4045" s="200" t="s">
        <v>105</v>
      </c>
    </row>
    <row r="4046" spans="1:9" ht="15" customHeight="1">
      <c r="A4046" s="199">
        <v>45727</v>
      </c>
      <c r="B4046" s="722" t="s">
        <v>3269</v>
      </c>
      <c r="C4046" s="200" t="s">
        <v>204</v>
      </c>
      <c r="D4046" s="658">
        <v>-1423500</v>
      </c>
      <c r="E4046" s="201">
        <v>45717</v>
      </c>
      <c r="F4046" s="200" t="s">
        <v>296</v>
      </c>
      <c r="G4046" s="200" t="s">
        <v>57</v>
      </c>
      <c r="H4046" s="200" t="s">
        <v>105</v>
      </c>
    </row>
    <row r="4047" spans="1:9" ht="15" customHeight="1">
      <c r="A4047" s="199">
        <v>45727</v>
      </c>
      <c r="B4047" s="722" t="s">
        <v>3270</v>
      </c>
      <c r="C4047" s="200" t="s">
        <v>204</v>
      </c>
      <c r="D4047" s="658">
        <v>-314880</v>
      </c>
      <c r="E4047" s="201">
        <v>45717</v>
      </c>
      <c r="F4047" s="200" t="s">
        <v>296</v>
      </c>
      <c r="G4047" s="200" t="s">
        <v>57</v>
      </c>
      <c r="H4047" s="200" t="s">
        <v>105</v>
      </c>
    </row>
    <row r="4048" spans="1:9" ht="15" customHeight="1">
      <c r="A4048" s="199">
        <v>45713</v>
      </c>
      <c r="B4048" s="202" t="s">
        <v>3271</v>
      </c>
      <c r="C4048" s="200" t="s">
        <v>204</v>
      </c>
      <c r="D4048" s="658">
        <v>-20000</v>
      </c>
      <c r="E4048" s="201">
        <v>45717</v>
      </c>
      <c r="F4048" s="200" t="s">
        <v>296</v>
      </c>
      <c r="G4048" s="200" t="s">
        <v>1362</v>
      </c>
      <c r="H4048" s="200" t="s">
        <v>268</v>
      </c>
      <c r="I4048" s="200" t="s">
        <v>3272</v>
      </c>
    </row>
    <row r="4049" spans="1:9" ht="15" customHeight="1">
      <c r="A4049" s="199">
        <v>45720</v>
      </c>
      <c r="B4049" s="202" t="s">
        <v>3271</v>
      </c>
      <c r="C4049" s="200" t="s">
        <v>204</v>
      </c>
      <c r="D4049" s="658">
        <v>-20000</v>
      </c>
      <c r="E4049" s="201">
        <v>45717</v>
      </c>
      <c r="F4049" s="200" t="s">
        <v>296</v>
      </c>
      <c r="G4049" s="200" t="s">
        <v>1362</v>
      </c>
      <c r="H4049" s="200" t="s">
        <v>268</v>
      </c>
      <c r="I4049" s="200" t="s">
        <v>3272</v>
      </c>
    </row>
    <row r="4050" spans="1:9" ht="15" customHeight="1">
      <c r="A4050" s="199">
        <v>45720</v>
      </c>
      <c r="B4050" s="202" t="s">
        <v>3273</v>
      </c>
      <c r="C4050" s="200" t="s">
        <v>204</v>
      </c>
      <c r="D4050" s="658">
        <v>-7500</v>
      </c>
      <c r="E4050" s="201">
        <v>45717</v>
      </c>
      <c r="F4050" s="200" t="s">
        <v>296</v>
      </c>
      <c r="G4050" s="200" t="s">
        <v>1362</v>
      </c>
      <c r="H4050" s="200" t="s">
        <v>268</v>
      </c>
      <c r="I4050" s="200" t="s">
        <v>3272</v>
      </c>
    </row>
    <row r="4051" spans="1:9" ht="15" customHeight="1">
      <c r="A4051" s="199">
        <v>45720</v>
      </c>
      <c r="B4051" s="202" t="s">
        <v>1523</v>
      </c>
      <c r="C4051" s="200" t="s">
        <v>204</v>
      </c>
      <c r="D4051" s="658">
        <v>-7000</v>
      </c>
      <c r="E4051" s="201">
        <v>45717</v>
      </c>
      <c r="F4051" s="200" t="s">
        <v>296</v>
      </c>
      <c r="G4051" s="200" t="s">
        <v>1362</v>
      </c>
      <c r="H4051" s="200" t="s">
        <v>342</v>
      </c>
      <c r="I4051" s="200" t="s">
        <v>3272</v>
      </c>
    </row>
    <row r="4052" spans="1:9" ht="15" customHeight="1">
      <c r="A4052" s="199">
        <v>45720</v>
      </c>
      <c r="B4052" s="202" t="s">
        <v>1745</v>
      </c>
      <c r="C4052" s="200" t="s">
        <v>204</v>
      </c>
      <c r="D4052" s="658">
        <v>-7000</v>
      </c>
      <c r="E4052" s="201">
        <v>45717</v>
      </c>
      <c r="F4052" s="200" t="s">
        <v>296</v>
      </c>
      <c r="G4052" s="200" t="s">
        <v>1362</v>
      </c>
      <c r="H4052" s="200" t="s">
        <v>342</v>
      </c>
      <c r="I4052" s="200" t="s">
        <v>3272</v>
      </c>
    </row>
    <row r="4053" spans="1:9" ht="15" customHeight="1">
      <c r="A4053" s="199">
        <v>45720</v>
      </c>
      <c r="B4053" s="202" t="s">
        <v>3274</v>
      </c>
      <c r="C4053" s="200" t="s">
        <v>204</v>
      </c>
      <c r="D4053" s="658">
        <v>-8200</v>
      </c>
      <c r="E4053" s="201">
        <v>45717</v>
      </c>
      <c r="F4053" s="200" t="s">
        <v>296</v>
      </c>
      <c r="G4053" s="200" t="s">
        <v>1362</v>
      </c>
      <c r="H4053" s="200" t="s">
        <v>268</v>
      </c>
      <c r="I4053" s="200" t="s">
        <v>3272</v>
      </c>
    </row>
    <row r="4054" spans="1:9" ht="15" customHeight="1">
      <c r="A4054" s="199">
        <v>45720</v>
      </c>
      <c r="B4054" s="202" t="s">
        <v>3275</v>
      </c>
      <c r="C4054" s="200" t="s">
        <v>204</v>
      </c>
      <c r="D4054" s="658">
        <v>-10000</v>
      </c>
      <c r="E4054" s="201">
        <v>45717</v>
      </c>
      <c r="F4054" s="200" t="s">
        <v>296</v>
      </c>
      <c r="G4054" s="200" t="s">
        <v>1362</v>
      </c>
      <c r="H4054" s="200" t="s">
        <v>268</v>
      </c>
      <c r="I4054" s="200" t="s">
        <v>3272</v>
      </c>
    </row>
    <row r="4055" spans="1:9" ht="15" customHeight="1">
      <c r="A4055" s="199">
        <v>45721</v>
      </c>
      <c r="B4055" s="202" t="s">
        <v>3276</v>
      </c>
      <c r="C4055" s="200" t="s">
        <v>204</v>
      </c>
      <c r="D4055" s="658">
        <v>-11000</v>
      </c>
      <c r="E4055" s="201">
        <v>45717</v>
      </c>
      <c r="F4055" s="200" t="s">
        <v>296</v>
      </c>
      <c r="G4055" s="200" t="s">
        <v>1362</v>
      </c>
      <c r="H4055" s="200" t="s">
        <v>268</v>
      </c>
      <c r="I4055" s="200" t="s">
        <v>3272</v>
      </c>
    </row>
    <row r="4056" spans="1:9" ht="15" customHeight="1">
      <c r="A4056" s="199">
        <v>45721</v>
      </c>
      <c r="B4056" s="202" t="s">
        <v>1745</v>
      </c>
      <c r="C4056" s="200" t="s">
        <v>204</v>
      </c>
      <c r="D4056" s="658">
        <v>-16000</v>
      </c>
      <c r="E4056" s="201">
        <v>45717</v>
      </c>
      <c r="F4056" s="200" t="s">
        <v>296</v>
      </c>
      <c r="G4056" s="200" t="s">
        <v>1362</v>
      </c>
      <c r="H4056" s="200" t="s">
        <v>342</v>
      </c>
      <c r="I4056" s="200" t="s">
        <v>3272</v>
      </c>
    </row>
    <row r="4057" spans="1:9" ht="15" customHeight="1">
      <c r="A4057" s="199">
        <v>45721</v>
      </c>
      <c r="B4057" s="202" t="s">
        <v>3277</v>
      </c>
      <c r="C4057" s="200" t="s">
        <v>204</v>
      </c>
      <c r="D4057" s="658">
        <v>-12000</v>
      </c>
      <c r="E4057" s="201">
        <v>45717</v>
      </c>
      <c r="F4057" s="200" t="s">
        <v>296</v>
      </c>
      <c r="G4057" s="200" t="s">
        <v>1362</v>
      </c>
      <c r="H4057" s="200" t="s">
        <v>268</v>
      </c>
      <c r="I4057" s="200" t="s">
        <v>3272</v>
      </c>
    </row>
    <row r="4058" spans="1:9" ht="15" customHeight="1">
      <c r="A4058" s="199">
        <v>45721</v>
      </c>
      <c r="B4058" s="202" t="s">
        <v>3278</v>
      </c>
      <c r="C4058" s="200" t="s">
        <v>204</v>
      </c>
      <c r="D4058" s="658">
        <v>-6000</v>
      </c>
      <c r="E4058" s="201">
        <v>45717</v>
      </c>
      <c r="F4058" s="200" t="s">
        <v>296</v>
      </c>
      <c r="G4058" s="200" t="s">
        <v>1362</v>
      </c>
      <c r="H4058" s="200" t="s">
        <v>268</v>
      </c>
      <c r="I4058" s="200" t="s">
        <v>3272</v>
      </c>
    </row>
    <row r="4059" spans="1:9" ht="15" customHeight="1">
      <c r="A4059" s="199">
        <v>45721</v>
      </c>
      <c r="B4059" s="202" t="s">
        <v>3279</v>
      </c>
      <c r="C4059" s="200" t="s">
        <v>204</v>
      </c>
      <c r="D4059" s="658">
        <v>-20000</v>
      </c>
      <c r="E4059" s="201">
        <v>45717</v>
      </c>
      <c r="F4059" s="200" t="s">
        <v>296</v>
      </c>
      <c r="G4059" s="200" t="s">
        <v>1362</v>
      </c>
      <c r="H4059" s="200" t="s">
        <v>268</v>
      </c>
      <c r="I4059" s="200" t="s">
        <v>3272</v>
      </c>
    </row>
    <row r="4060" spans="1:9" ht="15" customHeight="1">
      <c r="A4060" s="199">
        <v>45727</v>
      </c>
      <c r="B4060" s="202" t="s">
        <v>3280</v>
      </c>
      <c r="C4060" s="200" t="s">
        <v>204</v>
      </c>
      <c r="D4060" s="658">
        <v>-114972</v>
      </c>
      <c r="E4060" s="201">
        <v>45717</v>
      </c>
      <c r="F4060" s="200" t="s">
        <v>296</v>
      </c>
      <c r="G4060" s="200" t="s">
        <v>1124</v>
      </c>
      <c r="H4060" s="200" t="s">
        <v>364</v>
      </c>
    </row>
    <row r="4061" spans="1:9" ht="15" customHeight="1">
      <c r="A4061" s="199">
        <v>45727</v>
      </c>
      <c r="B4061" s="202" t="s">
        <v>3281</v>
      </c>
      <c r="C4061" s="200" t="s">
        <v>204</v>
      </c>
      <c r="D4061" s="658">
        <v>-516595</v>
      </c>
      <c r="E4061" s="201">
        <v>45717</v>
      </c>
      <c r="F4061" s="200" t="s">
        <v>256</v>
      </c>
      <c r="G4061" s="200" t="s">
        <v>256</v>
      </c>
      <c r="H4061" s="200" t="s">
        <v>267</v>
      </c>
    </row>
    <row r="4062" spans="1:9" ht="15" customHeight="1">
      <c r="A4062" s="199">
        <v>45727</v>
      </c>
      <c r="B4062" s="202" t="s">
        <v>3282</v>
      </c>
      <c r="C4062" s="200" t="s">
        <v>204</v>
      </c>
      <c r="D4062" s="658">
        <v>-69600</v>
      </c>
      <c r="E4062" s="201">
        <v>45717</v>
      </c>
      <c r="F4062" s="200" t="s">
        <v>256</v>
      </c>
      <c r="G4062" s="200" t="s">
        <v>256</v>
      </c>
      <c r="H4062" s="200" t="s">
        <v>261</v>
      </c>
    </row>
    <row r="4063" spans="1:9" ht="15" customHeight="1">
      <c r="A4063" s="199">
        <v>45727</v>
      </c>
      <c r="B4063" s="202" t="s">
        <v>3283</v>
      </c>
      <c r="C4063" s="200" t="s">
        <v>204</v>
      </c>
      <c r="D4063" s="658">
        <v>-34800</v>
      </c>
      <c r="E4063" s="201">
        <v>45717</v>
      </c>
      <c r="F4063" s="200" t="s">
        <v>256</v>
      </c>
      <c r="G4063" s="200" t="s">
        <v>256</v>
      </c>
      <c r="H4063" s="200" t="s">
        <v>261</v>
      </c>
    </row>
    <row r="4064" spans="1:9" ht="15" customHeight="1">
      <c r="A4064" s="199">
        <v>45728</v>
      </c>
      <c r="B4064" s="202" t="s">
        <v>3284</v>
      </c>
      <c r="C4064" s="200" t="s">
        <v>204</v>
      </c>
      <c r="D4064" s="658">
        <v>-121734000</v>
      </c>
      <c r="E4064" s="201">
        <v>45717</v>
      </c>
      <c r="F4064" s="200" t="s">
        <v>296</v>
      </c>
      <c r="G4064" s="200" t="s">
        <v>1825</v>
      </c>
      <c r="H4064" s="200" t="s">
        <v>1651</v>
      </c>
      <c r="I4064" s="648" t="s">
        <v>329</v>
      </c>
    </row>
    <row r="4065" spans="1:9" ht="15" customHeight="1">
      <c r="A4065" s="199">
        <v>45728</v>
      </c>
      <c r="B4065" s="202" t="s">
        <v>3285</v>
      </c>
      <c r="C4065" s="200" t="s">
        <v>204</v>
      </c>
      <c r="D4065" s="658">
        <v>-1157000</v>
      </c>
      <c r="E4065" s="201">
        <v>45717</v>
      </c>
      <c r="F4065" s="200" t="s">
        <v>296</v>
      </c>
      <c r="G4065" s="200" t="s">
        <v>875</v>
      </c>
      <c r="H4065" s="200" t="s">
        <v>1066</v>
      </c>
    </row>
    <row r="4066" spans="1:9" ht="15" customHeight="1">
      <c r="A4066" s="199">
        <v>45728</v>
      </c>
      <c r="B4066" s="202" t="s">
        <v>3286</v>
      </c>
      <c r="C4066" s="200" t="s">
        <v>372</v>
      </c>
      <c r="D4066" s="645">
        <v>-143000</v>
      </c>
      <c r="E4066" s="201">
        <v>45717</v>
      </c>
      <c r="F4066" s="200" t="s">
        <v>296</v>
      </c>
      <c r="G4066" s="200" t="s">
        <v>875</v>
      </c>
      <c r="H4066" s="200" t="s">
        <v>1066</v>
      </c>
    </row>
    <row r="4067" spans="1:9" ht="15" customHeight="1">
      <c r="A4067" s="199">
        <v>45728</v>
      </c>
      <c r="B4067" s="202" t="s">
        <v>3287</v>
      </c>
      <c r="C4067" s="200" t="s">
        <v>204</v>
      </c>
      <c r="D4067" s="658">
        <v>-1370600</v>
      </c>
      <c r="E4067" s="201">
        <v>45717</v>
      </c>
      <c r="F4067" s="200" t="s">
        <v>296</v>
      </c>
      <c r="G4067" s="200" t="s">
        <v>411</v>
      </c>
      <c r="H4067" s="200" t="s">
        <v>1066</v>
      </c>
    </row>
    <row r="4068" spans="1:9" ht="15" customHeight="1">
      <c r="A4068" s="199">
        <v>45728</v>
      </c>
      <c r="B4068" s="202" t="s">
        <v>3288</v>
      </c>
      <c r="C4068" s="200" t="s">
        <v>372</v>
      </c>
      <c r="D4068" s="645">
        <v>-169400</v>
      </c>
      <c r="E4068" s="201">
        <v>45717</v>
      </c>
      <c r="F4068" s="200" t="s">
        <v>296</v>
      </c>
      <c r="G4068" s="200" t="s">
        <v>411</v>
      </c>
      <c r="H4068" s="200" t="s">
        <v>1066</v>
      </c>
    </row>
    <row r="4069" spans="1:9" ht="15" customHeight="1">
      <c r="A4069" s="199">
        <v>45728</v>
      </c>
      <c r="B4069" s="202" t="s">
        <v>3289</v>
      </c>
      <c r="C4069" s="200" t="s">
        <v>204</v>
      </c>
      <c r="D4069" s="658">
        <v>-1513000</v>
      </c>
      <c r="E4069" s="201">
        <v>45717</v>
      </c>
      <c r="F4069" s="200" t="s">
        <v>296</v>
      </c>
      <c r="G4069" s="200" t="s">
        <v>984</v>
      </c>
      <c r="H4069" s="200" t="s">
        <v>1066</v>
      </c>
    </row>
    <row r="4070" spans="1:9" ht="15" customHeight="1">
      <c r="A4070" s="199">
        <v>45728</v>
      </c>
      <c r="B4070" s="202" t="s">
        <v>3290</v>
      </c>
      <c r="C4070" s="200" t="s">
        <v>372</v>
      </c>
      <c r="D4070" s="645">
        <v>-187000</v>
      </c>
      <c r="E4070" s="201">
        <v>45717</v>
      </c>
      <c r="F4070" s="200" t="s">
        <v>296</v>
      </c>
      <c r="G4070" s="200" t="s">
        <v>984</v>
      </c>
      <c r="H4070" s="200" t="s">
        <v>1066</v>
      </c>
    </row>
    <row r="4071" spans="1:9" ht="15" customHeight="1">
      <c r="A4071" s="199">
        <v>45728</v>
      </c>
      <c r="B4071" s="202" t="s">
        <v>3291</v>
      </c>
      <c r="C4071" s="200" t="s">
        <v>204</v>
      </c>
      <c r="D4071" s="658">
        <v>-1050000</v>
      </c>
      <c r="E4071" s="201">
        <v>45717</v>
      </c>
      <c r="F4071" s="200" t="s">
        <v>296</v>
      </c>
      <c r="G4071" s="200" t="s">
        <v>453</v>
      </c>
      <c r="H4071" s="200" t="s">
        <v>121</v>
      </c>
    </row>
    <row r="4072" spans="1:9" ht="15" customHeight="1">
      <c r="A4072" s="199">
        <v>45728</v>
      </c>
      <c r="B4072" s="202" t="s">
        <v>3292</v>
      </c>
      <c r="C4072" s="200" t="s">
        <v>204</v>
      </c>
      <c r="D4072" s="658">
        <v>-100000</v>
      </c>
      <c r="E4072" s="201">
        <v>45717</v>
      </c>
      <c r="F4072" s="200" t="s">
        <v>296</v>
      </c>
      <c r="G4072" s="200" t="s">
        <v>3199</v>
      </c>
      <c r="H4072" s="200" t="s">
        <v>777</v>
      </c>
      <c r="I4072" s="648" t="s">
        <v>329</v>
      </c>
    </row>
    <row r="4073" spans="1:9" ht="15" customHeight="1">
      <c r="A4073" s="199">
        <v>45728</v>
      </c>
      <c r="B4073" s="202" t="s">
        <v>3293</v>
      </c>
      <c r="C4073" s="200" t="s">
        <v>204</v>
      </c>
      <c r="D4073" s="658">
        <v>-126000</v>
      </c>
      <c r="E4073" s="201">
        <v>45717</v>
      </c>
      <c r="F4073" s="200" t="s">
        <v>297</v>
      </c>
      <c r="G4073" s="200" t="s">
        <v>1313</v>
      </c>
      <c r="H4073" s="200" t="s">
        <v>268</v>
      </c>
    </row>
    <row r="4074" spans="1:9" ht="15" customHeight="1">
      <c r="A4074" s="199">
        <v>45728</v>
      </c>
      <c r="B4074" s="202" t="s">
        <v>3293</v>
      </c>
      <c r="C4074" s="200" t="s">
        <v>204</v>
      </c>
      <c r="D4074" s="658">
        <v>-78000</v>
      </c>
      <c r="E4074" s="201">
        <v>45717</v>
      </c>
      <c r="F4074" s="200" t="s">
        <v>296</v>
      </c>
      <c r="G4074" s="200" t="s">
        <v>337</v>
      </c>
      <c r="H4074" s="200" t="s">
        <v>326</v>
      </c>
    </row>
    <row r="4075" spans="1:9" ht="15" customHeight="1">
      <c r="A4075" s="199">
        <v>45728</v>
      </c>
      <c r="B4075" s="202" t="s">
        <v>3293</v>
      </c>
      <c r="C4075" s="200" t="s">
        <v>204</v>
      </c>
      <c r="D4075" s="658">
        <v>-20000</v>
      </c>
      <c r="E4075" s="201">
        <v>45717</v>
      </c>
      <c r="F4075" s="200" t="s">
        <v>296</v>
      </c>
      <c r="G4075" s="200" t="s">
        <v>411</v>
      </c>
      <c r="H4075" s="200" t="s">
        <v>268</v>
      </c>
    </row>
    <row r="4076" spans="1:9" ht="15" customHeight="1">
      <c r="A4076" s="199">
        <v>45728</v>
      </c>
      <c r="B4076" s="202" t="s">
        <v>3293</v>
      </c>
      <c r="C4076" s="200" t="s">
        <v>204</v>
      </c>
      <c r="D4076" s="658">
        <v>-20000</v>
      </c>
      <c r="E4076" s="201">
        <v>45717</v>
      </c>
      <c r="F4076" s="200" t="s">
        <v>296</v>
      </c>
      <c r="G4076" s="200" t="s">
        <v>328</v>
      </c>
      <c r="H4076" s="200" t="s">
        <v>268</v>
      </c>
    </row>
    <row r="4077" spans="1:9" ht="15" customHeight="1">
      <c r="A4077" s="199">
        <v>45728</v>
      </c>
      <c r="B4077" s="202" t="s">
        <v>3293</v>
      </c>
      <c r="C4077" s="200" t="s">
        <v>204</v>
      </c>
      <c r="D4077" s="658">
        <v>-18000</v>
      </c>
      <c r="E4077" s="201">
        <v>45717</v>
      </c>
      <c r="F4077" s="200" t="s">
        <v>296</v>
      </c>
      <c r="G4077" s="200" t="s">
        <v>2994</v>
      </c>
      <c r="H4077" s="200" t="s">
        <v>268</v>
      </c>
    </row>
    <row r="4078" spans="1:9" ht="15" customHeight="1">
      <c r="A4078" s="199">
        <v>45728</v>
      </c>
      <c r="B4078" s="202" t="s">
        <v>3293</v>
      </c>
      <c r="C4078" s="200" t="s">
        <v>204</v>
      </c>
      <c r="D4078" s="658">
        <v>-75000</v>
      </c>
      <c r="E4078" s="201">
        <v>45717</v>
      </c>
      <c r="F4078" s="200" t="s">
        <v>296</v>
      </c>
      <c r="G4078" s="200" t="s">
        <v>984</v>
      </c>
      <c r="H4078" s="200" t="s">
        <v>268</v>
      </c>
    </row>
    <row r="4079" spans="1:9" ht="15" customHeight="1">
      <c r="A4079" s="199">
        <v>45728</v>
      </c>
      <c r="B4079" s="202" t="s">
        <v>3293</v>
      </c>
      <c r="C4079" s="200" t="s">
        <v>204</v>
      </c>
      <c r="D4079" s="658">
        <v>-10000</v>
      </c>
      <c r="E4079" s="201">
        <v>45717</v>
      </c>
      <c r="F4079" s="200" t="s">
        <v>297</v>
      </c>
      <c r="G4079" s="200" t="s">
        <v>67</v>
      </c>
      <c r="H4079" s="200" t="s">
        <v>268</v>
      </c>
    </row>
    <row r="4080" spans="1:9" ht="15" customHeight="1">
      <c r="A4080" s="199">
        <v>45728</v>
      </c>
      <c r="B4080" s="202" t="s">
        <v>3293</v>
      </c>
      <c r="C4080" s="200" t="s">
        <v>204</v>
      </c>
      <c r="D4080" s="658">
        <v>-86000</v>
      </c>
      <c r="E4080" s="201">
        <v>45717</v>
      </c>
      <c r="F4080" s="200" t="s">
        <v>395</v>
      </c>
      <c r="G4080" s="531" t="s">
        <v>395</v>
      </c>
      <c r="H4080" s="200" t="s">
        <v>268</v>
      </c>
      <c r="I4080" s="673"/>
    </row>
    <row r="4081" spans="1:8" ht="15" customHeight="1">
      <c r="A4081" s="199">
        <v>45728</v>
      </c>
      <c r="B4081" s="202" t="s">
        <v>3293</v>
      </c>
      <c r="C4081" s="200" t="s">
        <v>204</v>
      </c>
      <c r="D4081" s="658">
        <v>-227376</v>
      </c>
      <c r="E4081" s="201">
        <v>45717</v>
      </c>
      <c r="F4081" s="200" t="s">
        <v>297</v>
      </c>
      <c r="G4081" s="200" t="s">
        <v>1578</v>
      </c>
      <c r="H4081" s="200" t="s">
        <v>268</v>
      </c>
    </row>
    <row r="4082" spans="1:8" ht="15" customHeight="1">
      <c r="A4082" s="199">
        <v>45728</v>
      </c>
      <c r="B4082" s="202" t="s">
        <v>3293</v>
      </c>
      <c r="C4082" s="200" t="s">
        <v>204</v>
      </c>
      <c r="D4082" s="658">
        <v>-40000</v>
      </c>
      <c r="E4082" s="201">
        <v>45717</v>
      </c>
      <c r="F4082" s="200" t="s">
        <v>395</v>
      </c>
      <c r="G4082" s="531" t="s">
        <v>395</v>
      </c>
      <c r="H4082" s="200" t="s">
        <v>268</v>
      </c>
    </row>
    <row r="4083" spans="1:8" ht="15" customHeight="1">
      <c r="A4083" s="199">
        <v>45728</v>
      </c>
      <c r="B4083" s="202" t="s">
        <v>3293</v>
      </c>
      <c r="C4083" s="200" t="s">
        <v>204</v>
      </c>
      <c r="D4083" s="658">
        <v>-38000</v>
      </c>
      <c r="E4083" s="201">
        <v>45717</v>
      </c>
      <c r="F4083" s="200" t="s">
        <v>296</v>
      </c>
      <c r="G4083" s="200" t="s">
        <v>522</v>
      </c>
      <c r="H4083" s="200" t="s">
        <v>326</v>
      </c>
    </row>
    <row r="4084" spans="1:8" ht="15" customHeight="1">
      <c r="A4084" s="199">
        <v>45728</v>
      </c>
      <c r="B4084" s="202" t="s">
        <v>3293</v>
      </c>
      <c r="C4084" s="200" t="s">
        <v>204</v>
      </c>
      <c r="D4084" s="658">
        <v>-28000</v>
      </c>
      <c r="E4084" s="201">
        <v>45717</v>
      </c>
      <c r="F4084" s="200" t="s">
        <v>296</v>
      </c>
      <c r="G4084" s="200" t="s">
        <v>44</v>
      </c>
      <c r="H4084" s="200" t="s">
        <v>326</v>
      </c>
    </row>
    <row r="4085" spans="1:8" ht="15" customHeight="1">
      <c r="A4085" s="199">
        <v>45728</v>
      </c>
      <c r="B4085" s="202" t="s">
        <v>3293</v>
      </c>
      <c r="C4085" s="200" t="s">
        <v>204</v>
      </c>
      <c r="D4085" s="658">
        <v>-10000</v>
      </c>
      <c r="E4085" s="201">
        <v>45717</v>
      </c>
      <c r="F4085" s="200" t="s">
        <v>256</v>
      </c>
      <c r="G4085" s="200" t="s">
        <v>256</v>
      </c>
      <c r="H4085" s="200" t="s">
        <v>268</v>
      </c>
    </row>
    <row r="4086" spans="1:8" ht="15" customHeight="1">
      <c r="A4086" s="199">
        <v>45728</v>
      </c>
      <c r="B4086" s="202" t="s">
        <v>3294</v>
      </c>
      <c r="C4086" s="200" t="s">
        <v>372</v>
      </c>
      <c r="D4086" s="645">
        <v>-7890</v>
      </c>
      <c r="E4086" s="201">
        <v>45717</v>
      </c>
      <c r="F4086" s="200" t="s">
        <v>297</v>
      </c>
      <c r="G4086" s="200" t="s">
        <v>1578</v>
      </c>
      <c r="H4086" s="200" t="s">
        <v>268</v>
      </c>
    </row>
    <row r="4087" spans="1:8" ht="15" customHeight="1">
      <c r="A4087" s="199">
        <v>45728</v>
      </c>
      <c r="B4087" s="202" t="s">
        <v>3295</v>
      </c>
      <c r="C4087" s="200" t="s">
        <v>372</v>
      </c>
      <c r="D4087" s="645">
        <v>-4734</v>
      </c>
      <c r="E4087" s="201">
        <v>45717</v>
      </c>
      <c r="F4087" s="200" t="s">
        <v>297</v>
      </c>
      <c r="G4087" s="200" t="s">
        <v>1578</v>
      </c>
      <c r="H4087" s="200" t="s">
        <v>268</v>
      </c>
    </row>
    <row r="4088" spans="1:8" ht="15" customHeight="1">
      <c r="A4088" s="199">
        <v>45728</v>
      </c>
      <c r="B4088" s="202" t="s">
        <v>3296</v>
      </c>
      <c r="C4088" s="200" t="s">
        <v>204</v>
      </c>
      <c r="D4088" s="658">
        <v>-11536596</v>
      </c>
      <c r="E4088" s="201">
        <v>45717</v>
      </c>
      <c r="F4088" s="200" t="s">
        <v>296</v>
      </c>
      <c r="G4088" s="200" t="s">
        <v>1124</v>
      </c>
      <c r="H4088" s="200" t="s">
        <v>364</v>
      </c>
    </row>
    <row r="4089" spans="1:8" ht="15" customHeight="1">
      <c r="A4089" s="199">
        <v>45728</v>
      </c>
      <c r="B4089" s="202" t="s">
        <v>3297</v>
      </c>
      <c r="C4089" s="200" t="s">
        <v>204</v>
      </c>
      <c r="D4089" s="658">
        <v>-6893882</v>
      </c>
      <c r="E4089" s="201">
        <v>45717</v>
      </c>
      <c r="F4089" s="200" t="s">
        <v>296</v>
      </c>
      <c r="G4089" s="200" t="s">
        <v>1362</v>
      </c>
      <c r="H4089" s="200" t="s">
        <v>377</v>
      </c>
    </row>
    <row r="4090" spans="1:8" ht="15" customHeight="1">
      <c r="A4090" s="199">
        <v>45728</v>
      </c>
      <c r="B4090" s="202" t="s">
        <v>3298</v>
      </c>
      <c r="C4090" s="200" t="s">
        <v>204</v>
      </c>
      <c r="D4090" s="658">
        <v>-1225000</v>
      </c>
      <c r="E4090" s="201">
        <v>45717</v>
      </c>
      <c r="F4090" s="200" t="s">
        <v>296</v>
      </c>
      <c r="G4090" s="200" t="s">
        <v>453</v>
      </c>
      <c r="H4090" s="200" t="s">
        <v>97</v>
      </c>
    </row>
    <row r="4091" spans="1:8" ht="15" customHeight="1">
      <c r="A4091" s="199">
        <v>45728</v>
      </c>
      <c r="B4091" s="202" t="s">
        <v>3299</v>
      </c>
      <c r="C4091" s="200" t="s">
        <v>204</v>
      </c>
      <c r="D4091" s="658">
        <v>-382462</v>
      </c>
      <c r="E4091" s="201">
        <v>45717</v>
      </c>
      <c r="F4091" s="200" t="s">
        <v>296</v>
      </c>
      <c r="G4091" s="200" t="s">
        <v>411</v>
      </c>
      <c r="H4091" s="200" t="s">
        <v>379</v>
      </c>
    </row>
    <row r="4092" spans="1:8" ht="15" customHeight="1">
      <c r="A4092" s="199">
        <v>45728</v>
      </c>
      <c r="B4092" s="202" t="s">
        <v>3300</v>
      </c>
      <c r="C4092" s="200" t="s">
        <v>372</v>
      </c>
      <c r="D4092" s="645">
        <v>-1938</v>
      </c>
      <c r="E4092" s="201">
        <v>45717</v>
      </c>
      <c r="F4092" s="200" t="s">
        <v>296</v>
      </c>
      <c r="G4092" s="200" t="s">
        <v>411</v>
      </c>
      <c r="H4092" s="200" t="s">
        <v>379</v>
      </c>
    </row>
    <row r="4093" spans="1:8" ht="15" customHeight="1">
      <c r="A4093" s="199">
        <v>45728</v>
      </c>
      <c r="B4093" s="202" t="s">
        <v>3299</v>
      </c>
      <c r="C4093" s="200" t="s">
        <v>204</v>
      </c>
      <c r="D4093" s="658">
        <v>-382462</v>
      </c>
      <c r="E4093" s="201">
        <v>45717</v>
      </c>
      <c r="F4093" s="200" t="s">
        <v>297</v>
      </c>
      <c r="G4093" s="200" t="s">
        <v>1578</v>
      </c>
      <c r="H4093" s="200" t="s">
        <v>379</v>
      </c>
    </row>
    <row r="4094" spans="1:8" ht="15" customHeight="1">
      <c r="A4094" s="199">
        <v>45728</v>
      </c>
      <c r="B4094" s="202" t="s">
        <v>3300</v>
      </c>
      <c r="C4094" s="200" t="s">
        <v>372</v>
      </c>
      <c r="D4094" s="645">
        <v>-1938</v>
      </c>
      <c r="E4094" s="201">
        <v>45717</v>
      </c>
      <c r="F4094" s="200" t="s">
        <v>297</v>
      </c>
      <c r="G4094" s="200" t="s">
        <v>1578</v>
      </c>
      <c r="H4094" s="200" t="s">
        <v>379</v>
      </c>
    </row>
    <row r="4095" spans="1:8" ht="15" customHeight="1">
      <c r="A4095" s="199">
        <v>45729</v>
      </c>
      <c r="B4095" s="202" t="s">
        <v>3301</v>
      </c>
      <c r="C4095" s="200" t="s">
        <v>204</v>
      </c>
      <c r="D4095" s="658">
        <v>-1930000</v>
      </c>
      <c r="E4095" s="201">
        <v>45717</v>
      </c>
      <c r="F4095" s="200" t="s">
        <v>256</v>
      </c>
      <c r="G4095" s="200" t="s">
        <v>256</v>
      </c>
      <c r="H4095" s="200" t="s">
        <v>257</v>
      </c>
    </row>
    <row r="4096" spans="1:8" ht="15" customHeight="1">
      <c r="A4096" s="199">
        <v>45729</v>
      </c>
      <c r="B4096" s="202" t="s">
        <v>3302</v>
      </c>
      <c r="C4096" s="200" t="s">
        <v>204</v>
      </c>
      <c r="D4096" s="658">
        <v>-220000</v>
      </c>
      <c r="E4096" s="201">
        <v>45717</v>
      </c>
      <c r="F4096" s="200" t="s">
        <v>296</v>
      </c>
      <c r="G4096" s="200" t="s">
        <v>337</v>
      </c>
      <c r="H4096" s="200" t="s">
        <v>322</v>
      </c>
    </row>
    <row r="4097" spans="1:9" ht="15" customHeight="1">
      <c r="A4097" s="199">
        <v>45729</v>
      </c>
      <c r="B4097" s="202" t="s">
        <v>3303</v>
      </c>
      <c r="C4097" s="200" t="s">
        <v>204</v>
      </c>
      <c r="D4097" s="658">
        <v>-242646</v>
      </c>
      <c r="E4097" s="201">
        <v>45717</v>
      </c>
      <c r="F4097" s="200" t="s">
        <v>296</v>
      </c>
      <c r="G4097" s="200" t="s">
        <v>1362</v>
      </c>
      <c r="H4097" s="200" t="s">
        <v>342</v>
      </c>
    </row>
    <row r="4098" spans="1:9" ht="15" customHeight="1">
      <c r="A4098" s="199">
        <v>45729</v>
      </c>
      <c r="B4098" s="202" t="s">
        <v>3304</v>
      </c>
      <c r="C4098" s="200" t="s">
        <v>204</v>
      </c>
      <c r="D4098" s="658">
        <v>-242646</v>
      </c>
      <c r="E4098" s="201">
        <v>45717</v>
      </c>
      <c r="F4098" s="200" t="s">
        <v>296</v>
      </c>
      <c r="G4098" s="200" t="s">
        <v>1124</v>
      </c>
      <c r="H4098" s="200" t="s">
        <v>269</v>
      </c>
    </row>
    <row r="4099" spans="1:9" ht="15" customHeight="1">
      <c r="A4099" s="199">
        <v>45729</v>
      </c>
      <c r="B4099" s="202" t="s">
        <v>3305</v>
      </c>
      <c r="C4099" s="200" t="s">
        <v>204</v>
      </c>
      <c r="D4099" s="658">
        <v>-954000</v>
      </c>
      <c r="E4099" s="201">
        <v>45717</v>
      </c>
      <c r="F4099" s="200" t="s">
        <v>256</v>
      </c>
      <c r="G4099" s="200" t="s">
        <v>107</v>
      </c>
      <c r="H4099" s="200" t="s">
        <v>777</v>
      </c>
    </row>
    <row r="4100" spans="1:9" ht="15" customHeight="1">
      <c r="A4100" s="199">
        <v>45729</v>
      </c>
      <c r="B4100" s="202" t="s">
        <v>3306</v>
      </c>
      <c r="C4100" s="200" t="s">
        <v>372</v>
      </c>
      <c r="D4100" s="645">
        <v>-40000</v>
      </c>
      <c r="E4100" s="201">
        <v>45717</v>
      </c>
      <c r="F4100" s="200" t="s">
        <v>256</v>
      </c>
      <c r="G4100" s="200" t="s">
        <v>107</v>
      </c>
      <c r="H4100" s="200" t="s">
        <v>777</v>
      </c>
    </row>
    <row r="4101" spans="1:9" ht="15" customHeight="1">
      <c r="A4101" s="199">
        <v>45729</v>
      </c>
      <c r="B4101" s="202" t="s">
        <v>3307</v>
      </c>
      <c r="C4101" s="200" t="s">
        <v>372</v>
      </c>
      <c r="D4101" s="645">
        <v>-6000</v>
      </c>
      <c r="E4101" s="201">
        <v>45717</v>
      </c>
      <c r="F4101" s="200" t="s">
        <v>256</v>
      </c>
      <c r="G4101" s="200" t="s">
        <v>107</v>
      </c>
      <c r="H4101" s="200" t="s">
        <v>777</v>
      </c>
    </row>
    <row r="4102" spans="1:9" ht="15" customHeight="1">
      <c r="A4102" s="199">
        <v>45729</v>
      </c>
      <c r="B4102" s="202" t="s">
        <v>3308</v>
      </c>
      <c r="C4102" s="200" t="s">
        <v>204</v>
      </c>
      <c r="D4102" s="658">
        <v>-3185691</v>
      </c>
      <c r="E4102" s="201">
        <v>45717</v>
      </c>
      <c r="F4102" s="200" t="s">
        <v>256</v>
      </c>
      <c r="G4102" s="200" t="s">
        <v>256</v>
      </c>
      <c r="H4102" s="200" t="s">
        <v>267</v>
      </c>
    </row>
    <row r="4103" spans="1:9" ht="15" customHeight="1">
      <c r="A4103" s="199">
        <v>45729</v>
      </c>
      <c r="B4103" s="202" t="s">
        <v>3309</v>
      </c>
      <c r="C4103" s="200" t="s">
        <v>372</v>
      </c>
      <c r="D4103" s="645">
        <v>-68716</v>
      </c>
      <c r="E4103" s="201">
        <v>45717</v>
      </c>
      <c r="F4103" s="200" t="s">
        <v>256</v>
      </c>
      <c r="G4103" s="200" t="s">
        <v>256</v>
      </c>
      <c r="H4103" s="200" t="s">
        <v>267</v>
      </c>
    </row>
    <row r="4104" spans="1:9" ht="15" customHeight="1">
      <c r="A4104" s="199">
        <v>45729</v>
      </c>
      <c r="B4104" s="202" t="s">
        <v>3310</v>
      </c>
      <c r="C4104" s="200" t="s">
        <v>372</v>
      </c>
      <c r="D4104" s="645">
        <v>-16492</v>
      </c>
      <c r="E4104" s="201">
        <v>45717</v>
      </c>
      <c r="F4104" s="200" t="s">
        <v>256</v>
      </c>
      <c r="G4104" s="200" t="s">
        <v>256</v>
      </c>
      <c r="H4104" s="200" t="s">
        <v>267</v>
      </c>
    </row>
    <row r="4105" spans="1:9" ht="15" customHeight="1">
      <c r="A4105" s="199">
        <v>45729</v>
      </c>
      <c r="B4105" s="202" t="s">
        <v>3311</v>
      </c>
      <c r="C4105" s="200" t="s">
        <v>204</v>
      </c>
      <c r="D4105" s="658">
        <v>-465405</v>
      </c>
      <c r="E4105" s="201">
        <v>45717</v>
      </c>
      <c r="F4105" s="200" t="s">
        <v>256</v>
      </c>
      <c r="G4105" s="200" t="s">
        <v>256</v>
      </c>
      <c r="H4105" s="200" t="s">
        <v>257</v>
      </c>
    </row>
    <row r="4106" spans="1:9" ht="15" customHeight="1">
      <c r="A4106" s="199">
        <v>45729</v>
      </c>
      <c r="B4106" s="202" t="s">
        <v>3312</v>
      </c>
      <c r="C4106" s="200" t="s">
        <v>136</v>
      </c>
      <c r="D4106" s="649">
        <v>-3911303</v>
      </c>
      <c r="E4106" s="201">
        <v>45717</v>
      </c>
      <c r="F4106" s="200" t="s">
        <v>296</v>
      </c>
      <c r="G4106" s="200" t="s">
        <v>522</v>
      </c>
      <c r="H4106" s="200" t="s">
        <v>442</v>
      </c>
    </row>
    <row r="4107" spans="1:9" ht="15" customHeight="1">
      <c r="A4107" s="199">
        <v>45729</v>
      </c>
      <c r="B4107" s="202" t="s">
        <v>3312</v>
      </c>
      <c r="C4107" s="200" t="s">
        <v>136</v>
      </c>
      <c r="D4107" s="649">
        <f>-4954969+1.67</f>
        <v>-4954967.33</v>
      </c>
      <c r="E4107" s="201">
        <v>45717</v>
      </c>
      <c r="F4107" s="200" t="s">
        <v>296</v>
      </c>
      <c r="G4107" s="200" t="s">
        <v>44</v>
      </c>
      <c r="H4107" s="200" t="s">
        <v>442</v>
      </c>
    </row>
    <row r="4108" spans="1:9" ht="15" customHeight="1">
      <c r="A4108" s="199">
        <v>45729</v>
      </c>
      <c r="B4108" s="202" t="s">
        <v>3312</v>
      </c>
      <c r="C4108" s="200" t="s">
        <v>136</v>
      </c>
      <c r="D4108" s="649">
        <v>-1924999</v>
      </c>
      <c r="E4108" s="201">
        <v>45717</v>
      </c>
      <c r="F4108" s="200" t="s">
        <v>296</v>
      </c>
      <c r="G4108" s="200" t="s">
        <v>321</v>
      </c>
      <c r="H4108" s="200" t="s">
        <v>326</v>
      </c>
    </row>
    <row r="4109" spans="1:9" ht="15" customHeight="1">
      <c r="A4109" s="199">
        <v>45729</v>
      </c>
      <c r="B4109" s="202" t="s">
        <v>3312</v>
      </c>
      <c r="C4109" s="200" t="s">
        <v>136</v>
      </c>
      <c r="D4109" s="649">
        <v>-1925001</v>
      </c>
      <c r="E4109" s="201">
        <v>45717</v>
      </c>
      <c r="F4109" s="200" t="s">
        <v>296</v>
      </c>
      <c r="G4109" s="200" t="s">
        <v>337</v>
      </c>
      <c r="H4109" s="200" t="s">
        <v>326</v>
      </c>
    </row>
    <row r="4110" spans="1:9" ht="15" customHeight="1">
      <c r="A4110" s="199">
        <v>45729</v>
      </c>
      <c r="B4110" s="202" t="s">
        <v>3313</v>
      </c>
      <c r="C4110" s="200" t="s">
        <v>136</v>
      </c>
      <c r="D4110" s="649">
        <v>-115618</v>
      </c>
      <c r="E4110" s="201">
        <v>45717</v>
      </c>
      <c r="F4110" s="200" t="s">
        <v>256</v>
      </c>
      <c r="G4110" s="200" t="s">
        <v>256</v>
      </c>
      <c r="H4110" s="200" t="s">
        <v>115</v>
      </c>
    </row>
    <row r="4111" spans="1:9" ht="15" customHeight="1">
      <c r="A4111" s="199">
        <v>45729</v>
      </c>
      <c r="B4111" s="202" t="s">
        <v>2732</v>
      </c>
      <c r="C4111" s="200" t="s">
        <v>307</v>
      </c>
      <c r="D4111" s="204">
        <v>-26880</v>
      </c>
      <c r="E4111" s="201">
        <v>45717</v>
      </c>
      <c r="F4111" s="200" t="s">
        <v>395</v>
      </c>
      <c r="G4111" s="531" t="s">
        <v>395</v>
      </c>
      <c r="H4111" s="200" t="s">
        <v>268</v>
      </c>
      <c r="I4111" s="673"/>
    </row>
    <row r="4112" spans="1:9" ht="15" customHeight="1">
      <c r="A4112" s="199">
        <v>45729</v>
      </c>
      <c r="B4112" s="202" t="s">
        <v>2732</v>
      </c>
      <c r="C4112" s="200" t="s">
        <v>307</v>
      </c>
      <c r="D4112" s="204">
        <v>-28000</v>
      </c>
      <c r="E4112" s="201">
        <v>45717</v>
      </c>
      <c r="F4112" s="200" t="s">
        <v>256</v>
      </c>
      <c r="G4112" s="200" t="s">
        <v>256</v>
      </c>
      <c r="H4112" s="200" t="s">
        <v>268</v>
      </c>
    </row>
    <row r="4113" spans="1:9" ht="15" customHeight="1">
      <c r="A4113" s="199">
        <v>45729</v>
      </c>
      <c r="B4113" s="202" t="s">
        <v>2732</v>
      </c>
      <c r="C4113" s="200" t="s">
        <v>307</v>
      </c>
      <c r="D4113" s="204">
        <v>-14000</v>
      </c>
      <c r="E4113" s="201">
        <v>45717</v>
      </c>
      <c r="F4113" s="200" t="s">
        <v>297</v>
      </c>
      <c r="G4113" s="200" t="s">
        <v>1313</v>
      </c>
      <c r="H4113" s="200" t="s">
        <v>268</v>
      </c>
    </row>
    <row r="4114" spans="1:9" ht="15" customHeight="1">
      <c r="A4114" s="199">
        <v>45729</v>
      </c>
      <c r="B4114" s="202" t="s">
        <v>3314</v>
      </c>
      <c r="C4114" s="200" t="s">
        <v>372</v>
      </c>
      <c r="D4114" s="645">
        <v>-700</v>
      </c>
      <c r="E4114" s="201">
        <v>45717</v>
      </c>
      <c r="F4114" s="200" t="s">
        <v>395</v>
      </c>
      <c r="G4114" s="531" t="s">
        <v>395</v>
      </c>
      <c r="H4114" s="200" t="s">
        <v>268</v>
      </c>
      <c r="I4114" s="673"/>
    </row>
    <row r="4115" spans="1:9" ht="15" customHeight="1">
      <c r="A4115" s="199">
        <v>45729</v>
      </c>
      <c r="B4115" s="202" t="s">
        <v>2734</v>
      </c>
      <c r="C4115" s="200" t="s">
        <v>372</v>
      </c>
      <c r="D4115" s="645">
        <v>-420</v>
      </c>
      <c r="E4115" s="201">
        <v>45717</v>
      </c>
      <c r="F4115" s="200" t="s">
        <v>395</v>
      </c>
      <c r="G4115" s="531" t="s">
        <v>395</v>
      </c>
      <c r="H4115" s="200" t="s">
        <v>268</v>
      </c>
      <c r="I4115" s="673"/>
    </row>
    <row r="4116" spans="1:9" ht="15" customHeight="1">
      <c r="A4116" s="199">
        <v>45726</v>
      </c>
      <c r="B4116" s="202" t="s">
        <v>3315</v>
      </c>
      <c r="C4116" s="200" t="s">
        <v>307</v>
      </c>
      <c r="D4116" s="204">
        <v>-83929.41</v>
      </c>
      <c r="E4116" s="201">
        <v>45717</v>
      </c>
      <c r="F4116" s="200" t="s">
        <v>297</v>
      </c>
      <c r="G4116" s="200" t="s">
        <v>1313</v>
      </c>
      <c r="H4116" s="200" t="s">
        <v>350</v>
      </c>
      <c r="I4116" s="200" t="s">
        <v>2982</v>
      </c>
    </row>
    <row r="4117" spans="1:9" ht="15" customHeight="1">
      <c r="A4117" s="199">
        <v>45726</v>
      </c>
      <c r="B4117" s="202" t="s">
        <v>3316</v>
      </c>
      <c r="C4117" s="200" t="s">
        <v>307</v>
      </c>
      <c r="D4117" s="204">
        <v>-43300</v>
      </c>
      <c r="E4117" s="201">
        <v>45717</v>
      </c>
      <c r="F4117" s="200" t="s">
        <v>395</v>
      </c>
      <c r="G4117" s="531" t="s">
        <v>395</v>
      </c>
      <c r="H4117" s="200" t="s">
        <v>350</v>
      </c>
      <c r="I4117" s="673"/>
    </row>
    <row r="4118" spans="1:9" ht="15" customHeight="1">
      <c r="A4118" s="199">
        <v>45726</v>
      </c>
      <c r="B4118" s="202" t="s">
        <v>3317</v>
      </c>
      <c r="C4118" s="200" t="s">
        <v>307</v>
      </c>
      <c r="D4118" s="204">
        <v>-8000</v>
      </c>
      <c r="E4118" s="201">
        <v>45717</v>
      </c>
      <c r="F4118" s="200" t="s">
        <v>297</v>
      </c>
      <c r="G4118" s="200" t="s">
        <v>1313</v>
      </c>
      <c r="H4118" s="200" t="s">
        <v>350</v>
      </c>
      <c r="I4118" s="200" t="s">
        <v>2982</v>
      </c>
    </row>
    <row r="4119" spans="1:9" ht="15" customHeight="1">
      <c r="A4119" s="199">
        <v>45726</v>
      </c>
      <c r="B4119" s="202" t="s">
        <v>3318</v>
      </c>
      <c r="C4119" s="200" t="s">
        <v>307</v>
      </c>
      <c r="D4119" s="204">
        <v>-7000</v>
      </c>
      <c r="E4119" s="201">
        <v>45717</v>
      </c>
      <c r="F4119" s="200" t="s">
        <v>395</v>
      </c>
      <c r="G4119" s="531" t="s">
        <v>395</v>
      </c>
      <c r="H4119" s="200" t="s">
        <v>268</v>
      </c>
      <c r="I4119" s="673"/>
    </row>
    <row r="4120" spans="1:9" ht="15" customHeight="1">
      <c r="A4120" s="199">
        <v>45726</v>
      </c>
      <c r="B4120" s="202" t="s">
        <v>3319</v>
      </c>
      <c r="C4120" s="200" t="s">
        <v>307</v>
      </c>
      <c r="D4120" s="204">
        <v>-6600</v>
      </c>
      <c r="E4120" s="201">
        <v>45717</v>
      </c>
      <c r="F4120" s="200" t="s">
        <v>395</v>
      </c>
      <c r="G4120" s="531" t="s">
        <v>395</v>
      </c>
      <c r="H4120" s="200" t="s">
        <v>268</v>
      </c>
      <c r="I4120" s="673"/>
    </row>
    <row r="4121" spans="1:9" ht="15" customHeight="1">
      <c r="A4121" s="199">
        <v>45726</v>
      </c>
      <c r="B4121" s="202" t="s">
        <v>3319</v>
      </c>
      <c r="C4121" s="200" t="s">
        <v>307</v>
      </c>
      <c r="D4121" s="204">
        <v>-6000</v>
      </c>
      <c r="E4121" s="201">
        <v>45717</v>
      </c>
      <c r="F4121" s="200" t="s">
        <v>395</v>
      </c>
      <c r="G4121" s="531" t="s">
        <v>395</v>
      </c>
      <c r="H4121" s="200" t="s">
        <v>268</v>
      </c>
      <c r="I4121" s="673"/>
    </row>
    <row r="4122" spans="1:9" ht="15" customHeight="1">
      <c r="A4122" s="199">
        <v>45726</v>
      </c>
      <c r="B4122" s="202" t="s">
        <v>3320</v>
      </c>
      <c r="C4122" s="200" t="s">
        <v>307</v>
      </c>
      <c r="D4122" s="204">
        <v>-30000</v>
      </c>
      <c r="E4122" s="201">
        <v>45717</v>
      </c>
      <c r="F4122" s="200" t="s">
        <v>297</v>
      </c>
      <c r="G4122" s="200" t="s">
        <v>1313</v>
      </c>
      <c r="H4122" s="200" t="s">
        <v>350</v>
      </c>
      <c r="I4122" s="200" t="s">
        <v>2982</v>
      </c>
    </row>
    <row r="4123" spans="1:9" ht="15" customHeight="1">
      <c r="A4123" s="199">
        <v>45727</v>
      </c>
      <c r="B4123" s="202" t="s">
        <v>3321</v>
      </c>
      <c r="C4123" s="200" t="s">
        <v>307</v>
      </c>
      <c r="D4123" s="204">
        <v>-20000</v>
      </c>
      <c r="E4123" s="201">
        <v>45717</v>
      </c>
      <c r="F4123" s="200" t="s">
        <v>256</v>
      </c>
      <c r="G4123" s="200" t="s">
        <v>256</v>
      </c>
      <c r="H4123" s="200" t="s">
        <v>263</v>
      </c>
      <c r="I4123" s="200" t="s">
        <v>2982</v>
      </c>
    </row>
    <row r="4124" spans="1:9" ht="15" customHeight="1">
      <c r="A4124" s="199">
        <v>45727</v>
      </c>
      <c r="B4124" s="202" t="s">
        <v>3322</v>
      </c>
      <c r="C4124" s="200" t="s">
        <v>307</v>
      </c>
      <c r="D4124" s="204">
        <v>-142520</v>
      </c>
      <c r="E4124" s="201">
        <v>45717</v>
      </c>
      <c r="F4124" s="200" t="s">
        <v>395</v>
      </c>
      <c r="G4124" s="531" t="s">
        <v>395</v>
      </c>
      <c r="H4124" s="200" t="s">
        <v>350</v>
      </c>
      <c r="I4124" s="673"/>
    </row>
    <row r="4125" spans="1:9" ht="15" customHeight="1">
      <c r="A4125" s="199">
        <v>45727</v>
      </c>
      <c r="B4125" s="202" t="s">
        <v>3323</v>
      </c>
      <c r="C4125" s="200" t="s">
        <v>307</v>
      </c>
      <c r="D4125" s="204">
        <v>-12000</v>
      </c>
      <c r="E4125" s="201">
        <v>45717</v>
      </c>
      <c r="F4125" s="200" t="s">
        <v>256</v>
      </c>
      <c r="G4125" s="200" t="s">
        <v>256</v>
      </c>
      <c r="H4125" s="200" t="s">
        <v>267</v>
      </c>
      <c r="I4125" s="200" t="s">
        <v>2982</v>
      </c>
    </row>
    <row r="4126" spans="1:9" ht="15" customHeight="1">
      <c r="A4126" s="199">
        <v>45727</v>
      </c>
      <c r="B4126" s="202" t="s">
        <v>3324</v>
      </c>
      <c r="C4126" s="200" t="s">
        <v>307</v>
      </c>
      <c r="D4126" s="204">
        <v>-20000</v>
      </c>
      <c r="E4126" s="201">
        <v>45717</v>
      </c>
      <c r="F4126" s="200" t="s">
        <v>256</v>
      </c>
      <c r="G4126" s="200" t="s">
        <v>256</v>
      </c>
      <c r="H4126" s="200" t="s">
        <v>267</v>
      </c>
      <c r="I4126" s="200" t="s">
        <v>2982</v>
      </c>
    </row>
    <row r="4127" spans="1:9" ht="15" customHeight="1">
      <c r="A4127" s="199">
        <v>45727</v>
      </c>
      <c r="B4127" s="202" t="s">
        <v>3325</v>
      </c>
      <c r="C4127" s="200" t="s">
        <v>307</v>
      </c>
      <c r="D4127" s="204">
        <v>-20000</v>
      </c>
      <c r="E4127" s="201">
        <v>45717</v>
      </c>
      <c r="F4127" s="200" t="s">
        <v>256</v>
      </c>
      <c r="G4127" s="200" t="s">
        <v>256</v>
      </c>
      <c r="H4127" s="200" t="s">
        <v>267</v>
      </c>
      <c r="I4127" s="200" t="s">
        <v>2982</v>
      </c>
    </row>
    <row r="4128" spans="1:9" ht="15" customHeight="1">
      <c r="A4128" s="199">
        <v>45721</v>
      </c>
      <c r="B4128" s="202" t="s">
        <v>3326</v>
      </c>
      <c r="C4128" s="200" t="s">
        <v>307</v>
      </c>
      <c r="D4128" s="204">
        <v>-26900</v>
      </c>
      <c r="E4128" s="201">
        <v>45717</v>
      </c>
      <c r="F4128" s="200" t="s">
        <v>395</v>
      </c>
      <c r="G4128" s="531" t="s">
        <v>395</v>
      </c>
      <c r="H4128" s="200" t="s">
        <v>342</v>
      </c>
      <c r="I4128" s="673"/>
    </row>
    <row r="4129" spans="1:9" ht="15" customHeight="1">
      <c r="A4129" s="199">
        <v>45721</v>
      </c>
      <c r="B4129" s="202" t="s">
        <v>3327</v>
      </c>
      <c r="C4129" s="200" t="s">
        <v>307</v>
      </c>
      <c r="D4129" s="204">
        <v>-48000</v>
      </c>
      <c r="E4129" s="201">
        <v>45717</v>
      </c>
      <c r="F4129" s="200" t="s">
        <v>395</v>
      </c>
      <c r="G4129" s="531" t="s">
        <v>395</v>
      </c>
      <c r="H4129" s="200" t="s">
        <v>268</v>
      </c>
      <c r="I4129" s="673"/>
    </row>
    <row r="4130" spans="1:9" ht="15" customHeight="1">
      <c r="A4130" s="199">
        <v>45722</v>
      </c>
      <c r="B4130" s="202" t="s">
        <v>3017</v>
      </c>
      <c r="C4130" s="200" t="s">
        <v>307</v>
      </c>
      <c r="D4130" s="204">
        <v>-17000</v>
      </c>
      <c r="E4130" s="201">
        <v>45717</v>
      </c>
      <c r="F4130" s="200" t="s">
        <v>297</v>
      </c>
      <c r="G4130" s="200" t="s">
        <v>1578</v>
      </c>
      <c r="H4130" s="200" t="s">
        <v>268</v>
      </c>
      <c r="I4130" s="200" t="s">
        <v>1899</v>
      </c>
    </row>
    <row r="4131" spans="1:9" ht="15" customHeight="1">
      <c r="A4131" s="199">
        <v>45722</v>
      </c>
      <c r="B4131" s="202" t="s">
        <v>3328</v>
      </c>
      <c r="C4131" s="200" t="s">
        <v>307</v>
      </c>
      <c r="D4131" s="204">
        <v>-6500</v>
      </c>
      <c r="E4131" s="201">
        <v>45717</v>
      </c>
      <c r="F4131" s="200" t="s">
        <v>297</v>
      </c>
      <c r="G4131" s="200" t="s">
        <v>1578</v>
      </c>
      <c r="H4131" s="200" t="s">
        <v>268</v>
      </c>
      <c r="I4131" s="200" t="s">
        <v>1899</v>
      </c>
    </row>
    <row r="4132" spans="1:9" ht="15" customHeight="1">
      <c r="A4132" s="199">
        <v>45722</v>
      </c>
      <c r="B4132" s="202" t="s">
        <v>3329</v>
      </c>
      <c r="C4132" s="200" t="s">
        <v>307</v>
      </c>
      <c r="D4132" s="204">
        <v>-18000.003599999996</v>
      </c>
      <c r="E4132" s="201">
        <v>45717</v>
      </c>
      <c r="F4132" s="200" t="s">
        <v>297</v>
      </c>
      <c r="G4132" s="200" t="s">
        <v>1578</v>
      </c>
      <c r="H4132" s="200" t="s">
        <v>342</v>
      </c>
      <c r="I4132" s="200" t="s">
        <v>1899</v>
      </c>
    </row>
    <row r="4133" spans="1:9" ht="15" customHeight="1">
      <c r="A4133" s="199">
        <v>45722</v>
      </c>
      <c r="B4133" s="202" t="s">
        <v>3330</v>
      </c>
      <c r="C4133" s="200" t="s">
        <v>307</v>
      </c>
      <c r="D4133" s="204">
        <v>-6500</v>
      </c>
      <c r="E4133" s="201">
        <v>45717</v>
      </c>
      <c r="F4133" s="200" t="s">
        <v>297</v>
      </c>
      <c r="G4133" s="200" t="s">
        <v>1578</v>
      </c>
      <c r="H4133" s="200" t="s">
        <v>268</v>
      </c>
      <c r="I4133" s="200" t="s">
        <v>1899</v>
      </c>
    </row>
    <row r="4134" spans="1:9" ht="15" customHeight="1">
      <c r="A4134" s="199">
        <v>45722</v>
      </c>
      <c r="B4134" s="202" t="s">
        <v>3022</v>
      </c>
      <c r="C4134" s="200" t="s">
        <v>307</v>
      </c>
      <c r="D4134" s="204">
        <v>-17000</v>
      </c>
      <c r="E4134" s="201">
        <v>45717</v>
      </c>
      <c r="F4134" s="200" t="s">
        <v>297</v>
      </c>
      <c r="G4134" s="200" t="s">
        <v>1578</v>
      </c>
      <c r="H4134" s="200" t="s">
        <v>268</v>
      </c>
      <c r="I4134" s="200" t="s">
        <v>1899</v>
      </c>
    </row>
    <row r="4135" spans="1:9" ht="15" customHeight="1">
      <c r="A4135" s="199">
        <v>45726</v>
      </c>
      <c r="B4135" s="202" t="s">
        <v>3017</v>
      </c>
      <c r="C4135" s="200" t="s">
        <v>307</v>
      </c>
      <c r="D4135" s="204">
        <v>-17000</v>
      </c>
      <c r="E4135" s="201">
        <v>45717</v>
      </c>
      <c r="F4135" s="200" t="s">
        <v>297</v>
      </c>
      <c r="G4135" s="200" t="s">
        <v>1578</v>
      </c>
      <c r="H4135" s="200" t="s">
        <v>268</v>
      </c>
      <c r="I4135" s="200" t="s">
        <v>1899</v>
      </c>
    </row>
    <row r="4136" spans="1:9" ht="15" customHeight="1">
      <c r="A4136" s="199">
        <v>45726</v>
      </c>
      <c r="B4136" s="202" t="s">
        <v>3328</v>
      </c>
      <c r="C4136" s="200" t="s">
        <v>307</v>
      </c>
      <c r="D4136" s="204">
        <v>-6500</v>
      </c>
      <c r="E4136" s="201">
        <v>45717</v>
      </c>
      <c r="F4136" s="200" t="s">
        <v>297</v>
      </c>
      <c r="G4136" s="200" t="s">
        <v>1578</v>
      </c>
      <c r="H4136" s="200" t="s">
        <v>268</v>
      </c>
      <c r="I4136" s="200" t="s">
        <v>1899</v>
      </c>
    </row>
    <row r="4137" spans="1:9" ht="15" customHeight="1">
      <c r="A4137" s="199">
        <v>45726</v>
      </c>
      <c r="B4137" s="202" t="s">
        <v>3329</v>
      </c>
      <c r="C4137" s="200" t="s">
        <v>307</v>
      </c>
      <c r="D4137" s="204">
        <v>-18000.003599999996</v>
      </c>
      <c r="E4137" s="201">
        <v>45717</v>
      </c>
      <c r="F4137" s="200" t="s">
        <v>297</v>
      </c>
      <c r="G4137" s="200" t="s">
        <v>1578</v>
      </c>
      <c r="H4137" s="200" t="s">
        <v>342</v>
      </c>
      <c r="I4137" s="200" t="s">
        <v>1899</v>
      </c>
    </row>
    <row r="4138" spans="1:9" ht="15" customHeight="1">
      <c r="A4138" s="199">
        <v>45726</v>
      </c>
      <c r="B4138" s="202" t="s">
        <v>3330</v>
      </c>
      <c r="C4138" s="200" t="s">
        <v>307</v>
      </c>
      <c r="D4138" s="204">
        <v>-6500</v>
      </c>
      <c r="E4138" s="201">
        <v>45717</v>
      </c>
      <c r="F4138" s="200" t="s">
        <v>297</v>
      </c>
      <c r="G4138" s="200" t="s">
        <v>1578</v>
      </c>
      <c r="H4138" s="200" t="s">
        <v>268</v>
      </c>
      <c r="I4138" s="200" t="s">
        <v>1899</v>
      </c>
    </row>
    <row r="4139" spans="1:9" ht="15" customHeight="1">
      <c r="A4139" s="199">
        <v>45726</v>
      </c>
      <c r="B4139" s="202" t="s">
        <v>3022</v>
      </c>
      <c r="C4139" s="200" t="s">
        <v>307</v>
      </c>
      <c r="D4139" s="204">
        <v>-17000</v>
      </c>
      <c r="E4139" s="201">
        <v>45717</v>
      </c>
      <c r="F4139" s="200" t="s">
        <v>297</v>
      </c>
      <c r="G4139" s="200" t="s">
        <v>1578</v>
      </c>
      <c r="H4139" s="200" t="s">
        <v>268</v>
      </c>
      <c r="I4139" s="200" t="s">
        <v>1899</v>
      </c>
    </row>
    <row r="4140" spans="1:9" ht="15" customHeight="1">
      <c r="A4140" s="199">
        <v>45727</v>
      </c>
      <c r="B4140" s="202" t="s">
        <v>3017</v>
      </c>
      <c r="C4140" s="200" t="s">
        <v>307</v>
      </c>
      <c r="D4140" s="204">
        <v>-17000</v>
      </c>
      <c r="E4140" s="201">
        <v>45717</v>
      </c>
      <c r="F4140" s="200" t="s">
        <v>395</v>
      </c>
      <c r="G4140" s="531" t="s">
        <v>395</v>
      </c>
      <c r="H4140" s="200" t="s">
        <v>268</v>
      </c>
      <c r="I4140" s="673"/>
    </row>
    <row r="4141" spans="1:9" ht="15" customHeight="1">
      <c r="A4141" s="199">
        <v>45727</v>
      </c>
      <c r="B4141" s="202" t="s">
        <v>3331</v>
      </c>
      <c r="C4141" s="200" t="s">
        <v>307</v>
      </c>
      <c r="D4141" s="204">
        <v>-6500</v>
      </c>
      <c r="E4141" s="201">
        <v>45717</v>
      </c>
      <c r="F4141" s="200" t="s">
        <v>395</v>
      </c>
      <c r="G4141" s="531" t="s">
        <v>395</v>
      </c>
      <c r="H4141" s="200" t="s">
        <v>268</v>
      </c>
      <c r="I4141" s="673"/>
    </row>
    <row r="4142" spans="1:9" ht="15" customHeight="1">
      <c r="A4142" s="199">
        <v>45727</v>
      </c>
      <c r="B4142" s="202" t="s">
        <v>3332</v>
      </c>
      <c r="C4142" s="200" t="s">
        <v>307</v>
      </c>
      <c r="D4142" s="204">
        <v>-34000</v>
      </c>
      <c r="E4142" s="201">
        <v>45717</v>
      </c>
      <c r="F4142" s="200" t="s">
        <v>395</v>
      </c>
      <c r="G4142" s="531" t="s">
        <v>395</v>
      </c>
      <c r="H4142" s="200" t="s">
        <v>342</v>
      </c>
      <c r="I4142" s="673"/>
    </row>
    <row r="4143" spans="1:9" ht="15" customHeight="1">
      <c r="A4143" s="199">
        <v>45727</v>
      </c>
      <c r="B4143" s="202" t="s">
        <v>3329</v>
      </c>
      <c r="C4143" s="200" t="s">
        <v>307</v>
      </c>
      <c r="D4143" s="204">
        <v>-29900</v>
      </c>
      <c r="E4143" s="201">
        <v>45717</v>
      </c>
      <c r="F4143" s="200" t="s">
        <v>297</v>
      </c>
      <c r="G4143" s="200" t="s">
        <v>1578</v>
      </c>
      <c r="H4143" s="200" t="s">
        <v>342</v>
      </c>
      <c r="I4143" s="200" t="s">
        <v>1899</v>
      </c>
    </row>
    <row r="4144" spans="1:9" ht="15" customHeight="1">
      <c r="A4144" s="199">
        <v>45726</v>
      </c>
      <c r="B4144" s="202" t="s">
        <v>3333</v>
      </c>
      <c r="C4144" s="200" t="s">
        <v>307</v>
      </c>
      <c r="D4144" s="204">
        <v>-45900</v>
      </c>
      <c r="E4144" s="201">
        <v>45717</v>
      </c>
      <c r="F4144" s="200" t="s">
        <v>256</v>
      </c>
      <c r="G4144" s="200" t="s">
        <v>256</v>
      </c>
      <c r="H4144" s="200" t="s">
        <v>263</v>
      </c>
    </row>
    <row r="4145" spans="1:10" ht="15" customHeight="1">
      <c r="A4145" s="199">
        <v>45724</v>
      </c>
      <c r="B4145" s="202" t="s">
        <v>3334</v>
      </c>
      <c r="C4145" s="200" t="s">
        <v>307</v>
      </c>
      <c r="D4145" s="204">
        <v>-32000</v>
      </c>
      <c r="E4145" s="201">
        <v>45717</v>
      </c>
      <c r="F4145" s="200" t="s">
        <v>296</v>
      </c>
      <c r="G4145" s="200" t="s">
        <v>337</v>
      </c>
      <c r="H4145" s="200" t="s">
        <v>322</v>
      </c>
      <c r="I4145" s="200" t="s">
        <v>2982</v>
      </c>
    </row>
    <row r="4146" spans="1:10" ht="15" customHeight="1">
      <c r="A4146" s="199">
        <v>45720</v>
      </c>
      <c r="B4146" s="202" t="s">
        <v>3335</v>
      </c>
      <c r="C4146" s="200" t="s">
        <v>307</v>
      </c>
      <c r="D4146" s="204">
        <v>-10000</v>
      </c>
      <c r="E4146" s="201">
        <v>45717</v>
      </c>
      <c r="F4146" s="200" t="s">
        <v>296</v>
      </c>
      <c r="G4146" s="200" t="s">
        <v>337</v>
      </c>
      <c r="H4146" s="200" t="s">
        <v>326</v>
      </c>
      <c r="I4146" s="200" t="s">
        <v>2982</v>
      </c>
    </row>
    <row r="4147" spans="1:10" ht="15" customHeight="1">
      <c r="A4147" s="199">
        <v>45721</v>
      </c>
      <c r="B4147" s="202" t="s">
        <v>3336</v>
      </c>
      <c r="C4147" s="200" t="s">
        <v>307</v>
      </c>
      <c r="D4147" s="204">
        <v>-10000</v>
      </c>
      <c r="E4147" s="201">
        <v>45717</v>
      </c>
      <c r="F4147" s="200" t="s">
        <v>296</v>
      </c>
      <c r="G4147" s="200" t="s">
        <v>337</v>
      </c>
      <c r="H4147" s="200" t="s">
        <v>326</v>
      </c>
      <c r="I4147" s="200" t="s">
        <v>2982</v>
      </c>
    </row>
    <row r="4148" spans="1:10" ht="15" customHeight="1">
      <c r="A4148" s="199">
        <v>45722</v>
      </c>
      <c r="B4148" s="202" t="s">
        <v>3337</v>
      </c>
      <c r="C4148" s="200" t="s">
        <v>307</v>
      </c>
      <c r="D4148" s="204">
        <v>-39877</v>
      </c>
      <c r="E4148" s="201">
        <v>45717</v>
      </c>
      <c r="F4148" s="200" t="s">
        <v>296</v>
      </c>
      <c r="G4148" s="200" t="s">
        <v>337</v>
      </c>
      <c r="H4148" s="200" t="s">
        <v>366</v>
      </c>
      <c r="I4148" s="200" t="s">
        <v>2982</v>
      </c>
    </row>
    <row r="4149" spans="1:10" ht="15" customHeight="1">
      <c r="A4149" s="199">
        <v>45723</v>
      </c>
      <c r="B4149" s="202" t="s">
        <v>3338</v>
      </c>
      <c r="C4149" s="200" t="s">
        <v>307</v>
      </c>
      <c r="D4149" s="204">
        <v>-40000</v>
      </c>
      <c r="E4149" s="201">
        <v>45717</v>
      </c>
      <c r="F4149" s="200" t="s">
        <v>296</v>
      </c>
      <c r="G4149" s="200" t="s">
        <v>337</v>
      </c>
      <c r="H4149" s="200" t="s">
        <v>326</v>
      </c>
      <c r="I4149" s="200" t="s">
        <v>2982</v>
      </c>
    </row>
    <row r="4150" spans="1:10" ht="15" customHeight="1">
      <c r="A4150" s="199">
        <v>45722</v>
      </c>
      <c r="B4150" s="202" t="s">
        <v>431</v>
      </c>
      <c r="C4150" s="200" t="s">
        <v>307</v>
      </c>
      <c r="D4150" s="204">
        <v>-15200</v>
      </c>
      <c r="E4150" s="201">
        <v>45717</v>
      </c>
      <c r="F4150" s="200" t="s">
        <v>256</v>
      </c>
      <c r="G4150" s="200" t="s">
        <v>256</v>
      </c>
      <c r="H4150" s="200" t="s">
        <v>263</v>
      </c>
      <c r="I4150" s="200" t="s">
        <v>2982</v>
      </c>
    </row>
    <row r="4151" spans="1:10" ht="15" customHeight="1">
      <c r="A4151" s="199">
        <v>45722</v>
      </c>
      <c r="B4151" s="202" t="s">
        <v>3339</v>
      </c>
      <c r="C4151" s="200" t="s">
        <v>307</v>
      </c>
      <c r="D4151" s="204">
        <v>-7600</v>
      </c>
      <c r="E4151" s="201">
        <v>45717</v>
      </c>
      <c r="F4151" s="200" t="s">
        <v>395</v>
      </c>
      <c r="G4151" s="531" t="s">
        <v>395</v>
      </c>
      <c r="H4151" s="200" t="s">
        <v>377</v>
      </c>
    </row>
    <row r="4152" spans="1:10" ht="15" customHeight="1">
      <c r="A4152" s="199">
        <v>45722</v>
      </c>
      <c r="B4152" s="202" t="s">
        <v>3340</v>
      </c>
      <c r="C4152" s="200" t="s">
        <v>307</v>
      </c>
      <c r="D4152" s="204">
        <v>-40590</v>
      </c>
      <c r="E4152" s="201">
        <v>45717</v>
      </c>
      <c r="F4152" s="200" t="s">
        <v>395</v>
      </c>
      <c r="G4152" s="531" t="s">
        <v>395</v>
      </c>
      <c r="H4152" s="200" t="s">
        <v>377</v>
      </c>
    </row>
    <row r="4153" spans="1:10" ht="15" customHeight="1">
      <c r="A4153" s="199">
        <v>45723</v>
      </c>
      <c r="B4153" s="202" t="s">
        <v>3341</v>
      </c>
      <c r="C4153" s="200" t="s">
        <v>307</v>
      </c>
      <c r="D4153" s="204">
        <v>-70000</v>
      </c>
      <c r="E4153" s="201">
        <v>45717</v>
      </c>
      <c r="F4153" s="200" t="s">
        <v>395</v>
      </c>
      <c r="G4153" s="531" t="s">
        <v>395</v>
      </c>
      <c r="H4153" s="200" t="s">
        <v>377</v>
      </c>
      <c r="J4153" s="664" t="s">
        <v>329</v>
      </c>
    </row>
    <row r="4154" spans="1:10" ht="15" customHeight="1">
      <c r="A4154" s="199">
        <v>45723</v>
      </c>
      <c r="B4154" s="202" t="s">
        <v>3342</v>
      </c>
      <c r="C4154" s="200" t="s">
        <v>307</v>
      </c>
      <c r="D4154" s="204">
        <v>-53200</v>
      </c>
      <c r="E4154" s="201">
        <v>45717</v>
      </c>
      <c r="F4154" s="200" t="s">
        <v>296</v>
      </c>
      <c r="G4154" s="200" t="s">
        <v>875</v>
      </c>
      <c r="H4154" s="200" t="s">
        <v>377</v>
      </c>
      <c r="I4154" s="200" t="s">
        <v>2982</v>
      </c>
    </row>
    <row r="4155" spans="1:10" ht="15" customHeight="1">
      <c r="A4155" s="199">
        <v>45723</v>
      </c>
      <c r="B4155" s="202" t="s">
        <v>3342</v>
      </c>
      <c r="C4155" s="200" t="s">
        <v>307</v>
      </c>
      <c r="D4155" s="204">
        <v>-38800</v>
      </c>
      <c r="E4155" s="201">
        <v>45717</v>
      </c>
      <c r="F4155" s="200" t="s">
        <v>296</v>
      </c>
      <c r="G4155" s="200" t="s">
        <v>984</v>
      </c>
      <c r="H4155" s="200" t="s">
        <v>377</v>
      </c>
      <c r="I4155" s="200" t="s">
        <v>2982</v>
      </c>
    </row>
    <row r="4156" spans="1:10" ht="15" customHeight="1">
      <c r="A4156" s="199">
        <v>45720</v>
      </c>
      <c r="B4156" s="202" t="s">
        <v>3343</v>
      </c>
      <c r="C4156" s="200" t="s">
        <v>307</v>
      </c>
      <c r="D4156" s="204">
        <v>-1400</v>
      </c>
      <c r="E4156" s="201">
        <v>45717</v>
      </c>
      <c r="F4156" s="200" t="s">
        <v>297</v>
      </c>
      <c r="G4156" s="200" t="s">
        <v>1313</v>
      </c>
      <c r="H4156" s="200" t="s">
        <v>350</v>
      </c>
      <c r="I4156" s="200" t="s">
        <v>2982</v>
      </c>
    </row>
    <row r="4157" spans="1:10" ht="15" customHeight="1">
      <c r="A4157" s="199">
        <v>45720</v>
      </c>
      <c r="B4157" s="202" t="s">
        <v>3344</v>
      </c>
      <c r="C4157" s="200" t="s">
        <v>307</v>
      </c>
      <c r="D4157" s="204">
        <v>-88199.65</v>
      </c>
      <c r="E4157" s="201">
        <v>45717</v>
      </c>
      <c r="F4157" s="200" t="s">
        <v>297</v>
      </c>
      <c r="G4157" s="200" t="s">
        <v>1313</v>
      </c>
      <c r="H4157" s="200" t="s">
        <v>350</v>
      </c>
      <c r="I4157" s="200" t="s">
        <v>2982</v>
      </c>
    </row>
    <row r="4158" spans="1:10" ht="15" customHeight="1">
      <c r="A4158" s="199">
        <v>45720</v>
      </c>
      <c r="B4158" s="202" t="s">
        <v>3345</v>
      </c>
      <c r="C4158" s="200" t="s">
        <v>307</v>
      </c>
      <c r="D4158" s="204">
        <v>-35493</v>
      </c>
      <c r="E4158" s="201">
        <v>45717</v>
      </c>
      <c r="F4158" s="200" t="s">
        <v>297</v>
      </c>
      <c r="G4158" s="200" t="s">
        <v>67</v>
      </c>
      <c r="H4158" s="200" t="s">
        <v>377</v>
      </c>
      <c r="I4158" s="648" t="s">
        <v>329</v>
      </c>
    </row>
    <row r="4159" spans="1:10" ht="15" customHeight="1">
      <c r="A4159" s="199">
        <v>45721</v>
      </c>
      <c r="B4159" s="202" t="s">
        <v>3346</v>
      </c>
      <c r="C4159" s="200" t="s">
        <v>307</v>
      </c>
      <c r="D4159" s="204">
        <v>-51700</v>
      </c>
      <c r="E4159" s="201">
        <v>45717</v>
      </c>
      <c r="F4159" s="200" t="s">
        <v>395</v>
      </c>
      <c r="G4159" s="531" t="s">
        <v>395</v>
      </c>
      <c r="H4159" s="200" t="s">
        <v>350</v>
      </c>
      <c r="I4159" s="673"/>
    </row>
    <row r="4160" spans="1:10" ht="15" customHeight="1">
      <c r="A4160" s="199">
        <v>45721</v>
      </c>
      <c r="B4160" s="202" t="s">
        <v>3347</v>
      </c>
      <c r="C4160" s="200" t="s">
        <v>307</v>
      </c>
      <c r="D4160" s="204">
        <v>-168100</v>
      </c>
      <c r="E4160" s="201">
        <v>45717</v>
      </c>
      <c r="F4160" s="200" t="s">
        <v>395</v>
      </c>
      <c r="G4160" s="531" t="s">
        <v>395</v>
      </c>
      <c r="H4160" s="200" t="s">
        <v>350</v>
      </c>
      <c r="I4160" s="673"/>
    </row>
    <row r="4161" spans="1:9" ht="15" customHeight="1">
      <c r="A4161" s="199">
        <v>45721</v>
      </c>
      <c r="B4161" s="202" t="s">
        <v>3348</v>
      </c>
      <c r="C4161" s="200" t="s">
        <v>307</v>
      </c>
      <c r="D4161" s="204">
        <v>-20000</v>
      </c>
      <c r="E4161" s="201">
        <v>45717</v>
      </c>
      <c r="F4161" s="200" t="s">
        <v>395</v>
      </c>
      <c r="G4161" s="531" t="s">
        <v>395</v>
      </c>
      <c r="H4161" s="200" t="s">
        <v>346</v>
      </c>
      <c r="I4161" s="673"/>
    </row>
    <row r="4162" spans="1:9" ht="15" customHeight="1">
      <c r="A4162" s="199">
        <v>45721</v>
      </c>
      <c r="B4162" s="202" t="s">
        <v>3342</v>
      </c>
      <c r="C4162" s="200" t="s">
        <v>307</v>
      </c>
      <c r="D4162" s="204">
        <v>-36000</v>
      </c>
      <c r="E4162" s="201">
        <v>45717</v>
      </c>
      <c r="F4162" s="200" t="s">
        <v>296</v>
      </c>
      <c r="G4162" s="200" t="s">
        <v>411</v>
      </c>
      <c r="H4162" s="200" t="s">
        <v>377</v>
      </c>
      <c r="I4162" s="200" t="s">
        <v>2982</v>
      </c>
    </row>
    <row r="4163" spans="1:9" ht="15" customHeight="1">
      <c r="A4163" s="199">
        <v>45721</v>
      </c>
      <c r="B4163" s="202" t="s">
        <v>3349</v>
      </c>
      <c r="C4163" s="200" t="s">
        <v>307</v>
      </c>
      <c r="D4163" s="204">
        <v>-51600</v>
      </c>
      <c r="E4163" s="201">
        <v>45717</v>
      </c>
      <c r="F4163" s="200" t="s">
        <v>296</v>
      </c>
      <c r="G4163" s="200" t="s">
        <v>411</v>
      </c>
      <c r="H4163" s="200" t="s">
        <v>377</v>
      </c>
      <c r="I4163" s="648" t="s">
        <v>329</v>
      </c>
    </row>
    <row r="4164" spans="1:9" ht="15" customHeight="1">
      <c r="A4164" s="199">
        <v>45712</v>
      </c>
      <c r="B4164" s="202" t="s">
        <v>3350</v>
      </c>
      <c r="C4164" s="200" t="s">
        <v>307</v>
      </c>
      <c r="D4164" s="204">
        <v>-90000</v>
      </c>
      <c r="E4164" s="201">
        <v>45717</v>
      </c>
      <c r="F4164" s="200" t="s">
        <v>296</v>
      </c>
      <c r="G4164" s="200" t="s">
        <v>1362</v>
      </c>
      <c r="H4164" s="200" t="s">
        <v>268</v>
      </c>
      <c r="I4164" s="200" t="s">
        <v>2948</v>
      </c>
    </row>
    <row r="4165" spans="1:9" ht="15" customHeight="1">
      <c r="A4165" s="199">
        <v>45712</v>
      </c>
      <c r="B4165" s="202" t="s">
        <v>1523</v>
      </c>
      <c r="C4165" s="200" t="s">
        <v>307</v>
      </c>
      <c r="D4165" s="204">
        <v>-9300</v>
      </c>
      <c r="E4165" s="201">
        <v>45717</v>
      </c>
      <c r="F4165" s="200" t="s">
        <v>296</v>
      </c>
      <c r="G4165" s="200" t="s">
        <v>1362</v>
      </c>
      <c r="H4165" s="200" t="s">
        <v>342</v>
      </c>
      <c r="I4165" s="200" t="s">
        <v>2948</v>
      </c>
    </row>
    <row r="4166" spans="1:9" ht="15" customHeight="1">
      <c r="A4166" s="199">
        <v>45712</v>
      </c>
      <c r="B4166" s="202" t="s">
        <v>3351</v>
      </c>
      <c r="C4166" s="200" t="s">
        <v>307</v>
      </c>
      <c r="D4166" s="204">
        <v>-7700</v>
      </c>
      <c r="E4166" s="201">
        <v>45717</v>
      </c>
      <c r="F4166" s="200" t="s">
        <v>296</v>
      </c>
      <c r="G4166" s="200" t="s">
        <v>1362</v>
      </c>
      <c r="H4166" s="200" t="s">
        <v>268</v>
      </c>
      <c r="I4166" s="200" t="s">
        <v>2948</v>
      </c>
    </row>
    <row r="4167" spans="1:9" ht="15" customHeight="1">
      <c r="A4167" s="199">
        <v>45712</v>
      </c>
      <c r="B4167" s="202" t="s">
        <v>3352</v>
      </c>
      <c r="C4167" s="200" t="s">
        <v>307</v>
      </c>
      <c r="D4167" s="204">
        <v>-8600</v>
      </c>
      <c r="E4167" s="201">
        <v>45717</v>
      </c>
      <c r="F4167" s="200" t="s">
        <v>296</v>
      </c>
      <c r="G4167" s="200" t="s">
        <v>1362</v>
      </c>
      <c r="H4167" s="200" t="s">
        <v>268</v>
      </c>
      <c r="I4167" s="200" t="s">
        <v>2948</v>
      </c>
    </row>
    <row r="4168" spans="1:9" ht="15" customHeight="1">
      <c r="A4168" s="199">
        <v>45712</v>
      </c>
      <c r="B4168" s="202" t="s">
        <v>1745</v>
      </c>
      <c r="C4168" s="200" t="s">
        <v>307</v>
      </c>
      <c r="D4168" s="204">
        <v>-23700</v>
      </c>
      <c r="E4168" s="201">
        <v>45717</v>
      </c>
      <c r="F4168" s="200" t="s">
        <v>296</v>
      </c>
      <c r="G4168" s="200" t="s">
        <v>1362</v>
      </c>
      <c r="H4168" s="200" t="s">
        <v>342</v>
      </c>
      <c r="I4168" s="200" t="s">
        <v>2948</v>
      </c>
    </row>
    <row r="4169" spans="1:9" ht="15" customHeight="1">
      <c r="A4169" s="199">
        <v>45712</v>
      </c>
      <c r="B4169" s="202" t="s">
        <v>3353</v>
      </c>
      <c r="C4169" s="200" t="s">
        <v>307</v>
      </c>
      <c r="D4169" s="204">
        <v>-9000</v>
      </c>
      <c r="E4169" s="201">
        <v>45717</v>
      </c>
      <c r="F4169" s="200" t="s">
        <v>296</v>
      </c>
      <c r="G4169" s="200" t="s">
        <v>1362</v>
      </c>
      <c r="H4169" s="200" t="s">
        <v>268</v>
      </c>
      <c r="I4169" s="200" t="s">
        <v>2948</v>
      </c>
    </row>
    <row r="4170" spans="1:9" ht="15" customHeight="1">
      <c r="A4170" s="199">
        <v>45712</v>
      </c>
      <c r="B4170" s="202" t="s">
        <v>1743</v>
      </c>
      <c r="C4170" s="200" t="s">
        <v>307</v>
      </c>
      <c r="D4170" s="204">
        <v>-21000</v>
      </c>
      <c r="E4170" s="201">
        <v>45717</v>
      </c>
      <c r="F4170" s="200" t="s">
        <v>296</v>
      </c>
      <c r="G4170" s="200" t="s">
        <v>1362</v>
      </c>
      <c r="H4170" s="200" t="s">
        <v>268</v>
      </c>
      <c r="I4170" s="200" t="s">
        <v>2948</v>
      </c>
    </row>
    <row r="4171" spans="1:9" ht="15" customHeight="1">
      <c r="A4171" s="199">
        <v>45713</v>
      </c>
      <c r="B4171" s="202" t="s">
        <v>3354</v>
      </c>
      <c r="C4171" s="200" t="s">
        <v>307</v>
      </c>
      <c r="D4171" s="204">
        <v>-15000</v>
      </c>
      <c r="E4171" s="201">
        <v>45717</v>
      </c>
      <c r="F4171" s="200" t="s">
        <v>296</v>
      </c>
      <c r="G4171" s="200" t="s">
        <v>1362</v>
      </c>
      <c r="H4171" s="200" t="s">
        <v>268</v>
      </c>
      <c r="I4171" s="200" t="s">
        <v>2948</v>
      </c>
    </row>
    <row r="4172" spans="1:9" ht="15" customHeight="1">
      <c r="A4172" s="199">
        <v>45713</v>
      </c>
      <c r="B4172" s="202" t="s">
        <v>3355</v>
      </c>
      <c r="C4172" s="200" t="s">
        <v>307</v>
      </c>
      <c r="D4172" s="204">
        <v>-20000</v>
      </c>
      <c r="E4172" s="201">
        <v>45717</v>
      </c>
      <c r="F4172" s="200" t="s">
        <v>296</v>
      </c>
      <c r="G4172" s="200" t="s">
        <v>1362</v>
      </c>
      <c r="H4172" s="200" t="s">
        <v>268</v>
      </c>
      <c r="I4172" s="200" t="s">
        <v>2948</v>
      </c>
    </row>
    <row r="4173" spans="1:9" ht="15" customHeight="1">
      <c r="A4173" s="199">
        <v>45713</v>
      </c>
      <c r="B4173" s="202" t="s">
        <v>3356</v>
      </c>
      <c r="C4173" s="200" t="s">
        <v>307</v>
      </c>
      <c r="D4173" s="204">
        <v>-20000</v>
      </c>
      <c r="E4173" s="201">
        <v>45717</v>
      </c>
      <c r="F4173" s="200" t="s">
        <v>296</v>
      </c>
      <c r="G4173" s="200" t="s">
        <v>1362</v>
      </c>
      <c r="H4173" s="200" t="s">
        <v>268</v>
      </c>
      <c r="I4173" s="200" t="s">
        <v>2948</v>
      </c>
    </row>
    <row r="4174" spans="1:9" ht="15" customHeight="1">
      <c r="A4174" s="199">
        <v>45713</v>
      </c>
      <c r="B4174" s="202" t="s">
        <v>3357</v>
      </c>
      <c r="C4174" s="200" t="s">
        <v>307</v>
      </c>
      <c r="D4174" s="204">
        <v>-7000</v>
      </c>
      <c r="E4174" s="201">
        <v>45717</v>
      </c>
      <c r="F4174" s="200" t="s">
        <v>296</v>
      </c>
      <c r="G4174" s="200" t="s">
        <v>1362</v>
      </c>
      <c r="H4174" s="200" t="s">
        <v>268</v>
      </c>
      <c r="I4174" s="200" t="s">
        <v>2948</v>
      </c>
    </row>
    <row r="4175" spans="1:9" ht="15" customHeight="1">
      <c r="A4175" s="199">
        <v>45713</v>
      </c>
      <c r="B4175" s="202" t="s">
        <v>3358</v>
      </c>
      <c r="C4175" s="200" t="s">
        <v>307</v>
      </c>
      <c r="D4175" s="204">
        <v>-30000</v>
      </c>
      <c r="E4175" s="201">
        <v>45717</v>
      </c>
      <c r="F4175" s="200" t="s">
        <v>296</v>
      </c>
      <c r="G4175" s="200" t="s">
        <v>1124</v>
      </c>
      <c r="H4175" s="200" t="s">
        <v>268</v>
      </c>
      <c r="I4175" s="200" t="s">
        <v>2948</v>
      </c>
    </row>
    <row r="4176" spans="1:9" ht="15" customHeight="1">
      <c r="A4176" s="199">
        <v>45713</v>
      </c>
      <c r="B4176" s="202" t="s">
        <v>3359</v>
      </c>
      <c r="C4176" s="200" t="s">
        <v>307</v>
      </c>
      <c r="D4176" s="204">
        <v>-40000</v>
      </c>
      <c r="E4176" s="201">
        <v>45717</v>
      </c>
      <c r="F4176" s="200" t="s">
        <v>296</v>
      </c>
      <c r="G4176" s="200" t="s">
        <v>3360</v>
      </c>
      <c r="H4176" s="200" t="s">
        <v>268</v>
      </c>
      <c r="I4176" s="200" t="s">
        <v>2948</v>
      </c>
    </row>
    <row r="4177" spans="1:9" ht="15" customHeight="1">
      <c r="A4177" s="199">
        <v>45713</v>
      </c>
      <c r="B4177" s="202" t="s">
        <v>3361</v>
      </c>
      <c r="C4177" s="200" t="s">
        <v>307</v>
      </c>
      <c r="D4177" s="204">
        <v>-25000</v>
      </c>
      <c r="E4177" s="201">
        <v>45717</v>
      </c>
      <c r="F4177" s="200" t="s">
        <v>296</v>
      </c>
      <c r="G4177" s="200" t="s">
        <v>3360</v>
      </c>
      <c r="H4177" s="200" t="s">
        <v>268</v>
      </c>
      <c r="I4177" s="200" t="s">
        <v>2948</v>
      </c>
    </row>
    <row r="4178" spans="1:9" ht="15" customHeight="1">
      <c r="A4178" s="199">
        <v>45713</v>
      </c>
      <c r="B4178" s="202" t="s">
        <v>3355</v>
      </c>
      <c r="C4178" s="200" t="s">
        <v>307</v>
      </c>
      <c r="D4178" s="204">
        <v>-20000</v>
      </c>
      <c r="E4178" s="201">
        <v>45717</v>
      </c>
      <c r="F4178" s="200" t="s">
        <v>296</v>
      </c>
      <c r="G4178" s="200" t="s">
        <v>1362</v>
      </c>
      <c r="H4178" s="200" t="s">
        <v>268</v>
      </c>
      <c r="I4178" s="200" t="s">
        <v>2948</v>
      </c>
    </row>
    <row r="4179" spans="1:9" ht="15" customHeight="1">
      <c r="A4179" s="199">
        <v>45713</v>
      </c>
      <c r="B4179" s="202" t="s">
        <v>3362</v>
      </c>
      <c r="C4179" s="200" t="s">
        <v>307</v>
      </c>
      <c r="D4179" s="204">
        <v>-20000</v>
      </c>
      <c r="E4179" s="201">
        <v>45717</v>
      </c>
      <c r="F4179" s="200" t="s">
        <v>296</v>
      </c>
      <c r="G4179" s="200" t="s">
        <v>1362</v>
      </c>
      <c r="H4179" s="200" t="s">
        <v>268</v>
      </c>
      <c r="I4179" s="200" t="s">
        <v>2948</v>
      </c>
    </row>
    <row r="4180" spans="1:9" ht="15" customHeight="1">
      <c r="A4180" s="199">
        <v>45713</v>
      </c>
      <c r="B4180" s="202" t="s">
        <v>3363</v>
      </c>
      <c r="C4180" s="200" t="s">
        <v>307</v>
      </c>
      <c r="D4180" s="204">
        <v>-20000</v>
      </c>
      <c r="E4180" s="201">
        <v>45717</v>
      </c>
      <c r="F4180" s="200" t="s">
        <v>296</v>
      </c>
      <c r="G4180" s="200" t="s">
        <v>1362</v>
      </c>
      <c r="H4180" s="200" t="s">
        <v>268</v>
      </c>
      <c r="I4180" s="200" t="s">
        <v>2948</v>
      </c>
    </row>
    <row r="4181" spans="1:9" ht="15" customHeight="1">
      <c r="A4181" s="199">
        <v>45713</v>
      </c>
      <c r="B4181" s="202" t="s">
        <v>3351</v>
      </c>
      <c r="C4181" s="200" t="s">
        <v>307</v>
      </c>
      <c r="D4181" s="204">
        <v>-12000</v>
      </c>
      <c r="E4181" s="201">
        <v>45717</v>
      </c>
      <c r="F4181" s="200" t="s">
        <v>296</v>
      </c>
      <c r="G4181" s="200" t="s">
        <v>1362</v>
      </c>
      <c r="H4181" s="200" t="s">
        <v>268</v>
      </c>
      <c r="I4181" s="200" t="s">
        <v>2948</v>
      </c>
    </row>
    <row r="4182" spans="1:9" ht="15" customHeight="1">
      <c r="A4182" s="199">
        <v>45713</v>
      </c>
      <c r="B4182" s="202" t="s">
        <v>3364</v>
      </c>
      <c r="C4182" s="200" t="s">
        <v>307</v>
      </c>
      <c r="D4182" s="204">
        <v>-25000</v>
      </c>
      <c r="E4182" s="201">
        <v>45717</v>
      </c>
      <c r="F4182" s="200" t="s">
        <v>296</v>
      </c>
      <c r="G4182" s="200" t="s">
        <v>1362</v>
      </c>
      <c r="H4182" s="200" t="s">
        <v>342</v>
      </c>
      <c r="I4182" s="648" t="s">
        <v>329</v>
      </c>
    </row>
    <row r="4183" spans="1:9" ht="15" customHeight="1">
      <c r="A4183" s="199">
        <v>45714</v>
      </c>
      <c r="B4183" s="202" t="s">
        <v>3354</v>
      </c>
      <c r="C4183" s="200" t="s">
        <v>307</v>
      </c>
      <c r="D4183" s="204">
        <v>-13000</v>
      </c>
      <c r="E4183" s="201">
        <v>45717</v>
      </c>
      <c r="F4183" s="200" t="s">
        <v>296</v>
      </c>
      <c r="G4183" s="200" t="s">
        <v>1735</v>
      </c>
      <c r="H4183" s="200" t="s">
        <v>268</v>
      </c>
      <c r="I4183" s="200" t="s">
        <v>2948</v>
      </c>
    </row>
    <row r="4184" spans="1:9" ht="15" customHeight="1">
      <c r="A4184" s="199">
        <v>45714</v>
      </c>
      <c r="B4184" s="202" t="s">
        <v>3365</v>
      </c>
      <c r="C4184" s="200" t="s">
        <v>307</v>
      </c>
      <c r="D4184" s="204">
        <v>-204000</v>
      </c>
      <c r="E4184" s="201">
        <v>45717</v>
      </c>
      <c r="F4184" s="200" t="s">
        <v>296</v>
      </c>
      <c r="G4184" s="200" t="s">
        <v>1735</v>
      </c>
      <c r="H4184" s="200" t="s">
        <v>268</v>
      </c>
      <c r="I4184" s="200" t="s">
        <v>2948</v>
      </c>
    </row>
    <row r="4185" spans="1:9" ht="15" customHeight="1">
      <c r="A4185" s="199">
        <v>45714</v>
      </c>
      <c r="B4185" s="202" t="s">
        <v>3366</v>
      </c>
      <c r="C4185" s="200" t="s">
        <v>307</v>
      </c>
      <c r="D4185" s="204">
        <v>-56000</v>
      </c>
      <c r="E4185" s="201">
        <v>45717</v>
      </c>
      <c r="F4185" s="200" t="s">
        <v>296</v>
      </c>
      <c r="G4185" s="200" t="s">
        <v>1735</v>
      </c>
      <c r="H4185" s="200" t="s">
        <v>342</v>
      </c>
      <c r="I4185" s="200" t="s">
        <v>2948</v>
      </c>
    </row>
    <row r="4186" spans="1:9" ht="15" customHeight="1">
      <c r="A4186" s="199">
        <v>45714</v>
      </c>
      <c r="B4186" s="202" t="s">
        <v>3367</v>
      </c>
      <c r="C4186" s="200" t="s">
        <v>307</v>
      </c>
      <c r="D4186" s="204">
        <v>-100000</v>
      </c>
      <c r="E4186" s="201">
        <v>45717</v>
      </c>
      <c r="F4186" s="200" t="s">
        <v>296</v>
      </c>
      <c r="G4186" s="200" t="s">
        <v>1735</v>
      </c>
      <c r="H4186" s="200" t="s">
        <v>268</v>
      </c>
      <c r="I4186" s="200" t="s">
        <v>2948</v>
      </c>
    </row>
    <row r="4187" spans="1:9" ht="15" customHeight="1">
      <c r="A4187" s="199">
        <v>45714</v>
      </c>
      <c r="B4187" s="202" t="s">
        <v>3368</v>
      </c>
      <c r="C4187" s="200" t="s">
        <v>307</v>
      </c>
      <c r="D4187" s="204">
        <v>-25000</v>
      </c>
      <c r="E4187" s="201">
        <v>45717</v>
      </c>
      <c r="F4187" s="200" t="s">
        <v>296</v>
      </c>
      <c r="G4187" s="200" t="s">
        <v>1735</v>
      </c>
      <c r="H4187" s="200" t="s">
        <v>268</v>
      </c>
      <c r="I4187" s="200" t="s">
        <v>2948</v>
      </c>
    </row>
    <row r="4188" spans="1:9" ht="15" customHeight="1">
      <c r="A4188" s="199">
        <v>45714</v>
      </c>
      <c r="B4188" s="202" t="s">
        <v>3369</v>
      </c>
      <c r="C4188" s="200" t="s">
        <v>307</v>
      </c>
      <c r="D4188" s="204">
        <v>-18000</v>
      </c>
      <c r="E4188" s="201">
        <v>45717</v>
      </c>
      <c r="F4188" s="200" t="s">
        <v>296</v>
      </c>
      <c r="G4188" s="200" t="s">
        <v>1735</v>
      </c>
      <c r="H4188" s="200" t="s">
        <v>342</v>
      </c>
      <c r="I4188" s="200" t="s">
        <v>2948</v>
      </c>
    </row>
    <row r="4189" spans="1:9" ht="15" customHeight="1">
      <c r="A4189" s="199">
        <v>45714</v>
      </c>
      <c r="B4189" s="202" t="s">
        <v>3351</v>
      </c>
      <c r="C4189" s="200" t="s">
        <v>307</v>
      </c>
      <c r="D4189" s="204">
        <v>-8600</v>
      </c>
      <c r="E4189" s="201">
        <v>45717</v>
      </c>
      <c r="F4189" s="200" t="s">
        <v>296</v>
      </c>
      <c r="G4189" s="200" t="s">
        <v>1735</v>
      </c>
      <c r="H4189" s="200" t="s">
        <v>268</v>
      </c>
      <c r="I4189" s="200" t="s">
        <v>2948</v>
      </c>
    </row>
    <row r="4190" spans="1:9" ht="15" customHeight="1">
      <c r="A4190" s="199">
        <v>45715</v>
      </c>
      <c r="B4190" s="202" t="s">
        <v>3370</v>
      </c>
      <c r="C4190" s="200" t="s">
        <v>307</v>
      </c>
      <c r="D4190" s="204">
        <v>-13000</v>
      </c>
      <c r="E4190" s="201">
        <v>45717</v>
      </c>
      <c r="F4190" s="200" t="s">
        <v>296</v>
      </c>
      <c r="G4190" s="200" t="s">
        <v>1735</v>
      </c>
      <c r="H4190" s="200" t="s">
        <v>268</v>
      </c>
      <c r="I4190" s="200" t="s">
        <v>2948</v>
      </c>
    </row>
    <row r="4191" spans="1:9" ht="15" customHeight="1">
      <c r="A4191" s="199">
        <v>45715</v>
      </c>
      <c r="B4191" s="202" t="s">
        <v>3371</v>
      </c>
      <c r="C4191" s="200" t="s">
        <v>307</v>
      </c>
      <c r="D4191" s="204">
        <v>-15400</v>
      </c>
      <c r="E4191" s="201">
        <v>45717</v>
      </c>
      <c r="F4191" s="200" t="s">
        <v>296</v>
      </c>
      <c r="G4191" s="200" t="s">
        <v>1735</v>
      </c>
      <c r="H4191" s="200" t="s">
        <v>342</v>
      </c>
      <c r="I4191" s="200" t="s">
        <v>2948</v>
      </c>
    </row>
    <row r="4192" spans="1:9" ht="15" customHeight="1">
      <c r="A4192" s="199">
        <v>45715</v>
      </c>
      <c r="B4192" s="202" t="s">
        <v>3372</v>
      </c>
      <c r="C4192" s="200" t="s">
        <v>307</v>
      </c>
      <c r="D4192" s="204">
        <v>-16000</v>
      </c>
      <c r="E4192" s="201">
        <v>45717</v>
      </c>
      <c r="F4192" s="200" t="s">
        <v>296</v>
      </c>
      <c r="G4192" s="200" t="s">
        <v>1735</v>
      </c>
      <c r="H4192" s="200" t="s">
        <v>342</v>
      </c>
      <c r="I4192" s="200" t="s">
        <v>2948</v>
      </c>
    </row>
    <row r="4193" spans="1:9" ht="15" customHeight="1">
      <c r="A4193" s="199">
        <v>45715</v>
      </c>
      <c r="B4193" s="202" t="s">
        <v>3373</v>
      </c>
      <c r="C4193" s="200" t="s">
        <v>307</v>
      </c>
      <c r="D4193" s="204">
        <v>-12300</v>
      </c>
      <c r="E4193" s="201">
        <v>45717</v>
      </c>
      <c r="F4193" s="200" t="s">
        <v>296</v>
      </c>
      <c r="G4193" s="200" t="s">
        <v>1735</v>
      </c>
      <c r="H4193" s="200" t="s">
        <v>268</v>
      </c>
      <c r="I4193" s="648" t="s">
        <v>329</v>
      </c>
    </row>
    <row r="4194" spans="1:9" ht="15" customHeight="1">
      <c r="A4194" s="199">
        <v>45716</v>
      </c>
      <c r="B4194" s="202" t="s">
        <v>3374</v>
      </c>
      <c r="C4194" s="200" t="s">
        <v>307</v>
      </c>
      <c r="D4194" s="204">
        <v>-35000</v>
      </c>
      <c r="E4194" s="201">
        <v>45717</v>
      </c>
      <c r="F4194" s="200" t="s">
        <v>296</v>
      </c>
      <c r="G4194" s="200" t="s">
        <v>3360</v>
      </c>
      <c r="H4194" s="200" t="s">
        <v>268</v>
      </c>
      <c r="I4194" s="200" t="s">
        <v>2948</v>
      </c>
    </row>
    <row r="4195" spans="1:9" ht="15" customHeight="1">
      <c r="A4195" s="199">
        <v>45716</v>
      </c>
      <c r="B4195" s="202" t="s">
        <v>3375</v>
      </c>
      <c r="C4195" s="200" t="s">
        <v>307</v>
      </c>
      <c r="D4195" s="204">
        <v>-20000</v>
      </c>
      <c r="E4195" s="201">
        <v>45717</v>
      </c>
      <c r="F4195" s="200" t="s">
        <v>296</v>
      </c>
      <c r="G4195" s="200" t="s">
        <v>3360</v>
      </c>
      <c r="H4195" s="200" t="s">
        <v>268</v>
      </c>
      <c r="I4195" s="200" t="s">
        <v>2948</v>
      </c>
    </row>
    <row r="4196" spans="1:9" ht="15" customHeight="1">
      <c r="A4196" s="199">
        <v>45716</v>
      </c>
      <c r="B4196" s="202" t="s">
        <v>3376</v>
      </c>
      <c r="C4196" s="200" t="s">
        <v>307</v>
      </c>
      <c r="D4196" s="204">
        <v>-471600</v>
      </c>
      <c r="E4196" s="201">
        <v>45717</v>
      </c>
      <c r="F4196" s="200" t="s">
        <v>296</v>
      </c>
      <c r="G4196" s="200" t="s">
        <v>3360</v>
      </c>
      <c r="H4196" s="200" t="s">
        <v>342</v>
      </c>
      <c r="I4196" s="200" t="s">
        <v>2948</v>
      </c>
    </row>
    <row r="4197" spans="1:9" ht="15" customHeight="1">
      <c r="A4197" s="199">
        <v>45716</v>
      </c>
      <c r="B4197" s="202" t="s">
        <v>3377</v>
      </c>
      <c r="C4197" s="200" t="s">
        <v>307</v>
      </c>
      <c r="D4197" s="204">
        <v>-60000</v>
      </c>
      <c r="E4197" s="201">
        <v>45717</v>
      </c>
      <c r="F4197" s="200" t="s">
        <v>296</v>
      </c>
      <c r="G4197" s="200" t="s">
        <v>3360</v>
      </c>
      <c r="H4197" s="200" t="s">
        <v>268</v>
      </c>
      <c r="I4197" s="648" t="s">
        <v>329</v>
      </c>
    </row>
    <row r="4198" spans="1:9" ht="15" customHeight="1">
      <c r="A4198" s="199">
        <v>45730</v>
      </c>
      <c r="B4198" s="202" t="s">
        <v>3378</v>
      </c>
      <c r="C4198" s="200" t="s">
        <v>136</v>
      </c>
      <c r="D4198" s="649">
        <v>-882000</v>
      </c>
      <c r="E4198" s="201">
        <v>45717</v>
      </c>
      <c r="F4198" s="200" t="s">
        <v>256</v>
      </c>
      <c r="G4198" s="200" t="s">
        <v>256</v>
      </c>
      <c r="H4198" s="200" t="s">
        <v>121</v>
      </c>
    </row>
    <row r="4199" spans="1:9" ht="15" customHeight="1">
      <c r="A4199" s="199">
        <v>45730</v>
      </c>
      <c r="B4199" s="202" t="s">
        <v>3379</v>
      </c>
      <c r="C4199" s="200" t="s">
        <v>136</v>
      </c>
      <c r="D4199" s="649">
        <v>-2240000</v>
      </c>
      <c r="E4199" s="201">
        <v>45717</v>
      </c>
      <c r="F4199" s="200" t="s">
        <v>256</v>
      </c>
      <c r="G4199" s="200" t="s">
        <v>256</v>
      </c>
      <c r="H4199" s="200" t="s">
        <v>121</v>
      </c>
    </row>
    <row r="4200" spans="1:9" ht="15" customHeight="1">
      <c r="A4200" s="199">
        <v>45730</v>
      </c>
      <c r="B4200" s="202" t="s">
        <v>3380</v>
      </c>
      <c r="C4200" s="200" t="s">
        <v>136</v>
      </c>
      <c r="D4200" s="649">
        <v>-904080</v>
      </c>
      <c r="E4200" s="201">
        <v>45717</v>
      </c>
      <c r="F4200" s="200" t="s">
        <v>256</v>
      </c>
      <c r="G4200" s="200" t="s">
        <v>256</v>
      </c>
      <c r="H4200" s="200" t="s">
        <v>121</v>
      </c>
    </row>
    <row r="4201" spans="1:9" ht="15" customHeight="1">
      <c r="A4201" s="199">
        <v>45730</v>
      </c>
      <c r="B4201" s="202" t="s">
        <v>3381</v>
      </c>
      <c r="C4201" s="200" t="s">
        <v>136</v>
      </c>
      <c r="D4201" s="649">
        <v>-754810</v>
      </c>
      <c r="E4201" s="201">
        <v>45717</v>
      </c>
      <c r="F4201" s="200" t="s">
        <v>256</v>
      </c>
      <c r="G4201" s="200" t="s">
        <v>256</v>
      </c>
      <c r="H4201" s="200" t="s">
        <v>121</v>
      </c>
    </row>
    <row r="4202" spans="1:9" ht="15" customHeight="1">
      <c r="A4202" s="199">
        <v>45730</v>
      </c>
      <c r="B4202" s="202" t="s">
        <v>3382</v>
      </c>
      <c r="C4202" s="200" t="s">
        <v>136</v>
      </c>
      <c r="D4202" s="649">
        <v>-813000</v>
      </c>
      <c r="E4202" s="201">
        <v>45717</v>
      </c>
      <c r="F4202" s="200" t="s">
        <v>256</v>
      </c>
      <c r="G4202" s="200" t="s">
        <v>256</v>
      </c>
      <c r="H4202" s="200" t="s">
        <v>121</v>
      </c>
    </row>
    <row r="4203" spans="1:9" ht="15" customHeight="1">
      <c r="A4203" s="199">
        <v>45730</v>
      </c>
      <c r="B4203" s="202" t="s">
        <v>3383</v>
      </c>
      <c r="C4203" s="200" t="s">
        <v>136</v>
      </c>
      <c r="D4203" s="649">
        <v>-379600</v>
      </c>
      <c r="E4203" s="201">
        <v>45717</v>
      </c>
      <c r="F4203" s="200" t="s">
        <v>256</v>
      </c>
      <c r="G4203" s="200" t="s">
        <v>256</v>
      </c>
      <c r="H4203" s="200" t="s">
        <v>121</v>
      </c>
    </row>
    <row r="4204" spans="1:9" ht="15" customHeight="1">
      <c r="A4204" s="199">
        <v>45730</v>
      </c>
      <c r="B4204" s="202" t="s">
        <v>3384</v>
      </c>
      <c r="C4204" s="200" t="s">
        <v>136</v>
      </c>
      <c r="D4204" s="649">
        <v>-764399.99999999988</v>
      </c>
      <c r="E4204" s="201">
        <v>45717</v>
      </c>
      <c r="F4204" s="200" t="s">
        <v>256</v>
      </c>
      <c r="G4204" s="200" t="s">
        <v>256</v>
      </c>
      <c r="H4204" s="200" t="s">
        <v>121</v>
      </c>
    </row>
    <row r="4205" spans="1:9" ht="15" customHeight="1">
      <c r="A4205" s="199">
        <v>45730</v>
      </c>
      <c r="B4205" s="202" t="s">
        <v>3385</v>
      </c>
      <c r="C4205" s="200" t="s">
        <v>136</v>
      </c>
      <c r="D4205" s="649">
        <v>-754810</v>
      </c>
      <c r="E4205" s="201">
        <v>45717</v>
      </c>
      <c r="F4205" s="200" t="s">
        <v>256</v>
      </c>
      <c r="G4205" s="200" t="s">
        <v>256</v>
      </c>
      <c r="H4205" s="200" t="s">
        <v>121</v>
      </c>
    </row>
    <row r="4206" spans="1:9" ht="15" customHeight="1">
      <c r="A4206" s="199">
        <v>45730</v>
      </c>
      <c r="B4206" s="202" t="s">
        <v>3386</v>
      </c>
      <c r="C4206" s="200" t="s">
        <v>136</v>
      </c>
      <c r="D4206" s="649">
        <v>-754810</v>
      </c>
      <c r="E4206" s="201">
        <v>45717</v>
      </c>
      <c r="F4206" s="200" t="s">
        <v>256</v>
      </c>
      <c r="G4206" s="200" t="s">
        <v>256</v>
      </c>
      <c r="H4206" s="200" t="s">
        <v>121</v>
      </c>
    </row>
    <row r="4207" spans="1:9" ht="15" customHeight="1">
      <c r="A4207" s="199">
        <v>45730</v>
      </c>
      <c r="B4207" s="202" t="s">
        <v>3387</v>
      </c>
      <c r="C4207" s="200" t="s">
        <v>136</v>
      </c>
      <c r="D4207" s="649">
        <v>-754810</v>
      </c>
      <c r="E4207" s="201">
        <v>45717</v>
      </c>
      <c r="F4207" s="200" t="s">
        <v>256</v>
      </c>
      <c r="G4207" s="200" t="s">
        <v>256</v>
      </c>
      <c r="H4207" s="200" t="s">
        <v>121</v>
      </c>
    </row>
    <row r="4208" spans="1:9" ht="15" customHeight="1">
      <c r="A4208" s="199">
        <v>45730</v>
      </c>
      <c r="B4208" s="202" t="s">
        <v>3388</v>
      </c>
      <c r="C4208" s="200" t="s">
        <v>136</v>
      </c>
      <c r="D4208" s="649">
        <v>-882000</v>
      </c>
      <c r="E4208" s="201">
        <v>45717</v>
      </c>
      <c r="F4208" s="200" t="s">
        <v>256</v>
      </c>
      <c r="G4208" s="200" t="s">
        <v>256</v>
      </c>
      <c r="H4208" s="200" t="s">
        <v>121</v>
      </c>
    </row>
    <row r="4209" spans="1:9" ht="15" customHeight="1">
      <c r="A4209" s="199">
        <v>45730</v>
      </c>
      <c r="B4209" s="202" t="s">
        <v>3389</v>
      </c>
      <c r="C4209" s="200" t="s">
        <v>136</v>
      </c>
      <c r="D4209" s="649">
        <v>-754810</v>
      </c>
      <c r="E4209" s="201">
        <v>45717</v>
      </c>
      <c r="F4209" s="200" t="s">
        <v>256</v>
      </c>
      <c r="G4209" s="200" t="s">
        <v>107</v>
      </c>
      <c r="H4209" s="200" t="s">
        <v>121</v>
      </c>
    </row>
    <row r="4210" spans="1:9" ht="15" customHeight="1">
      <c r="A4210" s="199">
        <v>45730</v>
      </c>
      <c r="B4210" s="202" t="s">
        <v>3390</v>
      </c>
      <c r="C4210" s="200" t="s">
        <v>136</v>
      </c>
      <c r="D4210" s="649">
        <v>-853480</v>
      </c>
      <c r="E4210" s="201">
        <v>45717</v>
      </c>
      <c r="F4210" s="200" t="s">
        <v>296</v>
      </c>
      <c r="G4210" s="200" t="s">
        <v>1124</v>
      </c>
      <c r="H4210" s="200" t="s">
        <v>342</v>
      </c>
    </row>
    <row r="4211" spans="1:9" ht="15" customHeight="1">
      <c r="A4211" s="199">
        <v>45730</v>
      </c>
      <c r="B4211" s="202" t="s">
        <v>3391</v>
      </c>
      <c r="C4211" s="200" t="s">
        <v>136</v>
      </c>
      <c r="D4211" s="649">
        <v>-853480</v>
      </c>
      <c r="E4211" s="201">
        <v>45717</v>
      </c>
      <c r="F4211" s="200" t="s">
        <v>296</v>
      </c>
      <c r="G4211" s="200" t="s">
        <v>1124</v>
      </c>
      <c r="H4211" s="200" t="s">
        <v>342</v>
      </c>
    </row>
    <row r="4212" spans="1:9" ht="15" customHeight="1">
      <c r="A4212" s="199">
        <v>45730</v>
      </c>
      <c r="B4212" s="202" t="s">
        <v>3392</v>
      </c>
      <c r="C4212" s="200" t="s">
        <v>136</v>
      </c>
      <c r="D4212" s="649">
        <v>-1307500</v>
      </c>
      <c r="E4212" s="201">
        <v>45717</v>
      </c>
      <c r="F4212" s="200" t="s">
        <v>296</v>
      </c>
      <c r="G4212" s="200" t="s">
        <v>1124</v>
      </c>
      <c r="H4212" s="200" t="s">
        <v>342</v>
      </c>
    </row>
    <row r="4213" spans="1:9" ht="15" customHeight="1">
      <c r="A4213" s="199">
        <v>45730</v>
      </c>
      <c r="B4213" s="202" t="s">
        <v>3393</v>
      </c>
      <c r="C4213" s="200" t="s">
        <v>136</v>
      </c>
      <c r="D4213" s="649">
        <v>-790000</v>
      </c>
      <c r="E4213" s="201">
        <v>45717</v>
      </c>
      <c r="F4213" s="200" t="s">
        <v>296</v>
      </c>
      <c r="G4213" s="200" t="s">
        <v>1124</v>
      </c>
      <c r="H4213" s="200" t="s">
        <v>342</v>
      </c>
    </row>
    <row r="4214" spans="1:9" ht="15" customHeight="1">
      <c r="A4214" s="199">
        <v>45730</v>
      </c>
      <c r="B4214" s="202" t="s">
        <v>3394</v>
      </c>
      <c r="C4214" s="200" t="s">
        <v>136</v>
      </c>
      <c r="D4214" s="649">
        <v>-853480</v>
      </c>
      <c r="E4214" s="201">
        <v>45717</v>
      </c>
      <c r="F4214" s="200" t="s">
        <v>296</v>
      </c>
      <c r="G4214" s="200" t="s">
        <v>1124</v>
      </c>
      <c r="H4214" s="200" t="s">
        <v>342</v>
      </c>
      <c r="I4214" s="648" t="s">
        <v>329</v>
      </c>
    </row>
    <row r="4215" spans="1:9" ht="15" customHeight="1">
      <c r="A4215" s="199">
        <v>45730</v>
      </c>
      <c r="B4215" s="202" t="s">
        <v>3395</v>
      </c>
      <c r="C4215" s="200" t="s">
        <v>136</v>
      </c>
      <c r="D4215" s="649">
        <v>-1066000</v>
      </c>
      <c r="E4215" s="201">
        <v>45717</v>
      </c>
      <c r="F4215" s="200" t="s">
        <v>296</v>
      </c>
      <c r="G4215" s="200" t="s">
        <v>44</v>
      </c>
      <c r="H4215" s="200" t="s">
        <v>429</v>
      </c>
    </row>
    <row r="4216" spans="1:9" ht="15" customHeight="1">
      <c r="A4216" s="199">
        <v>45730</v>
      </c>
      <c r="B4216" s="202" t="s">
        <v>3396</v>
      </c>
      <c r="C4216" s="200" t="s">
        <v>136</v>
      </c>
      <c r="D4216" s="649">
        <v>-754810</v>
      </c>
      <c r="E4216" s="201">
        <v>45717</v>
      </c>
      <c r="F4216" s="200" t="s">
        <v>296</v>
      </c>
      <c r="G4216" s="200" t="s">
        <v>44</v>
      </c>
      <c r="H4216" s="200" t="s">
        <v>429</v>
      </c>
    </row>
    <row r="4217" spans="1:9" ht="15" customHeight="1">
      <c r="A4217" s="199">
        <v>45730</v>
      </c>
      <c r="B4217" s="202" t="s">
        <v>3397</v>
      </c>
      <c r="C4217" s="200" t="s">
        <v>136</v>
      </c>
      <c r="D4217" s="649">
        <v>-754810</v>
      </c>
      <c r="E4217" s="201">
        <v>45717</v>
      </c>
      <c r="F4217" s="200" t="s">
        <v>296</v>
      </c>
      <c r="G4217" s="200" t="s">
        <v>44</v>
      </c>
      <c r="H4217" s="200" t="s">
        <v>429</v>
      </c>
    </row>
    <row r="4218" spans="1:9" ht="15" customHeight="1">
      <c r="A4218" s="199">
        <v>45730</v>
      </c>
      <c r="B4218" s="202" t="s">
        <v>3398</v>
      </c>
      <c r="C4218" s="200" t="s">
        <v>136</v>
      </c>
      <c r="D4218" s="649">
        <v>-754810</v>
      </c>
      <c r="E4218" s="201">
        <v>45717</v>
      </c>
      <c r="F4218" s="200" t="s">
        <v>296</v>
      </c>
      <c r="G4218" s="200" t="s">
        <v>44</v>
      </c>
      <c r="H4218" s="200" t="s">
        <v>429</v>
      </c>
    </row>
    <row r="4219" spans="1:9" ht="15" customHeight="1">
      <c r="A4219" s="199">
        <v>45730</v>
      </c>
      <c r="B4219" s="202" t="s">
        <v>3399</v>
      </c>
      <c r="C4219" s="200" t="s">
        <v>136</v>
      </c>
      <c r="D4219" s="649">
        <v>-754810</v>
      </c>
      <c r="E4219" s="201">
        <v>45717</v>
      </c>
      <c r="F4219" s="200" t="s">
        <v>296</v>
      </c>
      <c r="G4219" s="200" t="s">
        <v>44</v>
      </c>
      <c r="H4219" s="200" t="s">
        <v>429</v>
      </c>
    </row>
    <row r="4220" spans="1:9" ht="15" customHeight="1">
      <c r="A4220" s="199">
        <v>45730</v>
      </c>
      <c r="B4220" s="202" t="s">
        <v>3400</v>
      </c>
      <c r="C4220" s="200" t="s">
        <v>136</v>
      </c>
      <c r="D4220" s="649">
        <v>-754810</v>
      </c>
      <c r="E4220" s="201">
        <v>45717</v>
      </c>
      <c r="F4220" s="200" t="s">
        <v>296</v>
      </c>
      <c r="G4220" s="200" t="s">
        <v>44</v>
      </c>
      <c r="H4220" s="200" t="s">
        <v>429</v>
      </c>
    </row>
    <row r="4221" spans="1:9" ht="15" customHeight="1">
      <c r="A4221" s="199">
        <v>45730</v>
      </c>
      <c r="B4221" s="202" t="s">
        <v>3401</v>
      </c>
      <c r="C4221" s="200" t="s">
        <v>136</v>
      </c>
      <c r="D4221" s="649">
        <v>-754810</v>
      </c>
      <c r="E4221" s="201">
        <v>45717</v>
      </c>
      <c r="F4221" s="200" t="s">
        <v>296</v>
      </c>
      <c r="G4221" s="200" t="s">
        <v>44</v>
      </c>
      <c r="H4221" s="200" t="s">
        <v>429</v>
      </c>
    </row>
    <row r="4222" spans="1:9" ht="15" customHeight="1">
      <c r="A4222" s="199">
        <v>45730</v>
      </c>
      <c r="B4222" s="202" t="s">
        <v>3402</v>
      </c>
      <c r="C4222" s="200" t="s">
        <v>136</v>
      </c>
      <c r="D4222" s="649">
        <v>-754810</v>
      </c>
      <c r="E4222" s="201">
        <v>45717</v>
      </c>
      <c r="F4222" s="200" t="s">
        <v>296</v>
      </c>
      <c r="G4222" s="200" t="s">
        <v>44</v>
      </c>
      <c r="H4222" s="200" t="s">
        <v>429</v>
      </c>
    </row>
    <row r="4223" spans="1:9" ht="15" customHeight="1">
      <c r="A4223" s="199">
        <v>45730</v>
      </c>
      <c r="B4223" s="202" t="s">
        <v>3403</v>
      </c>
      <c r="C4223" s="200" t="s">
        <v>136</v>
      </c>
      <c r="D4223" s="649">
        <v>-754810</v>
      </c>
      <c r="E4223" s="201">
        <v>45717</v>
      </c>
      <c r="F4223" s="200" t="s">
        <v>296</v>
      </c>
      <c r="G4223" s="200" t="s">
        <v>44</v>
      </c>
      <c r="H4223" s="200" t="s">
        <v>429</v>
      </c>
    </row>
    <row r="4224" spans="1:9" ht="15" customHeight="1">
      <c r="A4224" s="199">
        <v>45730</v>
      </c>
      <c r="B4224" s="202" t="s">
        <v>3404</v>
      </c>
      <c r="C4224" s="200" t="s">
        <v>136</v>
      </c>
      <c r="D4224" s="649">
        <v>-754810</v>
      </c>
      <c r="E4224" s="201">
        <v>45717</v>
      </c>
      <c r="F4224" s="200" t="s">
        <v>296</v>
      </c>
      <c r="G4224" s="200" t="s">
        <v>44</v>
      </c>
      <c r="H4224" s="200" t="s">
        <v>429</v>
      </c>
    </row>
    <row r="4225" spans="1:8" ht="15" customHeight="1">
      <c r="A4225" s="199">
        <v>45730</v>
      </c>
      <c r="B4225" s="202" t="s">
        <v>3405</v>
      </c>
      <c r="C4225" s="200" t="s">
        <v>136</v>
      </c>
      <c r="D4225" s="649">
        <v>-754810</v>
      </c>
      <c r="E4225" s="201">
        <v>45717</v>
      </c>
      <c r="F4225" s="200" t="s">
        <v>296</v>
      </c>
      <c r="G4225" s="200" t="s">
        <v>44</v>
      </c>
      <c r="H4225" s="200" t="s">
        <v>429</v>
      </c>
    </row>
    <row r="4226" spans="1:8" ht="15" customHeight="1">
      <c r="A4226" s="199">
        <v>45730</v>
      </c>
      <c r="B4226" s="202" t="s">
        <v>3406</v>
      </c>
      <c r="C4226" s="200" t="s">
        <v>136</v>
      </c>
      <c r="D4226" s="649">
        <v>-754810</v>
      </c>
      <c r="E4226" s="201">
        <v>45717</v>
      </c>
      <c r="F4226" s="200" t="s">
        <v>296</v>
      </c>
      <c r="G4226" s="200" t="s">
        <v>44</v>
      </c>
      <c r="H4226" s="200" t="s">
        <v>429</v>
      </c>
    </row>
    <row r="4227" spans="1:8" ht="15" customHeight="1">
      <c r="A4227" s="199">
        <v>45730</v>
      </c>
      <c r="B4227" s="202" t="s">
        <v>3407</v>
      </c>
      <c r="C4227" s="200" t="s">
        <v>136</v>
      </c>
      <c r="D4227" s="649">
        <v>-754810</v>
      </c>
      <c r="E4227" s="201">
        <v>45717</v>
      </c>
      <c r="F4227" s="200" t="s">
        <v>296</v>
      </c>
      <c r="G4227" s="200" t="s">
        <v>44</v>
      </c>
      <c r="H4227" s="200" t="s">
        <v>429</v>
      </c>
    </row>
    <row r="4228" spans="1:8" ht="15" customHeight="1">
      <c r="A4228" s="199">
        <v>45730</v>
      </c>
      <c r="B4228" s="202" t="s">
        <v>3408</v>
      </c>
      <c r="C4228" s="200" t="s">
        <v>136</v>
      </c>
      <c r="D4228" s="649">
        <v>-754810</v>
      </c>
      <c r="E4228" s="201">
        <v>45717</v>
      </c>
      <c r="F4228" s="200" t="s">
        <v>296</v>
      </c>
      <c r="G4228" s="200" t="s">
        <v>44</v>
      </c>
      <c r="H4228" s="200" t="s">
        <v>429</v>
      </c>
    </row>
    <row r="4229" spans="1:8" ht="15" customHeight="1">
      <c r="A4229" s="199">
        <v>45730</v>
      </c>
      <c r="B4229" s="202" t="s">
        <v>3409</v>
      </c>
      <c r="C4229" s="200" t="s">
        <v>136</v>
      </c>
      <c r="D4229" s="649">
        <v>-754810</v>
      </c>
      <c r="E4229" s="201">
        <v>45717</v>
      </c>
      <c r="F4229" s="200" t="s">
        <v>296</v>
      </c>
      <c r="G4229" s="200" t="s">
        <v>44</v>
      </c>
      <c r="H4229" s="200" t="s">
        <v>429</v>
      </c>
    </row>
    <row r="4230" spans="1:8" ht="15" customHeight="1">
      <c r="A4230" s="199">
        <v>45730</v>
      </c>
      <c r="B4230" s="202" t="s">
        <v>3410</v>
      </c>
      <c r="C4230" s="200" t="s">
        <v>136</v>
      </c>
      <c r="D4230" s="649">
        <v>-754810</v>
      </c>
      <c r="E4230" s="201">
        <v>45717</v>
      </c>
      <c r="F4230" s="200" t="s">
        <v>296</v>
      </c>
      <c r="G4230" s="200" t="s">
        <v>44</v>
      </c>
      <c r="H4230" s="200" t="s">
        <v>429</v>
      </c>
    </row>
    <row r="4231" spans="1:8" ht="15" customHeight="1">
      <c r="A4231" s="199">
        <v>45730</v>
      </c>
      <c r="B4231" s="202" t="s">
        <v>3411</v>
      </c>
      <c r="C4231" s="200" t="s">
        <v>136</v>
      </c>
      <c r="D4231" s="649">
        <v>-754810</v>
      </c>
      <c r="E4231" s="201">
        <v>45717</v>
      </c>
      <c r="F4231" s="200" t="s">
        <v>296</v>
      </c>
      <c r="G4231" s="200" t="s">
        <v>44</v>
      </c>
      <c r="H4231" s="200" t="s">
        <v>429</v>
      </c>
    </row>
    <row r="4232" spans="1:8" ht="15" customHeight="1">
      <c r="A4232" s="199">
        <v>45730</v>
      </c>
      <c r="B4232" s="202" t="s">
        <v>3412</v>
      </c>
      <c r="C4232" s="200" t="s">
        <v>136</v>
      </c>
      <c r="D4232" s="649">
        <v>-1066000</v>
      </c>
      <c r="E4232" s="201">
        <v>45717</v>
      </c>
      <c r="F4232" s="200" t="s">
        <v>296</v>
      </c>
      <c r="G4232" s="200" t="s">
        <v>44</v>
      </c>
      <c r="H4232" s="200" t="s">
        <v>429</v>
      </c>
    </row>
    <row r="4233" spans="1:8" ht="15" customHeight="1">
      <c r="A4233" s="199">
        <v>45730</v>
      </c>
      <c r="B4233" s="202" t="s">
        <v>3413</v>
      </c>
      <c r="C4233" s="200" t="s">
        <v>136</v>
      </c>
      <c r="D4233" s="649">
        <v>-754810</v>
      </c>
      <c r="E4233" s="201">
        <v>45717</v>
      </c>
      <c r="F4233" s="200" t="s">
        <v>296</v>
      </c>
      <c r="G4233" s="200" t="s">
        <v>44</v>
      </c>
      <c r="H4233" s="200" t="s">
        <v>429</v>
      </c>
    </row>
    <row r="4234" spans="1:8" ht="15" customHeight="1">
      <c r="A4234" s="199">
        <v>45730</v>
      </c>
      <c r="B4234" s="202" t="s">
        <v>3414</v>
      </c>
      <c r="C4234" s="200" t="s">
        <v>136</v>
      </c>
      <c r="D4234" s="649">
        <v>-754810</v>
      </c>
      <c r="E4234" s="201">
        <v>45717</v>
      </c>
      <c r="F4234" s="200" t="s">
        <v>296</v>
      </c>
      <c r="G4234" s="200" t="s">
        <v>44</v>
      </c>
      <c r="H4234" s="200" t="s">
        <v>429</v>
      </c>
    </row>
    <row r="4235" spans="1:8" ht="15" customHeight="1">
      <c r="A4235" s="199">
        <v>45730</v>
      </c>
      <c r="B4235" s="202" t="s">
        <v>3415</v>
      </c>
      <c r="C4235" s="200" t="s">
        <v>136</v>
      </c>
      <c r="D4235" s="649">
        <v>-754810</v>
      </c>
      <c r="E4235" s="201">
        <v>45717</v>
      </c>
      <c r="F4235" s="200" t="s">
        <v>296</v>
      </c>
      <c r="G4235" s="200" t="s">
        <v>44</v>
      </c>
      <c r="H4235" s="200" t="s">
        <v>429</v>
      </c>
    </row>
    <row r="4236" spans="1:8" ht="15" customHeight="1">
      <c r="A4236" s="199">
        <v>45730</v>
      </c>
      <c r="B4236" s="202" t="s">
        <v>3416</v>
      </c>
      <c r="C4236" s="200" t="s">
        <v>136</v>
      </c>
      <c r="D4236" s="649">
        <v>-754810</v>
      </c>
      <c r="E4236" s="201">
        <v>45717</v>
      </c>
      <c r="F4236" s="200" t="s">
        <v>296</v>
      </c>
      <c r="G4236" s="200" t="s">
        <v>44</v>
      </c>
      <c r="H4236" s="200" t="s">
        <v>429</v>
      </c>
    </row>
    <row r="4237" spans="1:8" ht="15" customHeight="1">
      <c r="A4237" s="199">
        <v>45730</v>
      </c>
      <c r="B4237" s="202" t="s">
        <v>3417</v>
      </c>
      <c r="C4237" s="200" t="s">
        <v>136</v>
      </c>
      <c r="D4237" s="649">
        <v>-1334000</v>
      </c>
      <c r="E4237" s="201">
        <v>45717</v>
      </c>
      <c r="F4237" s="200" t="s">
        <v>296</v>
      </c>
      <c r="G4237" s="200" t="s">
        <v>337</v>
      </c>
      <c r="H4237" s="200" t="s">
        <v>421</v>
      </c>
    </row>
    <row r="4238" spans="1:8" ht="15" customHeight="1">
      <c r="A4238" s="199">
        <v>45730</v>
      </c>
      <c r="B4238" s="202" t="s">
        <v>3418</v>
      </c>
      <c r="C4238" s="200" t="s">
        <v>136</v>
      </c>
      <c r="D4238" s="649">
        <v>-882000</v>
      </c>
      <c r="E4238" s="201">
        <v>45717</v>
      </c>
      <c r="F4238" s="200" t="s">
        <v>296</v>
      </c>
      <c r="G4238" s="200" t="s">
        <v>337</v>
      </c>
      <c r="H4238" s="200" t="s">
        <v>421</v>
      </c>
    </row>
    <row r="4239" spans="1:8" ht="15" customHeight="1">
      <c r="A4239" s="199">
        <v>45730</v>
      </c>
      <c r="B4239" s="202" t="s">
        <v>3419</v>
      </c>
      <c r="C4239" s="200" t="s">
        <v>136</v>
      </c>
      <c r="D4239" s="649">
        <v>-1250000</v>
      </c>
      <c r="E4239" s="201">
        <v>45717</v>
      </c>
      <c r="F4239" s="200" t="s">
        <v>296</v>
      </c>
      <c r="G4239" s="200" t="s">
        <v>337</v>
      </c>
      <c r="H4239" s="200" t="s">
        <v>421</v>
      </c>
    </row>
    <row r="4240" spans="1:8" ht="15" customHeight="1">
      <c r="A4240" s="199">
        <v>45730</v>
      </c>
      <c r="B4240" s="202" t="s">
        <v>3420</v>
      </c>
      <c r="C4240" s="200" t="s">
        <v>136</v>
      </c>
      <c r="D4240" s="649">
        <v>-754810</v>
      </c>
      <c r="E4240" s="201">
        <v>45717</v>
      </c>
      <c r="F4240" s="200" t="s">
        <v>296</v>
      </c>
      <c r="G4240" s="200" t="s">
        <v>337</v>
      </c>
      <c r="H4240" s="200" t="s">
        <v>421</v>
      </c>
    </row>
    <row r="4241" spans="1:8" ht="15" customHeight="1">
      <c r="A4241" s="199">
        <v>45730</v>
      </c>
      <c r="B4241" s="202" t="s">
        <v>3421</v>
      </c>
      <c r="C4241" s="200" t="s">
        <v>136</v>
      </c>
      <c r="D4241" s="649">
        <v>-754810</v>
      </c>
      <c r="E4241" s="201">
        <v>45717</v>
      </c>
      <c r="F4241" s="200" t="s">
        <v>296</v>
      </c>
      <c r="G4241" s="200" t="s">
        <v>337</v>
      </c>
      <c r="H4241" s="200" t="s">
        <v>421</v>
      </c>
    </row>
    <row r="4242" spans="1:8" ht="15" customHeight="1">
      <c r="A4242" s="199">
        <v>45730</v>
      </c>
      <c r="B4242" s="202" t="s">
        <v>3422</v>
      </c>
      <c r="C4242" s="200" t="s">
        <v>136</v>
      </c>
      <c r="D4242" s="649">
        <v>-754810</v>
      </c>
      <c r="E4242" s="201">
        <v>45717</v>
      </c>
      <c r="F4242" s="200" t="s">
        <v>296</v>
      </c>
      <c r="G4242" s="200" t="s">
        <v>337</v>
      </c>
      <c r="H4242" s="200" t="s">
        <v>421</v>
      </c>
    </row>
    <row r="4243" spans="1:8" ht="15" customHeight="1">
      <c r="A4243" s="199">
        <v>45730</v>
      </c>
      <c r="B4243" s="202" t="s">
        <v>3423</v>
      </c>
      <c r="C4243" s="200" t="s">
        <v>136</v>
      </c>
      <c r="D4243" s="649">
        <v>-754810</v>
      </c>
      <c r="E4243" s="201">
        <v>45717</v>
      </c>
      <c r="F4243" s="200" t="s">
        <v>296</v>
      </c>
      <c r="G4243" s="200" t="s">
        <v>337</v>
      </c>
      <c r="H4243" s="200" t="s">
        <v>421</v>
      </c>
    </row>
    <row r="4244" spans="1:8" ht="15" customHeight="1">
      <c r="A4244" s="199">
        <v>45730</v>
      </c>
      <c r="B4244" s="202" t="s">
        <v>3424</v>
      </c>
      <c r="C4244" s="200" t="s">
        <v>136</v>
      </c>
      <c r="D4244" s="649">
        <v>-754810</v>
      </c>
      <c r="E4244" s="201">
        <v>45717</v>
      </c>
      <c r="F4244" s="200" t="s">
        <v>296</v>
      </c>
      <c r="G4244" s="200" t="s">
        <v>337</v>
      </c>
      <c r="H4244" s="200" t="s">
        <v>421</v>
      </c>
    </row>
    <row r="4245" spans="1:8" ht="15" customHeight="1">
      <c r="A4245" s="199">
        <v>45730</v>
      </c>
      <c r="B4245" s="202" t="s">
        <v>3425</v>
      </c>
      <c r="C4245" s="200" t="s">
        <v>136</v>
      </c>
      <c r="D4245" s="649">
        <v>-754810</v>
      </c>
      <c r="E4245" s="201">
        <v>45717</v>
      </c>
      <c r="F4245" s="200" t="s">
        <v>296</v>
      </c>
      <c r="G4245" s="200" t="s">
        <v>337</v>
      </c>
      <c r="H4245" s="200" t="s">
        <v>421</v>
      </c>
    </row>
    <row r="4246" spans="1:8" ht="15" customHeight="1">
      <c r="A4246" s="199">
        <v>45730</v>
      </c>
      <c r="B4246" s="202" t="s">
        <v>3426</v>
      </c>
      <c r="C4246" s="200" t="s">
        <v>136</v>
      </c>
      <c r="D4246" s="649">
        <v>-882000</v>
      </c>
      <c r="E4246" s="201">
        <v>45717</v>
      </c>
      <c r="F4246" s="200" t="s">
        <v>296</v>
      </c>
      <c r="G4246" s="200" t="s">
        <v>337</v>
      </c>
      <c r="H4246" s="200" t="s">
        <v>421</v>
      </c>
    </row>
    <row r="4247" spans="1:8" ht="15" customHeight="1">
      <c r="A4247" s="199">
        <v>45730</v>
      </c>
      <c r="B4247" s="202" t="s">
        <v>3427</v>
      </c>
      <c r="C4247" s="200" t="s">
        <v>136</v>
      </c>
      <c r="D4247" s="649">
        <v>-754810</v>
      </c>
      <c r="E4247" s="201">
        <v>45717</v>
      </c>
      <c r="F4247" s="200" t="s">
        <v>296</v>
      </c>
      <c r="G4247" s="200" t="s">
        <v>337</v>
      </c>
      <c r="H4247" s="200" t="s">
        <v>421</v>
      </c>
    </row>
    <row r="4248" spans="1:8" ht="15" customHeight="1">
      <c r="A4248" s="199">
        <v>45730</v>
      </c>
      <c r="B4248" s="202" t="s">
        <v>3428</v>
      </c>
      <c r="C4248" s="200" t="s">
        <v>136</v>
      </c>
      <c r="D4248" s="649">
        <v>-754810</v>
      </c>
      <c r="E4248" s="201">
        <v>45717</v>
      </c>
      <c r="F4248" s="200" t="s">
        <v>296</v>
      </c>
      <c r="G4248" s="200" t="s">
        <v>337</v>
      </c>
      <c r="H4248" s="200" t="s">
        <v>421</v>
      </c>
    </row>
    <row r="4249" spans="1:8" ht="15" customHeight="1">
      <c r="A4249" s="199">
        <v>45730</v>
      </c>
      <c r="B4249" s="202" t="s">
        <v>3429</v>
      </c>
      <c r="C4249" s="200" t="s">
        <v>136</v>
      </c>
      <c r="D4249" s="649">
        <v>-754810</v>
      </c>
      <c r="E4249" s="201">
        <v>45717</v>
      </c>
      <c r="F4249" s="200" t="s">
        <v>296</v>
      </c>
      <c r="G4249" s="200" t="s">
        <v>337</v>
      </c>
      <c r="H4249" s="200" t="s">
        <v>421</v>
      </c>
    </row>
    <row r="4250" spans="1:8" ht="15" customHeight="1">
      <c r="A4250" s="199">
        <v>45730</v>
      </c>
      <c r="B4250" s="202" t="s">
        <v>3430</v>
      </c>
      <c r="C4250" s="200" t="s">
        <v>136</v>
      </c>
      <c r="D4250" s="649">
        <v>-1250000</v>
      </c>
      <c r="E4250" s="201">
        <v>45717</v>
      </c>
      <c r="F4250" s="200" t="s">
        <v>296</v>
      </c>
      <c r="G4250" s="200" t="s">
        <v>337</v>
      </c>
      <c r="H4250" s="200" t="s">
        <v>338</v>
      </c>
    </row>
    <row r="4251" spans="1:8" ht="15" customHeight="1">
      <c r="A4251" s="199">
        <v>45730</v>
      </c>
      <c r="B4251" s="202" t="s">
        <v>3431</v>
      </c>
      <c r="C4251" s="200" t="s">
        <v>136</v>
      </c>
      <c r="D4251" s="649">
        <v>-882000</v>
      </c>
      <c r="E4251" s="201">
        <v>45717</v>
      </c>
      <c r="F4251" s="200" t="s">
        <v>296</v>
      </c>
      <c r="G4251" s="200" t="s">
        <v>337</v>
      </c>
      <c r="H4251" s="200" t="s">
        <v>421</v>
      </c>
    </row>
    <row r="4252" spans="1:8" ht="15" customHeight="1">
      <c r="A4252" s="199">
        <v>45730</v>
      </c>
      <c r="B4252" s="202" t="s">
        <v>3432</v>
      </c>
      <c r="C4252" s="200" t="s">
        <v>136</v>
      </c>
      <c r="D4252" s="649">
        <v>-754810</v>
      </c>
      <c r="E4252" s="201">
        <v>45717</v>
      </c>
      <c r="F4252" s="200" t="s">
        <v>256</v>
      </c>
      <c r="G4252" s="200" t="s">
        <v>107</v>
      </c>
      <c r="H4252" s="200" t="s">
        <v>121</v>
      </c>
    </row>
    <row r="4253" spans="1:8" ht="15" customHeight="1">
      <c r="A4253" s="199">
        <v>45730</v>
      </c>
      <c r="B4253" s="202" t="s">
        <v>3433</v>
      </c>
      <c r="C4253" s="200" t="s">
        <v>136</v>
      </c>
      <c r="D4253" s="649">
        <v>-754810</v>
      </c>
      <c r="E4253" s="201">
        <v>45717</v>
      </c>
      <c r="F4253" s="200" t="s">
        <v>296</v>
      </c>
      <c r="G4253" s="200" t="s">
        <v>337</v>
      </c>
      <c r="H4253" s="200" t="s">
        <v>421</v>
      </c>
    </row>
    <row r="4254" spans="1:8" ht="15" customHeight="1">
      <c r="A4254" s="199">
        <v>45730</v>
      </c>
      <c r="B4254" s="202" t="s">
        <v>3434</v>
      </c>
      <c r="C4254" s="200" t="s">
        <v>136</v>
      </c>
      <c r="D4254" s="649">
        <v>-846810</v>
      </c>
      <c r="E4254" s="201">
        <v>45717</v>
      </c>
      <c r="F4254" s="200" t="s">
        <v>296</v>
      </c>
      <c r="G4254" s="200" t="s">
        <v>337</v>
      </c>
      <c r="H4254" s="200" t="s">
        <v>421</v>
      </c>
    </row>
    <row r="4255" spans="1:8" ht="15" customHeight="1">
      <c r="A4255" s="199">
        <v>45730</v>
      </c>
      <c r="B4255" s="202" t="s">
        <v>3435</v>
      </c>
      <c r="C4255" s="200" t="s">
        <v>136</v>
      </c>
      <c r="D4255" s="649">
        <v>-754810</v>
      </c>
      <c r="E4255" s="201">
        <v>45717</v>
      </c>
      <c r="F4255" s="200" t="s">
        <v>296</v>
      </c>
      <c r="G4255" s="200" t="s">
        <v>337</v>
      </c>
      <c r="H4255" s="200" t="s">
        <v>421</v>
      </c>
    </row>
    <row r="4256" spans="1:8" ht="15" customHeight="1">
      <c r="A4256" s="199">
        <v>45730</v>
      </c>
      <c r="B4256" s="202" t="s">
        <v>3436</v>
      </c>
      <c r="C4256" s="200" t="s">
        <v>136</v>
      </c>
      <c r="D4256" s="649">
        <v>-754810</v>
      </c>
      <c r="E4256" s="201">
        <v>45717</v>
      </c>
      <c r="F4256" s="200" t="s">
        <v>296</v>
      </c>
      <c r="G4256" s="200" t="s">
        <v>337</v>
      </c>
      <c r="H4256" s="200" t="s">
        <v>421</v>
      </c>
    </row>
    <row r="4257" spans="1:8" ht="15" customHeight="1">
      <c r="A4257" s="199">
        <v>45730</v>
      </c>
      <c r="B4257" s="202" t="s">
        <v>3437</v>
      </c>
      <c r="C4257" s="200" t="s">
        <v>136</v>
      </c>
      <c r="D4257" s="649">
        <v>-754810</v>
      </c>
      <c r="E4257" s="201">
        <v>45717</v>
      </c>
      <c r="F4257" s="200" t="s">
        <v>296</v>
      </c>
      <c r="G4257" s="200" t="s">
        <v>522</v>
      </c>
      <c r="H4257" s="200" t="s">
        <v>429</v>
      </c>
    </row>
    <row r="4258" spans="1:8" ht="15" customHeight="1">
      <c r="A4258" s="199">
        <v>45730</v>
      </c>
      <c r="B4258" s="202" t="s">
        <v>3438</v>
      </c>
      <c r="C4258" s="200" t="s">
        <v>136</v>
      </c>
      <c r="D4258" s="649">
        <v>-882000</v>
      </c>
      <c r="E4258" s="201">
        <v>45717</v>
      </c>
      <c r="F4258" s="200" t="s">
        <v>296</v>
      </c>
      <c r="G4258" s="200" t="s">
        <v>522</v>
      </c>
      <c r="H4258" s="200" t="s">
        <v>429</v>
      </c>
    </row>
    <row r="4259" spans="1:8" ht="15" customHeight="1">
      <c r="A4259" s="199">
        <v>45730</v>
      </c>
      <c r="B4259" s="202" t="s">
        <v>3439</v>
      </c>
      <c r="C4259" s="200" t="s">
        <v>136</v>
      </c>
      <c r="D4259" s="649">
        <v>-754810</v>
      </c>
      <c r="E4259" s="201">
        <v>45717</v>
      </c>
      <c r="F4259" s="200" t="s">
        <v>296</v>
      </c>
      <c r="G4259" s="200" t="s">
        <v>522</v>
      </c>
      <c r="H4259" s="200" t="s">
        <v>429</v>
      </c>
    </row>
    <row r="4260" spans="1:8" ht="15" customHeight="1">
      <c r="A4260" s="199">
        <v>45730</v>
      </c>
      <c r="B4260" s="202" t="s">
        <v>3440</v>
      </c>
      <c r="C4260" s="200" t="s">
        <v>136</v>
      </c>
      <c r="D4260" s="649">
        <v>-754810</v>
      </c>
      <c r="E4260" s="201">
        <v>45717</v>
      </c>
      <c r="F4260" s="200" t="s">
        <v>296</v>
      </c>
      <c r="G4260" s="200" t="s">
        <v>522</v>
      </c>
      <c r="H4260" s="200" t="s">
        <v>429</v>
      </c>
    </row>
    <row r="4261" spans="1:8" ht="15" customHeight="1">
      <c r="A4261" s="199">
        <v>45730</v>
      </c>
      <c r="B4261" s="202" t="s">
        <v>3441</v>
      </c>
      <c r="C4261" s="200" t="s">
        <v>136</v>
      </c>
      <c r="D4261" s="649">
        <v>-754810</v>
      </c>
      <c r="E4261" s="201">
        <v>45717</v>
      </c>
      <c r="F4261" s="200" t="s">
        <v>296</v>
      </c>
      <c r="G4261" s="200" t="s">
        <v>522</v>
      </c>
      <c r="H4261" s="200" t="s">
        <v>429</v>
      </c>
    </row>
    <row r="4262" spans="1:8" ht="15" customHeight="1">
      <c r="A4262" s="199">
        <v>45730</v>
      </c>
      <c r="B4262" s="202" t="s">
        <v>3442</v>
      </c>
      <c r="C4262" s="200" t="s">
        <v>136</v>
      </c>
      <c r="D4262" s="649">
        <v>-754810</v>
      </c>
      <c r="E4262" s="201">
        <v>45717</v>
      </c>
      <c r="F4262" s="200" t="s">
        <v>296</v>
      </c>
      <c r="G4262" s="200" t="s">
        <v>522</v>
      </c>
      <c r="H4262" s="200" t="s">
        <v>429</v>
      </c>
    </row>
    <row r="4263" spans="1:8" ht="15" customHeight="1">
      <c r="A4263" s="199">
        <v>45730</v>
      </c>
      <c r="B4263" s="202" t="s">
        <v>3443</v>
      </c>
      <c r="C4263" s="200" t="s">
        <v>136</v>
      </c>
      <c r="D4263" s="649">
        <v>-754810</v>
      </c>
      <c r="E4263" s="201">
        <v>45717</v>
      </c>
      <c r="F4263" s="200" t="s">
        <v>296</v>
      </c>
      <c r="G4263" s="200" t="s">
        <v>522</v>
      </c>
      <c r="H4263" s="200" t="s">
        <v>429</v>
      </c>
    </row>
    <row r="4264" spans="1:8" ht="15" customHeight="1">
      <c r="A4264" s="199">
        <v>45730</v>
      </c>
      <c r="B4264" s="202" t="s">
        <v>3444</v>
      </c>
      <c r="C4264" s="200" t="s">
        <v>136</v>
      </c>
      <c r="D4264" s="649">
        <v>-654810</v>
      </c>
      <c r="E4264" s="201">
        <v>45717</v>
      </c>
      <c r="F4264" s="200" t="s">
        <v>296</v>
      </c>
      <c r="G4264" s="200" t="s">
        <v>522</v>
      </c>
      <c r="H4264" s="200" t="s">
        <v>429</v>
      </c>
    </row>
    <row r="4265" spans="1:8" ht="15" customHeight="1">
      <c r="A4265" s="199">
        <v>45730</v>
      </c>
      <c r="B4265" s="202" t="s">
        <v>3445</v>
      </c>
      <c r="C4265" s="200" t="s">
        <v>136</v>
      </c>
      <c r="D4265" s="649">
        <v>-754810</v>
      </c>
      <c r="E4265" s="201">
        <v>45717</v>
      </c>
      <c r="F4265" s="200" t="s">
        <v>296</v>
      </c>
      <c r="G4265" s="200" t="s">
        <v>522</v>
      </c>
      <c r="H4265" s="200" t="s">
        <v>429</v>
      </c>
    </row>
    <row r="4266" spans="1:8" ht="15" customHeight="1">
      <c r="A4266" s="199">
        <v>45730</v>
      </c>
      <c r="B4266" s="202" t="s">
        <v>3446</v>
      </c>
      <c r="C4266" s="200" t="s">
        <v>136</v>
      </c>
      <c r="D4266" s="649">
        <v>-754810</v>
      </c>
      <c r="E4266" s="201">
        <v>45717</v>
      </c>
      <c r="F4266" s="200" t="s">
        <v>296</v>
      </c>
      <c r="G4266" s="200" t="s">
        <v>522</v>
      </c>
      <c r="H4266" s="200" t="s">
        <v>429</v>
      </c>
    </row>
    <row r="4267" spans="1:8" ht="15" customHeight="1">
      <c r="A4267" s="199">
        <v>45730</v>
      </c>
      <c r="B4267" s="202" t="s">
        <v>3447</v>
      </c>
      <c r="C4267" s="200" t="s">
        <v>136</v>
      </c>
      <c r="D4267" s="649">
        <v>-754810</v>
      </c>
      <c r="E4267" s="201">
        <v>45717</v>
      </c>
      <c r="F4267" s="200" t="s">
        <v>296</v>
      </c>
      <c r="G4267" s="200" t="s">
        <v>522</v>
      </c>
      <c r="H4267" s="200" t="s">
        <v>429</v>
      </c>
    </row>
    <row r="4268" spans="1:8" ht="15" customHeight="1">
      <c r="A4268" s="199">
        <v>45730</v>
      </c>
      <c r="B4268" s="202" t="s">
        <v>3448</v>
      </c>
      <c r="C4268" s="200" t="s">
        <v>136</v>
      </c>
      <c r="D4268" s="649">
        <v>-754810</v>
      </c>
      <c r="E4268" s="201">
        <v>45717</v>
      </c>
      <c r="F4268" s="200" t="s">
        <v>296</v>
      </c>
      <c r="G4268" s="200" t="s">
        <v>522</v>
      </c>
      <c r="H4268" s="200" t="s">
        <v>429</v>
      </c>
    </row>
    <row r="4269" spans="1:8" ht="15" customHeight="1">
      <c r="A4269" s="199">
        <v>45730</v>
      </c>
      <c r="B4269" s="202" t="s">
        <v>3449</v>
      </c>
      <c r="C4269" s="200" t="s">
        <v>136</v>
      </c>
      <c r="D4269" s="649">
        <v>-754810</v>
      </c>
      <c r="E4269" s="201">
        <v>45717</v>
      </c>
      <c r="F4269" s="200" t="s">
        <v>296</v>
      </c>
      <c r="G4269" s="200" t="s">
        <v>522</v>
      </c>
      <c r="H4269" s="200" t="s">
        <v>429</v>
      </c>
    </row>
    <row r="4270" spans="1:8" ht="15" customHeight="1">
      <c r="A4270" s="199">
        <v>45730</v>
      </c>
      <c r="B4270" s="202" t="s">
        <v>3450</v>
      </c>
      <c r="C4270" s="200" t="s">
        <v>136</v>
      </c>
      <c r="D4270" s="649">
        <v>-754810</v>
      </c>
      <c r="E4270" s="201">
        <v>45717</v>
      </c>
      <c r="F4270" s="200" t="s">
        <v>296</v>
      </c>
      <c r="G4270" s="200" t="s">
        <v>522</v>
      </c>
      <c r="H4270" s="200" t="s">
        <v>429</v>
      </c>
    </row>
    <row r="4271" spans="1:8" ht="15" customHeight="1">
      <c r="A4271" s="199">
        <v>45730</v>
      </c>
      <c r="B4271" s="202" t="s">
        <v>3451</v>
      </c>
      <c r="C4271" s="200" t="s">
        <v>136</v>
      </c>
      <c r="D4271" s="649">
        <v>-1077040</v>
      </c>
      <c r="E4271" s="201">
        <v>45717</v>
      </c>
      <c r="F4271" s="200" t="s">
        <v>297</v>
      </c>
      <c r="G4271" s="200" t="s">
        <v>1578</v>
      </c>
      <c r="H4271" s="200" t="s">
        <v>342</v>
      </c>
    </row>
    <row r="4272" spans="1:8" ht="15" customHeight="1">
      <c r="A4272" s="199">
        <v>45730</v>
      </c>
      <c r="B4272" s="202" t="s">
        <v>3452</v>
      </c>
      <c r="C4272" s="200" t="s">
        <v>136</v>
      </c>
      <c r="D4272" s="649">
        <v>-754810</v>
      </c>
      <c r="E4272" s="201">
        <v>45717</v>
      </c>
      <c r="F4272" s="200" t="s">
        <v>297</v>
      </c>
      <c r="G4272" s="200" t="s">
        <v>1578</v>
      </c>
      <c r="H4272" s="200" t="s">
        <v>342</v>
      </c>
    </row>
    <row r="4273" spans="1:9" ht="15" customHeight="1">
      <c r="A4273" s="199">
        <v>45730</v>
      </c>
      <c r="B4273" s="202" t="s">
        <v>3453</v>
      </c>
      <c r="C4273" s="200" t="s">
        <v>136</v>
      </c>
      <c r="D4273" s="649">
        <v>-754810</v>
      </c>
      <c r="E4273" s="201">
        <v>45717</v>
      </c>
      <c r="F4273" s="200" t="s">
        <v>297</v>
      </c>
      <c r="G4273" s="200" t="s">
        <v>1578</v>
      </c>
      <c r="H4273" s="200" t="s">
        <v>342</v>
      </c>
    </row>
    <row r="4274" spans="1:9" ht="15" customHeight="1">
      <c r="A4274" s="199">
        <v>45730</v>
      </c>
      <c r="B4274" s="202" t="s">
        <v>3454</v>
      </c>
      <c r="C4274" s="200" t="s">
        <v>136</v>
      </c>
      <c r="D4274" s="649">
        <v>-754810</v>
      </c>
      <c r="E4274" s="201">
        <v>45717</v>
      </c>
      <c r="F4274" s="200" t="s">
        <v>297</v>
      </c>
      <c r="G4274" s="200" t="s">
        <v>1578</v>
      </c>
      <c r="H4274" s="200" t="s">
        <v>342</v>
      </c>
      <c r="I4274" s="648" t="s">
        <v>329</v>
      </c>
    </row>
    <row r="4275" spans="1:9" ht="15" customHeight="1">
      <c r="A4275" s="199">
        <v>45730</v>
      </c>
      <c r="B4275" s="202" t="s">
        <v>3455</v>
      </c>
      <c r="C4275" s="200" t="s">
        <v>136</v>
      </c>
      <c r="D4275" s="649">
        <v>-836000</v>
      </c>
      <c r="E4275" s="201">
        <v>45717</v>
      </c>
      <c r="F4275" s="200" t="s">
        <v>297</v>
      </c>
      <c r="G4275" s="200" t="s">
        <v>1313</v>
      </c>
      <c r="H4275" s="200" t="s">
        <v>342</v>
      </c>
    </row>
    <row r="4276" spans="1:9" ht="15" customHeight="1">
      <c r="A4276" s="199">
        <v>45730</v>
      </c>
      <c r="B4276" s="202" t="s">
        <v>3456</v>
      </c>
      <c r="C4276" s="200" t="s">
        <v>136</v>
      </c>
      <c r="D4276" s="649">
        <v>-754810</v>
      </c>
      <c r="E4276" s="201">
        <v>45717</v>
      </c>
      <c r="F4276" s="200" t="s">
        <v>297</v>
      </c>
      <c r="G4276" s="200" t="s">
        <v>1313</v>
      </c>
      <c r="H4276" s="200" t="s">
        <v>342</v>
      </c>
    </row>
    <row r="4277" spans="1:9" ht="15" customHeight="1">
      <c r="A4277" s="199">
        <v>45730</v>
      </c>
      <c r="B4277" s="202" t="s">
        <v>3457</v>
      </c>
      <c r="C4277" s="200" t="s">
        <v>136</v>
      </c>
      <c r="D4277" s="649">
        <v>-754810</v>
      </c>
      <c r="E4277" s="201">
        <v>45717</v>
      </c>
      <c r="F4277" s="200" t="s">
        <v>297</v>
      </c>
      <c r="G4277" s="200" t="s">
        <v>1313</v>
      </c>
      <c r="H4277" s="200" t="s">
        <v>342</v>
      </c>
    </row>
    <row r="4278" spans="1:9" ht="15" customHeight="1">
      <c r="A4278" s="199">
        <v>45730</v>
      </c>
      <c r="B4278" s="202" t="s">
        <v>3458</v>
      </c>
      <c r="C4278" s="200" t="s">
        <v>136</v>
      </c>
      <c r="D4278" s="649">
        <v>-754810</v>
      </c>
      <c r="E4278" s="201">
        <v>45717</v>
      </c>
      <c r="F4278" s="200" t="s">
        <v>297</v>
      </c>
      <c r="G4278" s="200" t="s">
        <v>1313</v>
      </c>
      <c r="H4278" s="200" t="s">
        <v>342</v>
      </c>
    </row>
    <row r="4279" spans="1:9" ht="15" customHeight="1">
      <c r="A4279" s="199">
        <v>45730</v>
      </c>
      <c r="B4279" s="202" t="s">
        <v>3459</v>
      </c>
      <c r="C4279" s="200" t="s">
        <v>136</v>
      </c>
      <c r="D4279" s="649">
        <v>-1161033.3333333335</v>
      </c>
      <c r="E4279" s="201">
        <v>45717</v>
      </c>
      <c r="F4279" s="200" t="s">
        <v>296</v>
      </c>
      <c r="G4279" s="200" t="s">
        <v>328</v>
      </c>
      <c r="H4279" s="200" t="s">
        <v>342</v>
      </c>
      <c r="I4279" s="648" t="s">
        <v>329</v>
      </c>
    </row>
    <row r="4280" spans="1:9" ht="15" customHeight="1">
      <c r="A4280" s="199">
        <v>45730</v>
      </c>
      <c r="B4280" s="202" t="s">
        <v>3460</v>
      </c>
      <c r="C4280" s="200" t="s">
        <v>136</v>
      </c>
      <c r="D4280" s="649">
        <v>-748620</v>
      </c>
      <c r="E4280" s="201">
        <v>45717</v>
      </c>
      <c r="F4280" s="200" t="s">
        <v>296</v>
      </c>
      <c r="G4280" s="200" t="s">
        <v>984</v>
      </c>
      <c r="H4280" s="200" t="s">
        <v>342</v>
      </c>
    </row>
    <row r="4281" spans="1:9" ht="15" customHeight="1">
      <c r="A4281" s="199">
        <v>45730</v>
      </c>
      <c r="B4281" s="202" t="s">
        <v>3460</v>
      </c>
      <c r="C4281" s="200" t="s">
        <v>136</v>
      </c>
      <c r="D4281" s="649">
        <v>-499080</v>
      </c>
      <c r="E4281" s="201">
        <v>45717</v>
      </c>
      <c r="F4281" s="200" t="s">
        <v>395</v>
      </c>
      <c r="G4281" s="531" t="s">
        <v>395</v>
      </c>
      <c r="H4281" s="200" t="s">
        <v>342</v>
      </c>
      <c r="I4281" s="673"/>
    </row>
    <row r="4282" spans="1:9" ht="15" customHeight="1">
      <c r="A4282" s="199">
        <v>45730</v>
      </c>
      <c r="B4282" s="202" t="s">
        <v>3461</v>
      </c>
      <c r="C4282" s="200" t="s">
        <v>136</v>
      </c>
      <c r="D4282" s="649">
        <v>-452886</v>
      </c>
      <c r="E4282" s="201">
        <v>45717</v>
      </c>
      <c r="F4282" s="200" t="s">
        <v>296</v>
      </c>
      <c r="G4282" s="200" t="s">
        <v>984</v>
      </c>
      <c r="H4282" s="200" t="s">
        <v>342</v>
      </c>
    </row>
    <row r="4283" spans="1:9" ht="15" customHeight="1">
      <c r="A4283" s="199">
        <v>45730</v>
      </c>
      <c r="B4283" s="202" t="s">
        <v>3461</v>
      </c>
      <c r="C4283" s="200" t="s">
        <v>136</v>
      </c>
      <c r="D4283" s="649">
        <v>-301924</v>
      </c>
      <c r="E4283" s="201">
        <v>45717</v>
      </c>
      <c r="F4283" s="200" t="s">
        <v>395</v>
      </c>
      <c r="G4283" s="531" t="s">
        <v>395</v>
      </c>
      <c r="H4283" s="200" t="s">
        <v>342</v>
      </c>
      <c r="I4283" s="673"/>
    </row>
    <row r="4284" spans="1:9" ht="15" customHeight="1">
      <c r="A4284" s="199">
        <v>45730</v>
      </c>
      <c r="B4284" s="202" t="s">
        <v>3462</v>
      </c>
      <c r="C4284" s="200" t="s">
        <v>136</v>
      </c>
      <c r="D4284" s="649">
        <v>-452886</v>
      </c>
      <c r="E4284" s="201">
        <v>45717</v>
      </c>
      <c r="F4284" s="200" t="s">
        <v>395</v>
      </c>
      <c r="G4284" s="531" t="s">
        <v>395</v>
      </c>
      <c r="H4284" s="200" t="s">
        <v>342</v>
      </c>
      <c r="I4284" s="673"/>
    </row>
    <row r="4285" spans="1:9" ht="15" customHeight="1">
      <c r="A4285" s="199">
        <v>45730</v>
      </c>
      <c r="B4285" s="202" t="s">
        <v>3462</v>
      </c>
      <c r="C4285" s="200" t="s">
        <v>136</v>
      </c>
      <c r="D4285" s="649">
        <v>-301924</v>
      </c>
      <c r="E4285" s="201">
        <v>45717</v>
      </c>
      <c r="F4285" s="200" t="s">
        <v>296</v>
      </c>
      <c r="G4285" s="200" t="s">
        <v>2994</v>
      </c>
      <c r="H4285" s="200" t="s">
        <v>342</v>
      </c>
    </row>
    <row r="4286" spans="1:9" ht="15" customHeight="1">
      <c r="A4286" s="199">
        <v>45730</v>
      </c>
      <c r="B4286" s="202" t="s">
        <v>3463</v>
      </c>
      <c r="C4286" s="200" t="s">
        <v>136</v>
      </c>
      <c r="D4286" s="649">
        <v>-501600</v>
      </c>
      <c r="E4286" s="201">
        <v>45717</v>
      </c>
      <c r="F4286" s="200" t="s">
        <v>395</v>
      </c>
      <c r="G4286" s="531" t="s">
        <v>395</v>
      </c>
      <c r="H4286" s="200" t="s">
        <v>342</v>
      </c>
      <c r="I4286" s="673"/>
    </row>
    <row r="4287" spans="1:9" ht="15" customHeight="1">
      <c r="A4287" s="199">
        <v>45730</v>
      </c>
      <c r="B4287" s="202" t="s">
        <v>3463</v>
      </c>
      <c r="C4287" s="200" t="s">
        <v>136</v>
      </c>
      <c r="D4287" s="649">
        <v>-334400</v>
      </c>
      <c r="E4287" s="201">
        <v>45717</v>
      </c>
      <c r="F4287" s="200" t="s">
        <v>296</v>
      </c>
      <c r="G4287" s="200" t="s">
        <v>2994</v>
      </c>
      <c r="H4287" s="200" t="s">
        <v>342</v>
      </c>
    </row>
    <row r="4288" spans="1:9" ht="15" customHeight="1">
      <c r="A4288" s="199">
        <v>45730</v>
      </c>
      <c r="B4288" s="202" t="s">
        <v>3464</v>
      </c>
      <c r="C4288" s="200" t="s">
        <v>136</v>
      </c>
      <c r="D4288" s="649">
        <v>-301924</v>
      </c>
      <c r="E4288" s="201">
        <v>45717</v>
      </c>
      <c r="F4288" s="200" t="s">
        <v>395</v>
      </c>
      <c r="G4288" s="531" t="s">
        <v>395</v>
      </c>
      <c r="H4288" s="200" t="s">
        <v>342</v>
      </c>
      <c r="I4288" s="673"/>
    </row>
    <row r="4289" spans="1:9" ht="15" customHeight="1">
      <c r="A4289" s="199">
        <v>45730</v>
      </c>
      <c r="B4289" s="202" t="s">
        <v>3464</v>
      </c>
      <c r="C4289" s="200" t="s">
        <v>136</v>
      </c>
      <c r="D4289" s="649">
        <v>-452886</v>
      </c>
      <c r="E4289" s="201">
        <v>45717</v>
      </c>
      <c r="F4289" s="200" t="s">
        <v>296</v>
      </c>
      <c r="G4289" s="200" t="s">
        <v>2994</v>
      </c>
      <c r="H4289" s="200" t="s">
        <v>342</v>
      </c>
    </row>
    <row r="4290" spans="1:9" ht="15" customHeight="1">
      <c r="A4290" s="199">
        <v>45730</v>
      </c>
      <c r="B4290" s="202" t="s">
        <v>3465</v>
      </c>
      <c r="C4290" s="200" t="s">
        <v>136</v>
      </c>
      <c r="D4290" s="649">
        <v>-448886</v>
      </c>
      <c r="E4290" s="201">
        <v>45717</v>
      </c>
      <c r="F4290" s="200" t="s">
        <v>296</v>
      </c>
      <c r="G4290" s="200" t="s">
        <v>984</v>
      </c>
      <c r="H4290" s="200" t="s">
        <v>342</v>
      </c>
    </row>
    <row r="4291" spans="1:9" ht="15" customHeight="1">
      <c r="A4291" s="199">
        <v>45730</v>
      </c>
      <c r="B4291" s="202" t="s">
        <v>3465</v>
      </c>
      <c r="C4291" s="200" t="s">
        <v>136</v>
      </c>
      <c r="D4291" s="649">
        <v>-299257.33199999999</v>
      </c>
      <c r="E4291" s="201">
        <v>45717</v>
      </c>
      <c r="F4291" s="200" t="s">
        <v>395</v>
      </c>
      <c r="G4291" s="531" t="s">
        <v>395</v>
      </c>
      <c r="H4291" s="200" t="s">
        <v>342</v>
      </c>
      <c r="I4291" s="673"/>
    </row>
    <row r="4292" spans="1:9" ht="15" customHeight="1">
      <c r="A4292" s="199">
        <v>45730</v>
      </c>
      <c r="B4292" s="202" t="s">
        <v>3466</v>
      </c>
      <c r="C4292" s="200" t="s">
        <v>136</v>
      </c>
      <c r="D4292" s="649">
        <v>-452886</v>
      </c>
      <c r="E4292" s="201">
        <v>45717</v>
      </c>
      <c r="F4292" s="200" t="s">
        <v>296</v>
      </c>
      <c r="G4292" s="200" t="s">
        <v>984</v>
      </c>
      <c r="H4292" s="200" t="s">
        <v>342</v>
      </c>
      <c r="I4292" s="648" t="s">
        <v>329</v>
      </c>
    </row>
    <row r="4293" spans="1:9" ht="15" customHeight="1">
      <c r="A4293" s="199">
        <v>45730</v>
      </c>
      <c r="B4293" s="202" t="s">
        <v>3466</v>
      </c>
      <c r="C4293" s="200" t="s">
        <v>136</v>
      </c>
      <c r="D4293" s="649">
        <v>-301924</v>
      </c>
      <c r="E4293" s="201">
        <v>45717</v>
      </c>
      <c r="F4293" s="200" t="s">
        <v>395</v>
      </c>
      <c r="G4293" s="531" t="s">
        <v>395</v>
      </c>
      <c r="H4293" s="200" t="s">
        <v>342</v>
      </c>
      <c r="I4293" s="673"/>
    </row>
    <row r="4294" spans="1:9" ht="15" customHeight="1">
      <c r="A4294" s="199">
        <v>45730</v>
      </c>
      <c r="B4294" s="202" t="s">
        <v>3467</v>
      </c>
      <c r="C4294" s="200" t="s">
        <v>136</v>
      </c>
      <c r="D4294" s="649">
        <v>-452886</v>
      </c>
      <c r="E4294" s="201">
        <v>45717</v>
      </c>
      <c r="F4294" s="200" t="s">
        <v>395</v>
      </c>
      <c r="G4294" s="531" t="s">
        <v>395</v>
      </c>
      <c r="H4294" s="200" t="s">
        <v>342</v>
      </c>
      <c r="I4294" s="673"/>
    </row>
    <row r="4295" spans="1:9" ht="15" customHeight="1">
      <c r="A4295" s="199">
        <v>45730</v>
      </c>
      <c r="B4295" s="202" t="s">
        <v>3467</v>
      </c>
      <c r="C4295" s="200" t="s">
        <v>136</v>
      </c>
      <c r="D4295" s="649">
        <v>-301924</v>
      </c>
      <c r="E4295" s="201">
        <v>45717</v>
      </c>
      <c r="F4295" s="200" t="s">
        <v>296</v>
      </c>
      <c r="G4295" s="200" t="s">
        <v>2994</v>
      </c>
      <c r="H4295" s="200" t="s">
        <v>342</v>
      </c>
      <c r="I4295" s="648" t="s">
        <v>329</v>
      </c>
    </row>
    <row r="4296" spans="1:9" ht="15" customHeight="1">
      <c r="A4296" s="199">
        <v>45730</v>
      </c>
      <c r="B4296" s="202" t="s">
        <v>3468</v>
      </c>
      <c r="C4296" s="200" t="s">
        <v>136</v>
      </c>
      <c r="D4296" s="649">
        <v>-900400</v>
      </c>
      <c r="E4296" s="201">
        <v>45717</v>
      </c>
      <c r="F4296" s="200" t="s">
        <v>297</v>
      </c>
      <c r="G4296" s="200" t="s">
        <v>1313</v>
      </c>
      <c r="H4296" s="200" t="s">
        <v>567</v>
      </c>
    </row>
    <row r="4297" spans="1:9" ht="15" customHeight="1">
      <c r="A4297" s="199">
        <v>45730</v>
      </c>
      <c r="B4297" s="202" t="s">
        <v>3469</v>
      </c>
      <c r="C4297" s="200" t="s">
        <v>136</v>
      </c>
      <c r="D4297" s="649">
        <v>-754810</v>
      </c>
      <c r="E4297" s="201">
        <v>45717</v>
      </c>
      <c r="F4297" s="200" t="s">
        <v>395</v>
      </c>
      <c r="G4297" s="531" t="s">
        <v>395</v>
      </c>
      <c r="H4297" s="200" t="s">
        <v>567</v>
      </c>
      <c r="I4297" s="673"/>
    </row>
    <row r="4298" spans="1:9" ht="15" customHeight="1">
      <c r="A4298" s="199">
        <v>45727</v>
      </c>
      <c r="B4298" s="202" t="s">
        <v>3235</v>
      </c>
      <c r="C4298" s="200" t="s">
        <v>314</v>
      </c>
      <c r="D4298" s="645">
        <v>-51084000</v>
      </c>
      <c r="E4298" s="201">
        <v>45717</v>
      </c>
      <c r="F4298" s="200" t="s">
        <v>296</v>
      </c>
      <c r="G4298" s="200" t="s">
        <v>453</v>
      </c>
      <c r="H4298" s="200" t="s">
        <v>96</v>
      </c>
    </row>
    <row r="4299" spans="1:9" ht="15" customHeight="1">
      <c r="A4299" s="199">
        <v>45727</v>
      </c>
      <c r="B4299" s="202" t="s">
        <v>3470</v>
      </c>
      <c r="C4299" s="200" t="s">
        <v>314</v>
      </c>
      <c r="D4299" s="645">
        <v>2608660</v>
      </c>
      <c r="E4299" s="662">
        <v>45717</v>
      </c>
      <c r="F4299" s="200" t="s">
        <v>295</v>
      </c>
    </row>
    <row r="4300" spans="1:9" ht="15" customHeight="1">
      <c r="A4300" s="199">
        <v>45727</v>
      </c>
      <c r="B4300" s="202" t="s">
        <v>3471</v>
      </c>
      <c r="C4300" s="200" t="s">
        <v>314</v>
      </c>
      <c r="D4300" s="645">
        <v>15000000</v>
      </c>
      <c r="E4300" s="662">
        <v>45717</v>
      </c>
      <c r="F4300" s="200" t="s">
        <v>983</v>
      </c>
      <c r="G4300" s="200" t="s">
        <v>875</v>
      </c>
      <c r="I4300" s="648" t="s">
        <v>329</v>
      </c>
    </row>
    <row r="4301" spans="1:9" ht="15" customHeight="1">
      <c r="A4301" s="199">
        <v>45727</v>
      </c>
      <c r="B4301" s="202" t="s">
        <v>3472</v>
      </c>
      <c r="C4301" s="200" t="s">
        <v>314</v>
      </c>
      <c r="D4301" s="645">
        <v>51084000</v>
      </c>
      <c r="E4301" s="662">
        <v>45717</v>
      </c>
      <c r="F4301" s="200" t="s">
        <v>296</v>
      </c>
      <c r="G4301" s="200" t="s">
        <v>453</v>
      </c>
      <c r="H4301" s="200" t="s">
        <v>96</v>
      </c>
    </row>
    <row r="4302" spans="1:9" ht="15" customHeight="1">
      <c r="A4302" s="199">
        <v>45729</v>
      </c>
      <c r="B4302" s="202" t="s">
        <v>3473</v>
      </c>
      <c r="C4302" s="200" t="s">
        <v>314</v>
      </c>
      <c r="D4302" s="645">
        <v>378610</v>
      </c>
      <c r="E4302" s="662">
        <v>45717</v>
      </c>
      <c r="F4302" s="200" t="s">
        <v>295</v>
      </c>
    </row>
    <row r="4303" spans="1:9" ht="15" customHeight="1">
      <c r="A4303" s="199">
        <v>45729</v>
      </c>
      <c r="B4303" s="202" t="s">
        <v>3474</v>
      </c>
      <c r="C4303" s="200" t="s">
        <v>314</v>
      </c>
      <c r="D4303" s="645">
        <v>2830957</v>
      </c>
      <c r="E4303" s="662">
        <v>45717</v>
      </c>
      <c r="F4303" s="200" t="s">
        <v>295</v>
      </c>
    </row>
    <row r="4304" spans="1:9" ht="15" customHeight="1">
      <c r="A4304" s="199">
        <v>45727</v>
      </c>
      <c r="B4304" s="202" t="s">
        <v>3475</v>
      </c>
      <c r="C4304" s="200" t="s">
        <v>136</v>
      </c>
      <c r="D4304" s="649">
        <v>916168</v>
      </c>
      <c r="E4304" s="201">
        <v>45717</v>
      </c>
      <c r="F4304" s="200" t="s">
        <v>295</v>
      </c>
    </row>
    <row r="4305" spans="1:9" ht="15" customHeight="1">
      <c r="A4305" s="199">
        <v>45728</v>
      </c>
      <c r="B4305" s="202" t="s">
        <v>3476</v>
      </c>
      <c r="C4305" s="200" t="s">
        <v>136</v>
      </c>
      <c r="D4305" s="649">
        <v>1825481</v>
      </c>
      <c r="E4305" s="201">
        <v>45717</v>
      </c>
      <c r="F4305" s="200" t="s">
        <v>295</v>
      </c>
    </row>
    <row r="4306" spans="1:9" ht="15" customHeight="1">
      <c r="A4306" s="199">
        <v>45728</v>
      </c>
      <c r="B4306" s="202" t="s">
        <v>3477</v>
      </c>
      <c r="C4306" s="200" t="s">
        <v>136</v>
      </c>
      <c r="D4306" s="649">
        <v>126411931</v>
      </c>
      <c r="E4306" s="201">
        <v>45717</v>
      </c>
      <c r="F4306" s="200" t="s">
        <v>983</v>
      </c>
      <c r="G4306" s="200" t="s">
        <v>1362</v>
      </c>
    </row>
    <row r="4307" spans="1:9" ht="15" customHeight="1">
      <c r="A4307" s="199">
        <v>45726</v>
      </c>
      <c r="B4307" s="202" t="s">
        <v>3478</v>
      </c>
      <c r="C4307" s="200" t="s">
        <v>204</v>
      </c>
      <c r="D4307" s="658">
        <v>-213300</v>
      </c>
      <c r="E4307" s="201">
        <v>45717</v>
      </c>
      <c r="F4307" s="200" t="s">
        <v>297</v>
      </c>
      <c r="G4307" s="200" t="s">
        <v>1313</v>
      </c>
      <c r="H4307" s="200" t="s">
        <v>342</v>
      </c>
    </row>
    <row r="4308" spans="1:9" ht="15" customHeight="1">
      <c r="A4308" s="199">
        <v>45726</v>
      </c>
      <c r="B4308" s="202" t="s">
        <v>3479</v>
      </c>
      <c r="C4308" s="200" t="s">
        <v>372</v>
      </c>
      <c r="D4308" s="645">
        <v>-9000</v>
      </c>
      <c r="E4308" s="201">
        <v>45717</v>
      </c>
      <c r="F4308" s="200" t="s">
        <v>297</v>
      </c>
      <c r="G4308" s="200" t="s">
        <v>1313</v>
      </c>
      <c r="H4308" s="200" t="s">
        <v>342</v>
      </c>
    </row>
    <row r="4309" spans="1:9" ht="15" customHeight="1">
      <c r="A4309" s="199">
        <v>45726</v>
      </c>
      <c r="B4309" s="202" t="s">
        <v>3480</v>
      </c>
      <c r="C4309" s="200" t="s">
        <v>372</v>
      </c>
      <c r="D4309" s="645">
        <v>-2700</v>
      </c>
      <c r="E4309" s="201">
        <v>45717</v>
      </c>
      <c r="F4309" s="200" t="s">
        <v>297</v>
      </c>
      <c r="G4309" s="200" t="s">
        <v>1313</v>
      </c>
      <c r="H4309" s="200" t="s">
        <v>342</v>
      </c>
      <c r="I4309" s="648" t="s">
        <v>329</v>
      </c>
    </row>
    <row r="4310" spans="1:9" ht="15" customHeight="1">
      <c r="A4310" s="199">
        <v>45726</v>
      </c>
      <c r="B4310" s="202" t="s">
        <v>3478</v>
      </c>
      <c r="C4310" s="200" t="s">
        <v>204</v>
      </c>
      <c r="D4310" s="658">
        <v>-147600</v>
      </c>
      <c r="E4310" s="201">
        <v>45717</v>
      </c>
      <c r="F4310" s="200" t="s">
        <v>296</v>
      </c>
      <c r="G4310" s="200" t="s">
        <v>522</v>
      </c>
      <c r="H4310" s="200" t="s">
        <v>490</v>
      </c>
    </row>
    <row r="4311" spans="1:9" ht="15" customHeight="1">
      <c r="A4311" s="199">
        <v>45726</v>
      </c>
      <c r="B4311" s="202" t="s">
        <v>3479</v>
      </c>
      <c r="C4311" s="200" t="s">
        <v>372</v>
      </c>
      <c r="D4311" s="645">
        <v>-1500</v>
      </c>
      <c r="E4311" s="201">
        <v>45717</v>
      </c>
      <c r="F4311" s="200" t="s">
        <v>296</v>
      </c>
      <c r="G4311" s="200" t="s">
        <v>522</v>
      </c>
      <c r="H4311" s="200" t="s">
        <v>490</v>
      </c>
    </row>
    <row r="4312" spans="1:9" ht="15" customHeight="1">
      <c r="A4312" s="199">
        <v>45726</v>
      </c>
      <c r="B4312" s="202" t="s">
        <v>3480</v>
      </c>
      <c r="C4312" s="200" t="s">
        <v>372</v>
      </c>
      <c r="D4312" s="645">
        <v>-900</v>
      </c>
      <c r="E4312" s="201">
        <v>45717</v>
      </c>
      <c r="F4312" s="200" t="s">
        <v>296</v>
      </c>
      <c r="G4312" s="200" t="s">
        <v>522</v>
      </c>
      <c r="H4312" s="200" t="s">
        <v>490</v>
      </c>
    </row>
    <row r="4313" spans="1:9" ht="15" customHeight="1">
      <c r="A4313" s="199">
        <v>45726</v>
      </c>
      <c r="B4313" s="202" t="s">
        <v>3478</v>
      </c>
      <c r="C4313" s="200" t="s">
        <v>204</v>
      </c>
      <c r="D4313" s="658">
        <v>-147600</v>
      </c>
      <c r="E4313" s="201">
        <v>45717</v>
      </c>
      <c r="F4313" s="200" t="s">
        <v>296</v>
      </c>
      <c r="G4313" s="200" t="s">
        <v>337</v>
      </c>
      <c r="H4313" s="200" t="s">
        <v>490</v>
      </c>
    </row>
    <row r="4314" spans="1:9" ht="15" customHeight="1">
      <c r="A4314" s="199">
        <v>45726</v>
      </c>
      <c r="B4314" s="202" t="s">
        <v>3479</v>
      </c>
      <c r="C4314" s="200" t="s">
        <v>372</v>
      </c>
      <c r="D4314" s="645">
        <v>-1500</v>
      </c>
      <c r="E4314" s="201">
        <v>45717</v>
      </c>
      <c r="F4314" s="200" t="s">
        <v>296</v>
      </c>
      <c r="G4314" s="200" t="s">
        <v>337</v>
      </c>
      <c r="H4314" s="200" t="s">
        <v>490</v>
      </c>
    </row>
    <row r="4315" spans="1:9" ht="15" customHeight="1">
      <c r="A4315" s="199">
        <v>45726</v>
      </c>
      <c r="B4315" s="202" t="s">
        <v>3480</v>
      </c>
      <c r="C4315" s="200" t="s">
        <v>372</v>
      </c>
      <c r="D4315" s="645">
        <v>-900</v>
      </c>
      <c r="E4315" s="201">
        <v>45717</v>
      </c>
      <c r="F4315" s="200" t="s">
        <v>296</v>
      </c>
      <c r="G4315" s="200" t="s">
        <v>337</v>
      </c>
      <c r="H4315" s="200" t="s">
        <v>490</v>
      </c>
    </row>
    <row r="4316" spans="1:9" ht="15" customHeight="1">
      <c r="A4316" s="199">
        <v>45726</v>
      </c>
      <c r="B4316" s="202" t="s">
        <v>3478</v>
      </c>
      <c r="C4316" s="200" t="s">
        <v>204</v>
      </c>
      <c r="D4316" s="658">
        <v>-147600</v>
      </c>
      <c r="E4316" s="201">
        <v>45717</v>
      </c>
      <c r="F4316" s="200" t="s">
        <v>296</v>
      </c>
      <c r="G4316" s="200" t="s">
        <v>44</v>
      </c>
      <c r="H4316" s="200" t="s">
        <v>490</v>
      </c>
    </row>
    <row r="4317" spans="1:9" ht="15" customHeight="1">
      <c r="A4317" s="199">
        <v>45726</v>
      </c>
      <c r="B4317" s="202" t="s">
        <v>3479</v>
      </c>
      <c r="C4317" s="200" t="s">
        <v>372</v>
      </c>
      <c r="D4317" s="645">
        <v>-1500</v>
      </c>
      <c r="E4317" s="201">
        <v>45717</v>
      </c>
      <c r="F4317" s="200" t="s">
        <v>296</v>
      </c>
      <c r="G4317" s="200" t="s">
        <v>44</v>
      </c>
      <c r="H4317" s="200" t="s">
        <v>490</v>
      </c>
    </row>
    <row r="4318" spans="1:9" ht="15" customHeight="1">
      <c r="A4318" s="199">
        <v>45726</v>
      </c>
      <c r="B4318" s="202" t="s">
        <v>3480</v>
      </c>
      <c r="C4318" s="200" t="s">
        <v>372</v>
      </c>
      <c r="D4318" s="645">
        <v>-900</v>
      </c>
      <c r="E4318" s="201">
        <v>45717</v>
      </c>
      <c r="F4318" s="200" t="s">
        <v>296</v>
      </c>
      <c r="G4318" s="200" t="s">
        <v>44</v>
      </c>
      <c r="H4318" s="200" t="s">
        <v>490</v>
      </c>
    </row>
    <row r="4319" spans="1:9" ht="15" customHeight="1">
      <c r="A4319" s="199">
        <v>45726</v>
      </c>
      <c r="B4319" s="202" t="s">
        <v>3481</v>
      </c>
      <c r="C4319" s="200" t="s">
        <v>204</v>
      </c>
      <c r="D4319" s="658">
        <v>-1611008</v>
      </c>
      <c r="E4319" s="201">
        <v>45717</v>
      </c>
      <c r="F4319" s="200" t="s">
        <v>296</v>
      </c>
      <c r="G4319" s="200" t="s">
        <v>44</v>
      </c>
      <c r="H4319" s="200" t="s">
        <v>490</v>
      </c>
    </row>
    <row r="4320" spans="1:9" ht="15" customHeight="1">
      <c r="A4320" s="199">
        <v>45726</v>
      </c>
      <c r="B4320" s="202" t="s">
        <v>3482</v>
      </c>
      <c r="C4320" s="200" t="s">
        <v>372</v>
      </c>
      <c r="D4320" s="645">
        <v>-143840</v>
      </c>
      <c r="E4320" s="201">
        <v>45717</v>
      </c>
      <c r="F4320" s="200" t="s">
        <v>296</v>
      </c>
      <c r="G4320" s="200" t="s">
        <v>44</v>
      </c>
      <c r="H4320" s="200" t="s">
        <v>490</v>
      </c>
    </row>
    <row r="4321" spans="1:9" ht="15" customHeight="1">
      <c r="A4321" s="199">
        <v>45726</v>
      </c>
      <c r="B4321" s="202" t="s">
        <v>3483</v>
      </c>
      <c r="C4321" s="200" t="s">
        <v>372</v>
      </c>
      <c r="D4321" s="645">
        <v>-43152</v>
      </c>
      <c r="E4321" s="201">
        <v>45717</v>
      </c>
      <c r="F4321" s="200" t="s">
        <v>296</v>
      </c>
      <c r="G4321" s="200" t="s">
        <v>44</v>
      </c>
      <c r="H4321" s="200" t="s">
        <v>490</v>
      </c>
      <c r="I4321" s="648" t="s">
        <v>329</v>
      </c>
    </row>
    <row r="4322" spans="1:9" ht="15" customHeight="1">
      <c r="A4322" s="199">
        <v>45726</v>
      </c>
      <c r="B4322" s="202" t="s">
        <v>3484</v>
      </c>
      <c r="C4322" s="200" t="s">
        <v>204</v>
      </c>
      <c r="D4322" s="658">
        <v>-2075136</v>
      </c>
      <c r="E4322" s="201">
        <v>45717</v>
      </c>
      <c r="F4322" s="200" t="s">
        <v>296</v>
      </c>
      <c r="G4322" s="200" t="s">
        <v>337</v>
      </c>
      <c r="H4322" s="200" t="s">
        <v>490</v>
      </c>
    </row>
    <row r="4323" spans="1:9" ht="15" customHeight="1">
      <c r="A4323" s="199">
        <v>45726</v>
      </c>
      <c r="B4323" s="202" t="s">
        <v>3485</v>
      </c>
      <c r="C4323" s="200" t="s">
        <v>372</v>
      </c>
      <c r="D4323" s="645">
        <v>-185280</v>
      </c>
      <c r="E4323" s="201">
        <v>45717</v>
      </c>
      <c r="F4323" s="200" t="s">
        <v>296</v>
      </c>
      <c r="G4323" s="200" t="s">
        <v>337</v>
      </c>
      <c r="H4323" s="200" t="s">
        <v>490</v>
      </c>
    </row>
    <row r="4324" spans="1:9" ht="15" customHeight="1">
      <c r="A4324" s="199">
        <v>45726</v>
      </c>
      <c r="B4324" s="202" t="s">
        <v>3486</v>
      </c>
      <c r="C4324" s="200" t="s">
        <v>372</v>
      </c>
      <c r="D4324" s="645">
        <v>-55584</v>
      </c>
      <c r="E4324" s="201">
        <v>45717</v>
      </c>
      <c r="F4324" s="200" t="s">
        <v>296</v>
      </c>
      <c r="G4324" s="200" t="s">
        <v>337</v>
      </c>
      <c r="H4324" s="200" t="s">
        <v>490</v>
      </c>
      <c r="I4324" s="648" t="s">
        <v>329</v>
      </c>
    </row>
    <row r="4325" spans="1:9" ht="15" customHeight="1">
      <c r="A4325" s="199">
        <v>45726</v>
      </c>
      <c r="B4325" s="202" t="s">
        <v>3487</v>
      </c>
      <c r="C4325" s="200" t="s">
        <v>204</v>
      </c>
      <c r="D4325" s="658">
        <v>-421344</v>
      </c>
      <c r="E4325" s="201">
        <v>45717</v>
      </c>
      <c r="F4325" s="200" t="s">
        <v>296</v>
      </c>
      <c r="G4325" s="200" t="s">
        <v>522</v>
      </c>
      <c r="H4325" s="200" t="s">
        <v>490</v>
      </c>
    </row>
    <row r="4326" spans="1:9" ht="15" customHeight="1">
      <c r="A4326" s="199">
        <v>45726</v>
      </c>
      <c r="B4326" s="202" t="s">
        <v>3488</v>
      </c>
      <c r="C4326" s="200" t="s">
        <v>372</v>
      </c>
      <c r="D4326" s="645">
        <v>-37620</v>
      </c>
      <c r="E4326" s="201">
        <v>45717</v>
      </c>
      <c r="F4326" s="200" t="s">
        <v>296</v>
      </c>
      <c r="G4326" s="200" t="s">
        <v>522</v>
      </c>
      <c r="H4326" s="200" t="s">
        <v>490</v>
      </c>
    </row>
    <row r="4327" spans="1:9" ht="15" customHeight="1">
      <c r="A4327" s="199">
        <v>45726</v>
      </c>
      <c r="B4327" s="202" t="s">
        <v>3489</v>
      </c>
      <c r="C4327" s="200" t="s">
        <v>372</v>
      </c>
      <c r="D4327" s="645">
        <v>-11286</v>
      </c>
      <c r="E4327" s="201">
        <v>45717</v>
      </c>
      <c r="F4327" s="200" t="s">
        <v>296</v>
      </c>
      <c r="G4327" s="200" t="s">
        <v>522</v>
      </c>
      <c r="H4327" s="200" t="s">
        <v>490</v>
      </c>
    </row>
    <row r="4328" spans="1:9" ht="15" customHeight="1">
      <c r="A4328" s="199">
        <v>45726</v>
      </c>
      <c r="B4328" s="727" t="s">
        <v>3490</v>
      </c>
      <c r="C4328" s="200" t="s">
        <v>204</v>
      </c>
      <c r="D4328" s="658">
        <v>-6732000</v>
      </c>
      <c r="E4328" s="201">
        <v>45717</v>
      </c>
      <c r="F4328" s="200" t="s">
        <v>296</v>
      </c>
      <c r="G4328" s="200" t="s">
        <v>522</v>
      </c>
      <c r="H4328" s="200" t="s">
        <v>442</v>
      </c>
      <c r="I4328" s="648" t="s">
        <v>329</v>
      </c>
    </row>
    <row r="4329" spans="1:9" ht="15" customHeight="1">
      <c r="A4329" s="199">
        <v>45726</v>
      </c>
      <c r="B4329" s="202" t="s">
        <v>3491</v>
      </c>
      <c r="C4329" s="200" t="s">
        <v>204</v>
      </c>
      <c r="D4329" s="645">
        <v>200000000</v>
      </c>
      <c r="E4329" s="201">
        <v>45717</v>
      </c>
      <c r="F4329" s="200" t="s">
        <v>652</v>
      </c>
      <c r="G4329" s="200" t="s">
        <v>44</v>
      </c>
    </row>
    <row r="4330" spans="1:9" ht="15" customHeight="1">
      <c r="A4330" s="199">
        <v>45727</v>
      </c>
      <c r="B4330" s="202" t="s">
        <v>3492</v>
      </c>
      <c r="C4330" s="200" t="s">
        <v>204</v>
      </c>
      <c r="D4330" s="645">
        <v>100000000</v>
      </c>
      <c r="E4330" s="201">
        <v>45717</v>
      </c>
      <c r="F4330" s="200" t="s">
        <v>652</v>
      </c>
      <c r="G4330" s="200" t="s">
        <v>1980</v>
      </c>
    </row>
    <row r="4331" spans="1:9" ht="15" customHeight="1">
      <c r="A4331" s="199">
        <v>45728</v>
      </c>
      <c r="B4331" s="202" t="s">
        <v>2784</v>
      </c>
      <c r="C4331" s="200" t="s">
        <v>204</v>
      </c>
      <c r="D4331" s="645">
        <v>100000000</v>
      </c>
      <c r="E4331" s="201">
        <v>45717</v>
      </c>
      <c r="F4331" s="200" t="s">
        <v>652</v>
      </c>
      <c r="G4331" s="200" t="s">
        <v>807</v>
      </c>
    </row>
    <row r="4332" spans="1:9" ht="15" customHeight="1">
      <c r="A4332" s="199">
        <v>45725</v>
      </c>
      <c r="B4332" s="202" t="s">
        <v>666</v>
      </c>
      <c r="C4332" s="200" t="s">
        <v>398</v>
      </c>
      <c r="D4332" s="658">
        <v>-95520</v>
      </c>
      <c r="E4332" s="201">
        <v>45717</v>
      </c>
      <c r="F4332" s="200" t="s">
        <v>256</v>
      </c>
      <c r="G4332" s="200" t="s">
        <v>256</v>
      </c>
      <c r="H4332" s="200" t="s">
        <v>266</v>
      </c>
    </row>
    <row r="4333" spans="1:9" ht="15" customHeight="1">
      <c r="A4333" s="199">
        <v>45728</v>
      </c>
      <c r="B4333" s="202" t="s">
        <v>3493</v>
      </c>
      <c r="C4333" s="200" t="s">
        <v>398</v>
      </c>
      <c r="D4333" s="658">
        <v>-68373</v>
      </c>
      <c r="E4333" s="201">
        <v>45717</v>
      </c>
      <c r="F4333" s="200" t="s">
        <v>256</v>
      </c>
      <c r="G4333" s="200" t="s">
        <v>107</v>
      </c>
      <c r="H4333" s="200" t="s">
        <v>277</v>
      </c>
    </row>
    <row r="4334" spans="1:9" ht="15" customHeight="1">
      <c r="A4334" s="199">
        <v>45729</v>
      </c>
      <c r="B4334" s="202" t="s">
        <v>3494</v>
      </c>
      <c r="C4334" s="200" t="s">
        <v>398</v>
      </c>
      <c r="D4334" s="658">
        <v>-200639</v>
      </c>
      <c r="E4334" s="201">
        <v>45717</v>
      </c>
      <c r="F4334" s="200" t="s">
        <v>256</v>
      </c>
      <c r="G4334" s="200" t="s">
        <v>107</v>
      </c>
      <c r="H4334" s="200" t="s">
        <v>777</v>
      </c>
    </row>
    <row r="4335" spans="1:9" ht="15" customHeight="1">
      <c r="A4335" s="199">
        <v>45730</v>
      </c>
      <c r="B4335" s="202" t="s">
        <v>3495</v>
      </c>
      <c r="C4335" s="200" t="s">
        <v>398</v>
      </c>
      <c r="D4335" s="204">
        <v>4205321.83</v>
      </c>
      <c r="E4335" s="201">
        <v>45717</v>
      </c>
      <c r="F4335" s="200" t="s">
        <v>295</v>
      </c>
    </row>
    <row r="4336" spans="1:9" s="700" customFormat="1" ht="15" customHeight="1">
      <c r="A4336" s="698">
        <v>45730</v>
      </c>
      <c r="B4336" s="699" t="s">
        <v>3496</v>
      </c>
      <c r="C4336" s="699" t="s">
        <v>136</v>
      </c>
      <c r="D4336" s="728">
        <v>-763875</v>
      </c>
      <c r="E4336" s="701">
        <v>45717</v>
      </c>
      <c r="F4336" s="699" t="s">
        <v>296</v>
      </c>
      <c r="G4336" s="699" t="s">
        <v>337</v>
      </c>
      <c r="H4336" s="699" t="s">
        <v>421</v>
      </c>
      <c r="I4336" s="699"/>
    </row>
    <row r="4337" spans="1:9" ht="15" customHeight="1">
      <c r="A4337" s="199">
        <v>45730</v>
      </c>
      <c r="B4337" s="202" t="s">
        <v>3497</v>
      </c>
      <c r="C4337" s="200" t="s">
        <v>136</v>
      </c>
      <c r="D4337" s="204">
        <v>-741998</v>
      </c>
      <c r="E4337" s="201">
        <v>45717</v>
      </c>
      <c r="F4337" s="200" t="s">
        <v>296</v>
      </c>
      <c r="G4337" s="200" t="s">
        <v>337</v>
      </c>
      <c r="H4337" s="200" t="s">
        <v>421</v>
      </c>
    </row>
    <row r="4338" spans="1:9" ht="15" customHeight="1">
      <c r="A4338" s="199">
        <v>45730</v>
      </c>
      <c r="B4338" s="202" t="s">
        <v>3498</v>
      </c>
      <c r="C4338" s="200" t="s">
        <v>136</v>
      </c>
      <c r="D4338" s="204">
        <v>-251150</v>
      </c>
      <c r="E4338" s="201">
        <v>45717</v>
      </c>
      <c r="F4338" s="200" t="s">
        <v>256</v>
      </c>
      <c r="G4338" s="200" t="s">
        <v>256</v>
      </c>
      <c r="H4338" s="200" t="s">
        <v>265</v>
      </c>
    </row>
    <row r="4339" spans="1:9" ht="15" customHeight="1">
      <c r="A4339" s="199">
        <v>45730</v>
      </c>
      <c r="B4339" s="202" t="s">
        <v>2790</v>
      </c>
      <c r="C4339" s="200" t="s">
        <v>136</v>
      </c>
      <c r="D4339" s="204">
        <v>-124330</v>
      </c>
      <c r="E4339" s="201">
        <v>45717</v>
      </c>
      <c r="F4339" s="200" t="s">
        <v>256</v>
      </c>
      <c r="G4339" s="200" t="s">
        <v>256</v>
      </c>
      <c r="H4339" s="200" t="s">
        <v>265</v>
      </c>
    </row>
    <row r="4340" spans="1:9" ht="15" customHeight="1">
      <c r="A4340" s="199">
        <v>45719</v>
      </c>
      <c r="B4340" s="202" t="s">
        <v>3499</v>
      </c>
      <c r="C4340" s="200" t="s">
        <v>136</v>
      </c>
      <c r="D4340" s="204">
        <v>-508000</v>
      </c>
      <c r="E4340" s="201">
        <v>45717</v>
      </c>
      <c r="F4340" s="200" t="s">
        <v>296</v>
      </c>
      <c r="G4340" s="200" t="s">
        <v>44</v>
      </c>
      <c r="H4340" s="200" t="s">
        <v>421</v>
      </c>
      <c r="I4340" s="200" t="s">
        <v>3500</v>
      </c>
    </row>
    <row r="4341" spans="1:9" ht="15" customHeight="1">
      <c r="A4341" s="199">
        <v>45720</v>
      </c>
      <c r="B4341" s="202" t="s">
        <v>3501</v>
      </c>
      <c r="C4341" s="200" t="s">
        <v>136</v>
      </c>
      <c r="D4341" s="204">
        <v>-20000</v>
      </c>
      <c r="E4341" s="201">
        <v>45717</v>
      </c>
      <c r="F4341" s="200" t="s">
        <v>296</v>
      </c>
      <c r="G4341" s="200" t="s">
        <v>44</v>
      </c>
      <c r="H4341" s="200" t="s">
        <v>326</v>
      </c>
      <c r="I4341" s="200" t="s">
        <v>3500</v>
      </c>
    </row>
    <row r="4342" spans="1:9" ht="15" customHeight="1">
      <c r="A4342" s="199">
        <v>45720</v>
      </c>
      <c r="B4342" s="202" t="s">
        <v>3502</v>
      </c>
      <c r="C4342" s="200" t="s">
        <v>136</v>
      </c>
      <c r="D4342" s="204">
        <v>-617600</v>
      </c>
      <c r="E4342" s="201">
        <v>45717</v>
      </c>
      <c r="F4342" s="200" t="s">
        <v>296</v>
      </c>
      <c r="G4342" s="200" t="s">
        <v>1825</v>
      </c>
      <c r="H4342" s="200" t="s">
        <v>490</v>
      </c>
      <c r="I4342" s="200" t="s">
        <v>3500</v>
      </c>
    </row>
    <row r="4343" spans="1:9" ht="15" customHeight="1">
      <c r="A4343" s="199">
        <v>45721</v>
      </c>
      <c r="B4343" s="202" t="s">
        <v>3503</v>
      </c>
      <c r="C4343" s="200" t="s">
        <v>136</v>
      </c>
      <c r="D4343" s="204">
        <v>-100000</v>
      </c>
      <c r="E4343" s="201">
        <v>45717</v>
      </c>
      <c r="F4343" s="200" t="s">
        <v>296</v>
      </c>
      <c r="G4343" s="200" t="s">
        <v>44</v>
      </c>
      <c r="H4343" s="200" t="s">
        <v>326</v>
      </c>
      <c r="I4343" s="200" t="s">
        <v>3500</v>
      </c>
    </row>
    <row r="4344" spans="1:9" ht="15" customHeight="1">
      <c r="A4344" s="199">
        <v>45726</v>
      </c>
      <c r="B4344" s="202" t="s">
        <v>3504</v>
      </c>
      <c r="C4344" s="200" t="s">
        <v>136</v>
      </c>
      <c r="D4344" s="204">
        <v>-100000</v>
      </c>
      <c r="E4344" s="201">
        <v>45717</v>
      </c>
      <c r="F4344" s="200" t="s">
        <v>296</v>
      </c>
      <c r="G4344" s="200" t="s">
        <v>44</v>
      </c>
      <c r="H4344" s="200" t="s">
        <v>326</v>
      </c>
      <c r="I4344" s="200" t="s">
        <v>3500</v>
      </c>
    </row>
    <row r="4345" spans="1:9" ht="15" customHeight="1">
      <c r="A4345" s="199">
        <v>45726</v>
      </c>
      <c r="B4345" s="202" t="s">
        <v>3505</v>
      </c>
      <c r="C4345" s="200" t="s">
        <v>136</v>
      </c>
      <c r="D4345" s="204">
        <v>-50000</v>
      </c>
      <c r="E4345" s="201">
        <v>45717</v>
      </c>
      <c r="F4345" s="200" t="s">
        <v>296</v>
      </c>
      <c r="G4345" s="200" t="s">
        <v>44</v>
      </c>
      <c r="H4345" s="200" t="s">
        <v>326</v>
      </c>
      <c r="I4345" s="200" t="s">
        <v>3500</v>
      </c>
    </row>
    <row r="4346" spans="1:9" ht="15" customHeight="1">
      <c r="A4346" s="199">
        <v>45727</v>
      </c>
      <c r="B4346" s="202" t="s">
        <v>3506</v>
      </c>
      <c r="C4346" s="200" t="s">
        <v>136</v>
      </c>
      <c r="D4346" s="204">
        <v>-50000</v>
      </c>
      <c r="E4346" s="201">
        <v>45717</v>
      </c>
      <c r="F4346" s="200" t="s">
        <v>296</v>
      </c>
      <c r="G4346" s="200" t="s">
        <v>1825</v>
      </c>
      <c r="H4346" s="200" t="s">
        <v>490</v>
      </c>
      <c r="I4346" s="200" t="s">
        <v>3500</v>
      </c>
    </row>
    <row r="4347" spans="1:9" ht="15" customHeight="1">
      <c r="A4347" s="199">
        <v>45730</v>
      </c>
      <c r="B4347" s="202" t="s">
        <v>3504</v>
      </c>
      <c r="C4347" s="200" t="s">
        <v>136</v>
      </c>
      <c r="D4347" s="204">
        <v>-100000</v>
      </c>
      <c r="E4347" s="201">
        <v>45717</v>
      </c>
      <c r="F4347" s="200" t="s">
        <v>296</v>
      </c>
      <c r="G4347" s="200" t="s">
        <v>44</v>
      </c>
      <c r="H4347" s="200" t="s">
        <v>326</v>
      </c>
      <c r="I4347" s="200" t="s">
        <v>3500</v>
      </c>
    </row>
    <row r="4348" spans="1:9" ht="15" customHeight="1">
      <c r="A4348" s="199">
        <v>45730</v>
      </c>
      <c r="B4348" s="202" t="s">
        <v>3507</v>
      </c>
      <c r="C4348" s="200" t="s">
        <v>136</v>
      </c>
      <c r="D4348" s="204">
        <v>-241000</v>
      </c>
      <c r="E4348" s="201">
        <v>45717</v>
      </c>
      <c r="F4348" s="200" t="s">
        <v>296</v>
      </c>
      <c r="G4348" s="200" t="s">
        <v>1825</v>
      </c>
      <c r="H4348" s="200" t="s">
        <v>490</v>
      </c>
      <c r="I4348" s="200" t="s">
        <v>3500</v>
      </c>
    </row>
    <row r="4349" spans="1:9" ht="15" customHeight="1">
      <c r="A4349" s="199">
        <v>45717</v>
      </c>
      <c r="B4349" s="202" t="s">
        <v>3508</v>
      </c>
      <c r="C4349" s="200" t="s">
        <v>136</v>
      </c>
      <c r="D4349" s="204">
        <v>-60000</v>
      </c>
      <c r="E4349" s="201">
        <v>45717</v>
      </c>
      <c r="F4349" s="200" t="s">
        <v>296</v>
      </c>
      <c r="G4349" s="200" t="s">
        <v>522</v>
      </c>
      <c r="H4349" s="200" t="s">
        <v>326</v>
      </c>
      <c r="I4349" s="200" t="s">
        <v>2962</v>
      </c>
    </row>
    <row r="4350" spans="1:9" ht="15" customHeight="1">
      <c r="A4350" s="199">
        <v>45717</v>
      </c>
      <c r="B4350" s="202" t="s">
        <v>3509</v>
      </c>
      <c r="C4350" s="200" t="s">
        <v>136</v>
      </c>
      <c r="D4350" s="204">
        <v>-14500</v>
      </c>
      <c r="E4350" s="201">
        <v>45717</v>
      </c>
      <c r="F4350" s="200" t="s">
        <v>296</v>
      </c>
      <c r="G4350" s="200" t="s">
        <v>522</v>
      </c>
      <c r="H4350" s="200" t="s">
        <v>326</v>
      </c>
      <c r="I4350" s="200" t="s">
        <v>2962</v>
      </c>
    </row>
    <row r="4351" spans="1:9" ht="15" customHeight="1">
      <c r="A4351" s="199">
        <v>45719</v>
      </c>
      <c r="B4351" s="202" t="s">
        <v>3510</v>
      </c>
      <c r="C4351" s="200" t="s">
        <v>136</v>
      </c>
      <c r="D4351" s="204">
        <v>-14500</v>
      </c>
      <c r="E4351" s="201">
        <v>45717</v>
      </c>
      <c r="F4351" s="200" t="s">
        <v>296</v>
      </c>
      <c r="G4351" s="200" t="s">
        <v>522</v>
      </c>
      <c r="H4351" s="200" t="s">
        <v>326</v>
      </c>
      <c r="I4351" s="200" t="s">
        <v>2962</v>
      </c>
    </row>
    <row r="4352" spans="1:9" ht="15" customHeight="1">
      <c r="A4352" s="199">
        <v>45719</v>
      </c>
      <c r="B4352" s="202" t="s">
        <v>3511</v>
      </c>
      <c r="C4352" s="200" t="s">
        <v>136</v>
      </c>
      <c r="D4352" s="204">
        <v>-150250</v>
      </c>
      <c r="E4352" s="201">
        <v>45717</v>
      </c>
      <c r="F4352" s="200" t="s">
        <v>296</v>
      </c>
      <c r="G4352" s="200" t="s">
        <v>522</v>
      </c>
      <c r="H4352" s="200" t="s">
        <v>326</v>
      </c>
      <c r="I4352" s="200" t="s">
        <v>2962</v>
      </c>
    </row>
    <row r="4353" spans="1:9" ht="15" customHeight="1">
      <c r="A4353" s="199">
        <v>45721</v>
      </c>
      <c r="B4353" s="202" t="s">
        <v>3512</v>
      </c>
      <c r="C4353" s="200" t="s">
        <v>136</v>
      </c>
      <c r="D4353" s="204">
        <v>-40000</v>
      </c>
      <c r="E4353" s="201">
        <v>45717</v>
      </c>
      <c r="F4353" s="200" t="s">
        <v>296</v>
      </c>
      <c r="G4353" s="200" t="s">
        <v>522</v>
      </c>
      <c r="H4353" s="200" t="s">
        <v>488</v>
      </c>
      <c r="I4353" s="200" t="s">
        <v>2962</v>
      </c>
    </row>
    <row r="4354" spans="1:9" ht="15" customHeight="1">
      <c r="A4354" s="199">
        <v>45721</v>
      </c>
      <c r="B4354" s="202" t="s">
        <v>3513</v>
      </c>
      <c r="C4354" s="200" t="s">
        <v>136</v>
      </c>
      <c r="D4354" s="204">
        <v>-20000</v>
      </c>
      <c r="E4354" s="201">
        <v>45717</v>
      </c>
      <c r="F4354" s="200" t="s">
        <v>296</v>
      </c>
      <c r="G4354" s="200" t="s">
        <v>522</v>
      </c>
      <c r="H4354" s="200" t="s">
        <v>326</v>
      </c>
      <c r="I4354" s="200" t="s">
        <v>2962</v>
      </c>
    </row>
    <row r="4355" spans="1:9" ht="15" customHeight="1">
      <c r="A4355" s="199">
        <v>45722</v>
      </c>
      <c r="B4355" s="202" t="s">
        <v>3512</v>
      </c>
      <c r="C4355" s="200" t="s">
        <v>136</v>
      </c>
      <c r="D4355" s="204">
        <v>-40000</v>
      </c>
      <c r="E4355" s="201">
        <v>45717</v>
      </c>
      <c r="F4355" s="200" t="s">
        <v>296</v>
      </c>
      <c r="G4355" s="200" t="s">
        <v>522</v>
      </c>
      <c r="H4355" s="200" t="s">
        <v>429</v>
      </c>
      <c r="I4355" s="200" t="s">
        <v>2962</v>
      </c>
    </row>
    <row r="4356" spans="1:9" ht="15" customHeight="1">
      <c r="A4356" s="199">
        <v>45722</v>
      </c>
      <c r="B4356" s="202" t="s">
        <v>3514</v>
      </c>
      <c r="C4356" s="200" t="s">
        <v>136</v>
      </c>
      <c r="D4356" s="204">
        <v>-32000</v>
      </c>
      <c r="E4356" s="201">
        <v>45717</v>
      </c>
      <c r="F4356" s="200" t="s">
        <v>296</v>
      </c>
      <c r="G4356" s="200" t="s">
        <v>522</v>
      </c>
      <c r="H4356" s="200" t="s">
        <v>322</v>
      </c>
      <c r="I4356" s="200" t="s">
        <v>2962</v>
      </c>
    </row>
    <row r="4357" spans="1:9" ht="15" customHeight="1">
      <c r="A4357" s="199">
        <v>45722</v>
      </c>
      <c r="B4357" s="202" t="s">
        <v>3515</v>
      </c>
      <c r="C4357" s="200" t="s">
        <v>136</v>
      </c>
      <c r="D4357" s="204">
        <v>-27800</v>
      </c>
      <c r="E4357" s="201">
        <v>45717</v>
      </c>
      <c r="F4357" s="200" t="s">
        <v>296</v>
      </c>
      <c r="G4357" s="200" t="s">
        <v>522</v>
      </c>
      <c r="H4357" s="200" t="s">
        <v>326</v>
      </c>
      <c r="I4357" s="200" t="s">
        <v>2962</v>
      </c>
    </row>
    <row r="4358" spans="1:9" ht="15" customHeight="1">
      <c r="A4358" s="199">
        <v>45723</v>
      </c>
      <c r="B4358" s="202" t="s">
        <v>3516</v>
      </c>
      <c r="C4358" s="200" t="s">
        <v>136</v>
      </c>
      <c r="D4358" s="204">
        <v>-170000</v>
      </c>
      <c r="E4358" s="201">
        <v>45717</v>
      </c>
      <c r="F4358" s="200" t="s">
        <v>296</v>
      </c>
      <c r="G4358" s="200" t="s">
        <v>522</v>
      </c>
      <c r="H4358" s="200" t="s">
        <v>326</v>
      </c>
      <c r="I4358" s="200" t="s">
        <v>2962</v>
      </c>
    </row>
    <row r="4359" spans="1:9" ht="15" customHeight="1">
      <c r="A4359" s="199">
        <v>45723</v>
      </c>
      <c r="B4359" s="202" t="s">
        <v>3517</v>
      </c>
      <c r="C4359" s="200" t="s">
        <v>136</v>
      </c>
      <c r="D4359" s="204">
        <v>-155000</v>
      </c>
      <c r="E4359" s="201">
        <v>45717</v>
      </c>
      <c r="F4359" s="200" t="s">
        <v>296</v>
      </c>
      <c r="G4359" s="200" t="s">
        <v>522</v>
      </c>
      <c r="H4359" s="200" t="s">
        <v>326</v>
      </c>
      <c r="I4359" s="200" t="s">
        <v>2962</v>
      </c>
    </row>
    <row r="4360" spans="1:9" ht="15" customHeight="1">
      <c r="A4360" s="199">
        <v>45723</v>
      </c>
      <c r="B4360" s="202" t="s">
        <v>3518</v>
      </c>
      <c r="C4360" s="200" t="s">
        <v>136</v>
      </c>
      <c r="D4360" s="204">
        <v>-20000</v>
      </c>
      <c r="E4360" s="201">
        <v>45717</v>
      </c>
      <c r="F4360" s="200" t="s">
        <v>296</v>
      </c>
      <c r="G4360" s="200" t="s">
        <v>522</v>
      </c>
      <c r="H4360" s="200" t="s">
        <v>326</v>
      </c>
      <c r="I4360" s="200" t="s">
        <v>2962</v>
      </c>
    </row>
    <row r="4361" spans="1:9" ht="15" customHeight="1">
      <c r="A4361" s="199">
        <v>45723</v>
      </c>
      <c r="B4361" s="202" t="s">
        <v>3519</v>
      </c>
      <c r="C4361" s="200" t="s">
        <v>136</v>
      </c>
      <c r="D4361" s="204">
        <v>-444000</v>
      </c>
      <c r="E4361" s="201">
        <v>45717</v>
      </c>
      <c r="F4361" s="200" t="s">
        <v>296</v>
      </c>
      <c r="G4361" s="200" t="s">
        <v>522</v>
      </c>
      <c r="H4361" s="200" t="s">
        <v>488</v>
      </c>
      <c r="I4361" s="200" t="s">
        <v>2962</v>
      </c>
    </row>
    <row r="4362" spans="1:9" ht="15" customHeight="1">
      <c r="A4362" s="199">
        <v>45723</v>
      </c>
      <c r="B4362" s="202" t="s">
        <v>3520</v>
      </c>
      <c r="C4362" s="200" t="s">
        <v>136</v>
      </c>
      <c r="D4362" s="204">
        <v>-277400</v>
      </c>
      <c r="E4362" s="201">
        <v>45717</v>
      </c>
      <c r="F4362" s="200" t="s">
        <v>296</v>
      </c>
      <c r="G4362" s="200" t="s">
        <v>337</v>
      </c>
      <c r="H4362" s="200" t="s">
        <v>488</v>
      </c>
      <c r="I4362" s="200" t="s">
        <v>2951</v>
      </c>
    </row>
    <row r="4363" spans="1:9" ht="15" customHeight="1">
      <c r="A4363" s="199">
        <v>45724</v>
      </c>
      <c r="B4363" s="202" t="s">
        <v>3521</v>
      </c>
      <c r="C4363" s="200" t="s">
        <v>136</v>
      </c>
      <c r="D4363" s="204">
        <v>-5000</v>
      </c>
      <c r="E4363" s="201">
        <v>45717</v>
      </c>
      <c r="F4363" s="200" t="s">
        <v>296</v>
      </c>
      <c r="G4363" s="200" t="s">
        <v>337</v>
      </c>
      <c r="H4363" s="200" t="s">
        <v>326</v>
      </c>
      <c r="I4363" s="200" t="s">
        <v>2951</v>
      </c>
    </row>
    <row r="4364" spans="1:9" ht="15" customHeight="1">
      <c r="A4364" s="199">
        <v>45724</v>
      </c>
      <c r="B4364" s="202" t="s">
        <v>3522</v>
      </c>
      <c r="C4364" s="200" t="s">
        <v>136</v>
      </c>
      <c r="D4364" s="204">
        <v>-10008</v>
      </c>
      <c r="E4364" s="201">
        <v>45717</v>
      </c>
      <c r="F4364" s="200" t="s">
        <v>296</v>
      </c>
      <c r="G4364" s="200" t="s">
        <v>337</v>
      </c>
      <c r="H4364" s="200" t="s">
        <v>488</v>
      </c>
      <c r="I4364" s="200" t="s">
        <v>2951</v>
      </c>
    </row>
    <row r="4365" spans="1:9" ht="15" customHeight="1">
      <c r="A4365" s="199">
        <v>45726</v>
      </c>
      <c r="B4365" s="202" t="s">
        <v>3523</v>
      </c>
      <c r="C4365" s="200" t="s">
        <v>136</v>
      </c>
      <c r="D4365" s="204">
        <v>-7000</v>
      </c>
      <c r="E4365" s="201">
        <v>45717</v>
      </c>
      <c r="F4365" s="200" t="s">
        <v>296</v>
      </c>
      <c r="G4365" s="200" t="s">
        <v>337</v>
      </c>
      <c r="H4365" s="200" t="s">
        <v>421</v>
      </c>
      <c r="I4365" s="200" t="s">
        <v>2951</v>
      </c>
    </row>
    <row r="4366" spans="1:9" ht="15" customHeight="1">
      <c r="A4366" s="199">
        <v>45727</v>
      </c>
      <c r="B4366" s="202" t="s">
        <v>3524</v>
      </c>
      <c r="C4366" s="200" t="s">
        <v>136</v>
      </c>
      <c r="D4366" s="204">
        <v>-25062</v>
      </c>
      <c r="E4366" s="201">
        <v>45717</v>
      </c>
      <c r="F4366" s="200" t="s">
        <v>296</v>
      </c>
      <c r="G4366" s="200" t="s">
        <v>337</v>
      </c>
      <c r="H4366" s="200" t="s">
        <v>2715</v>
      </c>
      <c r="I4366" s="200" t="s">
        <v>2951</v>
      </c>
    </row>
    <row r="4367" spans="1:9" ht="15" customHeight="1">
      <c r="A4367" s="199">
        <v>45729</v>
      </c>
      <c r="B4367" s="202" t="s">
        <v>3525</v>
      </c>
      <c r="C4367" s="200" t="s">
        <v>136</v>
      </c>
      <c r="D4367" s="204">
        <v>-20000</v>
      </c>
      <c r="E4367" s="201">
        <v>45717</v>
      </c>
      <c r="F4367" s="200" t="s">
        <v>296</v>
      </c>
      <c r="G4367" s="200" t="s">
        <v>337</v>
      </c>
      <c r="H4367" s="200" t="s">
        <v>326</v>
      </c>
      <c r="I4367" s="200" t="s">
        <v>2951</v>
      </c>
    </row>
    <row r="4368" spans="1:9" ht="15" customHeight="1">
      <c r="A4368" s="199">
        <v>45729</v>
      </c>
      <c r="B4368" s="202" t="s">
        <v>3526</v>
      </c>
      <c r="C4368" s="200" t="s">
        <v>136</v>
      </c>
      <c r="D4368" s="204">
        <v>-100043</v>
      </c>
      <c r="E4368" s="201">
        <v>45717</v>
      </c>
      <c r="F4368" s="200" t="s">
        <v>296</v>
      </c>
      <c r="G4368" s="200" t="s">
        <v>337</v>
      </c>
      <c r="H4368" s="200" t="s">
        <v>326</v>
      </c>
      <c r="I4368" s="200" t="s">
        <v>2951</v>
      </c>
    </row>
    <row r="4369" spans="1:9" ht="15" customHeight="1">
      <c r="A4369" s="199">
        <v>45729</v>
      </c>
      <c r="B4369" s="202" t="s">
        <v>3527</v>
      </c>
      <c r="C4369" s="200" t="s">
        <v>136</v>
      </c>
      <c r="D4369" s="204">
        <v>-22000</v>
      </c>
      <c r="E4369" s="201">
        <v>45717</v>
      </c>
      <c r="F4369" s="200" t="s">
        <v>296</v>
      </c>
      <c r="G4369" s="200" t="s">
        <v>337</v>
      </c>
      <c r="H4369" s="200" t="s">
        <v>326</v>
      </c>
      <c r="I4369" s="200" t="s">
        <v>2951</v>
      </c>
    </row>
    <row r="4370" spans="1:9" ht="15" customHeight="1">
      <c r="A4370" s="199">
        <v>45730</v>
      </c>
      <c r="B4370" s="202" t="s">
        <v>3528</v>
      </c>
      <c r="C4370" s="200" t="s">
        <v>136</v>
      </c>
      <c r="D4370" s="204">
        <v>-267000</v>
      </c>
      <c r="E4370" s="201">
        <v>45717</v>
      </c>
      <c r="F4370" s="200" t="s">
        <v>296</v>
      </c>
      <c r="G4370" s="200" t="s">
        <v>337</v>
      </c>
      <c r="H4370" s="200" t="s">
        <v>2715</v>
      </c>
      <c r="I4370" s="200" t="s">
        <v>2951</v>
      </c>
    </row>
    <row r="4371" spans="1:9" ht="15" customHeight="1">
      <c r="A4371" s="199">
        <v>45730</v>
      </c>
      <c r="B4371" s="202" t="s">
        <v>3526</v>
      </c>
      <c r="C4371" s="200" t="s">
        <v>136</v>
      </c>
      <c r="D4371" s="204">
        <v>-50056</v>
      </c>
      <c r="E4371" s="201">
        <v>45717</v>
      </c>
      <c r="F4371" s="200" t="s">
        <v>296</v>
      </c>
      <c r="G4371" s="200" t="s">
        <v>337</v>
      </c>
      <c r="H4371" s="200" t="s">
        <v>326</v>
      </c>
      <c r="I4371" s="200" t="s">
        <v>2951</v>
      </c>
    </row>
    <row r="4372" spans="1:9" ht="15" customHeight="1">
      <c r="A4372" s="199">
        <v>45730</v>
      </c>
      <c r="B4372" s="202" t="s">
        <v>3529</v>
      </c>
      <c r="C4372" s="200" t="s">
        <v>136</v>
      </c>
      <c r="D4372" s="204">
        <v>-6000</v>
      </c>
      <c r="E4372" s="201">
        <v>45717</v>
      </c>
      <c r="F4372" s="200" t="s">
        <v>296</v>
      </c>
      <c r="G4372" s="200" t="s">
        <v>337</v>
      </c>
      <c r="H4372" s="200" t="s">
        <v>326</v>
      </c>
      <c r="I4372" s="200" t="s">
        <v>2951</v>
      </c>
    </row>
    <row r="4373" spans="1:9" ht="15" customHeight="1">
      <c r="A4373" s="199">
        <v>45734</v>
      </c>
      <c r="B4373" s="202" t="s">
        <v>3530</v>
      </c>
      <c r="C4373" s="200" t="s">
        <v>136</v>
      </c>
      <c r="D4373" s="204">
        <v>-2384424</v>
      </c>
      <c r="E4373" s="201">
        <v>45717</v>
      </c>
      <c r="F4373" s="200" t="s">
        <v>297</v>
      </c>
      <c r="G4373" s="200" t="s">
        <v>1578</v>
      </c>
      <c r="H4373" s="200" t="s">
        <v>377</v>
      </c>
    </row>
    <row r="4374" spans="1:9" ht="15" customHeight="1">
      <c r="A4374" s="199">
        <v>45734</v>
      </c>
      <c r="B4374" s="202" t="s">
        <v>3531</v>
      </c>
      <c r="C4374" s="200" t="s">
        <v>372</v>
      </c>
      <c r="D4374" s="204">
        <v>-51300</v>
      </c>
      <c r="E4374" s="201">
        <v>45717</v>
      </c>
      <c r="F4374" s="200" t="s">
        <v>297</v>
      </c>
      <c r="G4374" s="200" t="s">
        <v>1578</v>
      </c>
      <c r="H4374" s="200" t="s">
        <v>377</v>
      </c>
    </row>
    <row r="4375" spans="1:9" ht="15" customHeight="1">
      <c r="A4375" s="199">
        <v>45734</v>
      </c>
      <c r="B4375" s="202" t="s">
        <v>3532</v>
      </c>
      <c r="C4375" s="200" t="s">
        <v>372</v>
      </c>
      <c r="D4375" s="204">
        <v>-6156</v>
      </c>
      <c r="E4375" s="201">
        <v>45717</v>
      </c>
      <c r="F4375" s="200" t="s">
        <v>297</v>
      </c>
      <c r="G4375" s="200" t="s">
        <v>1578</v>
      </c>
      <c r="H4375" s="200" t="s">
        <v>377</v>
      </c>
    </row>
    <row r="4376" spans="1:9" ht="15" customHeight="1">
      <c r="A4376" s="199">
        <v>45734</v>
      </c>
      <c r="B4376" s="722" t="s">
        <v>3533</v>
      </c>
      <c r="C4376" s="200" t="s">
        <v>136</v>
      </c>
      <c r="D4376" s="204">
        <v>-116244</v>
      </c>
      <c r="E4376" s="201">
        <v>45717</v>
      </c>
      <c r="F4376" s="200" t="s">
        <v>296</v>
      </c>
      <c r="G4376" s="200" t="s">
        <v>57</v>
      </c>
      <c r="H4376" s="200" t="s">
        <v>105</v>
      </c>
    </row>
    <row r="4377" spans="1:9" ht="15" customHeight="1">
      <c r="A4377" s="199">
        <v>45734</v>
      </c>
      <c r="B4377" s="722" t="s">
        <v>3534</v>
      </c>
      <c r="C4377" s="200" t="s">
        <v>372</v>
      </c>
      <c r="D4377" s="204">
        <v>-589</v>
      </c>
      <c r="E4377" s="201">
        <v>45717</v>
      </c>
      <c r="F4377" s="200" t="s">
        <v>296</v>
      </c>
      <c r="G4377" s="200" t="s">
        <v>57</v>
      </c>
      <c r="H4377" s="200" t="s">
        <v>105</v>
      </c>
    </row>
    <row r="4378" spans="1:9" ht="15" customHeight="1">
      <c r="A4378" s="199">
        <v>45734</v>
      </c>
      <c r="B4378" s="722" t="s">
        <v>3533</v>
      </c>
      <c r="C4378" s="200" t="s">
        <v>136</v>
      </c>
      <c r="D4378" s="204">
        <v>-116244</v>
      </c>
      <c r="E4378" s="201">
        <v>45717</v>
      </c>
      <c r="F4378" s="200" t="s">
        <v>296</v>
      </c>
      <c r="G4378" s="200" t="s">
        <v>57</v>
      </c>
      <c r="H4378" s="200" t="s">
        <v>105</v>
      </c>
    </row>
    <row r="4379" spans="1:9" ht="15" customHeight="1">
      <c r="A4379" s="199">
        <v>45734</v>
      </c>
      <c r="B4379" s="722" t="s">
        <v>3534</v>
      </c>
      <c r="C4379" s="200" t="s">
        <v>372</v>
      </c>
      <c r="D4379" s="204">
        <v>-589</v>
      </c>
      <c r="E4379" s="201">
        <v>45717</v>
      </c>
      <c r="F4379" s="200" t="s">
        <v>296</v>
      </c>
      <c r="G4379" s="200" t="s">
        <v>57</v>
      </c>
      <c r="H4379" s="200" t="s">
        <v>105</v>
      </c>
    </row>
    <row r="4380" spans="1:9" ht="15" customHeight="1">
      <c r="A4380" s="199">
        <v>45734</v>
      </c>
      <c r="B4380" s="722" t="s">
        <v>3533</v>
      </c>
      <c r="C4380" s="200" t="s">
        <v>136</v>
      </c>
      <c r="D4380" s="204">
        <v>-116244</v>
      </c>
      <c r="E4380" s="201">
        <v>45717</v>
      </c>
      <c r="F4380" s="200" t="s">
        <v>296</v>
      </c>
      <c r="G4380" s="200" t="s">
        <v>57</v>
      </c>
      <c r="H4380" s="200" t="s">
        <v>105</v>
      </c>
    </row>
    <row r="4381" spans="1:9" ht="15" customHeight="1">
      <c r="A4381" s="199">
        <v>45734</v>
      </c>
      <c r="B4381" s="722" t="s">
        <v>3534</v>
      </c>
      <c r="C4381" s="200" t="s">
        <v>372</v>
      </c>
      <c r="D4381" s="204">
        <v>-589</v>
      </c>
      <c r="E4381" s="201">
        <v>45717</v>
      </c>
      <c r="F4381" s="200" t="s">
        <v>296</v>
      </c>
      <c r="G4381" s="200" t="s">
        <v>57</v>
      </c>
      <c r="H4381" s="200" t="s">
        <v>105</v>
      </c>
    </row>
    <row r="4382" spans="1:9" ht="15" customHeight="1">
      <c r="A4382" s="199">
        <v>45734</v>
      </c>
      <c r="B4382" s="202" t="s">
        <v>3535</v>
      </c>
      <c r="C4382" s="200" t="s">
        <v>136</v>
      </c>
      <c r="D4382" s="204">
        <v>-789201</v>
      </c>
      <c r="E4382" s="201">
        <v>45717</v>
      </c>
      <c r="F4382" s="200" t="s">
        <v>296</v>
      </c>
      <c r="G4382" s="200" t="s">
        <v>44</v>
      </c>
      <c r="H4382" s="200" t="s">
        <v>488</v>
      </c>
    </row>
    <row r="4383" spans="1:9" ht="15" customHeight="1">
      <c r="A4383" s="199">
        <v>45734</v>
      </c>
      <c r="B4383" s="202" t="s">
        <v>3536</v>
      </c>
      <c r="C4383" s="200" t="s">
        <v>372</v>
      </c>
      <c r="D4383" s="204">
        <v>-3999</v>
      </c>
      <c r="E4383" s="201">
        <v>45717</v>
      </c>
      <c r="F4383" s="200" t="s">
        <v>296</v>
      </c>
      <c r="G4383" s="200" t="s">
        <v>44</v>
      </c>
      <c r="H4383" s="200" t="s">
        <v>488</v>
      </c>
    </row>
    <row r="4384" spans="1:9" ht="15" customHeight="1">
      <c r="A4384" s="199">
        <v>45734</v>
      </c>
      <c r="B4384" s="202" t="s">
        <v>3537</v>
      </c>
      <c r="C4384" s="200" t="s">
        <v>136</v>
      </c>
      <c r="D4384" s="204">
        <v>-756667</v>
      </c>
      <c r="E4384" s="201">
        <v>45717</v>
      </c>
      <c r="F4384" s="200" t="s">
        <v>296</v>
      </c>
      <c r="G4384" s="200" t="s">
        <v>337</v>
      </c>
      <c r="H4384" s="200" t="s">
        <v>446</v>
      </c>
    </row>
    <row r="4385" spans="1:8" ht="15" customHeight="1">
      <c r="A4385" s="199">
        <v>45734</v>
      </c>
      <c r="B4385" s="202" t="s">
        <v>3538</v>
      </c>
      <c r="C4385" s="200" t="s">
        <v>372</v>
      </c>
      <c r="D4385" s="204">
        <v>-27444</v>
      </c>
      <c r="E4385" s="201">
        <v>45717</v>
      </c>
      <c r="F4385" s="200" t="s">
        <v>296</v>
      </c>
      <c r="G4385" s="200" t="s">
        <v>337</v>
      </c>
      <c r="H4385" s="200" t="s">
        <v>446</v>
      </c>
    </row>
    <row r="4386" spans="1:8" ht="15" customHeight="1">
      <c r="A4386" s="199">
        <v>45734</v>
      </c>
      <c r="B4386" s="202" t="s">
        <v>3537</v>
      </c>
      <c r="C4386" s="200" t="s">
        <v>136</v>
      </c>
      <c r="D4386" s="204">
        <v>-756667</v>
      </c>
      <c r="E4386" s="201">
        <v>45717</v>
      </c>
      <c r="F4386" s="200" t="s">
        <v>296</v>
      </c>
      <c r="G4386" s="200" t="s">
        <v>44</v>
      </c>
      <c r="H4386" s="200" t="s">
        <v>326</v>
      </c>
    </row>
    <row r="4387" spans="1:8" ht="15" customHeight="1">
      <c r="A4387" s="199">
        <v>45734</v>
      </c>
      <c r="B4387" s="202" t="s">
        <v>3538</v>
      </c>
      <c r="C4387" s="200" t="s">
        <v>372</v>
      </c>
      <c r="D4387" s="204">
        <v>-27444</v>
      </c>
      <c r="E4387" s="201">
        <v>45717</v>
      </c>
      <c r="F4387" s="200" t="s">
        <v>296</v>
      </c>
      <c r="G4387" s="200" t="s">
        <v>44</v>
      </c>
      <c r="H4387" s="200" t="s">
        <v>326</v>
      </c>
    </row>
    <row r="4388" spans="1:8" ht="15" customHeight="1">
      <c r="A4388" s="199">
        <v>45734</v>
      </c>
      <c r="B4388" s="202" t="s">
        <v>3537</v>
      </c>
      <c r="C4388" s="200" t="s">
        <v>136</v>
      </c>
      <c r="D4388" s="204">
        <v>-756667</v>
      </c>
      <c r="E4388" s="201">
        <v>45717</v>
      </c>
      <c r="F4388" s="200" t="s">
        <v>296</v>
      </c>
      <c r="G4388" s="200" t="s">
        <v>522</v>
      </c>
      <c r="H4388" s="200" t="s">
        <v>326</v>
      </c>
    </row>
    <row r="4389" spans="1:8" ht="15" customHeight="1">
      <c r="A4389" s="199">
        <v>45734</v>
      </c>
      <c r="B4389" s="202" t="s">
        <v>3538</v>
      </c>
      <c r="C4389" s="200" t="s">
        <v>372</v>
      </c>
      <c r="D4389" s="204">
        <v>-27444</v>
      </c>
      <c r="E4389" s="201">
        <v>45717</v>
      </c>
      <c r="F4389" s="200" t="s">
        <v>296</v>
      </c>
      <c r="G4389" s="200" t="s">
        <v>522</v>
      </c>
      <c r="H4389" s="200" t="s">
        <v>326</v>
      </c>
    </row>
    <row r="4390" spans="1:8" ht="15" customHeight="1">
      <c r="A4390" s="199">
        <v>45734</v>
      </c>
      <c r="B4390" s="202" t="s">
        <v>3539</v>
      </c>
      <c r="C4390" s="200" t="s">
        <v>136</v>
      </c>
      <c r="D4390" s="204">
        <v>-374850</v>
      </c>
      <c r="E4390" s="201">
        <v>45717</v>
      </c>
      <c r="F4390" s="200" t="s">
        <v>296</v>
      </c>
      <c r="G4390" s="200" t="s">
        <v>337</v>
      </c>
      <c r="H4390" s="200" t="s">
        <v>366</v>
      </c>
    </row>
    <row r="4391" spans="1:8" ht="15" customHeight="1">
      <c r="A4391" s="199">
        <v>45734</v>
      </c>
      <c r="B4391" s="202" t="s">
        <v>3540</v>
      </c>
      <c r="C4391" s="200" t="s">
        <v>136</v>
      </c>
      <c r="D4391" s="204">
        <v>-361236</v>
      </c>
      <c r="E4391" s="201">
        <v>45717</v>
      </c>
      <c r="F4391" s="200" t="s">
        <v>297</v>
      </c>
      <c r="G4391" s="200" t="s">
        <v>1578</v>
      </c>
      <c r="H4391" s="200" t="s">
        <v>350</v>
      </c>
    </row>
    <row r="4392" spans="1:8" ht="15" customHeight="1">
      <c r="A4392" s="199">
        <v>45734</v>
      </c>
      <c r="B4392" s="202" t="s">
        <v>3541</v>
      </c>
      <c r="C4392" s="200" t="s">
        <v>136</v>
      </c>
      <c r="D4392" s="204">
        <v>-2235037</v>
      </c>
      <c r="E4392" s="201">
        <v>45717</v>
      </c>
      <c r="F4392" s="200" t="s">
        <v>296</v>
      </c>
      <c r="G4392" s="200" t="s">
        <v>337</v>
      </c>
      <c r="H4392" s="200" t="s">
        <v>326</v>
      </c>
    </row>
    <row r="4393" spans="1:8" ht="15" customHeight="1">
      <c r="A4393" s="199">
        <v>45734</v>
      </c>
      <c r="B4393" s="202" t="s">
        <v>3542</v>
      </c>
      <c r="C4393" s="200" t="s">
        <v>372</v>
      </c>
      <c r="D4393" s="204">
        <v>-81064</v>
      </c>
      <c r="E4393" s="201">
        <v>45717</v>
      </c>
      <c r="F4393" s="200" t="s">
        <v>296</v>
      </c>
      <c r="G4393" s="200" t="s">
        <v>337</v>
      </c>
      <c r="H4393" s="200" t="s">
        <v>326</v>
      </c>
    </row>
    <row r="4394" spans="1:8" ht="15" customHeight="1">
      <c r="A4394" s="199">
        <v>45734</v>
      </c>
      <c r="B4394" s="202" t="s">
        <v>3543</v>
      </c>
      <c r="C4394" s="200" t="s">
        <v>136</v>
      </c>
      <c r="D4394" s="204">
        <v>-850000</v>
      </c>
      <c r="E4394" s="201">
        <v>45717</v>
      </c>
      <c r="F4394" s="200" t="s">
        <v>296</v>
      </c>
      <c r="G4394" s="200" t="s">
        <v>1980</v>
      </c>
      <c r="H4394" s="200" t="s">
        <v>322</v>
      </c>
    </row>
    <row r="4395" spans="1:8" ht="15" customHeight="1">
      <c r="A4395" s="199">
        <v>45734</v>
      </c>
      <c r="B4395" s="202" t="s">
        <v>3543</v>
      </c>
      <c r="C4395" s="200" t="s">
        <v>136</v>
      </c>
      <c r="D4395" s="204">
        <v>-850000</v>
      </c>
      <c r="E4395" s="201">
        <v>45717</v>
      </c>
      <c r="F4395" s="200" t="s">
        <v>296</v>
      </c>
      <c r="G4395" s="200" t="s">
        <v>1983</v>
      </c>
      <c r="H4395" s="200" t="s">
        <v>322</v>
      </c>
    </row>
    <row r="4396" spans="1:8" ht="15" customHeight="1">
      <c r="A4396" s="199">
        <v>45734</v>
      </c>
      <c r="B4396" s="202" t="s">
        <v>3544</v>
      </c>
      <c r="C4396" s="200" t="s">
        <v>136</v>
      </c>
      <c r="D4396" s="204">
        <v>-955500</v>
      </c>
      <c r="E4396" s="201">
        <v>45717</v>
      </c>
      <c r="F4396" s="200" t="s">
        <v>296</v>
      </c>
      <c r="G4396" s="200" t="s">
        <v>522</v>
      </c>
      <c r="H4396" s="200" t="s">
        <v>488</v>
      </c>
    </row>
    <row r="4397" spans="1:8" ht="15" customHeight="1">
      <c r="A4397" s="199">
        <v>45734</v>
      </c>
      <c r="B4397" s="202" t="s">
        <v>3545</v>
      </c>
      <c r="C4397" s="200" t="s">
        <v>372</v>
      </c>
      <c r="D4397" s="204">
        <v>-24500</v>
      </c>
      <c r="E4397" s="201">
        <v>45717</v>
      </c>
      <c r="F4397" s="200" t="s">
        <v>296</v>
      </c>
      <c r="G4397" s="200" t="s">
        <v>522</v>
      </c>
      <c r="H4397" s="200" t="s">
        <v>488</v>
      </c>
    </row>
    <row r="4398" spans="1:8" ht="15" customHeight="1">
      <c r="A4398" s="199">
        <v>45734</v>
      </c>
      <c r="B4398" s="202" t="s">
        <v>3546</v>
      </c>
      <c r="C4398" s="200" t="s">
        <v>136</v>
      </c>
      <c r="D4398" s="204">
        <v>-770250</v>
      </c>
      <c r="E4398" s="201">
        <v>45717</v>
      </c>
      <c r="F4398" s="200" t="s">
        <v>296</v>
      </c>
      <c r="G4398" s="200" t="s">
        <v>44</v>
      </c>
      <c r="H4398" s="200" t="s">
        <v>811</v>
      </c>
    </row>
    <row r="4399" spans="1:8" ht="15" customHeight="1">
      <c r="A4399" s="199">
        <v>45734</v>
      </c>
      <c r="B4399" s="202" t="s">
        <v>3547</v>
      </c>
      <c r="C4399" s="200" t="s">
        <v>372</v>
      </c>
      <c r="D4399" s="204">
        <v>-19750</v>
      </c>
      <c r="E4399" s="201">
        <v>45717</v>
      </c>
      <c r="F4399" s="200" t="s">
        <v>296</v>
      </c>
      <c r="G4399" s="200" t="s">
        <v>44</v>
      </c>
      <c r="H4399" s="200" t="s">
        <v>811</v>
      </c>
    </row>
    <row r="4400" spans="1:8" ht="15" customHeight="1">
      <c r="A4400" s="199">
        <v>45734</v>
      </c>
      <c r="B4400" s="202" t="s">
        <v>3548</v>
      </c>
      <c r="C4400" s="200" t="s">
        <v>136</v>
      </c>
      <c r="D4400" s="204">
        <v>-2000000</v>
      </c>
      <c r="E4400" s="201">
        <v>45717</v>
      </c>
      <c r="F4400" s="200" t="s">
        <v>256</v>
      </c>
      <c r="G4400" s="200" t="s">
        <v>256</v>
      </c>
      <c r="H4400" s="200" t="s">
        <v>258</v>
      </c>
    </row>
    <row r="4401" spans="1:8" ht="15" customHeight="1">
      <c r="A4401" s="199">
        <v>45734</v>
      </c>
      <c r="B4401" s="202" t="s">
        <v>3549</v>
      </c>
      <c r="C4401" s="200" t="s">
        <v>136</v>
      </c>
      <c r="D4401" s="204">
        <v>-180000</v>
      </c>
      <c r="E4401" s="201">
        <v>45717</v>
      </c>
      <c r="F4401" s="200" t="s">
        <v>256</v>
      </c>
      <c r="G4401" s="200" t="s">
        <v>256</v>
      </c>
      <c r="H4401" s="200" t="s">
        <v>266</v>
      </c>
    </row>
    <row r="4402" spans="1:8" ht="15" customHeight="1">
      <c r="A4402" s="199">
        <v>45734</v>
      </c>
      <c r="B4402" s="202" t="s">
        <v>3550</v>
      </c>
      <c r="C4402" s="200" t="s">
        <v>136</v>
      </c>
      <c r="D4402" s="204">
        <v>-356129</v>
      </c>
      <c r="E4402" s="201">
        <v>45717</v>
      </c>
      <c r="F4402" s="200" t="s">
        <v>256</v>
      </c>
      <c r="G4402" s="200" t="s">
        <v>256</v>
      </c>
      <c r="H4402" s="200" t="s">
        <v>257</v>
      </c>
    </row>
    <row r="4403" spans="1:8" ht="15" customHeight="1">
      <c r="A4403" s="199">
        <v>45734</v>
      </c>
      <c r="B4403" s="202" t="s">
        <v>3551</v>
      </c>
      <c r="C4403" s="200" t="s">
        <v>136</v>
      </c>
      <c r="D4403" s="204">
        <v>-1200500</v>
      </c>
      <c r="E4403" s="201">
        <v>45717</v>
      </c>
      <c r="F4403" s="200" t="s">
        <v>296</v>
      </c>
      <c r="G4403" s="200" t="s">
        <v>453</v>
      </c>
      <c r="H4403" s="200" t="s">
        <v>97</v>
      </c>
    </row>
    <row r="4404" spans="1:8" ht="15" customHeight="1">
      <c r="A4404" s="199">
        <v>45734</v>
      </c>
      <c r="B4404" s="202" t="s">
        <v>3552</v>
      </c>
      <c r="C4404" s="200" t="s">
        <v>372</v>
      </c>
      <c r="D4404" s="204">
        <v>-24500</v>
      </c>
      <c r="E4404" s="201">
        <v>45717</v>
      </c>
      <c r="F4404" s="200" t="s">
        <v>296</v>
      </c>
      <c r="G4404" s="200" t="s">
        <v>453</v>
      </c>
      <c r="H4404" s="200" t="s">
        <v>97</v>
      </c>
    </row>
    <row r="4405" spans="1:8" ht="15" customHeight="1">
      <c r="A4405" s="199">
        <v>45734</v>
      </c>
      <c r="B4405" s="202" t="s">
        <v>3553</v>
      </c>
      <c r="C4405" s="200" t="s">
        <v>136</v>
      </c>
      <c r="D4405" s="204">
        <v>-8100000</v>
      </c>
      <c r="E4405" s="201">
        <v>45717</v>
      </c>
      <c r="F4405" s="200" t="s">
        <v>296</v>
      </c>
      <c r="G4405" s="200" t="s">
        <v>453</v>
      </c>
      <c r="H4405" s="200" t="s">
        <v>98</v>
      </c>
    </row>
    <row r="4406" spans="1:8" ht="15" customHeight="1">
      <c r="A4406" s="199">
        <v>45734</v>
      </c>
      <c r="B4406" s="202" t="s">
        <v>3554</v>
      </c>
      <c r="C4406" s="200" t="s">
        <v>372</v>
      </c>
      <c r="D4406" s="204">
        <v>-825000</v>
      </c>
      <c r="E4406" s="201">
        <v>45717</v>
      </c>
      <c r="F4406" s="200" t="s">
        <v>296</v>
      </c>
      <c r="G4406" s="200" t="s">
        <v>453</v>
      </c>
      <c r="H4406" s="200" t="s">
        <v>98</v>
      </c>
    </row>
    <row r="4407" spans="1:8" ht="15" customHeight="1">
      <c r="A4407" s="199">
        <v>45734</v>
      </c>
      <c r="B4407" s="202" t="s">
        <v>3555</v>
      </c>
      <c r="C4407" s="200" t="s">
        <v>136</v>
      </c>
      <c r="D4407" s="204">
        <v>-8838350</v>
      </c>
      <c r="E4407" s="201">
        <v>45717</v>
      </c>
      <c r="F4407" s="200" t="s">
        <v>296</v>
      </c>
      <c r="G4407" s="200" t="s">
        <v>1362</v>
      </c>
      <c r="H4407" s="200" t="s">
        <v>839</v>
      </c>
    </row>
    <row r="4408" spans="1:8" ht="15" customHeight="1">
      <c r="A4408" s="199">
        <v>45734</v>
      </c>
      <c r="B4408" s="202" t="s">
        <v>3556</v>
      </c>
      <c r="C4408" s="200" t="s">
        <v>136</v>
      </c>
      <c r="D4408" s="204">
        <v>-2155250</v>
      </c>
      <c r="E4408" s="201">
        <v>45717</v>
      </c>
      <c r="F4408" s="200" t="s">
        <v>296</v>
      </c>
      <c r="G4408" s="200" t="s">
        <v>1362</v>
      </c>
      <c r="H4408" s="200" t="s">
        <v>839</v>
      </c>
    </row>
    <row r="4409" spans="1:8" ht="15" customHeight="1">
      <c r="A4409" s="199">
        <v>45734</v>
      </c>
      <c r="B4409" s="202" t="s">
        <v>3557</v>
      </c>
      <c r="C4409" s="200" t="s">
        <v>136</v>
      </c>
      <c r="D4409" s="204">
        <v>-128245</v>
      </c>
      <c r="E4409" s="201">
        <v>45717</v>
      </c>
      <c r="F4409" s="200" t="s">
        <v>296</v>
      </c>
      <c r="G4409" s="200" t="s">
        <v>328</v>
      </c>
      <c r="H4409" s="200" t="s">
        <v>375</v>
      </c>
    </row>
    <row r="4410" spans="1:8" ht="15" customHeight="1">
      <c r="A4410" s="199">
        <v>45734</v>
      </c>
      <c r="B4410" s="202" t="s">
        <v>3558</v>
      </c>
      <c r="C4410" s="200" t="s">
        <v>136</v>
      </c>
      <c r="D4410" s="204">
        <v>-1808934</v>
      </c>
      <c r="E4410" s="201">
        <v>45717</v>
      </c>
      <c r="F4410" s="200" t="s">
        <v>296</v>
      </c>
      <c r="G4410" s="200" t="s">
        <v>522</v>
      </c>
      <c r="H4410" s="200" t="s">
        <v>370</v>
      </c>
    </row>
    <row r="4411" spans="1:8" ht="15" customHeight="1">
      <c r="A4411" s="199">
        <v>45734</v>
      </c>
      <c r="B4411" s="202" t="s">
        <v>3559</v>
      </c>
      <c r="C4411" s="200" t="s">
        <v>136</v>
      </c>
      <c r="D4411" s="204">
        <v>-287250</v>
      </c>
      <c r="E4411" s="201">
        <v>45717</v>
      </c>
      <c r="F4411" s="200" t="s">
        <v>296</v>
      </c>
      <c r="G4411" s="200" t="s">
        <v>337</v>
      </c>
      <c r="H4411" s="531" t="s">
        <v>322</v>
      </c>
    </row>
    <row r="4412" spans="1:8" ht="15" customHeight="1">
      <c r="A4412" s="199">
        <v>45734</v>
      </c>
      <c r="B4412" s="202" t="s">
        <v>3560</v>
      </c>
      <c r="C4412" s="200" t="s">
        <v>372</v>
      </c>
      <c r="D4412" s="204">
        <v>-8750</v>
      </c>
      <c r="E4412" s="201">
        <v>45717</v>
      </c>
      <c r="F4412" s="200" t="s">
        <v>296</v>
      </c>
      <c r="G4412" s="200" t="s">
        <v>337</v>
      </c>
      <c r="H4412" s="531" t="s">
        <v>322</v>
      </c>
    </row>
    <row r="4413" spans="1:8" ht="15" customHeight="1">
      <c r="A4413" s="199">
        <v>45734</v>
      </c>
      <c r="B4413" s="202" t="s">
        <v>3561</v>
      </c>
      <c r="C4413" s="200" t="s">
        <v>372</v>
      </c>
      <c r="D4413" s="204">
        <v>-1500</v>
      </c>
      <c r="E4413" s="201">
        <v>45717</v>
      </c>
      <c r="F4413" s="200" t="s">
        <v>296</v>
      </c>
      <c r="G4413" s="200" t="s">
        <v>337</v>
      </c>
      <c r="H4413" s="531" t="s">
        <v>322</v>
      </c>
    </row>
    <row r="4414" spans="1:8" ht="15" customHeight="1">
      <c r="A4414" s="199">
        <v>45734</v>
      </c>
      <c r="B4414" s="202" t="s">
        <v>3559</v>
      </c>
      <c r="C4414" s="200" t="s">
        <v>136</v>
      </c>
      <c r="D4414" s="204">
        <v>-287250</v>
      </c>
      <c r="E4414" s="201">
        <v>45717</v>
      </c>
      <c r="F4414" s="200" t="s">
        <v>296</v>
      </c>
      <c r="G4414" s="200" t="s">
        <v>321</v>
      </c>
      <c r="H4414" s="531" t="s">
        <v>322</v>
      </c>
    </row>
    <row r="4415" spans="1:8" ht="15" customHeight="1">
      <c r="A4415" s="199">
        <v>45734</v>
      </c>
      <c r="B4415" s="202" t="s">
        <v>3560</v>
      </c>
      <c r="C4415" s="200" t="s">
        <v>372</v>
      </c>
      <c r="D4415" s="204">
        <v>-8750</v>
      </c>
      <c r="E4415" s="201">
        <v>45717</v>
      </c>
      <c r="F4415" s="200" t="s">
        <v>296</v>
      </c>
      <c r="G4415" s="200" t="s">
        <v>321</v>
      </c>
      <c r="H4415" s="531" t="s">
        <v>322</v>
      </c>
    </row>
    <row r="4416" spans="1:8" ht="15" customHeight="1">
      <c r="A4416" s="199">
        <v>45734</v>
      </c>
      <c r="B4416" s="202" t="s">
        <v>3561</v>
      </c>
      <c r="C4416" s="200" t="s">
        <v>372</v>
      </c>
      <c r="D4416" s="204">
        <v>-1500</v>
      </c>
      <c r="E4416" s="201">
        <v>45717</v>
      </c>
      <c r="F4416" s="200" t="s">
        <v>296</v>
      </c>
      <c r="G4416" s="200" t="s">
        <v>321</v>
      </c>
      <c r="H4416" s="531" t="s">
        <v>322</v>
      </c>
    </row>
    <row r="4417" spans="1:9" ht="15" customHeight="1">
      <c r="A4417" s="199">
        <v>45734</v>
      </c>
      <c r="B4417" s="202" t="s">
        <v>3562</v>
      </c>
      <c r="C4417" s="200" t="s">
        <v>136</v>
      </c>
      <c r="D4417" s="204">
        <v>-1309694</v>
      </c>
      <c r="E4417" s="201">
        <v>45717</v>
      </c>
      <c r="F4417" s="200" t="s">
        <v>296</v>
      </c>
      <c r="G4417" s="200" t="s">
        <v>337</v>
      </c>
      <c r="H4417" s="531" t="s">
        <v>322</v>
      </c>
    </row>
    <row r="4418" spans="1:9" ht="15" customHeight="1">
      <c r="A4418" s="199">
        <v>45734</v>
      </c>
      <c r="B4418" s="202" t="s">
        <v>3563</v>
      </c>
      <c r="C4418" s="200" t="s">
        <v>136</v>
      </c>
      <c r="D4418" s="204">
        <v>-1039935</v>
      </c>
      <c r="E4418" s="201">
        <v>45717</v>
      </c>
      <c r="F4418" s="200" t="s">
        <v>296</v>
      </c>
      <c r="G4418" s="200" t="s">
        <v>337</v>
      </c>
      <c r="H4418" s="200" t="s">
        <v>421</v>
      </c>
    </row>
    <row r="4419" spans="1:9" ht="15" customHeight="1">
      <c r="A4419" s="199">
        <v>45734</v>
      </c>
      <c r="B4419" s="202" t="s">
        <v>3564</v>
      </c>
      <c r="C4419" s="200" t="s">
        <v>136</v>
      </c>
      <c r="D4419" s="204">
        <v>-1144800</v>
      </c>
      <c r="E4419" s="201">
        <v>45717</v>
      </c>
      <c r="F4419" s="200" t="s">
        <v>256</v>
      </c>
      <c r="G4419" s="200" t="s">
        <v>107</v>
      </c>
      <c r="H4419" s="200" t="s">
        <v>777</v>
      </c>
    </row>
    <row r="4420" spans="1:9" ht="15" customHeight="1">
      <c r="A4420" s="199">
        <v>45734</v>
      </c>
      <c r="B4420" s="202" t="s">
        <v>3565</v>
      </c>
      <c r="C4420" s="200" t="s">
        <v>372</v>
      </c>
      <c r="D4420" s="204">
        <v>-48000</v>
      </c>
      <c r="E4420" s="201">
        <v>45717</v>
      </c>
      <c r="F4420" s="200" t="s">
        <v>256</v>
      </c>
      <c r="G4420" s="200" t="s">
        <v>107</v>
      </c>
      <c r="H4420" s="200" t="s">
        <v>777</v>
      </c>
    </row>
    <row r="4421" spans="1:9" ht="15" customHeight="1">
      <c r="A4421" s="199">
        <v>45734</v>
      </c>
      <c r="B4421" s="202" t="s">
        <v>3566</v>
      </c>
      <c r="C4421" s="200" t="s">
        <v>372</v>
      </c>
      <c r="D4421" s="204">
        <v>-7200</v>
      </c>
      <c r="E4421" s="201">
        <v>45717</v>
      </c>
      <c r="F4421" s="200" t="s">
        <v>256</v>
      </c>
      <c r="G4421" s="200" t="s">
        <v>107</v>
      </c>
      <c r="H4421" s="200" t="s">
        <v>777</v>
      </c>
    </row>
    <row r="4422" spans="1:9" ht="15" customHeight="1">
      <c r="A4422" s="199">
        <v>45734</v>
      </c>
      <c r="B4422" s="202" t="s">
        <v>3567</v>
      </c>
      <c r="C4422" s="200" t="s">
        <v>136</v>
      </c>
      <c r="D4422" s="204">
        <v>-548000</v>
      </c>
      <c r="E4422" s="201">
        <v>45717</v>
      </c>
      <c r="F4422" s="200" t="s">
        <v>297</v>
      </c>
      <c r="G4422" s="200" t="s">
        <v>1578</v>
      </c>
      <c r="H4422" s="200" t="s">
        <v>377</v>
      </c>
    </row>
    <row r="4423" spans="1:9" ht="15" customHeight="1">
      <c r="A4423" s="199">
        <v>45719</v>
      </c>
      <c r="B4423" s="202" t="s">
        <v>3568</v>
      </c>
      <c r="C4423" s="200" t="s">
        <v>136</v>
      </c>
      <c r="D4423" s="204">
        <v>-6000</v>
      </c>
      <c r="E4423" s="201">
        <v>45717</v>
      </c>
      <c r="F4423" s="200" t="s">
        <v>296</v>
      </c>
      <c r="G4423" s="200" t="s">
        <v>1124</v>
      </c>
      <c r="H4423" s="200" t="s">
        <v>342</v>
      </c>
      <c r="I4423" s="200" t="s">
        <v>1776</v>
      </c>
    </row>
    <row r="4424" spans="1:9" ht="15" customHeight="1">
      <c r="A4424" s="199">
        <v>45719</v>
      </c>
      <c r="B4424" s="202" t="s">
        <v>3569</v>
      </c>
      <c r="C4424" s="200" t="s">
        <v>136</v>
      </c>
      <c r="D4424" s="204">
        <v>-45000</v>
      </c>
      <c r="E4424" s="201">
        <v>45717</v>
      </c>
      <c r="F4424" s="200" t="s">
        <v>296</v>
      </c>
      <c r="G4424" s="200" t="s">
        <v>1124</v>
      </c>
      <c r="H4424" s="200" t="s">
        <v>350</v>
      </c>
      <c r="I4424" s="200" t="s">
        <v>1776</v>
      </c>
    </row>
    <row r="4425" spans="1:9" ht="15" customHeight="1">
      <c r="A4425" s="199">
        <v>45720</v>
      </c>
      <c r="B4425" s="202" t="s">
        <v>3570</v>
      </c>
      <c r="C4425" s="200" t="s">
        <v>136</v>
      </c>
      <c r="D4425" s="204">
        <v>-20000</v>
      </c>
      <c r="E4425" s="201">
        <v>45717</v>
      </c>
      <c r="F4425" s="200" t="s">
        <v>296</v>
      </c>
      <c r="G4425" s="200" t="s">
        <v>1124</v>
      </c>
      <c r="H4425" s="200" t="s">
        <v>268</v>
      </c>
      <c r="I4425" s="200" t="s">
        <v>1776</v>
      </c>
    </row>
    <row r="4426" spans="1:9" ht="15" customHeight="1">
      <c r="A4426" s="199">
        <v>45720</v>
      </c>
      <c r="B4426" s="202" t="s">
        <v>3571</v>
      </c>
      <c r="C4426" s="200" t="s">
        <v>136</v>
      </c>
      <c r="D4426" s="204">
        <v>-20000</v>
      </c>
      <c r="E4426" s="201">
        <v>45717</v>
      </c>
      <c r="F4426" s="200" t="s">
        <v>296</v>
      </c>
      <c r="G4426" s="200" t="s">
        <v>1124</v>
      </c>
      <c r="H4426" s="200" t="s">
        <v>268</v>
      </c>
      <c r="I4426" s="200" t="s">
        <v>1776</v>
      </c>
    </row>
    <row r="4427" spans="1:9" ht="15" customHeight="1">
      <c r="A4427" s="199">
        <v>45720</v>
      </c>
      <c r="B4427" s="202" t="s">
        <v>3572</v>
      </c>
      <c r="C4427" s="200" t="s">
        <v>136</v>
      </c>
      <c r="D4427" s="204">
        <v>-6000</v>
      </c>
      <c r="E4427" s="201">
        <v>45717</v>
      </c>
      <c r="F4427" s="200" t="s">
        <v>296</v>
      </c>
      <c r="G4427" s="200" t="s">
        <v>1124</v>
      </c>
      <c r="H4427" s="200" t="s">
        <v>268</v>
      </c>
      <c r="I4427" s="200" t="s">
        <v>1776</v>
      </c>
    </row>
    <row r="4428" spans="1:9" ht="15" customHeight="1">
      <c r="A4428" s="199">
        <v>45720</v>
      </c>
      <c r="B4428" s="202" t="s">
        <v>3573</v>
      </c>
      <c r="C4428" s="200" t="s">
        <v>136</v>
      </c>
      <c r="D4428" s="204">
        <v>-31900</v>
      </c>
      <c r="E4428" s="201">
        <v>45717</v>
      </c>
      <c r="F4428" s="200" t="s">
        <v>296</v>
      </c>
      <c r="G4428" s="200" t="s">
        <v>1124</v>
      </c>
      <c r="H4428" s="200" t="s">
        <v>268</v>
      </c>
      <c r="I4428" s="200" t="s">
        <v>1776</v>
      </c>
    </row>
    <row r="4429" spans="1:9" ht="15" customHeight="1">
      <c r="A4429" s="199">
        <v>45720</v>
      </c>
      <c r="B4429" s="202" t="s">
        <v>3574</v>
      </c>
      <c r="C4429" s="200" t="s">
        <v>136</v>
      </c>
      <c r="D4429" s="204">
        <v>-24700</v>
      </c>
      <c r="E4429" s="201">
        <v>45717</v>
      </c>
      <c r="F4429" s="200" t="s">
        <v>296</v>
      </c>
      <c r="G4429" s="200" t="s">
        <v>1124</v>
      </c>
      <c r="H4429" s="200" t="s">
        <v>342</v>
      </c>
      <c r="I4429" s="200" t="s">
        <v>1776</v>
      </c>
    </row>
    <row r="4430" spans="1:9" ht="15" customHeight="1">
      <c r="A4430" s="199">
        <v>45720</v>
      </c>
      <c r="B4430" s="202" t="s">
        <v>3575</v>
      </c>
      <c r="C4430" s="200" t="s">
        <v>136</v>
      </c>
      <c r="D4430" s="204">
        <v>-6000</v>
      </c>
      <c r="E4430" s="201">
        <v>45717</v>
      </c>
      <c r="F4430" s="200" t="s">
        <v>296</v>
      </c>
      <c r="G4430" s="200" t="s">
        <v>1124</v>
      </c>
      <c r="H4430" s="200" t="s">
        <v>342</v>
      </c>
      <c r="I4430" s="200" t="s">
        <v>1776</v>
      </c>
    </row>
    <row r="4431" spans="1:9" ht="15" customHeight="1">
      <c r="A4431" s="199">
        <v>45720</v>
      </c>
      <c r="B4431" s="202" t="s">
        <v>3576</v>
      </c>
      <c r="C4431" s="200" t="s">
        <v>136</v>
      </c>
      <c r="D4431" s="204">
        <v>-16000</v>
      </c>
      <c r="E4431" s="201">
        <v>45717</v>
      </c>
      <c r="F4431" s="200" t="s">
        <v>296</v>
      </c>
      <c r="G4431" s="200" t="s">
        <v>1124</v>
      </c>
      <c r="H4431" s="200" t="s">
        <v>268</v>
      </c>
      <c r="I4431" s="200" t="s">
        <v>1776</v>
      </c>
    </row>
    <row r="4432" spans="1:9" ht="15" customHeight="1">
      <c r="A4432" s="199">
        <v>45721</v>
      </c>
      <c r="B4432" s="202" t="s">
        <v>3575</v>
      </c>
      <c r="C4432" s="200" t="s">
        <v>136</v>
      </c>
      <c r="D4432" s="204">
        <v>-16400</v>
      </c>
      <c r="E4432" s="201">
        <v>45717</v>
      </c>
      <c r="F4432" s="200" t="s">
        <v>296</v>
      </c>
      <c r="G4432" s="200" t="s">
        <v>1124</v>
      </c>
      <c r="H4432" s="200" t="s">
        <v>342</v>
      </c>
      <c r="I4432" s="200" t="s">
        <v>1776</v>
      </c>
    </row>
    <row r="4433" spans="1:9" ht="15" customHeight="1">
      <c r="A4433" s="199">
        <v>45721</v>
      </c>
      <c r="B4433" s="202" t="s">
        <v>3575</v>
      </c>
      <c r="C4433" s="200" t="s">
        <v>136</v>
      </c>
      <c r="D4433" s="204">
        <v>-18000</v>
      </c>
      <c r="E4433" s="201">
        <v>45717</v>
      </c>
      <c r="F4433" s="200" t="s">
        <v>296</v>
      </c>
      <c r="G4433" s="200" t="s">
        <v>1124</v>
      </c>
      <c r="H4433" s="200" t="s">
        <v>342</v>
      </c>
      <c r="I4433" s="200" t="s">
        <v>1776</v>
      </c>
    </row>
    <row r="4434" spans="1:9" ht="15" customHeight="1">
      <c r="A4434" s="199">
        <v>45721</v>
      </c>
      <c r="B4434" s="202" t="s">
        <v>3577</v>
      </c>
      <c r="C4434" s="200" t="s">
        <v>136</v>
      </c>
      <c r="D4434" s="204">
        <v>-12000</v>
      </c>
      <c r="E4434" s="201">
        <v>45717</v>
      </c>
      <c r="F4434" s="200" t="s">
        <v>296</v>
      </c>
      <c r="G4434" s="200" t="s">
        <v>1124</v>
      </c>
      <c r="H4434" s="200" t="s">
        <v>268</v>
      </c>
      <c r="I4434" s="200" t="s">
        <v>1776</v>
      </c>
    </row>
    <row r="4435" spans="1:9" ht="15" customHeight="1">
      <c r="A4435" s="199">
        <v>45721</v>
      </c>
      <c r="B4435" s="202" t="s">
        <v>3578</v>
      </c>
      <c r="C4435" s="200" t="s">
        <v>136</v>
      </c>
      <c r="D4435" s="204">
        <v>-10000</v>
      </c>
      <c r="E4435" s="201">
        <v>45717</v>
      </c>
      <c r="F4435" s="200" t="s">
        <v>296</v>
      </c>
      <c r="G4435" s="200" t="s">
        <v>1124</v>
      </c>
      <c r="H4435" s="200" t="s">
        <v>350</v>
      </c>
      <c r="I4435" s="200" t="s">
        <v>1776</v>
      </c>
    </row>
    <row r="4436" spans="1:9" ht="15" customHeight="1">
      <c r="A4436" s="199">
        <v>45721</v>
      </c>
      <c r="B4436" s="202" t="s">
        <v>3579</v>
      </c>
      <c r="C4436" s="200" t="s">
        <v>136</v>
      </c>
      <c r="D4436" s="204">
        <v>-83500</v>
      </c>
      <c r="E4436" s="201">
        <v>45717</v>
      </c>
      <c r="F4436" s="200" t="s">
        <v>296</v>
      </c>
      <c r="G4436" s="200" t="s">
        <v>1124</v>
      </c>
      <c r="H4436" s="200" t="s">
        <v>857</v>
      </c>
      <c r="I4436" s="200" t="s">
        <v>1776</v>
      </c>
    </row>
    <row r="4437" spans="1:9" ht="15" customHeight="1">
      <c r="A4437" s="199">
        <v>45722</v>
      </c>
      <c r="B4437" s="202" t="s">
        <v>3580</v>
      </c>
      <c r="C4437" s="200" t="s">
        <v>136</v>
      </c>
      <c r="D4437" s="204">
        <v>-31880</v>
      </c>
      <c r="E4437" s="201">
        <v>45717</v>
      </c>
      <c r="F4437" s="200" t="s">
        <v>296</v>
      </c>
      <c r="G4437" s="200" t="s">
        <v>1124</v>
      </c>
      <c r="H4437" s="200" t="s">
        <v>268</v>
      </c>
      <c r="I4437" s="200" t="s">
        <v>1776</v>
      </c>
    </row>
    <row r="4438" spans="1:9" ht="15" customHeight="1">
      <c r="A4438" s="199">
        <v>45722</v>
      </c>
      <c r="B4438" s="202" t="s">
        <v>3581</v>
      </c>
      <c r="C4438" s="200" t="s">
        <v>136</v>
      </c>
      <c r="D4438" s="204">
        <v>-40094</v>
      </c>
      <c r="E4438" s="201">
        <v>45717</v>
      </c>
      <c r="F4438" s="200" t="s">
        <v>296</v>
      </c>
      <c r="G4438" s="200" t="s">
        <v>1124</v>
      </c>
      <c r="H4438" s="200" t="s">
        <v>268</v>
      </c>
      <c r="I4438" s="200" t="s">
        <v>1776</v>
      </c>
    </row>
    <row r="4439" spans="1:9" ht="15" customHeight="1">
      <c r="A4439" s="199">
        <v>45722</v>
      </c>
      <c r="B4439" s="202" t="s">
        <v>3582</v>
      </c>
      <c r="C4439" s="200" t="s">
        <v>136</v>
      </c>
      <c r="D4439" s="204">
        <v>-6000</v>
      </c>
      <c r="E4439" s="201">
        <v>45717</v>
      </c>
      <c r="F4439" s="200" t="s">
        <v>296</v>
      </c>
      <c r="G4439" s="200" t="s">
        <v>1124</v>
      </c>
      <c r="H4439" s="200" t="s">
        <v>268</v>
      </c>
      <c r="I4439" s="200" t="s">
        <v>1776</v>
      </c>
    </row>
    <row r="4440" spans="1:9" ht="15" customHeight="1">
      <c r="A4440" s="199">
        <v>45722</v>
      </c>
      <c r="B4440" s="202" t="s">
        <v>3583</v>
      </c>
      <c r="C4440" s="200" t="s">
        <v>136</v>
      </c>
      <c r="D4440" s="204">
        <v>-20000</v>
      </c>
      <c r="E4440" s="201">
        <v>45717</v>
      </c>
      <c r="F4440" s="200" t="s">
        <v>296</v>
      </c>
      <c r="G4440" s="200" t="s">
        <v>1124</v>
      </c>
      <c r="H4440" s="200" t="s">
        <v>268</v>
      </c>
      <c r="I4440" s="200" t="s">
        <v>1776</v>
      </c>
    </row>
    <row r="4441" spans="1:9" ht="15" customHeight="1">
      <c r="A4441" s="199">
        <v>45722</v>
      </c>
      <c r="B4441" s="202" t="s">
        <v>3584</v>
      </c>
      <c r="C4441" s="200" t="s">
        <v>136</v>
      </c>
      <c r="D4441" s="204">
        <v>-18000</v>
      </c>
      <c r="E4441" s="201">
        <v>45717</v>
      </c>
      <c r="F4441" s="200" t="s">
        <v>296</v>
      </c>
      <c r="G4441" s="200" t="s">
        <v>1124</v>
      </c>
      <c r="H4441" s="200" t="s">
        <v>268</v>
      </c>
      <c r="I4441" s="200" t="s">
        <v>1776</v>
      </c>
    </row>
    <row r="4442" spans="1:9" ht="15" customHeight="1">
      <c r="A4442" s="199">
        <v>45723</v>
      </c>
      <c r="B4442" s="202" t="s">
        <v>3585</v>
      </c>
      <c r="C4442" s="200" t="s">
        <v>136</v>
      </c>
      <c r="D4442" s="204">
        <v>-42000</v>
      </c>
      <c r="E4442" s="201">
        <v>45717</v>
      </c>
      <c r="F4442" s="200" t="s">
        <v>296</v>
      </c>
      <c r="G4442" s="200" t="s">
        <v>1124</v>
      </c>
      <c r="H4442" s="200" t="s">
        <v>379</v>
      </c>
      <c r="I4442" s="200" t="s">
        <v>1776</v>
      </c>
    </row>
    <row r="4443" spans="1:9" ht="15" customHeight="1">
      <c r="A4443" s="199">
        <v>45723</v>
      </c>
      <c r="B4443" s="202" t="s">
        <v>3586</v>
      </c>
      <c r="C4443" s="200" t="s">
        <v>136</v>
      </c>
      <c r="D4443" s="204">
        <v>-22000</v>
      </c>
      <c r="E4443" s="201">
        <v>45717</v>
      </c>
      <c r="F4443" s="200" t="s">
        <v>296</v>
      </c>
      <c r="G4443" s="200" t="s">
        <v>1124</v>
      </c>
      <c r="H4443" s="200" t="s">
        <v>379</v>
      </c>
      <c r="I4443" s="200" t="s">
        <v>1776</v>
      </c>
    </row>
    <row r="4444" spans="1:9" ht="15" customHeight="1">
      <c r="A4444" s="199">
        <v>45723</v>
      </c>
      <c r="B4444" s="202" t="s">
        <v>3587</v>
      </c>
      <c r="C4444" s="200" t="s">
        <v>136</v>
      </c>
      <c r="D4444" s="204">
        <v>-170000</v>
      </c>
      <c r="E4444" s="201">
        <v>45717</v>
      </c>
      <c r="F4444" s="200" t="s">
        <v>296</v>
      </c>
      <c r="G4444" s="200" t="s">
        <v>1124</v>
      </c>
      <c r="H4444" s="200" t="s">
        <v>350</v>
      </c>
      <c r="I4444" s="200" t="s">
        <v>1776</v>
      </c>
    </row>
    <row r="4445" spans="1:9" ht="15" customHeight="1">
      <c r="A4445" s="199">
        <v>45723</v>
      </c>
      <c r="B4445" s="202" t="s">
        <v>3588</v>
      </c>
      <c r="C4445" s="200" t="s">
        <v>136</v>
      </c>
      <c r="D4445" s="204">
        <v>-20000</v>
      </c>
      <c r="E4445" s="201">
        <v>45717</v>
      </c>
      <c r="F4445" s="200" t="s">
        <v>296</v>
      </c>
      <c r="G4445" s="200" t="s">
        <v>1124</v>
      </c>
      <c r="H4445" s="200" t="s">
        <v>379</v>
      </c>
      <c r="I4445" s="200" t="s">
        <v>1776</v>
      </c>
    </row>
    <row r="4446" spans="1:9" ht="15" customHeight="1">
      <c r="A4446" s="199">
        <v>45723</v>
      </c>
      <c r="B4446" s="202" t="s">
        <v>3589</v>
      </c>
      <c r="C4446" s="200" t="s">
        <v>136</v>
      </c>
      <c r="D4446" s="204">
        <v>-16000</v>
      </c>
      <c r="E4446" s="201">
        <v>45717</v>
      </c>
      <c r="F4446" s="200" t="s">
        <v>296</v>
      </c>
      <c r="G4446" s="200" t="s">
        <v>1124</v>
      </c>
      <c r="H4446" s="200" t="s">
        <v>268</v>
      </c>
      <c r="I4446" s="200" t="s">
        <v>1776</v>
      </c>
    </row>
    <row r="4447" spans="1:9" ht="15" customHeight="1">
      <c r="A4447" s="199">
        <v>45726</v>
      </c>
      <c r="B4447" s="202" t="s">
        <v>3575</v>
      </c>
      <c r="C4447" s="200" t="s">
        <v>136</v>
      </c>
      <c r="D4447" s="204">
        <v>-18800</v>
      </c>
      <c r="E4447" s="201">
        <v>45717</v>
      </c>
      <c r="F4447" s="200" t="s">
        <v>296</v>
      </c>
      <c r="G4447" s="200" t="s">
        <v>1124</v>
      </c>
      <c r="H4447" s="200" t="s">
        <v>342</v>
      </c>
      <c r="I4447" s="200" t="s">
        <v>1776</v>
      </c>
    </row>
    <row r="4448" spans="1:9" ht="15" customHeight="1">
      <c r="A4448" s="199">
        <v>45726</v>
      </c>
      <c r="B4448" s="202" t="s">
        <v>3590</v>
      </c>
      <c r="C4448" s="200" t="s">
        <v>136</v>
      </c>
      <c r="D4448" s="204">
        <v>-43500</v>
      </c>
      <c r="E4448" s="201">
        <v>45717</v>
      </c>
      <c r="F4448" s="200" t="s">
        <v>296</v>
      </c>
      <c r="G4448" s="200" t="s">
        <v>1124</v>
      </c>
      <c r="H4448" s="200" t="s">
        <v>350</v>
      </c>
      <c r="I4448" s="200" t="s">
        <v>1776</v>
      </c>
    </row>
    <row r="4449" spans="1:9" ht="15" customHeight="1">
      <c r="A4449" s="199">
        <v>45727</v>
      </c>
      <c r="B4449" s="202" t="s">
        <v>3570</v>
      </c>
      <c r="C4449" s="200" t="s">
        <v>136</v>
      </c>
      <c r="D4449" s="204">
        <v>-20000</v>
      </c>
      <c r="E4449" s="201">
        <v>45717</v>
      </c>
      <c r="F4449" s="200" t="s">
        <v>296</v>
      </c>
      <c r="G4449" s="200" t="s">
        <v>1124</v>
      </c>
      <c r="H4449" s="200" t="s">
        <v>268</v>
      </c>
      <c r="I4449" s="200" t="s">
        <v>1776</v>
      </c>
    </row>
    <row r="4450" spans="1:9" ht="15" customHeight="1">
      <c r="A4450" s="199">
        <v>45727</v>
      </c>
      <c r="B4450" s="202" t="s">
        <v>3571</v>
      </c>
      <c r="C4450" s="200" t="s">
        <v>136</v>
      </c>
      <c r="D4450" s="204">
        <v>-20000</v>
      </c>
      <c r="E4450" s="201">
        <v>45717</v>
      </c>
      <c r="F4450" s="200" t="s">
        <v>296</v>
      </c>
      <c r="G4450" s="200" t="s">
        <v>1124</v>
      </c>
      <c r="H4450" s="200" t="s">
        <v>268</v>
      </c>
      <c r="I4450" s="200" t="s">
        <v>1776</v>
      </c>
    </row>
    <row r="4451" spans="1:9" ht="15" customHeight="1">
      <c r="A4451" s="199">
        <v>45727</v>
      </c>
      <c r="B4451" s="202" t="s">
        <v>3572</v>
      </c>
      <c r="C4451" s="200" t="s">
        <v>136</v>
      </c>
      <c r="D4451" s="204">
        <v>-6000</v>
      </c>
      <c r="E4451" s="201">
        <v>45717</v>
      </c>
      <c r="F4451" s="200" t="s">
        <v>296</v>
      </c>
      <c r="G4451" s="200" t="s">
        <v>1124</v>
      </c>
      <c r="H4451" s="200" t="s">
        <v>268</v>
      </c>
      <c r="I4451" s="200" t="s">
        <v>1776</v>
      </c>
    </row>
    <row r="4452" spans="1:9" ht="15" customHeight="1">
      <c r="A4452" s="199">
        <v>45727</v>
      </c>
      <c r="B4452" s="202" t="s">
        <v>3575</v>
      </c>
      <c r="C4452" s="200" t="s">
        <v>136</v>
      </c>
      <c r="D4452" s="204">
        <v>-6400</v>
      </c>
      <c r="E4452" s="201">
        <v>45717</v>
      </c>
      <c r="F4452" s="200" t="s">
        <v>296</v>
      </c>
      <c r="G4452" s="200" t="s">
        <v>1124</v>
      </c>
      <c r="H4452" s="200" t="s">
        <v>342</v>
      </c>
      <c r="I4452" s="200" t="s">
        <v>1776</v>
      </c>
    </row>
    <row r="4453" spans="1:9" ht="15" customHeight="1">
      <c r="A4453" s="199">
        <v>45727</v>
      </c>
      <c r="B4453" s="202" t="s">
        <v>3574</v>
      </c>
      <c r="C4453" s="200" t="s">
        <v>136</v>
      </c>
      <c r="D4453" s="204">
        <v>-22800</v>
      </c>
      <c r="E4453" s="201">
        <v>45717</v>
      </c>
      <c r="F4453" s="200" t="s">
        <v>296</v>
      </c>
      <c r="G4453" s="200" t="s">
        <v>1124</v>
      </c>
      <c r="H4453" s="200" t="s">
        <v>342</v>
      </c>
      <c r="I4453" s="200" t="s">
        <v>1776</v>
      </c>
    </row>
    <row r="4454" spans="1:9" ht="15" customHeight="1">
      <c r="A4454" s="199">
        <v>45727</v>
      </c>
      <c r="B4454" s="202" t="s">
        <v>3591</v>
      </c>
      <c r="C4454" s="200" t="s">
        <v>136</v>
      </c>
      <c r="D4454" s="204">
        <v>-31880</v>
      </c>
      <c r="E4454" s="201">
        <v>45717</v>
      </c>
      <c r="F4454" s="200" t="s">
        <v>296</v>
      </c>
      <c r="G4454" s="200" t="s">
        <v>1124</v>
      </c>
      <c r="H4454" s="200" t="s">
        <v>342</v>
      </c>
      <c r="I4454" s="200" t="s">
        <v>1776</v>
      </c>
    </row>
    <row r="4455" spans="1:9" ht="15" customHeight="1">
      <c r="A4455" s="199">
        <v>45728</v>
      </c>
      <c r="B4455" s="202" t="s">
        <v>3592</v>
      </c>
      <c r="C4455" s="200" t="s">
        <v>136</v>
      </c>
      <c r="D4455" s="204">
        <v>-12000</v>
      </c>
      <c r="E4455" s="201">
        <v>45717</v>
      </c>
      <c r="F4455" s="200" t="s">
        <v>296</v>
      </c>
      <c r="G4455" s="200" t="s">
        <v>1124</v>
      </c>
      <c r="H4455" s="200" t="s">
        <v>342</v>
      </c>
      <c r="I4455" s="200" t="s">
        <v>1776</v>
      </c>
    </row>
    <row r="4456" spans="1:9" ht="15" customHeight="1">
      <c r="A4456" s="199">
        <v>45728</v>
      </c>
      <c r="B4456" s="202" t="s">
        <v>3593</v>
      </c>
      <c r="C4456" s="200" t="s">
        <v>136</v>
      </c>
      <c r="D4456" s="204">
        <v>-386500</v>
      </c>
      <c r="E4456" s="201">
        <v>45717</v>
      </c>
      <c r="F4456" s="200" t="s">
        <v>296</v>
      </c>
      <c r="G4456" s="200" t="s">
        <v>1124</v>
      </c>
      <c r="H4456" s="200" t="s">
        <v>350</v>
      </c>
      <c r="I4456" s="200" t="s">
        <v>1776</v>
      </c>
    </row>
    <row r="4457" spans="1:9" ht="15" customHeight="1">
      <c r="A4457" s="199">
        <v>45728</v>
      </c>
      <c r="B4457" s="202" t="s">
        <v>3594</v>
      </c>
      <c r="C4457" s="200" t="s">
        <v>136</v>
      </c>
      <c r="D4457" s="204">
        <v>-12000</v>
      </c>
      <c r="E4457" s="201">
        <v>45717</v>
      </c>
      <c r="F4457" s="200" t="s">
        <v>296</v>
      </c>
      <c r="G4457" s="200" t="s">
        <v>1124</v>
      </c>
      <c r="H4457" s="200" t="s">
        <v>268</v>
      </c>
      <c r="I4457" s="200" t="s">
        <v>1776</v>
      </c>
    </row>
    <row r="4458" spans="1:9" ht="15" customHeight="1">
      <c r="A4458" s="199">
        <v>45728</v>
      </c>
      <c r="B4458" s="202" t="s">
        <v>3595</v>
      </c>
      <c r="C4458" s="200" t="s">
        <v>136</v>
      </c>
      <c r="D4458" s="204">
        <v>-20000</v>
      </c>
      <c r="E4458" s="201">
        <v>45717</v>
      </c>
      <c r="F4458" s="200" t="s">
        <v>296</v>
      </c>
      <c r="G4458" s="200" t="s">
        <v>1124</v>
      </c>
      <c r="H4458" s="200" t="s">
        <v>268</v>
      </c>
      <c r="I4458" s="200" t="s">
        <v>1776</v>
      </c>
    </row>
    <row r="4459" spans="1:9" ht="15" customHeight="1">
      <c r="A4459" s="199">
        <v>45728</v>
      </c>
      <c r="B4459" s="202" t="s">
        <v>3596</v>
      </c>
      <c r="C4459" s="200" t="s">
        <v>136</v>
      </c>
      <c r="D4459" s="204">
        <v>-22000</v>
      </c>
      <c r="E4459" s="201">
        <v>45717</v>
      </c>
      <c r="F4459" s="200" t="s">
        <v>296</v>
      </c>
      <c r="G4459" s="200" t="s">
        <v>1124</v>
      </c>
      <c r="H4459" s="200" t="s">
        <v>268</v>
      </c>
      <c r="I4459" s="200" t="s">
        <v>1776</v>
      </c>
    </row>
    <row r="4460" spans="1:9" ht="15" customHeight="1">
      <c r="A4460" s="199">
        <v>45728</v>
      </c>
      <c r="B4460" s="202" t="s">
        <v>3597</v>
      </c>
      <c r="C4460" s="200" t="s">
        <v>136</v>
      </c>
      <c r="D4460" s="204">
        <v>-220000</v>
      </c>
      <c r="E4460" s="201">
        <v>45717</v>
      </c>
      <c r="F4460" s="200" t="s">
        <v>296</v>
      </c>
      <c r="G4460" s="200" t="s">
        <v>1124</v>
      </c>
      <c r="H4460" s="200" t="s">
        <v>350</v>
      </c>
      <c r="I4460" s="200" t="s">
        <v>1776</v>
      </c>
    </row>
    <row r="4461" spans="1:9" ht="15" customHeight="1">
      <c r="A4461" s="199">
        <v>45728</v>
      </c>
      <c r="B4461" s="202" t="s">
        <v>3598</v>
      </c>
      <c r="C4461" s="200" t="s">
        <v>136</v>
      </c>
      <c r="D4461" s="204">
        <v>-32000</v>
      </c>
      <c r="E4461" s="201">
        <v>45717</v>
      </c>
      <c r="F4461" s="200" t="s">
        <v>296</v>
      </c>
      <c r="G4461" s="200" t="s">
        <v>1124</v>
      </c>
      <c r="H4461" s="200" t="s">
        <v>268</v>
      </c>
      <c r="I4461" s="200" t="s">
        <v>1776</v>
      </c>
    </row>
    <row r="4462" spans="1:9" ht="15" customHeight="1">
      <c r="A4462" s="199">
        <v>45729</v>
      </c>
      <c r="B4462" s="202" t="s">
        <v>3599</v>
      </c>
      <c r="C4462" s="200" t="s">
        <v>136</v>
      </c>
      <c r="D4462" s="204">
        <v>-22000</v>
      </c>
      <c r="E4462" s="201">
        <v>45717</v>
      </c>
      <c r="F4462" s="200" t="s">
        <v>296</v>
      </c>
      <c r="G4462" s="200" t="s">
        <v>1124</v>
      </c>
      <c r="H4462" s="200" t="s">
        <v>268</v>
      </c>
      <c r="I4462" s="200" t="s">
        <v>1776</v>
      </c>
    </row>
    <row r="4463" spans="1:9" ht="15" customHeight="1">
      <c r="A4463" s="199">
        <v>45729</v>
      </c>
      <c r="B4463" s="202" t="s">
        <v>3600</v>
      </c>
      <c r="C4463" s="200" t="s">
        <v>136</v>
      </c>
      <c r="D4463" s="204">
        <v>-19000</v>
      </c>
      <c r="E4463" s="201">
        <v>45717</v>
      </c>
      <c r="F4463" s="200" t="s">
        <v>296</v>
      </c>
      <c r="G4463" s="200" t="s">
        <v>1124</v>
      </c>
      <c r="H4463" s="200" t="s">
        <v>268</v>
      </c>
      <c r="I4463" s="200" t="s">
        <v>1776</v>
      </c>
    </row>
    <row r="4464" spans="1:9" ht="15" customHeight="1">
      <c r="A4464" s="199">
        <v>45729</v>
      </c>
      <c r="B4464" s="202" t="s">
        <v>3600</v>
      </c>
      <c r="C4464" s="200" t="s">
        <v>136</v>
      </c>
      <c r="D4464" s="204">
        <v>-19000</v>
      </c>
      <c r="E4464" s="201">
        <v>45717</v>
      </c>
      <c r="F4464" s="200" t="s">
        <v>296</v>
      </c>
      <c r="G4464" s="200" t="s">
        <v>1124</v>
      </c>
      <c r="H4464" s="200" t="s">
        <v>268</v>
      </c>
      <c r="I4464" s="200" t="s">
        <v>1776</v>
      </c>
    </row>
    <row r="4465" spans="1:9" ht="15" customHeight="1">
      <c r="A4465" s="199">
        <v>45729</v>
      </c>
      <c r="B4465" s="202" t="s">
        <v>3600</v>
      </c>
      <c r="C4465" s="200" t="s">
        <v>136</v>
      </c>
      <c r="D4465" s="204">
        <v>-19000</v>
      </c>
      <c r="E4465" s="201">
        <v>45717</v>
      </c>
      <c r="F4465" s="200" t="s">
        <v>296</v>
      </c>
      <c r="G4465" s="200" t="s">
        <v>1124</v>
      </c>
      <c r="H4465" s="200" t="s">
        <v>268</v>
      </c>
      <c r="I4465" s="200" t="s">
        <v>1776</v>
      </c>
    </row>
    <row r="4466" spans="1:9" ht="15" customHeight="1">
      <c r="A4466" s="199">
        <v>45729</v>
      </c>
      <c r="B4466" s="202" t="s">
        <v>3600</v>
      </c>
      <c r="C4466" s="200" t="s">
        <v>136</v>
      </c>
      <c r="D4466" s="204">
        <v>-19000</v>
      </c>
      <c r="E4466" s="201">
        <v>45717</v>
      </c>
      <c r="F4466" s="200" t="s">
        <v>296</v>
      </c>
      <c r="G4466" s="200" t="s">
        <v>1124</v>
      </c>
      <c r="H4466" s="200" t="s">
        <v>268</v>
      </c>
      <c r="I4466" s="200" t="s">
        <v>1776</v>
      </c>
    </row>
    <row r="4467" spans="1:9" ht="15" customHeight="1">
      <c r="A4467" s="199">
        <v>45729</v>
      </c>
      <c r="B4467" s="202" t="s">
        <v>3601</v>
      </c>
      <c r="C4467" s="200" t="s">
        <v>136</v>
      </c>
      <c r="D4467" s="204">
        <v>-19000</v>
      </c>
      <c r="E4467" s="201">
        <v>45717</v>
      </c>
      <c r="F4467" s="200" t="s">
        <v>296</v>
      </c>
      <c r="G4467" s="200" t="s">
        <v>1124</v>
      </c>
      <c r="H4467" s="200" t="s">
        <v>268</v>
      </c>
      <c r="I4467" s="200" t="s">
        <v>1776</v>
      </c>
    </row>
    <row r="4468" spans="1:9" ht="15" customHeight="1">
      <c r="A4468" s="199">
        <v>45729</v>
      </c>
      <c r="B4468" s="202" t="s">
        <v>3601</v>
      </c>
      <c r="C4468" s="200" t="s">
        <v>136</v>
      </c>
      <c r="D4468" s="204">
        <v>-19000</v>
      </c>
      <c r="E4468" s="201">
        <v>45717</v>
      </c>
      <c r="F4468" s="200" t="s">
        <v>296</v>
      </c>
      <c r="G4468" s="200" t="s">
        <v>1124</v>
      </c>
      <c r="H4468" s="200" t="s">
        <v>268</v>
      </c>
      <c r="I4468" s="200" t="s">
        <v>1776</v>
      </c>
    </row>
    <row r="4469" spans="1:9" ht="15" customHeight="1">
      <c r="A4469" s="199">
        <v>45729</v>
      </c>
      <c r="B4469" s="202" t="s">
        <v>3601</v>
      </c>
      <c r="C4469" s="200" t="s">
        <v>136</v>
      </c>
      <c r="D4469" s="204">
        <v>-19000</v>
      </c>
      <c r="E4469" s="201">
        <v>45717</v>
      </c>
      <c r="F4469" s="200" t="s">
        <v>296</v>
      </c>
      <c r="G4469" s="200" t="s">
        <v>1124</v>
      </c>
      <c r="H4469" s="200" t="s">
        <v>268</v>
      </c>
      <c r="I4469" s="200" t="s">
        <v>1776</v>
      </c>
    </row>
    <row r="4470" spans="1:9" ht="15" customHeight="1">
      <c r="A4470" s="199">
        <v>45729</v>
      </c>
      <c r="B4470" s="202" t="s">
        <v>3601</v>
      </c>
      <c r="C4470" s="200" t="s">
        <v>136</v>
      </c>
      <c r="D4470" s="204">
        <v>-19000</v>
      </c>
      <c r="E4470" s="201">
        <v>45717</v>
      </c>
      <c r="F4470" s="200" t="s">
        <v>296</v>
      </c>
      <c r="G4470" s="200" t="s">
        <v>1124</v>
      </c>
      <c r="H4470" s="200" t="s">
        <v>268</v>
      </c>
      <c r="I4470" s="200" t="s">
        <v>1776</v>
      </c>
    </row>
    <row r="4471" spans="1:9" ht="15" customHeight="1">
      <c r="A4471" s="199">
        <v>45729</v>
      </c>
      <c r="B4471" s="202" t="s">
        <v>3602</v>
      </c>
      <c r="C4471" s="200" t="s">
        <v>136</v>
      </c>
      <c r="D4471" s="204">
        <v>-22000</v>
      </c>
      <c r="E4471" s="201">
        <v>45717</v>
      </c>
      <c r="F4471" s="200" t="s">
        <v>296</v>
      </c>
      <c r="G4471" s="200" t="s">
        <v>1124</v>
      </c>
      <c r="H4471" s="200" t="s">
        <v>268</v>
      </c>
      <c r="I4471" s="200" t="s">
        <v>1776</v>
      </c>
    </row>
    <row r="4472" spans="1:9" ht="15" customHeight="1">
      <c r="A4472" s="199">
        <v>45729</v>
      </c>
      <c r="B4472" s="202" t="s">
        <v>3603</v>
      </c>
      <c r="C4472" s="200" t="s">
        <v>136</v>
      </c>
      <c r="D4472" s="204">
        <v>-80950</v>
      </c>
      <c r="E4472" s="201">
        <v>45717</v>
      </c>
      <c r="F4472" s="200" t="s">
        <v>296</v>
      </c>
      <c r="G4472" s="200" t="s">
        <v>1124</v>
      </c>
      <c r="H4472" s="200" t="s">
        <v>268</v>
      </c>
      <c r="I4472" s="200" t="s">
        <v>1776</v>
      </c>
    </row>
    <row r="4473" spans="1:9" ht="15" customHeight="1">
      <c r="A4473" s="199">
        <v>45729</v>
      </c>
      <c r="B4473" s="202" t="s">
        <v>3604</v>
      </c>
      <c r="C4473" s="200" t="s">
        <v>136</v>
      </c>
      <c r="D4473" s="204">
        <v>-32060</v>
      </c>
      <c r="E4473" s="201">
        <v>45717</v>
      </c>
      <c r="F4473" s="200" t="s">
        <v>296</v>
      </c>
      <c r="G4473" s="200" t="s">
        <v>1124</v>
      </c>
      <c r="H4473" s="200" t="s">
        <v>268</v>
      </c>
      <c r="I4473" s="200" t="s">
        <v>1776</v>
      </c>
    </row>
    <row r="4474" spans="1:9" ht="15" customHeight="1">
      <c r="A4474" s="199">
        <v>45730</v>
      </c>
      <c r="B4474" s="202" t="s">
        <v>3605</v>
      </c>
      <c r="C4474" s="200" t="s">
        <v>136</v>
      </c>
      <c r="D4474" s="204">
        <v>-32000</v>
      </c>
      <c r="E4474" s="201">
        <v>45717</v>
      </c>
      <c r="F4474" s="200" t="s">
        <v>296</v>
      </c>
      <c r="G4474" s="200" t="s">
        <v>1124</v>
      </c>
      <c r="H4474" s="200" t="s">
        <v>268</v>
      </c>
      <c r="I4474" s="200" t="s">
        <v>1776</v>
      </c>
    </row>
    <row r="4475" spans="1:9" ht="15" customHeight="1">
      <c r="A4475" s="199">
        <v>45735</v>
      </c>
      <c r="B4475" s="202" t="s">
        <v>3606</v>
      </c>
      <c r="C4475" s="200" t="s">
        <v>136</v>
      </c>
      <c r="D4475" s="204">
        <v>-81000</v>
      </c>
      <c r="E4475" s="201">
        <v>45717</v>
      </c>
      <c r="F4475" s="200" t="s">
        <v>256</v>
      </c>
      <c r="G4475" s="200" t="s">
        <v>256</v>
      </c>
      <c r="H4475" s="200" t="s">
        <v>267</v>
      </c>
    </row>
    <row r="4476" spans="1:9" ht="15" customHeight="1">
      <c r="A4476" s="199">
        <v>45735</v>
      </c>
      <c r="B4476" s="202" t="s">
        <v>3607</v>
      </c>
      <c r="C4476" s="200" t="s">
        <v>136</v>
      </c>
      <c r="D4476" s="204">
        <v>-590000</v>
      </c>
      <c r="E4476" s="201">
        <v>45717</v>
      </c>
      <c r="F4476" s="200" t="s">
        <v>256</v>
      </c>
      <c r="G4476" s="200" t="s">
        <v>256</v>
      </c>
      <c r="H4476" s="200" t="s">
        <v>9</v>
      </c>
    </row>
    <row r="4477" spans="1:9" ht="15" customHeight="1">
      <c r="A4477" s="199">
        <v>45735</v>
      </c>
      <c r="B4477" s="202" t="s">
        <v>3608</v>
      </c>
      <c r="C4477" s="200" t="s">
        <v>136</v>
      </c>
      <c r="D4477" s="204">
        <v>-80000</v>
      </c>
      <c r="E4477" s="201">
        <v>45717</v>
      </c>
      <c r="F4477" s="200" t="s">
        <v>256</v>
      </c>
      <c r="G4477" s="200" t="s">
        <v>256</v>
      </c>
      <c r="H4477" s="200" t="s">
        <v>9</v>
      </c>
    </row>
    <row r="4478" spans="1:9" ht="15" customHeight="1">
      <c r="A4478" s="199">
        <v>45735</v>
      </c>
      <c r="B4478" s="722" t="s">
        <v>3609</v>
      </c>
      <c r="C4478" s="200" t="s">
        <v>136</v>
      </c>
      <c r="D4478" s="204">
        <v>-630620</v>
      </c>
      <c r="E4478" s="201">
        <v>45717</v>
      </c>
      <c r="F4478" s="200" t="s">
        <v>296</v>
      </c>
      <c r="G4478" s="200" t="s">
        <v>57</v>
      </c>
      <c r="H4478" s="200" t="s">
        <v>105</v>
      </c>
    </row>
    <row r="4479" spans="1:9" ht="15" customHeight="1">
      <c r="A4479" s="199">
        <v>45735</v>
      </c>
      <c r="B4479" s="202" t="s">
        <v>3610</v>
      </c>
      <c r="C4479" s="200" t="s">
        <v>136</v>
      </c>
      <c r="D4479" s="204">
        <v>-846085</v>
      </c>
      <c r="E4479" s="201">
        <v>45717</v>
      </c>
      <c r="F4479" s="200" t="s">
        <v>296</v>
      </c>
      <c r="G4479" s="200" t="s">
        <v>1362</v>
      </c>
      <c r="H4479" s="200" t="s">
        <v>518</v>
      </c>
    </row>
    <row r="4480" spans="1:9" ht="15" customHeight="1">
      <c r="A4480" s="199">
        <v>45735</v>
      </c>
      <c r="B4480" s="202" t="s">
        <v>3611</v>
      </c>
      <c r="C4480" s="200" t="s">
        <v>136</v>
      </c>
      <c r="D4480" s="204">
        <v>-717550</v>
      </c>
      <c r="E4480" s="201">
        <v>45717</v>
      </c>
      <c r="F4480" s="200" t="s">
        <v>296</v>
      </c>
      <c r="G4480" s="200" t="s">
        <v>453</v>
      </c>
      <c r="H4480" s="200" t="s">
        <v>97</v>
      </c>
    </row>
    <row r="4481" spans="1:9" ht="15" customHeight="1">
      <c r="A4481" s="199">
        <v>45735</v>
      </c>
      <c r="B4481" s="202" t="s">
        <v>3612</v>
      </c>
      <c r="C4481" s="200" t="s">
        <v>136</v>
      </c>
      <c r="D4481" s="204">
        <v>-8726130</v>
      </c>
      <c r="E4481" s="201">
        <v>45717</v>
      </c>
      <c r="F4481" s="200" t="s">
        <v>296</v>
      </c>
      <c r="G4481" s="200" t="s">
        <v>1124</v>
      </c>
      <c r="H4481" s="200" t="s">
        <v>377</v>
      </c>
    </row>
    <row r="4482" spans="1:9" ht="15" customHeight="1">
      <c r="A4482" s="199">
        <v>45735</v>
      </c>
      <c r="B4482" s="202" t="s">
        <v>3613</v>
      </c>
      <c r="C4482" s="200" t="s">
        <v>136</v>
      </c>
      <c r="D4482" s="204">
        <v>-477241</v>
      </c>
      <c r="E4482" s="201">
        <v>45717</v>
      </c>
      <c r="F4482" s="200" t="s">
        <v>297</v>
      </c>
      <c r="G4482" s="200" t="s">
        <v>388</v>
      </c>
      <c r="H4482" s="200" t="s">
        <v>837</v>
      </c>
    </row>
    <row r="4483" spans="1:9" ht="15" customHeight="1">
      <c r="A4483" s="199">
        <v>45737</v>
      </c>
      <c r="B4483" s="202" t="s">
        <v>3614</v>
      </c>
      <c r="C4483" s="200" t="s">
        <v>136</v>
      </c>
      <c r="D4483" s="204">
        <v>-400000</v>
      </c>
      <c r="E4483" s="201">
        <v>45717</v>
      </c>
      <c r="F4483" s="200" t="s">
        <v>256</v>
      </c>
      <c r="G4483" s="200" t="s">
        <v>256</v>
      </c>
      <c r="H4483" s="200" t="s">
        <v>257</v>
      </c>
    </row>
    <row r="4484" spans="1:9" ht="15" customHeight="1">
      <c r="A4484" s="199">
        <v>45737</v>
      </c>
      <c r="B4484" s="202" t="s">
        <v>3615</v>
      </c>
      <c r="C4484" s="200" t="s">
        <v>136</v>
      </c>
      <c r="D4484" s="658">
        <v>-630620</v>
      </c>
      <c r="E4484" s="201">
        <v>45717</v>
      </c>
      <c r="F4484" s="200" t="s">
        <v>256</v>
      </c>
      <c r="G4484" s="200" t="s">
        <v>256</v>
      </c>
      <c r="H4484" s="200" t="s">
        <v>269</v>
      </c>
    </row>
    <row r="4485" spans="1:9" ht="15" customHeight="1">
      <c r="A4485" s="199">
        <v>45734</v>
      </c>
      <c r="B4485" s="202" t="s">
        <v>3616</v>
      </c>
      <c r="C4485" s="200" t="s">
        <v>314</v>
      </c>
      <c r="D4485" s="645">
        <v>-10916626</v>
      </c>
      <c r="E4485" s="201">
        <v>45717</v>
      </c>
      <c r="F4485" s="200" t="s">
        <v>296</v>
      </c>
      <c r="G4485" s="200" t="s">
        <v>1362</v>
      </c>
      <c r="H4485" s="200" t="s">
        <v>375</v>
      </c>
    </row>
    <row r="4486" spans="1:9" ht="15" customHeight="1">
      <c r="A4486" s="199">
        <v>45734</v>
      </c>
      <c r="B4486" s="202" t="s">
        <v>3617</v>
      </c>
      <c r="C4486" s="200" t="s">
        <v>372</v>
      </c>
      <c r="D4486" s="204">
        <v>-234262</v>
      </c>
      <c r="E4486" s="201">
        <v>45717</v>
      </c>
      <c r="F4486" s="200" t="s">
        <v>296</v>
      </c>
      <c r="G4486" s="200" t="s">
        <v>1362</v>
      </c>
      <c r="H4486" s="200" t="s">
        <v>375</v>
      </c>
      <c r="I4486" s="648" t="s">
        <v>329</v>
      </c>
    </row>
    <row r="4487" spans="1:9" ht="15" customHeight="1">
      <c r="A4487" s="199">
        <v>45735</v>
      </c>
      <c r="B4487" s="202" t="s">
        <v>3618</v>
      </c>
      <c r="C4487" s="200" t="s">
        <v>204</v>
      </c>
      <c r="D4487" s="645">
        <v>-128000000</v>
      </c>
      <c r="E4487" s="201">
        <v>45717</v>
      </c>
      <c r="F4487" s="200" t="s">
        <v>1983</v>
      </c>
      <c r="G4487" s="200" t="s">
        <v>1984</v>
      </c>
    </row>
    <row r="4488" spans="1:9" ht="15" customHeight="1">
      <c r="A4488" s="199">
        <v>45735</v>
      </c>
      <c r="B4488" s="202" t="s">
        <v>3619</v>
      </c>
      <c r="C4488" s="200" t="s">
        <v>204</v>
      </c>
      <c r="D4488" s="645">
        <v>-7952144</v>
      </c>
      <c r="E4488" s="201">
        <v>45717</v>
      </c>
      <c r="F4488" s="200" t="s">
        <v>296</v>
      </c>
      <c r="G4488" s="200" t="s">
        <v>44</v>
      </c>
      <c r="H4488" s="200" t="s">
        <v>386</v>
      </c>
    </row>
    <row r="4489" spans="1:9" ht="15" customHeight="1">
      <c r="A4489" s="199">
        <v>45735</v>
      </c>
      <c r="B4489" s="202" t="s">
        <v>3619</v>
      </c>
      <c r="C4489" s="200" t="s">
        <v>204</v>
      </c>
      <c r="D4489" s="645">
        <v>-825266</v>
      </c>
      <c r="E4489" s="201">
        <v>45717</v>
      </c>
      <c r="F4489" s="200" t="s">
        <v>296</v>
      </c>
      <c r="G4489" s="200" t="s">
        <v>44</v>
      </c>
      <c r="H4489" s="200" t="s">
        <v>386</v>
      </c>
    </row>
    <row r="4490" spans="1:9" ht="15" customHeight="1">
      <c r="A4490" s="199">
        <v>45736</v>
      </c>
      <c r="B4490" s="202" t="s">
        <v>3620</v>
      </c>
      <c r="C4490" s="200" t="s">
        <v>204</v>
      </c>
      <c r="D4490" s="645">
        <v>-21470222</v>
      </c>
      <c r="E4490" s="201">
        <v>45717</v>
      </c>
      <c r="F4490" s="648" t="s">
        <v>296</v>
      </c>
      <c r="G4490" s="648" t="s">
        <v>328</v>
      </c>
      <c r="H4490" s="648" t="s">
        <v>364</v>
      </c>
    </row>
    <row r="4491" spans="1:9" ht="15" customHeight="1">
      <c r="A4491" s="199">
        <v>45736</v>
      </c>
      <c r="B4491" s="202" t="s">
        <v>3620</v>
      </c>
      <c r="C4491" s="200" t="s">
        <v>204</v>
      </c>
      <c r="D4491" s="645">
        <v>-637200</v>
      </c>
      <c r="E4491" s="201">
        <v>45717</v>
      </c>
      <c r="F4491" s="200" t="s">
        <v>296</v>
      </c>
      <c r="G4491" s="200" t="s">
        <v>328</v>
      </c>
      <c r="H4491" s="200" t="s">
        <v>346</v>
      </c>
    </row>
    <row r="4492" spans="1:9" ht="15" customHeight="1">
      <c r="A4492" s="199">
        <v>45736</v>
      </c>
      <c r="B4492" s="202" t="s">
        <v>3620</v>
      </c>
      <c r="C4492" s="200" t="s">
        <v>204</v>
      </c>
      <c r="D4492" s="645">
        <v>-255666</v>
      </c>
      <c r="E4492" s="201">
        <v>45717</v>
      </c>
      <c r="F4492" s="200" t="s">
        <v>296</v>
      </c>
      <c r="G4492" s="200" t="s">
        <v>411</v>
      </c>
      <c r="H4492" s="200" t="s">
        <v>346</v>
      </c>
    </row>
    <row r="4493" spans="1:9" ht="15" customHeight="1">
      <c r="A4493" s="199">
        <v>45736</v>
      </c>
      <c r="B4493" s="202" t="s">
        <v>3620</v>
      </c>
      <c r="C4493" s="200" t="s">
        <v>204</v>
      </c>
      <c r="D4493" s="645">
        <v>-255666</v>
      </c>
      <c r="E4493" s="201">
        <v>45717</v>
      </c>
      <c r="F4493" s="200" t="s">
        <v>296</v>
      </c>
      <c r="G4493" s="200" t="s">
        <v>328</v>
      </c>
      <c r="H4493" s="200" t="s">
        <v>346</v>
      </c>
    </row>
    <row r="4494" spans="1:9" ht="15" customHeight="1">
      <c r="A4494" s="199">
        <v>45736</v>
      </c>
      <c r="B4494" s="202" t="s">
        <v>3620</v>
      </c>
      <c r="C4494" s="200" t="s">
        <v>204</v>
      </c>
      <c r="D4494" s="645">
        <v>-255666</v>
      </c>
      <c r="E4494" s="201">
        <v>45717</v>
      </c>
      <c r="F4494" s="200" t="s">
        <v>297</v>
      </c>
      <c r="G4494" s="200" t="s">
        <v>1313</v>
      </c>
      <c r="H4494" s="200" t="s">
        <v>346</v>
      </c>
    </row>
    <row r="4495" spans="1:9" ht="15" customHeight="1">
      <c r="A4495" s="199">
        <v>45736</v>
      </c>
      <c r="B4495" s="202" t="s">
        <v>3620</v>
      </c>
      <c r="C4495" s="200" t="s">
        <v>204</v>
      </c>
      <c r="D4495" s="645">
        <v>-30943</v>
      </c>
      <c r="E4495" s="201">
        <v>45717</v>
      </c>
      <c r="F4495" s="200" t="s">
        <v>296</v>
      </c>
      <c r="G4495" s="200" t="s">
        <v>875</v>
      </c>
      <c r="H4495" s="200" t="s">
        <v>346</v>
      </c>
    </row>
    <row r="4496" spans="1:9" ht="15" customHeight="1">
      <c r="A4496" s="199">
        <v>45736</v>
      </c>
      <c r="B4496" s="202" t="s">
        <v>3621</v>
      </c>
      <c r="C4496" s="200" t="s">
        <v>204</v>
      </c>
      <c r="D4496" s="645">
        <v>-4065736</v>
      </c>
      <c r="E4496" s="201">
        <v>45717</v>
      </c>
      <c r="F4496" s="200" t="s">
        <v>296</v>
      </c>
      <c r="G4496" s="200" t="s">
        <v>3360</v>
      </c>
      <c r="H4496" s="200" t="s">
        <v>377</v>
      </c>
      <c r="I4496" s="648" t="s">
        <v>329</v>
      </c>
    </row>
    <row r="4497" spans="1:9" ht="15" customHeight="1">
      <c r="A4497" s="199">
        <v>45736</v>
      </c>
      <c r="B4497" s="202" t="s">
        <v>3293</v>
      </c>
      <c r="C4497" s="200" t="s">
        <v>204</v>
      </c>
      <c r="D4497" s="645">
        <v>-68000</v>
      </c>
      <c r="E4497" s="201">
        <v>45717</v>
      </c>
      <c r="F4497" s="200" t="s">
        <v>297</v>
      </c>
      <c r="G4497" s="200" t="s">
        <v>1313</v>
      </c>
      <c r="H4497" s="200" t="s">
        <v>268</v>
      </c>
    </row>
    <row r="4498" spans="1:9" ht="15" customHeight="1">
      <c r="A4498" s="199">
        <v>45736</v>
      </c>
      <c r="B4498" s="202" t="s">
        <v>3293</v>
      </c>
      <c r="C4498" s="200" t="s">
        <v>204</v>
      </c>
      <c r="D4498" s="645">
        <v>-279264</v>
      </c>
      <c r="E4498" s="201">
        <v>45717</v>
      </c>
      <c r="F4498" s="200" t="s">
        <v>297</v>
      </c>
      <c r="G4498" s="200" t="s">
        <v>1578</v>
      </c>
      <c r="H4498" s="200" t="s">
        <v>268</v>
      </c>
    </row>
    <row r="4499" spans="1:9" ht="15" customHeight="1">
      <c r="A4499" s="199">
        <v>45736</v>
      </c>
      <c r="B4499" s="202" t="s">
        <v>3293</v>
      </c>
      <c r="C4499" s="200" t="s">
        <v>204</v>
      </c>
      <c r="D4499" s="645">
        <v>-46000</v>
      </c>
      <c r="E4499" s="201">
        <v>45717</v>
      </c>
      <c r="F4499" s="200" t="s">
        <v>296</v>
      </c>
      <c r="G4499" s="200" t="s">
        <v>44</v>
      </c>
      <c r="H4499" s="200" t="s">
        <v>442</v>
      </c>
    </row>
    <row r="4500" spans="1:9" ht="15" customHeight="1">
      <c r="A4500" s="199">
        <v>45736</v>
      </c>
      <c r="B4500" s="202" t="s">
        <v>3293</v>
      </c>
      <c r="C4500" s="200" t="s">
        <v>204</v>
      </c>
      <c r="D4500" s="645">
        <v>-48000</v>
      </c>
      <c r="E4500" s="201">
        <v>45717</v>
      </c>
      <c r="F4500" s="200" t="s">
        <v>395</v>
      </c>
      <c r="G4500" s="531" t="s">
        <v>395</v>
      </c>
      <c r="H4500" s="200" t="s">
        <v>268</v>
      </c>
      <c r="I4500" s="673"/>
    </row>
    <row r="4501" spans="1:9" ht="15" customHeight="1">
      <c r="A4501" s="199">
        <v>45736</v>
      </c>
      <c r="B4501" s="722" t="s">
        <v>3293</v>
      </c>
      <c r="C4501" s="200" t="s">
        <v>204</v>
      </c>
      <c r="D4501" s="645">
        <v>-40000</v>
      </c>
      <c r="E4501" s="201">
        <v>45717</v>
      </c>
      <c r="F4501" s="200" t="s">
        <v>296</v>
      </c>
      <c r="G4501" s="200" t="s">
        <v>57</v>
      </c>
      <c r="H4501" s="200" t="s">
        <v>105</v>
      </c>
    </row>
    <row r="4502" spans="1:9" ht="15" customHeight="1">
      <c r="A4502" s="199">
        <v>45736</v>
      </c>
      <c r="B4502" s="202" t="s">
        <v>3293</v>
      </c>
      <c r="C4502" s="200" t="s">
        <v>204</v>
      </c>
      <c r="D4502" s="645">
        <v>-56000</v>
      </c>
      <c r="E4502" s="201">
        <v>45717</v>
      </c>
      <c r="F4502" s="200" t="s">
        <v>296</v>
      </c>
      <c r="G4502" s="200" t="s">
        <v>984</v>
      </c>
      <c r="H4502" s="200" t="s">
        <v>268</v>
      </c>
    </row>
    <row r="4503" spans="1:9" ht="15" customHeight="1">
      <c r="A4503" s="199">
        <v>45736</v>
      </c>
      <c r="B4503" s="202" t="s">
        <v>3622</v>
      </c>
      <c r="C4503" s="200" t="s">
        <v>372</v>
      </c>
      <c r="D4503" s="204">
        <v>-5460</v>
      </c>
      <c r="E4503" s="201">
        <v>45717</v>
      </c>
      <c r="F4503" s="200" t="s">
        <v>297</v>
      </c>
      <c r="G4503" s="200" t="s">
        <v>1578</v>
      </c>
      <c r="H4503" s="200" t="s">
        <v>268</v>
      </c>
    </row>
    <row r="4504" spans="1:9" ht="15" customHeight="1">
      <c r="A4504" s="199">
        <v>45736</v>
      </c>
      <c r="B4504" s="202" t="s">
        <v>3295</v>
      </c>
      <c r="C4504" s="200" t="s">
        <v>372</v>
      </c>
      <c r="D4504" s="204">
        <v>-3276</v>
      </c>
      <c r="E4504" s="201">
        <v>45717</v>
      </c>
      <c r="F4504" s="200" t="s">
        <v>297</v>
      </c>
      <c r="G4504" s="200" t="s">
        <v>1578</v>
      </c>
      <c r="H4504" s="200" t="s">
        <v>268</v>
      </c>
    </row>
    <row r="4505" spans="1:9" ht="15" customHeight="1">
      <c r="A4505" s="199">
        <v>45736</v>
      </c>
      <c r="B4505" s="202" t="s">
        <v>3623</v>
      </c>
      <c r="C4505" s="200" t="s">
        <v>204</v>
      </c>
      <c r="D4505" s="645">
        <v>-4088360</v>
      </c>
      <c r="E4505" s="201">
        <v>45717</v>
      </c>
      <c r="F4505" s="200" t="s">
        <v>296</v>
      </c>
      <c r="G4505" s="200" t="s">
        <v>321</v>
      </c>
      <c r="H4505" s="200" t="s">
        <v>2654</v>
      </c>
    </row>
    <row r="4506" spans="1:9" ht="15" customHeight="1">
      <c r="A4506" s="199">
        <v>45736</v>
      </c>
      <c r="B4506" s="202" t="s">
        <v>3624</v>
      </c>
      <c r="C4506" s="200" t="s">
        <v>372</v>
      </c>
      <c r="D4506" s="204">
        <v>-183700</v>
      </c>
      <c r="E4506" s="201">
        <v>45717</v>
      </c>
      <c r="F4506" s="200" t="s">
        <v>296</v>
      </c>
      <c r="G4506" s="200" t="s">
        <v>321</v>
      </c>
      <c r="H4506" s="200" t="s">
        <v>2654</v>
      </c>
    </row>
    <row r="4507" spans="1:9" ht="15" customHeight="1">
      <c r="A4507" s="199">
        <v>45736</v>
      </c>
      <c r="B4507" s="202" t="s">
        <v>3623</v>
      </c>
      <c r="C4507" s="200" t="s">
        <v>204</v>
      </c>
      <c r="D4507" s="645">
        <v>-4088360</v>
      </c>
      <c r="E4507" s="201">
        <v>45717</v>
      </c>
      <c r="F4507" s="200" t="s">
        <v>296</v>
      </c>
      <c r="G4507" s="200" t="s">
        <v>337</v>
      </c>
      <c r="H4507" s="200" t="s">
        <v>2654</v>
      </c>
    </row>
    <row r="4508" spans="1:9" ht="15" customHeight="1">
      <c r="A4508" s="199">
        <v>45736</v>
      </c>
      <c r="B4508" s="202" t="s">
        <v>3624</v>
      </c>
      <c r="C4508" s="200" t="s">
        <v>372</v>
      </c>
      <c r="D4508" s="204">
        <v>-183700</v>
      </c>
      <c r="E4508" s="201">
        <v>45717</v>
      </c>
      <c r="F4508" s="200" t="s">
        <v>296</v>
      </c>
      <c r="G4508" s="200" t="s">
        <v>337</v>
      </c>
      <c r="H4508" s="200" t="s">
        <v>2654</v>
      </c>
    </row>
    <row r="4509" spans="1:9" ht="15" customHeight="1">
      <c r="A4509" s="199">
        <v>45736</v>
      </c>
      <c r="B4509" s="202" t="s">
        <v>3623</v>
      </c>
      <c r="C4509" s="200" t="s">
        <v>204</v>
      </c>
      <c r="D4509" s="645">
        <v>-4088360</v>
      </c>
      <c r="E4509" s="201">
        <v>45717</v>
      </c>
      <c r="F4509" s="200" t="s">
        <v>296</v>
      </c>
      <c r="G4509" s="200" t="s">
        <v>44</v>
      </c>
      <c r="H4509" s="200" t="s">
        <v>2654</v>
      </c>
    </row>
    <row r="4510" spans="1:9" ht="15" customHeight="1">
      <c r="A4510" s="199">
        <v>45736</v>
      </c>
      <c r="B4510" s="202" t="s">
        <v>3624</v>
      </c>
      <c r="C4510" s="200" t="s">
        <v>372</v>
      </c>
      <c r="D4510" s="204">
        <v>-183700</v>
      </c>
      <c r="E4510" s="201">
        <v>45717</v>
      </c>
      <c r="F4510" s="200" t="s">
        <v>296</v>
      </c>
      <c r="G4510" s="200" t="s">
        <v>44</v>
      </c>
      <c r="H4510" s="200" t="s">
        <v>2654</v>
      </c>
    </row>
    <row r="4511" spans="1:9" ht="15" customHeight="1">
      <c r="A4511" s="199">
        <v>45736</v>
      </c>
      <c r="B4511" s="202" t="s">
        <v>3623</v>
      </c>
      <c r="C4511" s="200" t="s">
        <v>204</v>
      </c>
      <c r="D4511" s="645">
        <v>-4088360</v>
      </c>
      <c r="E4511" s="201">
        <v>45717</v>
      </c>
      <c r="F4511" s="200" t="s">
        <v>296</v>
      </c>
      <c r="G4511" s="200" t="s">
        <v>1825</v>
      </c>
      <c r="H4511" s="200" t="s">
        <v>2654</v>
      </c>
    </row>
    <row r="4512" spans="1:9" ht="15" customHeight="1">
      <c r="A4512" s="199">
        <v>45736</v>
      </c>
      <c r="B4512" s="202" t="s">
        <v>3624</v>
      </c>
      <c r="C4512" s="200" t="s">
        <v>372</v>
      </c>
      <c r="D4512" s="204">
        <v>-183700</v>
      </c>
      <c r="E4512" s="201">
        <v>45717</v>
      </c>
      <c r="F4512" s="200" t="s">
        <v>296</v>
      </c>
      <c r="G4512" s="200" t="s">
        <v>1825</v>
      </c>
      <c r="H4512" s="200" t="s">
        <v>2654</v>
      </c>
    </row>
    <row r="4513" spans="1:9" ht="15" customHeight="1">
      <c r="A4513" s="199">
        <v>45736</v>
      </c>
      <c r="B4513" s="202" t="s">
        <v>3623</v>
      </c>
      <c r="C4513" s="200" t="s">
        <v>204</v>
      </c>
      <c r="D4513" s="645">
        <v>-4088360</v>
      </c>
      <c r="E4513" s="201">
        <v>45717</v>
      </c>
      <c r="F4513" s="200" t="s">
        <v>296</v>
      </c>
      <c r="G4513" s="200" t="s">
        <v>522</v>
      </c>
      <c r="H4513" s="200" t="s">
        <v>2654</v>
      </c>
    </row>
    <row r="4514" spans="1:9" ht="15" customHeight="1">
      <c r="A4514" s="199">
        <v>45736</v>
      </c>
      <c r="B4514" s="202" t="s">
        <v>3624</v>
      </c>
      <c r="C4514" s="200" t="s">
        <v>372</v>
      </c>
      <c r="D4514" s="204">
        <v>-183700</v>
      </c>
      <c r="E4514" s="201">
        <v>45717</v>
      </c>
      <c r="F4514" s="200" t="s">
        <v>296</v>
      </c>
      <c r="G4514" s="200" t="s">
        <v>522</v>
      </c>
      <c r="H4514" s="200" t="s">
        <v>2654</v>
      </c>
    </row>
    <row r="4515" spans="1:9" ht="15" customHeight="1">
      <c r="A4515" s="199">
        <v>45736</v>
      </c>
      <c r="B4515" s="202" t="s">
        <v>3623</v>
      </c>
      <c r="C4515" s="200" t="s">
        <v>204</v>
      </c>
      <c r="D4515" s="645">
        <v>-198000</v>
      </c>
      <c r="E4515" s="201">
        <v>45717</v>
      </c>
      <c r="F4515" s="200" t="s">
        <v>296</v>
      </c>
      <c r="G4515" s="200" t="s">
        <v>321</v>
      </c>
      <c r="H4515" s="200" t="s">
        <v>2654</v>
      </c>
    </row>
    <row r="4516" spans="1:9" ht="15" customHeight="1">
      <c r="A4516" s="199">
        <v>45736</v>
      </c>
      <c r="B4516" s="202" t="s">
        <v>3624</v>
      </c>
      <c r="C4516" s="200" t="s">
        <v>372</v>
      </c>
      <c r="D4516" s="204">
        <v>-2000</v>
      </c>
      <c r="E4516" s="201">
        <v>45717</v>
      </c>
      <c r="F4516" s="200" t="s">
        <v>296</v>
      </c>
      <c r="G4516" s="200" t="s">
        <v>321</v>
      </c>
      <c r="H4516" s="200" t="s">
        <v>2654</v>
      </c>
      <c r="I4516" s="648" t="s">
        <v>329</v>
      </c>
    </row>
    <row r="4517" spans="1:9" ht="15" customHeight="1">
      <c r="A4517" s="199">
        <v>45736</v>
      </c>
      <c r="B4517" s="202" t="s">
        <v>3623</v>
      </c>
      <c r="C4517" s="200" t="s">
        <v>204</v>
      </c>
      <c r="D4517" s="645">
        <v>-198000</v>
      </c>
      <c r="E4517" s="201">
        <v>45717</v>
      </c>
      <c r="F4517" s="200" t="s">
        <v>296</v>
      </c>
      <c r="G4517" s="200" t="s">
        <v>337</v>
      </c>
      <c r="H4517" s="200" t="s">
        <v>2654</v>
      </c>
    </row>
    <row r="4518" spans="1:9" ht="15" customHeight="1">
      <c r="A4518" s="199">
        <v>45736</v>
      </c>
      <c r="B4518" s="202" t="s">
        <v>3624</v>
      </c>
      <c r="C4518" s="200" t="s">
        <v>372</v>
      </c>
      <c r="D4518" s="204">
        <v>-2000</v>
      </c>
      <c r="E4518" s="201">
        <v>45717</v>
      </c>
      <c r="F4518" s="200" t="s">
        <v>296</v>
      </c>
      <c r="G4518" s="200" t="s">
        <v>337</v>
      </c>
      <c r="H4518" s="200" t="s">
        <v>2654</v>
      </c>
    </row>
    <row r="4519" spans="1:9" ht="15" customHeight="1">
      <c r="A4519" s="199">
        <v>45736</v>
      </c>
      <c r="B4519" s="202" t="s">
        <v>3623</v>
      </c>
      <c r="C4519" s="200" t="s">
        <v>204</v>
      </c>
      <c r="D4519" s="645">
        <v>-198000</v>
      </c>
      <c r="E4519" s="201">
        <v>45717</v>
      </c>
      <c r="F4519" s="200" t="s">
        <v>296</v>
      </c>
      <c r="G4519" s="200" t="s">
        <v>44</v>
      </c>
      <c r="H4519" s="200" t="s">
        <v>2654</v>
      </c>
    </row>
    <row r="4520" spans="1:9" ht="15" customHeight="1">
      <c r="A4520" s="199">
        <v>45736</v>
      </c>
      <c r="B4520" s="202" t="s">
        <v>3624</v>
      </c>
      <c r="C4520" s="200" t="s">
        <v>372</v>
      </c>
      <c r="D4520" s="204">
        <v>-2000</v>
      </c>
      <c r="E4520" s="201">
        <v>45717</v>
      </c>
      <c r="F4520" s="200" t="s">
        <v>296</v>
      </c>
      <c r="G4520" s="200" t="s">
        <v>44</v>
      </c>
      <c r="H4520" s="200" t="s">
        <v>2654</v>
      </c>
    </row>
    <row r="4521" spans="1:9" ht="15" customHeight="1">
      <c r="A4521" s="199">
        <v>45736</v>
      </c>
      <c r="B4521" s="202" t="s">
        <v>3623</v>
      </c>
      <c r="C4521" s="200" t="s">
        <v>204</v>
      </c>
      <c r="D4521" s="645">
        <v>-198000</v>
      </c>
      <c r="E4521" s="201">
        <v>45717</v>
      </c>
      <c r="F4521" s="200" t="s">
        <v>296</v>
      </c>
      <c r="G4521" s="200" t="s">
        <v>1825</v>
      </c>
      <c r="H4521" s="200" t="s">
        <v>2654</v>
      </c>
    </row>
    <row r="4522" spans="1:9" ht="15" customHeight="1">
      <c r="A4522" s="199">
        <v>45736</v>
      </c>
      <c r="B4522" s="202" t="s">
        <v>3624</v>
      </c>
      <c r="C4522" s="200" t="s">
        <v>372</v>
      </c>
      <c r="D4522" s="204">
        <v>-2000</v>
      </c>
      <c r="E4522" s="201">
        <v>45717</v>
      </c>
      <c r="F4522" s="200" t="s">
        <v>296</v>
      </c>
      <c r="G4522" s="200" t="s">
        <v>1825</v>
      </c>
      <c r="H4522" s="200" t="s">
        <v>2654</v>
      </c>
    </row>
    <row r="4523" spans="1:9" ht="15" customHeight="1">
      <c r="A4523" s="199">
        <v>45736</v>
      </c>
      <c r="B4523" s="202" t="s">
        <v>3623</v>
      </c>
      <c r="C4523" s="200" t="s">
        <v>204</v>
      </c>
      <c r="D4523" s="645">
        <v>-198000</v>
      </c>
      <c r="E4523" s="201">
        <v>45717</v>
      </c>
      <c r="F4523" s="200" t="s">
        <v>296</v>
      </c>
      <c r="G4523" s="200" t="s">
        <v>522</v>
      </c>
      <c r="H4523" s="200" t="s">
        <v>2654</v>
      </c>
    </row>
    <row r="4524" spans="1:9" ht="15" customHeight="1">
      <c r="A4524" s="199">
        <v>45736</v>
      </c>
      <c r="B4524" s="202" t="s">
        <v>3624</v>
      </c>
      <c r="C4524" s="200" t="s">
        <v>372</v>
      </c>
      <c r="D4524" s="204">
        <v>-2000</v>
      </c>
      <c r="E4524" s="201">
        <v>45717</v>
      </c>
      <c r="F4524" s="200" t="s">
        <v>296</v>
      </c>
      <c r="G4524" s="200" t="s">
        <v>522</v>
      </c>
      <c r="H4524" s="200" t="s">
        <v>2654</v>
      </c>
    </row>
    <row r="4525" spans="1:9" ht="15" customHeight="1">
      <c r="A4525" s="199">
        <v>45736</v>
      </c>
      <c r="B4525" s="202" t="s">
        <v>3625</v>
      </c>
      <c r="C4525" s="200" t="s">
        <v>204</v>
      </c>
      <c r="D4525" s="645">
        <v>-991145</v>
      </c>
      <c r="E4525" s="201">
        <v>45717</v>
      </c>
      <c r="F4525" s="200" t="s">
        <v>296</v>
      </c>
      <c r="G4525" s="200" t="s">
        <v>2994</v>
      </c>
      <c r="H4525" s="200" t="s">
        <v>377</v>
      </c>
    </row>
    <row r="4526" spans="1:9" ht="15" customHeight="1">
      <c r="A4526" s="199">
        <v>45736</v>
      </c>
      <c r="B4526" s="202" t="s">
        <v>3626</v>
      </c>
      <c r="C4526" s="200" t="s">
        <v>372</v>
      </c>
      <c r="D4526" s="204">
        <v>-2505</v>
      </c>
      <c r="E4526" s="201">
        <v>45717</v>
      </c>
      <c r="F4526" s="200" t="s">
        <v>296</v>
      </c>
      <c r="G4526" s="200" t="s">
        <v>2994</v>
      </c>
      <c r="H4526" s="200" t="s">
        <v>377</v>
      </c>
      <c r="I4526" s="648" t="s">
        <v>329</v>
      </c>
    </row>
    <row r="4527" spans="1:9" ht="15" customHeight="1">
      <c r="A4527" s="199">
        <v>45736</v>
      </c>
      <c r="B4527" s="202" t="s">
        <v>3627</v>
      </c>
      <c r="C4527" s="200" t="s">
        <v>204</v>
      </c>
      <c r="D4527" s="645">
        <v>-6372000</v>
      </c>
      <c r="E4527" s="665">
        <v>45717</v>
      </c>
      <c r="F4527" s="648" t="s">
        <v>296</v>
      </c>
      <c r="G4527" s="648" t="s">
        <v>1087</v>
      </c>
      <c r="H4527" s="648"/>
    </row>
    <row r="4528" spans="1:9" ht="15" customHeight="1">
      <c r="A4528" s="199">
        <v>45736</v>
      </c>
      <c r="B4528" s="202" t="s">
        <v>3628</v>
      </c>
      <c r="C4528" s="200" t="s">
        <v>204</v>
      </c>
      <c r="D4528" s="645">
        <v>-10466500</v>
      </c>
      <c r="E4528" s="201">
        <v>45717</v>
      </c>
      <c r="F4528" s="200" t="s">
        <v>296</v>
      </c>
      <c r="G4528" s="200" t="s">
        <v>453</v>
      </c>
      <c r="H4528" s="200" t="s">
        <v>95</v>
      </c>
    </row>
    <row r="4529" spans="1:9" ht="15" customHeight="1">
      <c r="A4529" s="199">
        <v>45736</v>
      </c>
      <c r="B4529" s="202" t="s">
        <v>3629</v>
      </c>
      <c r="C4529" s="200" t="s">
        <v>204</v>
      </c>
      <c r="D4529" s="645">
        <v>-2230101</v>
      </c>
      <c r="E4529" s="201">
        <v>45717</v>
      </c>
      <c r="F4529" s="200" t="s">
        <v>297</v>
      </c>
      <c r="G4529" s="200" t="s">
        <v>388</v>
      </c>
      <c r="H4529" s="200" t="s">
        <v>1962</v>
      </c>
    </row>
    <row r="4530" spans="1:9" ht="15" customHeight="1">
      <c r="A4530" s="199">
        <v>45736</v>
      </c>
      <c r="B4530" s="202" t="s">
        <v>3630</v>
      </c>
      <c r="C4530" s="200" t="s">
        <v>372</v>
      </c>
      <c r="D4530" s="204">
        <v>-47856</v>
      </c>
      <c r="E4530" s="201">
        <v>45717</v>
      </c>
      <c r="F4530" s="200" t="s">
        <v>297</v>
      </c>
      <c r="G4530" s="200" t="s">
        <v>388</v>
      </c>
      <c r="H4530" s="200" t="s">
        <v>1962</v>
      </c>
      <c r="I4530" s="648" t="s">
        <v>329</v>
      </c>
    </row>
    <row r="4531" spans="1:9" ht="15" customHeight="1">
      <c r="A4531" s="199">
        <v>45736</v>
      </c>
      <c r="B4531" s="202" t="s">
        <v>3631</v>
      </c>
      <c r="C4531" s="200" t="s">
        <v>204</v>
      </c>
      <c r="D4531" s="645">
        <v>-3474000</v>
      </c>
      <c r="E4531" s="201">
        <v>45717</v>
      </c>
      <c r="F4531" s="200" t="s">
        <v>256</v>
      </c>
      <c r="G4531" s="200" t="s">
        <v>256</v>
      </c>
      <c r="H4531" s="200" t="s">
        <v>257</v>
      </c>
    </row>
    <row r="4532" spans="1:9" ht="15" customHeight="1">
      <c r="A4532" s="199">
        <v>45736</v>
      </c>
      <c r="B4532" s="202" t="s">
        <v>3632</v>
      </c>
      <c r="C4532" s="200" t="s">
        <v>372</v>
      </c>
      <c r="D4532" s="204">
        <v>-126000</v>
      </c>
      <c r="E4532" s="201">
        <v>45717</v>
      </c>
      <c r="F4532" s="200" t="s">
        <v>256</v>
      </c>
      <c r="G4532" s="200" t="s">
        <v>256</v>
      </c>
      <c r="H4532" s="200" t="s">
        <v>257</v>
      </c>
    </row>
    <row r="4533" spans="1:9" ht="15" customHeight="1">
      <c r="A4533" s="199">
        <v>45736</v>
      </c>
      <c r="B4533" s="202" t="s">
        <v>3633</v>
      </c>
      <c r="C4533" s="200" t="s">
        <v>204</v>
      </c>
      <c r="D4533" s="645">
        <v>-1777700</v>
      </c>
      <c r="E4533" s="201">
        <v>45717</v>
      </c>
      <c r="F4533" s="200" t="s">
        <v>296</v>
      </c>
      <c r="G4533" s="200" t="s">
        <v>1980</v>
      </c>
      <c r="H4533" s="200" t="s">
        <v>322</v>
      </c>
    </row>
    <row r="4534" spans="1:9" ht="15" customHeight="1">
      <c r="A4534" s="199">
        <v>45736</v>
      </c>
      <c r="B4534" s="202" t="s">
        <v>3634</v>
      </c>
      <c r="C4534" s="200" t="s">
        <v>204</v>
      </c>
      <c r="D4534" s="645">
        <v>-2588040</v>
      </c>
      <c r="E4534" s="201">
        <v>45717</v>
      </c>
      <c r="F4534" s="200" t="s">
        <v>296</v>
      </c>
      <c r="G4534" s="200" t="s">
        <v>337</v>
      </c>
      <c r="H4534" s="200" t="s">
        <v>366</v>
      </c>
    </row>
    <row r="4535" spans="1:9" ht="15" customHeight="1">
      <c r="A4535" s="199">
        <v>45736</v>
      </c>
      <c r="B4535" s="202" t="s">
        <v>3635</v>
      </c>
      <c r="C4535" s="200" t="s">
        <v>372</v>
      </c>
      <c r="D4535" s="204">
        <v>-109200</v>
      </c>
      <c r="E4535" s="201">
        <v>45717</v>
      </c>
      <c r="F4535" s="200" t="s">
        <v>296</v>
      </c>
      <c r="G4535" s="200" t="s">
        <v>337</v>
      </c>
      <c r="H4535" s="200" t="s">
        <v>366</v>
      </c>
    </row>
    <row r="4536" spans="1:9" ht="15" customHeight="1">
      <c r="A4536" s="199">
        <v>45736</v>
      </c>
      <c r="B4536" s="202" t="s">
        <v>3636</v>
      </c>
      <c r="C4536" s="200" t="s">
        <v>372</v>
      </c>
      <c r="D4536" s="204">
        <v>-32760</v>
      </c>
      <c r="E4536" s="201">
        <v>45717</v>
      </c>
      <c r="F4536" s="200" t="s">
        <v>296</v>
      </c>
      <c r="G4536" s="200" t="s">
        <v>337</v>
      </c>
      <c r="H4536" s="200" t="s">
        <v>366</v>
      </c>
    </row>
    <row r="4537" spans="1:9" ht="15" customHeight="1">
      <c r="A4537" s="199">
        <v>45736</v>
      </c>
      <c r="B4537" s="202" t="s">
        <v>3637</v>
      </c>
      <c r="C4537" s="200" t="s">
        <v>204</v>
      </c>
      <c r="D4537" s="645">
        <v>-650000</v>
      </c>
      <c r="E4537" s="201">
        <v>45717</v>
      </c>
      <c r="F4537" s="200" t="s">
        <v>296</v>
      </c>
      <c r="G4537" s="200" t="s">
        <v>1825</v>
      </c>
      <c r="H4537" s="200" t="s">
        <v>490</v>
      </c>
      <c r="I4537" s="648" t="s">
        <v>329</v>
      </c>
    </row>
    <row r="4538" spans="1:9" ht="15" customHeight="1">
      <c r="A4538" s="199">
        <v>45736</v>
      </c>
      <c r="B4538" s="202" t="s">
        <v>3638</v>
      </c>
      <c r="C4538" s="200" t="s">
        <v>204</v>
      </c>
      <c r="D4538" s="645">
        <v>-450000</v>
      </c>
      <c r="E4538" s="201">
        <v>45717</v>
      </c>
      <c r="F4538" s="200" t="s">
        <v>256</v>
      </c>
      <c r="G4538" s="200" t="s">
        <v>256</v>
      </c>
      <c r="H4538" s="200" t="s">
        <v>257</v>
      </c>
    </row>
    <row r="4539" spans="1:9" ht="15" customHeight="1">
      <c r="A4539" s="199">
        <v>45736</v>
      </c>
      <c r="B4539" s="202" t="s">
        <v>3639</v>
      </c>
      <c r="C4539" s="200" t="s">
        <v>204</v>
      </c>
      <c r="D4539" s="645">
        <v>-10954000</v>
      </c>
      <c r="E4539" s="201">
        <v>45717</v>
      </c>
      <c r="F4539" s="200" t="s">
        <v>296</v>
      </c>
      <c r="G4539" s="200" t="s">
        <v>522</v>
      </c>
      <c r="H4539" s="200" t="s">
        <v>488</v>
      </c>
    </row>
    <row r="4540" spans="1:9" ht="15" customHeight="1">
      <c r="A4540" s="199">
        <v>45736</v>
      </c>
      <c r="B4540" s="202" t="s">
        <v>3640</v>
      </c>
      <c r="C4540" s="200" t="s">
        <v>372</v>
      </c>
      <c r="D4540" s="204">
        <v>-420000</v>
      </c>
      <c r="E4540" s="201">
        <v>45717</v>
      </c>
      <c r="F4540" s="200" t="s">
        <v>296</v>
      </c>
      <c r="G4540" s="200" t="s">
        <v>522</v>
      </c>
      <c r="H4540" s="200" t="s">
        <v>488</v>
      </c>
    </row>
    <row r="4541" spans="1:9" ht="15" customHeight="1">
      <c r="A4541" s="199">
        <v>45736</v>
      </c>
      <c r="B4541" s="202" t="s">
        <v>3641</v>
      </c>
      <c r="C4541" s="200" t="s">
        <v>372</v>
      </c>
      <c r="D4541" s="204">
        <v>-126000</v>
      </c>
      <c r="E4541" s="201">
        <v>45717</v>
      </c>
      <c r="F4541" s="200" t="s">
        <v>296</v>
      </c>
      <c r="G4541" s="200" t="s">
        <v>522</v>
      </c>
      <c r="H4541" s="200" t="s">
        <v>488</v>
      </c>
    </row>
    <row r="4542" spans="1:9" ht="15" customHeight="1">
      <c r="A4542" s="199">
        <v>45736</v>
      </c>
      <c r="B4542" s="202" t="s">
        <v>3642</v>
      </c>
      <c r="C4542" s="200" t="s">
        <v>204</v>
      </c>
      <c r="D4542" s="645">
        <v>-2241000</v>
      </c>
      <c r="E4542" s="201">
        <v>45717</v>
      </c>
      <c r="F4542" s="200" t="s">
        <v>525</v>
      </c>
    </row>
    <row r="4543" spans="1:9" ht="15" customHeight="1">
      <c r="A4543" s="199">
        <v>45736</v>
      </c>
      <c r="B4543" s="202" t="s">
        <v>3643</v>
      </c>
      <c r="C4543" s="200" t="s">
        <v>204</v>
      </c>
      <c r="D4543" s="645">
        <v>-9670000</v>
      </c>
      <c r="E4543" s="201">
        <v>45717</v>
      </c>
      <c r="F4543" s="648" t="s">
        <v>296</v>
      </c>
      <c r="G4543" s="648" t="s">
        <v>1980</v>
      </c>
      <c r="H4543" s="200" t="s">
        <v>322</v>
      </c>
    </row>
    <row r="4544" spans="1:9" ht="15" customHeight="1">
      <c r="A4544" s="199">
        <v>45736</v>
      </c>
      <c r="B4544" s="202" t="s">
        <v>3644</v>
      </c>
      <c r="C4544" s="200" t="s">
        <v>204</v>
      </c>
      <c r="D4544" s="645">
        <v>-235200</v>
      </c>
      <c r="E4544" s="201">
        <v>45717</v>
      </c>
      <c r="F4544" s="200" t="s">
        <v>296</v>
      </c>
      <c r="G4544" s="200" t="s">
        <v>411</v>
      </c>
      <c r="H4544" s="200" t="s">
        <v>342</v>
      </c>
    </row>
    <row r="4545" spans="1:8" ht="15" customHeight="1">
      <c r="A4545" s="199">
        <v>45736</v>
      </c>
      <c r="B4545" s="202" t="s">
        <v>3645</v>
      </c>
      <c r="C4545" s="200" t="s">
        <v>204</v>
      </c>
      <c r="D4545" s="645">
        <v>-235200</v>
      </c>
      <c r="E4545" s="201">
        <v>45717</v>
      </c>
      <c r="F4545" s="200" t="s">
        <v>296</v>
      </c>
      <c r="G4545" s="200" t="s">
        <v>411</v>
      </c>
      <c r="H4545" s="200" t="s">
        <v>342</v>
      </c>
    </row>
    <row r="4546" spans="1:8" ht="15" customHeight="1">
      <c r="A4546" s="199">
        <v>45736</v>
      </c>
      <c r="B4546" s="202" t="s">
        <v>3646</v>
      </c>
      <c r="C4546" s="200" t="s">
        <v>204</v>
      </c>
      <c r="D4546" s="645">
        <v>-264600</v>
      </c>
      <c r="E4546" s="201">
        <v>45717</v>
      </c>
      <c r="F4546" s="200" t="s">
        <v>296</v>
      </c>
      <c r="G4546" s="200" t="s">
        <v>411</v>
      </c>
      <c r="H4546" s="200" t="s">
        <v>342</v>
      </c>
    </row>
    <row r="4547" spans="1:8" ht="15" customHeight="1">
      <c r="A4547" s="199">
        <v>45736</v>
      </c>
      <c r="B4547" s="202" t="s">
        <v>3647</v>
      </c>
      <c r="C4547" s="200" t="s">
        <v>204</v>
      </c>
      <c r="D4547" s="645">
        <v>-495400</v>
      </c>
      <c r="E4547" s="201">
        <v>45717</v>
      </c>
      <c r="F4547" s="200" t="s">
        <v>296</v>
      </c>
      <c r="G4547" s="200" t="s">
        <v>984</v>
      </c>
      <c r="H4547" s="200" t="s">
        <v>342</v>
      </c>
    </row>
    <row r="4548" spans="1:8" ht="15" customHeight="1">
      <c r="A4548" s="199">
        <v>45736</v>
      </c>
      <c r="B4548" s="202" t="s">
        <v>3648</v>
      </c>
      <c r="C4548" s="200" t="s">
        <v>204</v>
      </c>
      <c r="D4548" s="645">
        <v>-472900</v>
      </c>
      <c r="E4548" s="201">
        <v>45717</v>
      </c>
      <c r="F4548" s="655" t="s">
        <v>296</v>
      </c>
      <c r="G4548" s="655" t="s">
        <v>328</v>
      </c>
      <c r="H4548" s="655" t="s">
        <v>342</v>
      </c>
    </row>
    <row r="4549" spans="1:8" ht="15" customHeight="1">
      <c r="A4549" s="199">
        <v>45736</v>
      </c>
      <c r="B4549" s="202" t="s">
        <v>3649</v>
      </c>
      <c r="C4549" s="200" t="s">
        <v>204</v>
      </c>
      <c r="D4549" s="645">
        <v>-440900</v>
      </c>
      <c r="E4549" s="201">
        <v>45717</v>
      </c>
      <c r="F4549" s="655" t="s">
        <v>296</v>
      </c>
      <c r="G4549" s="655" t="s">
        <v>984</v>
      </c>
      <c r="H4549" s="655" t="s">
        <v>342</v>
      </c>
    </row>
    <row r="4550" spans="1:8" ht="15" customHeight="1">
      <c r="A4550" s="199">
        <v>45736</v>
      </c>
      <c r="B4550" s="202" t="s">
        <v>3650</v>
      </c>
      <c r="C4550" s="200" t="s">
        <v>204</v>
      </c>
      <c r="D4550" s="645">
        <v>-440900</v>
      </c>
      <c r="E4550" s="201">
        <v>45717</v>
      </c>
      <c r="F4550" s="655" t="s">
        <v>296</v>
      </c>
      <c r="G4550" s="655" t="s">
        <v>984</v>
      </c>
      <c r="H4550" s="655" t="s">
        <v>342</v>
      </c>
    </row>
    <row r="4551" spans="1:8" ht="15" customHeight="1">
      <c r="A4551" s="199">
        <v>45736</v>
      </c>
      <c r="B4551" s="202" t="s">
        <v>3651</v>
      </c>
      <c r="C4551" s="200" t="s">
        <v>204</v>
      </c>
      <c r="D4551" s="645">
        <v>-440900</v>
      </c>
      <c r="E4551" s="201">
        <v>45717</v>
      </c>
      <c r="F4551" s="200" t="s">
        <v>296</v>
      </c>
      <c r="G4551" s="200" t="s">
        <v>328</v>
      </c>
      <c r="H4551" s="200" t="s">
        <v>342</v>
      </c>
    </row>
    <row r="4552" spans="1:8" ht="15" customHeight="1">
      <c r="A4552" s="199">
        <v>45736</v>
      </c>
      <c r="B4552" s="202" t="s">
        <v>3652</v>
      </c>
      <c r="C4552" s="200" t="s">
        <v>204</v>
      </c>
      <c r="D4552" s="645">
        <v>-483200</v>
      </c>
      <c r="E4552" s="201">
        <v>45717</v>
      </c>
      <c r="F4552" s="200" t="s">
        <v>256</v>
      </c>
      <c r="G4552" s="200" t="s">
        <v>256</v>
      </c>
      <c r="H4552" s="200" t="s">
        <v>121</v>
      </c>
    </row>
    <row r="4553" spans="1:8" ht="15" customHeight="1">
      <c r="A4553" s="199">
        <v>45736</v>
      </c>
      <c r="B4553" s="202" t="s">
        <v>3653</v>
      </c>
      <c r="C4553" s="200" t="s">
        <v>204</v>
      </c>
      <c r="D4553" s="645">
        <v>-856100</v>
      </c>
      <c r="E4553" s="201">
        <v>45717</v>
      </c>
      <c r="F4553" s="200" t="s">
        <v>296</v>
      </c>
      <c r="G4553" s="200" t="s">
        <v>328</v>
      </c>
      <c r="H4553" s="200" t="s">
        <v>342</v>
      </c>
    </row>
    <row r="4554" spans="1:8" ht="15" customHeight="1">
      <c r="A4554" s="199">
        <v>45736</v>
      </c>
      <c r="B4554" s="202" t="s">
        <v>3654</v>
      </c>
      <c r="C4554" s="200" t="s">
        <v>204</v>
      </c>
      <c r="D4554" s="645">
        <v>-772500</v>
      </c>
      <c r="E4554" s="201">
        <v>45717</v>
      </c>
      <c r="F4554" s="200" t="s">
        <v>296</v>
      </c>
      <c r="G4554" s="200" t="s">
        <v>984</v>
      </c>
      <c r="H4554" s="200" t="s">
        <v>342</v>
      </c>
    </row>
    <row r="4555" spans="1:8" ht="15" customHeight="1">
      <c r="A4555" s="199">
        <v>45736</v>
      </c>
      <c r="B4555" s="202" t="s">
        <v>3655</v>
      </c>
      <c r="C4555" s="200" t="s">
        <v>204</v>
      </c>
      <c r="D4555" s="645">
        <v>-440900</v>
      </c>
      <c r="E4555" s="201">
        <v>45717</v>
      </c>
      <c r="F4555" s="200" t="s">
        <v>296</v>
      </c>
      <c r="G4555" s="200" t="s">
        <v>390</v>
      </c>
      <c r="H4555" s="200" t="s">
        <v>342</v>
      </c>
    </row>
    <row r="4556" spans="1:8" ht="15" customHeight="1">
      <c r="A4556" s="199">
        <v>45736</v>
      </c>
      <c r="B4556" s="202" t="s">
        <v>3656</v>
      </c>
      <c r="C4556" s="200" t="s">
        <v>204</v>
      </c>
      <c r="D4556" s="645">
        <v>-440900</v>
      </c>
      <c r="E4556" s="201">
        <v>45717</v>
      </c>
      <c r="F4556" s="200" t="s">
        <v>296</v>
      </c>
      <c r="G4556" s="200" t="s">
        <v>984</v>
      </c>
      <c r="H4556" s="200" t="s">
        <v>342</v>
      </c>
    </row>
    <row r="4557" spans="1:8" ht="15" customHeight="1">
      <c r="A4557" s="199">
        <v>45736</v>
      </c>
      <c r="B4557" s="202" t="s">
        <v>3657</v>
      </c>
      <c r="C4557" s="200" t="s">
        <v>204</v>
      </c>
      <c r="D4557" s="645">
        <v>-445700</v>
      </c>
      <c r="E4557" s="201">
        <v>45717</v>
      </c>
      <c r="F4557" s="200" t="s">
        <v>296</v>
      </c>
      <c r="G4557" s="200" t="s">
        <v>390</v>
      </c>
      <c r="H4557" s="200" t="s">
        <v>342</v>
      </c>
    </row>
    <row r="4558" spans="1:8" ht="15" customHeight="1">
      <c r="A4558" s="199">
        <v>45736</v>
      </c>
      <c r="B4558" s="202" t="s">
        <v>3658</v>
      </c>
      <c r="C4558" s="200" t="s">
        <v>204</v>
      </c>
      <c r="D4558" s="645">
        <v>-481300</v>
      </c>
      <c r="E4558" s="201">
        <v>45717</v>
      </c>
      <c r="F4558" s="200" t="s">
        <v>296</v>
      </c>
      <c r="G4558" s="200" t="s">
        <v>328</v>
      </c>
      <c r="H4558" s="200" t="s">
        <v>342</v>
      </c>
    </row>
    <row r="4559" spans="1:8" ht="15" customHeight="1">
      <c r="A4559" s="199">
        <v>45736</v>
      </c>
      <c r="B4559" s="202" t="s">
        <v>3659</v>
      </c>
      <c r="C4559" s="200" t="s">
        <v>204</v>
      </c>
      <c r="D4559" s="645">
        <v>-531600</v>
      </c>
      <c r="E4559" s="201">
        <v>45717</v>
      </c>
      <c r="F4559" s="655" t="s">
        <v>296</v>
      </c>
      <c r="G4559" s="655" t="s">
        <v>328</v>
      </c>
      <c r="H4559" s="655" t="s">
        <v>342</v>
      </c>
    </row>
    <row r="4560" spans="1:8" ht="15" customHeight="1">
      <c r="A4560" s="199">
        <v>45736</v>
      </c>
      <c r="B4560" s="202" t="s">
        <v>3660</v>
      </c>
      <c r="C4560" s="200" t="s">
        <v>204</v>
      </c>
      <c r="D4560" s="645">
        <v>-416900</v>
      </c>
      <c r="E4560" s="201">
        <v>45717</v>
      </c>
      <c r="F4560" s="200" t="s">
        <v>256</v>
      </c>
      <c r="G4560" s="200" t="s">
        <v>256</v>
      </c>
      <c r="H4560" s="200" t="s">
        <v>121</v>
      </c>
    </row>
    <row r="4561" spans="1:8" ht="15" customHeight="1">
      <c r="A4561" s="199">
        <v>45736</v>
      </c>
      <c r="B4561" s="202" t="s">
        <v>3661</v>
      </c>
      <c r="C4561" s="200" t="s">
        <v>204</v>
      </c>
      <c r="D4561" s="645">
        <v>-132400</v>
      </c>
      <c r="E4561" s="201">
        <v>45717</v>
      </c>
      <c r="F4561" s="729" t="s">
        <v>296</v>
      </c>
      <c r="G4561" s="729" t="s">
        <v>328</v>
      </c>
      <c r="H4561" s="729" t="s">
        <v>342</v>
      </c>
    </row>
    <row r="4562" spans="1:8" ht="15" customHeight="1">
      <c r="A4562" s="199">
        <v>45736</v>
      </c>
      <c r="B4562" s="202" t="s">
        <v>3662</v>
      </c>
      <c r="C4562" s="200" t="s">
        <v>204</v>
      </c>
      <c r="D4562" s="645">
        <v>-19000</v>
      </c>
      <c r="E4562" s="201">
        <v>45717</v>
      </c>
      <c r="F4562" s="655" t="s">
        <v>296</v>
      </c>
      <c r="G4562" s="655" t="s">
        <v>390</v>
      </c>
      <c r="H4562" s="655" t="s">
        <v>342</v>
      </c>
    </row>
    <row r="4563" spans="1:8" ht="15" customHeight="1">
      <c r="A4563" s="199">
        <v>45736</v>
      </c>
      <c r="B4563" s="202" t="s">
        <v>3663</v>
      </c>
      <c r="C4563" s="200" t="s">
        <v>204</v>
      </c>
      <c r="D4563" s="645">
        <v>-132400</v>
      </c>
      <c r="E4563" s="201">
        <v>45717</v>
      </c>
      <c r="F4563" s="729" t="s">
        <v>296</v>
      </c>
      <c r="G4563" s="729" t="s">
        <v>328</v>
      </c>
      <c r="H4563" s="729" t="s">
        <v>342</v>
      </c>
    </row>
    <row r="4564" spans="1:8" ht="15" customHeight="1">
      <c r="A4564" s="199">
        <v>45736</v>
      </c>
      <c r="B4564" s="202" t="s">
        <v>3664</v>
      </c>
      <c r="C4564" s="200" t="s">
        <v>204</v>
      </c>
      <c r="D4564" s="645">
        <v>-132400</v>
      </c>
      <c r="E4564" s="201">
        <v>45717</v>
      </c>
      <c r="F4564" s="200" t="s">
        <v>296</v>
      </c>
      <c r="G4564" s="200" t="s">
        <v>390</v>
      </c>
      <c r="H4564" s="200" t="s">
        <v>342</v>
      </c>
    </row>
    <row r="4565" spans="1:8" ht="15" customHeight="1">
      <c r="A4565" s="199">
        <v>45736</v>
      </c>
      <c r="B4565" s="202" t="s">
        <v>3662</v>
      </c>
      <c r="C4565" s="200" t="s">
        <v>204</v>
      </c>
      <c r="D4565" s="645">
        <v>-413000</v>
      </c>
      <c r="E4565" s="201">
        <v>45717</v>
      </c>
      <c r="F4565" s="200" t="s">
        <v>296</v>
      </c>
      <c r="G4565" s="200" t="s">
        <v>390</v>
      </c>
      <c r="H4565" s="200" t="s">
        <v>342</v>
      </c>
    </row>
    <row r="4566" spans="1:8" ht="15" customHeight="1">
      <c r="A4566" s="199">
        <v>45736</v>
      </c>
      <c r="B4566" s="202" t="s">
        <v>3665</v>
      </c>
      <c r="C4566" s="200" t="s">
        <v>204</v>
      </c>
      <c r="D4566" s="645">
        <v>-661400</v>
      </c>
      <c r="E4566" s="201">
        <v>45717</v>
      </c>
      <c r="F4566" s="200" t="s">
        <v>296</v>
      </c>
      <c r="G4566" s="200" t="s">
        <v>390</v>
      </c>
      <c r="H4566" s="200" t="s">
        <v>342</v>
      </c>
    </row>
    <row r="4567" spans="1:8" ht="15" customHeight="1">
      <c r="A4567" s="199">
        <v>45736</v>
      </c>
      <c r="B4567" s="202" t="s">
        <v>3666</v>
      </c>
      <c r="C4567" s="200" t="s">
        <v>204</v>
      </c>
      <c r="D4567" s="645">
        <v>-1189700</v>
      </c>
      <c r="E4567" s="201">
        <v>45717</v>
      </c>
      <c r="F4567" s="200" t="s">
        <v>296</v>
      </c>
      <c r="G4567" s="200" t="s">
        <v>453</v>
      </c>
      <c r="H4567" s="200" t="s">
        <v>121</v>
      </c>
    </row>
    <row r="4568" spans="1:8" ht="15" customHeight="1">
      <c r="A4568" s="199">
        <v>45736</v>
      </c>
      <c r="B4568" s="202" t="s">
        <v>3667</v>
      </c>
      <c r="C4568" s="200" t="s">
        <v>204</v>
      </c>
      <c r="D4568" s="645">
        <v>-907400</v>
      </c>
      <c r="E4568" s="201">
        <v>45717</v>
      </c>
      <c r="F4568" s="200" t="s">
        <v>296</v>
      </c>
      <c r="G4568" s="200" t="s">
        <v>453</v>
      </c>
      <c r="H4568" s="200" t="s">
        <v>121</v>
      </c>
    </row>
    <row r="4569" spans="1:8" ht="15" customHeight="1">
      <c r="A4569" s="199">
        <v>45736</v>
      </c>
      <c r="B4569" s="202" t="s">
        <v>3668</v>
      </c>
      <c r="C4569" s="200" t="s">
        <v>204</v>
      </c>
      <c r="D4569" s="645">
        <v>-793100</v>
      </c>
      <c r="E4569" s="201">
        <v>45717</v>
      </c>
      <c r="F4569" s="200" t="s">
        <v>296</v>
      </c>
      <c r="G4569" s="200" t="s">
        <v>453</v>
      </c>
      <c r="H4569" s="200" t="s">
        <v>121</v>
      </c>
    </row>
    <row r="4570" spans="1:8" ht="15" customHeight="1">
      <c r="A4570" s="199">
        <v>45736</v>
      </c>
      <c r="B4570" s="202" t="s">
        <v>3669</v>
      </c>
      <c r="C4570" s="200" t="s">
        <v>204</v>
      </c>
      <c r="D4570" s="645">
        <v>-3719700</v>
      </c>
      <c r="E4570" s="201">
        <v>45717</v>
      </c>
      <c r="F4570" s="200" t="s">
        <v>256</v>
      </c>
      <c r="G4570" s="200" t="s">
        <v>256</v>
      </c>
      <c r="H4570" s="200" t="s">
        <v>121</v>
      </c>
    </row>
    <row r="4571" spans="1:8" ht="15" customHeight="1">
      <c r="A4571" s="199">
        <v>45736</v>
      </c>
      <c r="B4571" s="202" t="s">
        <v>3670</v>
      </c>
      <c r="C4571" s="200" t="s">
        <v>204</v>
      </c>
      <c r="D4571" s="645">
        <v>-213400</v>
      </c>
      <c r="E4571" s="201">
        <v>45717</v>
      </c>
      <c r="F4571" s="200" t="s">
        <v>256</v>
      </c>
      <c r="G4571" s="200" t="s">
        <v>256</v>
      </c>
      <c r="H4571" s="200" t="s">
        <v>121</v>
      </c>
    </row>
    <row r="4572" spans="1:8" ht="15" customHeight="1">
      <c r="A4572" s="199">
        <v>45736</v>
      </c>
      <c r="B4572" s="202" t="s">
        <v>3671</v>
      </c>
      <c r="C4572" s="200" t="s">
        <v>204</v>
      </c>
      <c r="D4572" s="645">
        <v>-1032100</v>
      </c>
      <c r="E4572" s="201">
        <v>45717</v>
      </c>
      <c r="F4572" s="200" t="s">
        <v>256</v>
      </c>
      <c r="G4572" s="200" t="s">
        <v>256</v>
      </c>
      <c r="H4572" s="200" t="s">
        <v>121</v>
      </c>
    </row>
    <row r="4573" spans="1:8" ht="15" customHeight="1">
      <c r="A4573" s="199">
        <v>45736</v>
      </c>
      <c r="B4573" s="202" t="s">
        <v>3672</v>
      </c>
      <c r="C4573" s="200" t="s">
        <v>204</v>
      </c>
      <c r="D4573" s="645">
        <v>-613100</v>
      </c>
      <c r="E4573" s="201">
        <v>45717</v>
      </c>
      <c r="F4573" s="200" t="s">
        <v>256</v>
      </c>
      <c r="G4573" s="200" t="s">
        <v>256</v>
      </c>
      <c r="H4573" s="200" t="s">
        <v>121</v>
      </c>
    </row>
    <row r="4574" spans="1:8" ht="15" customHeight="1">
      <c r="A4574" s="199">
        <v>45736</v>
      </c>
      <c r="B4574" s="202" t="s">
        <v>3673</v>
      </c>
      <c r="C4574" s="200" t="s">
        <v>204</v>
      </c>
      <c r="D4574" s="645">
        <v>-294300</v>
      </c>
      <c r="E4574" s="201">
        <v>45717</v>
      </c>
      <c r="F4574" s="200" t="s">
        <v>296</v>
      </c>
      <c r="G4574" s="200" t="s">
        <v>453</v>
      </c>
      <c r="H4574" s="200" t="s">
        <v>121</v>
      </c>
    </row>
    <row r="4575" spans="1:8" ht="15" customHeight="1">
      <c r="A4575" s="199">
        <v>45736</v>
      </c>
      <c r="B4575" s="202" t="s">
        <v>3674</v>
      </c>
      <c r="C4575" s="200" t="s">
        <v>204</v>
      </c>
      <c r="D4575" s="645">
        <v>-380100</v>
      </c>
      <c r="E4575" s="201">
        <v>45717</v>
      </c>
      <c r="F4575" s="200" t="s">
        <v>256</v>
      </c>
      <c r="G4575" s="200" t="s">
        <v>256</v>
      </c>
      <c r="H4575" s="200" t="s">
        <v>121</v>
      </c>
    </row>
    <row r="4576" spans="1:8" ht="15" customHeight="1">
      <c r="A4576" s="199">
        <v>45736</v>
      </c>
      <c r="B4576" s="202" t="s">
        <v>3675</v>
      </c>
      <c r="C4576" s="200" t="s">
        <v>204</v>
      </c>
      <c r="D4576" s="645">
        <v>-440900</v>
      </c>
      <c r="E4576" s="201">
        <v>45717</v>
      </c>
      <c r="F4576" s="200" t="s">
        <v>256</v>
      </c>
      <c r="G4576" s="200" t="s">
        <v>256</v>
      </c>
      <c r="H4576" s="200" t="s">
        <v>121</v>
      </c>
    </row>
    <row r="4577" spans="1:8" ht="15" customHeight="1">
      <c r="A4577" s="199">
        <v>45736</v>
      </c>
      <c r="B4577" s="202" t="s">
        <v>3676</v>
      </c>
      <c r="C4577" s="200" t="s">
        <v>204</v>
      </c>
      <c r="D4577" s="645">
        <v>-3429500</v>
      </c>
      <c r="E4577" s="201">
        <v>45717</v>
      </c>
      <c r="F4577" s="200" t="s">
        <v>256</v>
      </c>
      <c r="G4577" s="200" t="s">
        <v>256</v>
      </c>
      <c r="H4577" s="200" t="s">
        <v>121</v>
      </c>
    </row>
    <row r="4578" spans="1:8" ht="15" customHeight="1">
      <c r="A4578" s="199">
        <v>45736</v>
      </c>
      <c r="B4578" s="202" t="s">
        <v>3677</v>
      </c>
      <c r="C4578" s="200" t="s">
        <v>204</v>
      </c>
      <c r="D4578" s="645">
        <v>-3190300</v>
      </c>
      <c r="E4578" s="201">
        <v>45717</v>
      </c>
      <c r="F4578" s="200" t="s">
        <v>256</v>
      </c>
      <c r="G4578" s="200" t="s">
        <v>256</v>
      </c>
      <c r="H4578" s="200" t="s">
        <v>121</v>
      </c>
    </row>
    <row r="4579" spans="1:8" ht="15" customHeight="1">
      <c r="A4579" s="199">
        <v>45736</v>
      </c>
      <c r="B4579" s="202" t="s">
        <v>3678</v>
      </c>
      <c r="C4579" s="200" t="s">
        <v>204</v>
      </c>
      <c r="D4579" s="645">
        <v>-1226100</v>
      </c>
      <c r="E4579" s="201">
        <v>45717</v>
      </c>
      <c r="F4579" s="200" t="s">
        <v>256</v>
      </c>
      <c r="G4579" s="200" t="s">
        <v>256</v>
      </c>
      <c r="H4579" s="200" t="s">
        <v>121</v>
      </c>
    </row>
    <row r="4580" spans="1:8" ht="15" customHeight="1">
      <c r="A4580" s="199">
        <v>45736</v>
      </c>
      <c r="B4580" s="202" t="s">
        <v>3679</v>
      </c>
      <c r="C4580" s="200" t="s">
        <v>204</v>
      </c>
      <c r="D4580" s="645">
        <v>-735700</v>
      </c>
      <c r="E4580" s="201">
        <v>45717</v>
      </c>
      <c r="F4580" s="200" t="s">
        <v>256</v>
      </c>
      <c r="G4580" s="200" t="s">
        <v>256</v>
      </c>
      <c r="H4580" s="200" t="s">
        <v>121</v>
      </c>
    </row>
    <row r="4581" spans="1:8" ht="15" customHeight="1">
      <c r="A4581" s="199">
        <v>45736</v>
      </c>
      <c r="B4581" s="202" t="s">
        <v>3680</v>
      </c>
      <c r="C4581" s="200" t="s">
        <v>204</v>
      </c>
      <c r="D4581" s="645">
        <v>-349300</v>
      </c>
      <c r="E4581" s="201">
        <v>45717</v>
      </c>
      <c r="F4581" s="200" t="s">
        <v>256</v>
      </c>
      <c r="G4581" s="200" t="s">
        <v>256</v>
      </c>
      <c r="H4581" s="200" t="s">
        <v>121</v>
      </c>
    </row>
    <row r="4582" spans="1:8" ht="15" customHeight="1">
      <c r="A4582" s="199">
        <v>45736</v>
      </c>
      <c r="B4582" s="202" t="s">
        <v>3681</v>
      </c>
      <c r="C4582" s="200" t="s">
        <v>204</v>
      </c>
      <c r="D4582" s="645">
        <v>-1390600</v>
      </c>
      <c r="E4582" s="201">
        <v>45717</v>
      </c>
      <c r="F4582" s="200" t="s">
        <v>256</v>
      </c>
      <c r="G4582" s="200" t="s">
        <v>256</v>
      </c>
      <c r="H4582" s="200" t="s">
        <v>121</v>
      </c>
    </row>
    <row r="4583" spans="1:8" ht="15" customHeight="1">
      <c r="A4583" s="199">
        <v>45736</v>
      </c>
      <c r="B4583" s="202" t="s">
        <v>3682</v>
      </c>
      <c r="C4583" s="200" t="s">
        <v>204</v>
      </c>
      <c r="D4583" s="645">
        <v>-389200</v>
      </c>
      <c r="E4583" s="201">
        <v>45717</v>
      </c>
      <c r="F4583" s="200" t="s">
        <v>256</v>
      </c>
      <c r="G4583" s="200" t="s">
        <v>256</v>
      </c>
      <c r="H4583" s="200" t="s">
        <v>121</v>
      </c>
    </row>
    <row r="4584" spans="1:8" ht="15" customHeight="1">
      <c r="A4584" s="199">
        <v>45736</v>
      </c>
      <c r="B4584" s="202" t="s">
        <v>3683</v>
      </c>
      <c r="C4584" s="200" t="s">
        <v>204</v>
      </c>
      <c r="D4584" s="645">
        <v>-349300</v>
      </c>
      <c r="E4584" s="201">
        <v>45717</v>
      </c>
      <c r="F4584" s="200" t="s">
        <v>256</v>
      </c>
      <c r="G4584" s="200" t="s">
        <v>256</v>
      </c>
      <c r="H4584" s="200" t="s">
        <v>121</v>
      </c>
    </row>
    <row r="4585" spans="1:8" ht="15" customHeight="1">
      <c r="A4585" s="199">
        <v>45736</v>
      </c>
      <c r="B4585" s="202" t="s">
        <v>3684</v>
      </c>
      <c r="C4585" s="200" t="s">
        <v>204</v>
      </c>
      <c r="D4585" s="645">
        <v>-428900</v>
      </c>
      <c r="E4585" s="201">
        <v>45717</v>
      </c>
      <c r="F4585" s="200" t="s">
        <v>256</v>
      </c>
      <c r="G4585" s="200" t="s">
        <v>256</v>
      </c>
      <c r="H4585" s="200" t="s">
        <v>121</v>
      </c>
    </row>
    <row r="4586" spans="1:8" ht="15" customHeight="1">
      <c r="A4586" s="199">
        <v>45736</v>
      </c>
      <c r="B4586" s="202" t="s">
        <v>3685</v>
      </c>
      <c r="C4586" s="200" t="s">
        <v>204</v>
      </c>
      <c r="D4586" s="645">
        <v>-349300</v>
      </c>
      <c r="E4586" s="201">
        <v>45717</v>
      </c>
      <c r="F4586" s="200" t="s">
        <v>256</v>
      </c>
      <c r="G4586" s="200" t="s">
        <v>256</v>
      </c>
      <c r="H4586" s="200" t="s">
        <v>121</v>
      </c>
    </row>
    <row r="4587" spans="1:8" ht="15" customHeight="1">
      <c r="A4587" s="199">
        <v>45736</v>
      </c>
      <c r="B4587" s="202" t="s">
        <v>3686</v>
      </c>
      <c r="C4587" s="200" t="s">
        <v>204</v>
      </c>
      <c r="D4587" s="645">
        <v>-349300</v>
      </c>
      <c r="E4587" s="201">
        <v>45717</v>
      </c>
      <c r="F4587" s="200" t="s">
        <v>256</v>
      </c>
      <c r="G4587" s="200" t="s">
        <v>256</v>
      </c>
      <c r="H4587" s="200" t="s">
        <v>121</v>
      </c>
    </row>
    <row r="4588" spans="1:8" ht="15" customHeight="1">
      <c r="A4588" s="199">
        <v>45736</v>
      </c>
      <c r="B4588" s="202" t="s">
        <v>3687</v>
      </c>
      <c r="C4588" s="200" t="s">
        <v>204</v>
      </c>
      <c r="D4588" s="645">
        <v>-564100</v>
      </c>
      <c r="E4588" s="201">
        <v>45717</v>
      </c>
      <c r="F4588" s="200" t="s">
        <v>256</v>
      </c>
      <c r="G4588" s="200" t="s">
        <v>256</v>
      </c>
      <c r="H4588" s="200" t="s">
        <v>121</v>
      </c>
    </row>
    <row r="4589" spans="1:8" ht="15" customHeight="1">
      <c r="A4589" s="199">
        <v>45736</v>
      </c>
      <c r="B4589" s="202" t="s">
        <v>3688</v>
      </c>
      <c r="C4589" s="200" t="s">
        <v>204</v>
      </c>
      <c r="D4589" s="645">
        <v>-557300</v>
      </c>
      <c r="E4589" s="201">
        <v>45717</v>
      </c>
      <c r="F4589" s="200" t="s">
        <v>256</v>
      </c>
      <c r="G4589" s="200" t="s">
        <v>256</v>
      </c>
      <c r="H4589" s="200" t="s">
        <v>121</v>
      </c>
    </row>
    <row r="4590" spans="1:8" ht="15" customHeight="1">
      <c r="A4590" s="199">
        <v>45736</v>
      </c>
      <c r="B4590" s="202" t="s">
        <v>3689</v>
      </c>
      <c r="C4590" s="200" t="s">
        <v>204</v>
      </c>
      <c r="D4590" s="645">
        <v>-858300</v>
      </c>
      <c r="E4590" s="201">
        <v>45717</v>
      </c>
      <c r="F4590" s="200" t="s">
        <v>256</v>
      </c>
      <c r="G4590" s="200" t="s">
        <v>256</v>
      </c>
      <c r="H4590" s="200" t="s">
        <v>121</v>
      </c>
    </row>
    <row r="4591" spans="1:8" ht="15" customHeight="1">
      <c r="A4591" s="199">
        <v>45736</v>
      </c>
      <c r="B4591" s="202" t="s">
        <v>3690</v>
      </c>
      <c r="C4591" s="200" t="s">
        <v>204</v>
      </c>
      <c r="D4591" s="645">
        <v>-178000</v>
      </c>
      <c r="E4591" s="201">
        <v>45717</v>
      </c>
      <c r="F4591" s="200" t="s">
        <v>256</v>
      </c>
      <c r="G4591" s="200" t="s">
        <v>256</v>
      </c>
      <c r="H4591" s="200" t="s">
        <v>121</v>
      </c>
    </row>
    <row r="4592" spans="1:8" ht="15" customHeight="1">
      <c r="A4592" s="199">
        <v>45736</v>
      </c>
      <c r="B4592" s="202" t="s">
        <v>3691</v>
      </c>
      <c r="C4592" s="200" t="s">
        <v>204</v>
      </c>
      <c r="D4592" s="645">
        <v>-732500</v>
      </c>
      <c r="E4592" s="201">
        <v>45717</v>
      </c>
      <c r="F4592" s="200" t="s">
        <v>256</v>
      </c>
      <c r="G4592" s="200" t="s">
        <v>256</v>
      </c>
      <c r="H4592" s="200" t="s">
        <v>121</v>
      </c>
    </row>
    <row r="4593" spans="1:8" ht="15" customHeight="1">
      <c r="A4593" s="199">
        <v>45736</v>
      </c>
      <c r="B4593" s="202" t="s">
        <v>3692</v>
      </c>
      <c r="C4593" s="200" t="s">
        <v>204</v>
      </c>
      <c r="D4593" s="645">
        <v>-893300</v>
      </c>
      <c r="E4593" s="201">
        <v>45717</v>
      </c>
      <c r="F4593" s="200" t="s">
        <v>256</v>
      </c>
      <c r="G4593" s="200" t="s">
        <v>107</v>
      </c>
      <c r="H4593" s="200" t="s">
        <v>121</v>
      </c>
    </row>
    <row r="4594" spans="1:8" ht="15" customHeight="1">
      <c r="A4594" s="199">
        <v>45736</v>
      </c>
      <c r="B4594" s="202" t="s">
        <v>3693</v>
      </c>
      <c r="C4594" s="200" t="s">
        <v>204</v>
      </c>
      <c r="D4594" s="645">
        <v>-681200</v>
      </c>
      <c r="E4594" s="201">
        <v>45717</v>
      </c>
      <c r="F4594" s="200" t="s">
        <v>256</v>
      </c>
      <c r="G4594" s="200" t="s">
        <v>107</v>
      </c>
      <c r="H4594" s="200" t="s">
        <v>121</v>
      </c>
    </row>
    <row r="4595" spans="1:8" ht="15" customHeight="1">
      <c r="A4595" s="199">
        <v>45736</v>
      </c>
      <c r="B4595" s="202" t="s">
        <v>3694</v>
      </c>
      <c r="C4595" s="200" t="s">
        <v>204</v>
      </c>
      <c r="D4595" s="645">
        <v>-928800</v>
      </c>
      <c r="E4595" s="201">
        <v>45717</v>
      </c>
      <c r="F4595" s="200" t="s">
        <v>296</v>
      </c>
      <c r="G4595" s="200" t="s">
        <v>1362</v>
      </c>
      <c r="H4595" s="200" t="s">
        <v>567</v>
      </c>
    </row>
    <row r="4596" spans="1:8" ht="15" customHeight="1">
      <c r="A4596" s="199">
        <v>45736</v>
      </c>
      <c r="B4596" s="202" t="s">
        <v>3695</v>
      </c>
      <c r="C4596" s="200" t="s">
        <v>204</v>
      </c>
      <c r="D4596" s="645">
        <v>-1021700</v>
      </c>
      <c r="E4596" s="201">
        <v>45717</v>
      </c>
      <c r="F4596" s="200" t="s">
        <v>296</v>
      </c>
      <c r="G4596" s="200" t="s">
        <v>1124</v>
      </c>
      <c r="H4596" s="200" t="s">
        <v>567</v>
      </c>
    </row>
    <row r="4597" spans="1:8" ht="15" customHeight="1">
      <c r="A4597" s="199">
        <v>45736</v>
      </c>
      <c r="B4597" s="202" t="s">
        <v>3696</v>
      </c>
      <c r="C4597" s="200" t="s">
        <v>204</v>
      </c>
      <c r="D4597" s="645">
        <v>-541800</v>
      </c>
      <c r="E4597" s="201">
        <v>45717</v>
      </c>
      <c r="F4597" s="200" t="s">
        <v>296</v>
      </c>
      <c r="G4597" s="200" t="s">
        <v>328</v>
      </c>
      <c r="H4597" s="200" t="s">
        <v>567</v>
      </c>
    </row>
    <row r="4598" spans="1:8" ht="15" customHeight="1">
      <c r="A4598" s="199">
        <v>45736</v>
      </c>
      <c r="B4598" s="202" t="s">
        <v>3696</v>
      </c>
      <c r="C4598" s="200" t="s">
        <v>204</v>
      </c>
      <c r="D4598" s="645">
        <v>-270900</v>
      </c>
      <c r="E4598" s="201">
        <v>45717</v>
      </c>
      <c r="F4598" s="200" t="s">
        <v>296</v>
      </c>
      <c r="G4598" s="200" t="s">
        <v>390</v>
      </c>
      <c r="H4598" s="200" t="s">
        <v>567</v>
      </c>
    </row>
    <row r="4599" spans="1:8" ht="15" customHeight="1">
      <c r="A4599" s="199">
        <v>45736</v>
      </c>
      <c r="B4599" s="202" t="s">
        <v>3696</v>
      </c>
      <c r="C4599" s="200" t="s">
        <v>204</v>
      </c>
      <c r="D4599" s="645">
        <v>-270900</v>
      </c>
      <c r="E4599" s="201">
        <v>45717</v>
      </c>
      <c r="F4599" s="200" t="s">
        <v>296</v>
      </c>
      <c r="G4599" s="200" t="s">
        <v>984</v>
      </c>
      <c r="H4599" s="200" t="s">
        <v>567</v>
      </c>
    </row>
    <row r="4600" spans="1:8" ht="15" customHeight="1">
      <c r="A4600" s="199">
        <v>45736</v>
      </c>
      <c r="B4600" s="202" t="s">
        <v>3697</v>
      </c>
      <c r="C4600" s="200" t="s">
        <v>204</v>
      </c>
      <c r="D4600" s="645">
        <v>-536400</v>
      </c>
      <c r="E4600" s="201">
        <v>45717</v>
      </c>
      <c r="F4600" s="200" t="s">
        <v>296</v>
      </c>
      <c r="G4600" s="200" t="s">
        <v>328</v>
      </c>
      <c r="H4600" s="200" t="s">
        <v>567</v>
      </c>
    </row>
    <row r="4601" spans="1:8" ht="15" customHeight="1">
      <c r="A4601" s="199">
        <v>45736</v>
      </c>
      <c r="B4601" s="202" t="s">
        <v>3697</v>
      </c>
      <c r="C4601" s="200" t="s">
        <v>204</v>
      </c>
      <c r="D4601" s="645">
        <v>-268200</v>
      </c>
      <c r="E4601" s="201">
        <v>45717</v>
      </c>
      <c r="F4601" s="200" t="s">
        <v>296</v>
      </c>
      <c r="G4601" s="200" t="s">
        <v>390</v>
      </c>
      <c r="H4601" s="200" t="s">
        <v>567</v>
      </c>
    </row>
    <row r="4602" spans="1:8" ht="15" customHeight="1">
      <c r="A4602" s="199">
        <v>45736</v>
      </c>
      <c r="B4602" s="202" t="s">
        <v>3697</v>
      </c>
      <c r="C4602" s="200" t="s">
        <v>204</v>
      </c>
      <c r="D4602" s="645">
        <v>-268200</v>
      </c>
      <c r="E4602" s="201">
        <v>45717</v>
      </c>
      <c r="F4602" s="200" t="s">
        <v>296</v>
      </c>
      <c r="G4602" s="200" t="s">
        <v>984</v>
      </c>
      <c r="H4602" s="200" t="s">
        <v>567</v>
      </c>
    </row>
    <row r="4603" spans="1:8" ht="15" customHeight="1">
      <c r="A4603" s="199">
        <v>45736</v>
      </c>
      <c r="B4603" s="202" t="s">
        <v>3698</v>
      </c>
      <c r="C4603" s="200" t="s">
        <v>204</v>
      </c>
      <c r="D4603" s="645">
        <v>-1223350</v>
      </c>
      <c r="E4603" s="201">
        <v>45717</v>
      </c>
      <c r="F4603" s="200" t="s">
        <v>296</v>
      </c>
      <c r="G4603" s="200" t="s">
        <v>328</v>
      </c>
      <c r="H4603" s="200" t="s">
        <v>567</v>
      </c>
    </row>
    <row r="4604" spans="1:8" ht="15" customHeight="1">
      <c r="A4604" s="199">
        <v>45736</v>
      </c>
      <c r="B4604" s="202" t="s">
        <v>3698</v>
      </c>
      <c r="C4604" s="200" t="s">
        <v>204</v>
      </c>
      <c r="D4604" s="645">
        <v>-611675</v>
      </c>
      <c r="E4604" s="201">
        <v>45717</v>
      </c>
      <c r="F4604" s="200" t="s">
        <v>296</v>
      </c>
      <c r="G4604" s="200" t="s">
        <v>390</v>
      </c>
      <c r="H4604" s="200" t="s">
        <v>567</v>
      </c>
    </row>
    <row r="4605" spans="1:8" ht="15" customHeight="1">
      <c r="A4605" s="199">
        <v>45736</v>
      </c>
      <c r="B4605" s="202" t="s">
        <v>3698</v>
      </c>
      <c r="C4605" s="200" t="s">
        <v>204</v>
      </c>
      <c r="D4605" s="645">
        <v>-611675</v>
      </c>
      <c r="E4605" s="201">
        <v>45717</v>
      </c>
      <c r="F4605" s="200" t="s">
        <v>296</v>
      </c>
      <c r="G4605" s="200" t="s">
        <v>984</v>
      </c>
      <c r="H4605" s="200" t="s">
        <v>567</v>
      </c>
    </row>
    <row r="4606" spans="1:8" ht="15" customHeight="1">
      <c r="A4606" s="199">
        <v>45736</v>
      </c>
      <c r="B4606" s="202" t="s">
        <v>3699</v>
      </c>
      <c r="C4606" s="200" t="s">
        <v>204</v>
      </c>
      <c r="D4606" s="645">
        <v>-407150</v>
      </c>
      <c r="E4606" s="201">
        <v>45717</v>
      </c>
      <c r="F4606" s="200" t="s">
        <v>296</v>
      </c>
      <c r="G4606" s="200" t="s">
        <v>328</v>
      </c>
      <c r="H4606" s="200" t="s">
        <v>567</v>
      </c>
    </row>
    <row r="4607" spans="1:8" ht="15" customHeight="1">
      <c r="A4607" s="199">
        <v>45736</v>
      </c>
      <c r="B4607" s="202" t="s">
        <v>3699</v>
      </c>
      <c r="C4607" s="200" t="s">
        <v>204</v>
      </c>
      <c r="D4607" s="645">
        <v>-203575</v>
      </c>
      <c r="E4607" s="201">
        <v>45717</v>
      </c>
      <c r="F4607" s="200" t="s">
        <v>296</v>
      </c>
      <c r="G4607" s="200" t="s">
        <v>390</v>
      </c>
      <c r="H4607" s="200" t="s">
        <v>567</v>
      </c>
    </row>
    <row r="4608" spans="1:8" ht="15" customHeight="1">
      <c r="A4608" s="199">
        <v>45736</v>
      </c>
      <c r="B4608" s="202" t="s">
        <v>3699</v>
      </c>
      <c r="C4608" s="200" t="s">
        <v>204</v>
      </c>
      <c r="D4608" s="645">
        <v>-203575</v>
      </c>
      <c r="E4608" s="201">
        <v>45717</v>
      </c>
      <c r="F4608" s="200" t="s">
        <v>296</v>
      </c>
      <c r="G4608" s="200" t="s">
        <v>984</v>
      </c>
      <c r="H4608" s="200" t="s">
        <v>567</v>
      </c>
    </row>
    <row r="4609" spans="1:9" ht="15" customHeight="1">
      <c r="A4609" s="199">
        <v>45736</v>
      </c>
      <c r="B4609" s="202" t="s">
        <v>3700</v>
      </c>
      <c r="C4609" s="200" t="s">
        <v>204</v>
      </c>
      <c r="D4609" s="645">
        <v>-1021700</v>
      </c>
      <c r="E4609" s="201">
        <v>45717</v>
      </c>
      <c r="F4609" s="200" t="s">
        <v>296</v>
      </c>
      <c r="G4609" s="200" t="s">
        <v>337</v>
      </c>
      <c r="H4609" s="200" t="s">
        <v>338</v>
      </c>
    </row>
    <row r="4610" spans="1:9" ht="15" customHeight="1">
      <c r="A4610" s="199">
        <v>45736</v>
      </c>
      <c r="B4610" s="202" t="s">
        <v>3701</v>
      </c>
      <c r="C4610" s="200" t="s">
        <v>204</v>
      </c>
      <c r="D4610" s="645">
        <v>-220450</v>
      </c>
      <c r="E4610" s="201">
        <v>45717</v>
      </c>
      <c r="F4610" s="200" t="s">
        <v>296</v>
      </c>
      <c r="G4610" s="200" t="s">
        <v>328</v>
      </c>
      <c r="H4610" s="200" t="s">
        <v>567</v>
      </c>
    </row>
    <row r="4611" spans="1:9" ht="15" customHeight="1">
      <c r="A4611" s="199">
        <v>45736</v>
      </c>
      <c r="B4611" s="202" t="s">
        <v>3701</v>
      </c>
      <c r="C4611" s="200" t="s">
        <v>204</v>
      </c>
      <c r="D4611" s="645">
        <v>-110225</v>
      </c>
      <c r="E4611" s="201">
        <v>45717</v>
      </c>
      <c r="F4611" s="200" t="s">
        <v>296</v>
      </c>
      <c r="G4611" s="200" t="s">
        <v>390</v>
      </c>
      <c r="H4611" s="200" t="s">
        <v>567</v>
      </c>
    </row>
    <row r="4612" spans="1:9" ht="15" customHeight="1">
      <c r="A4612" s="199">
        <v>45736</v>
      </c>
      <c r="B4612" s="202" t="s">
        <v>3701</v>
      </c>
      <c r="C4612" s="200" t="s">
        <v>204</v>
      </c>
      <c r="D4612" s="645">
        <v>-110225</v>
      </c>
      <c r="E4612" s="201">
        <v>45717</v>
      </c>
      <c r="F4612" s="200" t="s">
        <v>296</v>
      </c>
      <c r="G4612" s="200" t="s">
        <v>984</v>
      </c>
      <c r="H4612" s="200" t="s">
        <v>567</v>
      </c>
    </row>
    <row r="4613" spans="1:9" ht="15" customHeight="1">
      <c r="A4613" s="199">
        <v>45736</v>
      </c>
      <c r="B4613" s="202" t="s">
        <v>3702</v>
      </c>
      <c r="C4613" s="200" t="s">
        <v>204</v>
      </c>
      <c r="D4613" s="645">
        <v>-866900</v>
      </c>
      <c r="E4613" s="201">
        <v>45717</v>
      </c>
      <c r="F4613" s="200" t="s">
        <v>296</v>
      </c>
      <c r="G4613" s="200" t="s">
        <v>1124</v>
      </c>
      <c r="H4613" s="200" t="s">
        <v>567</v>
      </c>
    </row>
    <row r="4614" spans="1:9" ht="15" customHeight="1">
      <c r="A4614" s="199">
        <v>45736</v>
      </c>
      <c r="B4614" s="202" t="s">
        <v>3703</v>
      </c>
      <c r="C4614" s="200" t="s">
        <v>204</v>
      </c>
      <c r="D4614" s="645">
        <v>-897900</v>
      </c>
      <c r="E4614" s="201">
        <v>45717</v>
      </c>
      <c r="F4614" s="200" t="s">
        <v>256</v>
      </c>
      <c r="G4614" s="200" t="s">
        <v>107</v>
      </c>
      <c r="H4614" s="200" t="s">
        <v>121</v>
      </c>
    </row>
    <row r="4615" spans="1:9" ht="15" customHeight="1">
      <c r="A4615" s="199">
        <v>45736</v>
      </c>
      <c r="B4615" s="202" t="s">
        <v>3704</v>
      </c>
      <c r="C4615" s="200" t="s">
        <v>204</v>
      </c>
      <c r="D4615" s="645">
        <v>-928800</v>
      </c>
      <c r="E4615" s="201">
        <v>45717</v>
      </c>
      <c r="F4615" s="200" t="s">
        <v>296</v>
      </c>
      <c r="G4615" s="200" t="s">
        <v>1362</v>
      </c>
      <c r="H4615" s="200" t="s">
        <v>567</v>
      </c>
    </row>
    <row r="4616" spans="1:9" ht="15" customHeight="1">
      <c r="A4616" s="199">
        <v>45736</v>
      </c>
      <c r="B4616" s="202" t="s">
        <v>3705</v>
      </c>
      <c r="C4616" s="200" t="s">
        <v>204</v>
      </c>
      <c r="D4616" s="645">
        <v>-846000</v>
      </c>
      <c r="E4616" s="201">
        <v>45717</v>
      </c>
      <c r="F4616" s="200" t="s">
        <v>296</v>
      </c>
      <c r="G4616" s="200" t="s">
        <v>453</v>
      </c>
      <c r="H4616" s="200" t="s">
        <v>121</v>
      </c>
      <c r="I4616" s="648" t="s">
        <v>329</v>
      </c>
    </row>
    <row r="4617" spans="1:9" ht="15" customHeight="1">
      <c r="A4617" s="199">
        <v>45736</v>
      </c>
      <c r="B4617" s="202" t="s">
        <v>3706</v>
      </c>
      <c r="C4617" s="200" t="s">
        <v>204</v>
      </c>
      <c r="D4617" s="645">
        <v>-325800</v>
      </c>
      <c r="E4617" s="201">
        <v>45717</v>
      </c>
      <c r="F4617" s="200" t="s">
        <v>296</v>
      </c>
      <c r="G4617" s="200" t="s">
        <v>328</v>
      </c>
      <c r="H4617" s="200" t="s">
        <v>567</v>
      </c>
    </row>
    <row r="4618" spans="1:9" ht="15" customHeight="1">
      <c r="A4618" s="199">
        <v>45736</v>
      </c>
      <c r="B4618" s="202" t="s">
        <v>3706</v>
      </c>
      <c r="C4618" s="200" t="s">
        <v>204</v>
      </c>
      <c r="D4618" s="645">
        <v>-162900</v>
      </c>
      <c r="E4618" s="201">
        <v>45717</v>
      </c>
      <c r="F4618" s="200" t="s">
        <v>296</v>
      </c>
      <c r="G4618" s="200" t="s">
        <v>390</v>
      </c>
      <c r="H4618" s="200" t="s">
        <v>567</v>
      </c>
    </row>
    <row r="4619" spans="1:9" ht="15" customHeight="1">
      <c r="A4619" s="199">
        <v>45736</v>
      </c>
      <c r="B4619" s="202" t="s">
        <v>3706</v>
      </c>
      <c r="C4619" s="200" t="s">
        <v>204</v>
      </c>
      <c r="D4619" s="645">
        <v>-162900</v>
      </c>
      <c r="E4619" s="201">
        <v>45717</v>
      </c>
      <c r="F4619" s="200" t="s">
        <v>296</v>
      </c>
      <c r="G4619" s="200" t="s">
        <v>984</v>
      </c>
      <c r="H4619" s="200" t="s">
        <v>567</v>
      </c>
    </row>
    <row r="4620" spans="1:9" ht="15" customHeight="1">
      <c r="A4620" s="199">
        <v>45736</v>
      </c>
      <c r="B4620" s="202" t="s">
        <v>3707</v>
      </c>
      <c r="C4620" s="200" t="s">
        <v>204</v>
      </c>
      <c r="D4620" s="645">
        <v>-1021700</v>
      </c>
      <c r="E4620" s="201">
        <v>45717</v>
      </c>
      <c r="F4620" s="200" t="s">
        <v>256</v>
      </c>
      <c r="G4620" s="200" t="s">
        <v>107</v>
      </c>
      <c r="H4620" s="200" t="s">
        <v>121</v>
      </c>
    </row>
    <row r="4621" spans="1:9" ht="15" customHeight="1">
      <c r="A4621" s="199">
        <v>45736</v>
      </c>
      <c r="B4621" s="202" t="s">
        <v>3708</v>
      </c>
      <c r="C4621" s="200" t="s">
        <v>204</v>
      </c>
      <c r="D4621" s="645">
        <v>-418000</v>
      </c>
      <c r="E4621" s="201">
        <v>45717</v>
      </c>
      <c r="F4621" s="200" t="s">
        <v>296</v>
      </c>
      <c r="G4621" s="200" t="s">
        <v>328</v>
      </c>
      <c r="H4621" s="200" t="s">
        <v>567</v>
      </c>
    </row>
    <row r="4622" spans="1:9" ht="15" customHeight="1">
      <c r="A4622" s="199">
        <v>45736</v>
      </c>
      <c r="B4622" s="202" t="s">
        <v>3708</v>
      </c>
      <c r="C4622" s="200" t="s">
        <v>204</v>
      </c>
      <c r="D4622" s="645">
        <v>-209000</v>
      </c>
      <c r="E4622" s="201">
        <v>45717</v>
      </c>
      <c r="F4622" s="200" t="s">
        <v>296</v>
      </c>
      <c r="G4622" s="200" t="s">
        <v>411</v>
      </c>
      <c r="H4622" s="200" t="s">
        <v>567</v>
      </c>
    </row>
    <row r="4623" spans="1:9" ht="15" customHeight="1">
      <c r="A4623" s="199">
        <v>45736</v>
      </c>
      <c r="B4623" s="202" t="s">
        <v>3708</v>
      </c>
      <c r="C4623" s="200" t="s">
        <v>204</v>
      </c>
      <c r="D4623" s="645">
        <v>-209000</v>
      </c>
      <c r="E4623" s="201">
        <v>45717</v>
      </c>
      <c r="F4623" s="200" t="s">
        <v>296</v>
      </c>
      <c r="G4623" s="200" t="s">
        <v>984</v>
      </c>
      <c r="H4623" s="200" t="s">
        <v>567</v>
      </c>
    </row>
    <row r="4624" spans="1:9" ht="15" customHeight="1">
      <c r="A4624" s="199">
        <v>45736</v>
      </c>
      <c r="B4624" s="202" t="s">
        <v>3709</v>
      </c>
      <c r="C4624" s="200" t="s">
        <v>204</v>
      </c>
      <c r="D4624" s="645">
        <v>-247700</v>
      </c>
      <c r="E4624" s="201">
        <v>45717</v>
      </c>
      <c r="F4624" s="200" t="s">
        <v>296</v>
      </c>
      <c r="G4624" s="200" t="s">
        <v>337</v>
      </c>
      <c r="H4624" s="200" t="s">
        <v>338</v>
      </c>
    </row>
    <row r="4625" spans="1:9" ht="15" customHeight="1">
      <c r="A4625" s="199">
        <v>45736</v>
      </c>
      <c r="B4625" s="202" t="s">
        <v>3709</v>
      </c>
      <c r="C4625" s="200" t="s">
        <v>204</v>
      </c>
      <c r="D4625" s="645">
        <v>-247700</v>
      </c>
      <c r="E4625" s="201">
        <v>45717</v>
      </c>
      <c r="F4625" s="200" t="s">
        <v>296</v>
      </c>
      <c r="G4625" s="200" t="s">
        <v>44</v>
      </c>
      <c r="H4625" s="200" t="s">
        <v>338</v>
      </c>
    </row>
    <row r="4626" spans="1:9" ht="15" customHeight="1">
      <c r="A4626" s="199">
        <v>45736</v>
      </c>
      <c r="B4626" s="202" t="s">
        <v>3709</v>
      </c>
      <c r="C4626" s="200" t="s">
        <v>204</v>
      </c>
      <c r="D4626" s="645">
        <v>-247700</v>
      </c>
      <c r="E4626" s="201">
        <v>45717</v>
      </c>
      <c r="F4626" s="200" t="s">
        <v>296</v>
      </c>
      <c r="G4626" s="200" t="s">
        <v>522</v>
      </c>
      <c r="H4626" s="200" t="s">
        <v>338</v>
      </c>
    </row>
    <row r="4627" spans="1:9" ht="15" customHeight="1">
      <c r="A4627" s="199">
        <v>45736</v>
      </c>
      <c r="B4627" s="202" t="s">
        <v>3710</v>
      </c>
      <c r="C4627" s="200" t="s">
        <v>204</v>
      </c>
      <c r="D4627" s="645">
        <v>-269400</v>
      </c>
      <c r="E4627" s="201">
        <v>45717</v>
      </c>
      <c r="F4627" s="200" t="s">
        <v>296</v>
      </c>
      <c r="G4627" s="200" t="s">
        <v>328</v>
      </c>
      <c r="H4627" s="200" t="s">
        <v>567</v>
      </c>
    </row>
    <row r="4628" spans="1:9" ht="15" customHeight="1">
      <c r="A4628" s="199">
        <v>45736</v>
      </c>
      <c r="B4628" s="202" t="s">
        <v>3710</v>
      </c>
      <c r="C4628" s="200" t="s">
        <v>204</v>
      </c>
      <c r="D4628" s="645">
        <v>-134700</v>
      </c>
      <c r="E4628" s="201">
        <v>45717</v>
      </c>
      <c r="F4628" s="200" t="s">
        <v>296</v>
      </c>
      <c r="G4628" s="200" t="s">
        <v>390</v>
      </c>
      <c r="H4628" s="200" t="s">
        <v>567</v>
      </c>
      <c r="I4628" s="648" t="s">
        <v>329</v>
      </c>
    </row>
    <row r="4629" spans="1:9" ht="15" customHeight="1">
      <c r="A4629" s="199">
        <v>45736</v>
      </c>
      <c r="B4629" s="202" t="s">
        <v>3710</v>
      </c>
      <c r="C4629" s="200" t="s">
        <v>204</v>
      </c>
      <c r="D4629" s="645">
        <v>-134700</v>
      </c>
      <c r="E4629" s="201">
        <v>45717</v>
      </c>
      <c r="F4629" s="200" t="s">
        <v>296</v>
      </c>
      <c r="G4629" s="200" t="s">
        <v>984</v>
      </c>
      <c r="H4629" s="200" t="s">
        <v>567</v>
      </c>
    </row>
    <row r="4630" spans="1:9" ht="15" customHeight="1">
      <c r="A4630" s="199">
        <v>45736</v>
      </c>
      <c r="B4630" s="202" t="s">
        <v>3711</v>
      </c>
      <c r="C4630" s="200" t="s">
        <v>204</v>
      </c>
      <c r="D4630" s="645">
        <v>-440900</v>
      </c>
      <c r="E4630" s="201">
        <v>45717</v>
      </c>
      <c r="F4630" s="200" t="s">
        <v>256</v>
      </c>
      <c r="G4630" s="200" t="s">
        <v>107</v>
      </c>
      <c r="H4630" s="200" t="s">
        <v>121</v>
      </c>
    </row>
    <row r="4631" spans="1:9" ht="15" customHeight="1">
      <c r="A4631" s="199">
        <v>45736</v>
      </c>
      <c r="B4631" s="202" t="s">
        <v>3712</v>
      </c>
      <c r="C4631" s="200" t="s">
        <v>204</v>
      </c>
      <c r="D4631" s="645">
        <v>-478200</v>
      </c>
      <c r="E4631" s="201">
        <v>45717</v>
      </c>
      <c r="F4631" s="655" t="s">
        <v>296</v>
      </c>
      <c r="G4631" s="655" t="s">
        <v>1124</v>
      </c>
      <c r="H4631" s="655" t="s">
        <v>342</v>
      </c>
    </row>
    <row r="4632" spans="1:9" ht="15" customHeight="1">
      <c r="A4632" s="199">
        <v>45736</v>
      </c>
      <c r="B4632" s="202" t="s">
        <v>3713</v>
      </c>
      <c r="C4632" s="200" t="s">
        <v>204</v>
      </c>
      <c r="D4632" s="645">
        <v>-236900</v>
      </c>
      <c r="E4632" s="201">
        <v>45717</v>
      </c>
      <c r="F4632" s="655" t="s">
        <v>296</v>
      </c>
      <c r="G4632" s="655" t="s">
        <v>1124</v>
      </c>
      <c r="H4632" s="655" t="s">
        <v>342</v>
      </c>
    </row>
    <row r="4633" spans="1:9" ht="15" customHeight="1">
      <c r="A4633" s="199">
        <v>45736</v>
      </c>
      <c r="B4633" s="202" t="s">
        <v>3714</v>
      </c>
      <c r="C4633" s="200" t="s">
        <v>204</v>
      </c>
      <c r="D4633" s="645">
        <v>-836700</v>
      </c>
      <c r="E4633" s="201">
        <v>45717</v>
      </c>
      <c r="F4633" s="655" t="s">
        <v>296</v>
      </c>
      <c r="G4633" s="655" t="s">
        <v>1124</v>
      </c>
      <c r="H4633" s="655" t="s">
        <v>342</v>
      </c>
    </row>
    <row r="4634" spans="1:9" ht="15" customHeight="1">
      <c r="A4634" s="199">
        <v>45736</v>
      </c>
      <c r="B4634" s="202" t="s">
        <v>3715</v>
      </c>
      <c r="C4634" s="200" t="s">
        <v>204</v>
      </c>
      <c r="D4634" s="645">
        <v>-533800</v>
      </c>
      <c r="E4634" s="201">
        <v>45717</v>
      </c>
      <c r="F4634" s="655" t="s">
        <v>296</v>
      </c>
      <c r="G4634" s="655" t="s">
        <v>1124</v>
      </c>
      <c r="H4634" s="655" t="s">
        <v>342</v>
      </c>
    </row>
    <row r="4635" spans="1:9" ht="15" customHeight="1">
      <c r="A4635" s="199">
        <v>45736</v>
      </c>
      <c r="B4635" s="202" t="s">
        <v>3716</v>
      </c>
      <c r="C4635" s="200" t="s">
        <v>204</v>
      </c>
      <c r="D4635" s="645">
        <v>-533800</v>
      </c>
      <c r="E4635" s="201">
        <v>45717</v>
      </c>
      <c r="F4635" s="655" t="s">
        <v>296</v>
      </c>
      <c r="G4635" s="655" t="s">
        <v>1124</v>
      </c>
      <c r="H4635" s="655" t="s">
        <v>342</v>
      </c>
      <c r="I4635" s="648" t="s">
        <v>329</v>
      </c>
    </row>
    <row r="4636" spans="1:9" ht="15" customHeight="1">
      <c r="A4636" s="199">
        <v>45736</v>
      </c>
      <c r="B4636" s="202" t="s">
        <v>3717</v>
      </c>
      <c r="C4636" s="200" t="s">
        <v>204</v>
      </c>
      <c r="D4636" s="645">
        <v>-440900</v>
      </c>
      <c r="E4636" s="201">
        <v>45717</v>
      </c>
      <c r="F4636" s="655" t="s">
        <v>296</v>
      </c>
      <c r="G4636" s="655" t="s">
        <v>337</v>
      </c>
      <c r="H4636" s="655" t="s">
        <v>421</v>
      </c>
    </row>
    <row r="4637" spans="1:9" ht="15" customHeight="1">
      <c r="A4637" s="199">
        <v>45736</v>
      </c>
      <c r="B4637" s="202" t="s">
        <v>3718</v>
      </c>
      <c r="C4637" s="200" t="s">
        <v>204</v>
      </c>
      <c r="D4637" s="645">
        <v>-440900</v>
      </c>
      <c r="E4637" s="201">
        <v>45717</v>
      </c>
      <c r="F4637" s="655" t="s">
        <v>296</v>
      </c>
      <c r="G4637" s="655" t="s">
        <v>337</v>
      </c>
      <c r="H4637" s="655" t="s">
        <v>421</v>
      </c>
    </row>
    <row r="4638" spans="1:9" ht="15" customHeight="1">
      <c r="A4638" s="199">
        <v>45736</v>
      </c>
      <c r="B4638" s="202" t="s">
        <v>3719</v>
      </c>
      <c r="C4638" s="200" t="s">
        <v>204</v>
      </c>
      <c r="D4638" s="645">
        <v>-440900</v>
      </c>
      <c r="E4638" s="201">
        <v>45717</v>
      </c>
      <c r="F4638" s="200" t="s">
        <v>296</v>
      </c>
      <c r="G4638" s="200" t="s">
        <v>522</v>
      </c>
      <c r="H4638" s="200" t="s">
        <v>429</v>
      </c>
    </row>
    <row r="4639" spans="1:9" ht="15" customHeight="1">
      <c r="A4639" s="199">
        <v>45736</v>
      </c>
      <c r="B4639" s="202" t="s">
        <v>3720</v>
      </c>
      <c r="C4639" s="200" t="s">
        <v>204</v>
      </c>
      <c r="D4639" s="645">
        <v>-478100</v>
      </c>
      <c r="E4639" s="201">
        <v>45717</v>
      </c>
      <c r="F4639" s="200" t="s">
        <v>296</v>
      </c>
      <c r="G4639" s="200" t="s">
        <v>44</v>
      </c>
      <c r="H4639" s="200" t="s">
        <v>429</v>
      </c>
    </row>
    <row r="4640" spans="1:9" ht="15" customHeight="1">
      <c r="A4640" s="199">
        <v>45736</v>
      </c>
      <c r="B4640" s="202" t="s">
        <v>3721</v>
      </c>
      <c r="C4640" s="200" t="s">
        <v>204</v>
      </c>
      <c r="D4640" s="645">
        <v>-478100</v>
      </c>
      <c r="E4640" s="201">
        <v>45717</v>
      </c>
      <c r="F4640" s="200" t="s">
        <v>296</v>
      </c>
      <c r="G4640" s="200" t="s">
        <v>44</v>
      </c>
      <c r="H4640" s="200" t="s">
        <v>429</v>
      </c>
    </row>
    <row r="4641" spans="1:8" ht="15" customHeight="1">
      <c r="A4641" s="199">
        <v>45736</v>
      </c>
      <c r="B4641" s="202" t="s">
        <v>3722</v>
      </c>
      <c r="C4641" s="200" t="s">
        <v>204</v>
      </c>
      <c r="D4641" s="645">
        <v>-424400</v>
      </c>
      <c r="E4641" s="201">
        <v>45717</v>
      </c>
      <c r="F4641" s="200" t="s">
        <v>296</v>
      </c>
      <c r="G4641" s="200" t="s">
        <v>522</v>
      </c>
      <c r="H4641" s="200" t="s">
        <v>429</v>
      </c>
    </row>
    <row r="4642" spans="1:8" ht="15" customHeight="1">
      <c r="A4642" s="199">
        <v>45736</v>
      </c>
      <c r="B4642" s="202" t="s">
        <v>3723</v>
      </c>
      <c r="C4642" s="200" t="s">
        <v>204</v>
      </c>
      <c r="D4642" s="645">
        <v>-897900</v>
      </c>
      <c r="E4642" s="201">
        <v>45717</v>
      </c>
      <c r="F4642" s="200" t="s">
        <v>296</v>
      </c>
      <c r="G4642" s="200" t="s">
        <v>337</v>
      </c>
      <c r="H4642" s="200" t="s">
        <v>421</v>
      </c>
    </row>
    <row r="4643" spans="1:8" ht="15" customHeight="1">
      <c r="A4643" s="199">
        <v>45736</v>
      </c>
      <c r="B4643" s="202" t="s">
        <v>3724</v>
      </c>
      <c r="C4643" s="200" t="s">
        <v>204</v>
      </c>
      <c r="D4643" s="645">
        <v>-774000</v>
      </c>
      <c r="E4643" s="201">
        <v>45717</v>
      </c>
      <c r="F4643" s="655" t="s">
        <v>296</v>
      </c>
      <c r="G4643" s="655" t="s">
        <v>337</v>
      </c>
      <c r="H4643" s="655" t="s">
        <v>421</v>
      </c>
    </row>
    <row r="4644" spans="1:8" ht="15" customHeight="1">
      <c r="A4644" s="199">
        <v>45736</v>
      </c>
      <c r="B4644" s="202" t="s">
        <v>3725</v>
      </c>
      <c r="C4644" s="200" t="s">
        <v>204</v>
      </c>
      <c r="D4644" s="645">
        <v>-526400</v>
      </c>
      <c r="E4644" s="201">
        <v>45717</v>
      </c>
      <c r="F4644" s="200" t="s">
        <v>296</v>
      </c>
      <c r="G4644" s="200" t="s">
        <v>337</v>
      </c>
      <c r="H4644" s="200" t="s">
        <v>421</v>
      </c>
    </row>
    <row r="4645" spans="1:8" ht="15" customHeight="1">
      <c r="A4645" s="199">
        <v>45736</v>
      </c>
      <c r="B4645" s="202" t="s">
        <v>3726</v>
      </c>
      <c r="C4645" s="200" t="s">
        <v>204</v>
      </c>
      <c r="D4645" s="645">
        <v>-478100</v>
      </c>
      <c r="E4645" s="201">
        <v>45717</v>
      </c>
      <c r="F4645" s="200" t="s">
        <v>296</v>
      </c>
      <c r="G4645" s="200" t="s">
        <v>44</v>
      </c>
      <c r="H4645" s="200" t="s">
        <v>429</v>
      </c>
    </row>
    <row r="4646" spans="1:8" ht="15" customHeight="1">
      <c r="A4646" s="199">
        <v>45736</v>
      </c>
      <c r="B4646" s="202" t="s">
        <v>3727</v>
      </c>
      <c r="C4646" s="200" t="s">
        <v>204</v>
      </c>
      <c r="D4646" s="645">
        <v>-478100</v>
      </c>
      <c r="E4646" s="201">
        <v>45717</v>
      </c>
      <c r="F4646" s="200" t="s">
        <v>296</v>
      </c>
      <c r="G4646" s="200" t="s">
        <v>44</v>
      </c>
      <c r="H4646" s="200" t="s">
        <v>429</v>
      </c>
    </row>
    <row r="4647" spans="1:8" ht="15" customHeight="1">
      <c r="A4647" s="199">
        <v>45736</v>
      </c>
      <c r="B4647" s="202" t="s">
        <v>3728</v>
      </c>
      <c r="C4647" s="200" t="s">
        <v>204</v>
      </c>
      <c r="D4647" s="645">
        <v>-650200</v>
      </c>
      <c r="E4647" s="201">
        <v>45717</v>
      </c>
      <c r="F4647" s="655" t="s">
        <v>296</v>
      </c>
      <c r="G4647" s="200" t="s">
        <v>44</v>
      </c>
      <c r="H4647" s="655" t="s">
        <v>429</v>
      </c>
    </row>
    <row r="4648" spans="1:8" ht="15" customHeight="1">
      <c r="A4648" s="199">
        <v>45736</v>
      </c>
      <c r="B4648" s="202" t="s">
        <v>3729</v>
      </c>
      <c r="C4648" s="200" t="s">
        <v>204</v>
      </c>
      <c r="D4648" s="645">
        <v>-478100</v>
      </c>
      <c r="E4648" s="201">
        <v>45717</v>
      </c>
      <c r="F4648" s="655" t="s">
        <v>296</v>
      </c>
      <c r="G4648" s="200" t="s">
        <v>44</v>
      </c>
      <c r="H4648" s="655" t="s">
        <v>429</v>
      </c>
    </row>
    <row r="4649" spans="1:8" ht="15" customHeight="1">
      <c r="A4649" s="199">
        <v>45736</v>
      </c>
      <c r="B4649" s="202" t="s">
        <v>3730</v>
      </c>
      <c r="C4649" s="200" t="s">
        <v>204</v>
      </c>
      <c r="D4649" s="645">
        <v>-440900</v>
      </c>
      <c r="E4649" s="201">
        <v>45717</v>
      </c>
      <c r="F4649" s="200" t="s">
        <v>296</v>
      </c>
      <c r="G4649" s="200" t="s">
        <v>522</v>
      </c>
      <c r="H4649" s="200" t="s">
        <v>429</v>
      </c>
    </row>
    <row r="4650" spans="1:8" ht="15" customHeight="1">
      <c r="A4650" s="199">
        <v>45736</v>
      </c>
      <c r="B4650" s="202" t="s">
        <v>3731</v>
      </c>
      <c r="C4650" s="200" t="s">
        <v>204</v>
      </c>
      <c r="D4650" s="645">
        <v>-478100</v>
      </c>
      <c r="E4650" s="201">
        <v>45717</v>
      </c>
      <c r="F4650" s="200" t="s">
        <v>296</v>
      </c>
      <c r="G4650" s="200" t="s">
        <v>44</v>
      </c>
      <c r="H4650" s="200" t="s">
        <v>429</v>
      </c>
    </row>
    <row r="4651" spans="1:8" ht="15" customHeight="1">
      <c r="A4651" s="199">
        <v>45736</v>
      </c>
      <c r="B4651" s="202" t="s">
        <v>3732</v>
      </c>
      <c r="C4651" s="200" t="s">
        <v>204</v>
      </c>
      <c r="D4651" s="645">
        <v>-687400</v>
      </c>
      <c r="E4651" s="201">
        <v>45717</v>
      </c>
      <c r="F4651" s="200" t="s">
        <v>296</v>
      </c>
      <c r="G4651" s="200" t="s">
        <v>44</v>
      </c>
      <c r="H4651" s="200" t="s">
        <v>429</v>
      </c>
    </row>
    <row r="4652" spans="1:8" ht="15" customHeight="1">
      <c r="A4652" s="199">
        <v>45736</v>
      </c>
      <c r="B4652" s="202" t="s">
        <v>3733</v>
      </c>
      <c r="C4652" s="200" t="s">
        <v>204</v>
      </c>
      <c r="D4652" s="645">
        <v>-478100</v>
      </c>
      <c r="E4652" s="201">
        <v>45717</v>
      </c>
      <c r="F4652" s="655" t="s">
        <v>296</v>
      </c>
      <c r="G4652" s="200" t="s">
        <v>44</v>
      </c>
      <c r="H4652" s="655" t="s">
        <v>429</v>
      </c>
    </row>
    <row r="4653" spans="1:8" ht="15" customHeight="1">
      <c r="A4653" s="199">
        <v>45736</v>
      </c>
      <c r="B4653" s="202" t="s">
        <v>3734</v>
      </c>
      <c r="C4653" s="200" t="s">
        <v>204</v>
      </c>
      <c r="D4653" s="645">
        <v>-161800</v>
      </c>
      <c r="E4653" s="201">
        <v>45717</v>
      </c>
      <c r="F4653" s="200" t="s">
        <v>296</v>
      </c>
      <c r="G4653" s="200" t="s">
        <v>522</v>
      </c>
      <c r="H4653" s="200" t="s">
        <v>429</v>
      </c>
    </row>
    <row r="4654" spans="1:8" ht="15" customHeight="1">
      <c r="A4654" s="199">
        <v>45736</v>
      </c>
      <c r="B4654" s="202" t="s">
        <v>3735</v>
      </c>
      <c r="C4654" s="200" t="s">
        <v>204</v>
      </c>
      <c r="D4654" s="645">
        <v>-440900</v>
      </c>
      <c r="E4654" s="201">
        <v>45717</v>
      </c>
      <c r="F4654" s="200" t="s">
        <v>296</v>
      </c>
      <c r="G4654" s="200" t="s">
        <v>522</v>
      </c>
      <c r="H4654" s="200" t="s">
        <v>429</v>
      </c>
    </row>
    <row r="4655" spans="1:8" ht="15" customHeight="1">
      <c r="A4655" s="199">
        <v>45736</v>
      </c>
      <c r="B4655" s="202" t="s">
        <v>3736</v>
      </c>
      <c r="C4655" s="200" t="s">
        <v>204</v>
      </c>
      <c r="D4655" s="645">
        <v>-526400</v>
      </c>
      <c r="E4655" s="201">
        <v>45717</v>
      </c>
      <c r="F4655" s="200" t="s">
        <v>296</v>
      </c>
      <c r="G4655" s="200" t="s">
        <v>337</v>
      </c>
      <c r="H4655" s="200" t="s">
        <v>421</v>
      </c>
    </row>
    <row r="4656" spans="1:8" ht="15" customHeight="1">
      <c r="A4656" s="199">
        <v>45736</v>
      </c>
      <c r="B4656" s="202" t="s">
        <v>3737</v>
      </c>
      <c r="C4656" s="200" t="s">
        <v>204</v>
      </c>
      <c r="D4656" s="645">
        <v>-440900</v>
      </c>
      <c r="E4656" s="201">
        <v>45717</v>
      </c>
      <c r="F4656" s="655" t="s">
        <v>296</v>
      </c>
      <c r="G4656" s="655" t="s">
        <v>337</v>
      </c>
      <c r="H4656" s="655" t="s">
        <v>421</v>
      </c>
    </row>
    <row r="4657" spans="1:8" ht="15" customHeight="1">
      <c r="A4657" s="199">
        <v>45736</v>
      </c>
      <c r="B4657" s="202" t="s">
        <v>3738</v>
      </c>
      <c r="C4657" s="200" t="s">
        <v>204</v>
      </c>
      <c r="D4657" s="645">
        <v>-440900</v>
      </c>
      <c r="E4657" s="201">
        <v>45717</v>
      </c>
      <c r="F4657" s="655" t="s">
        <v>296</v>
      </c>
      <c r="G4657" s="655" t="s">
        <v>522</v>
      </c>
      <c r="H4657" s="655" t="s">
        <v>429</v>
      </c>
    </row>
    <row r="4658" spans="1:8" ht="15" customHeight="1">
      <c r="A4658" s="199">
        <v>45736</v>
      </c>
      <c r="B4658" s="202" t="s">
        <v>3739</v>
      </c>
      <c r="C4658" s="200" t="s">
        <v>204</v>
      </c>
      <c r="D4658" s="645">
        <v>-478100</v>
      </c>
      <c r="E4658" s="201">
        <v>45717</v>
      </c>
      <c r="F4658" s="655" t="s">
        <v>296</v>
      </c>
      <c r="G4658" s="200" t="s">
        <v>44</v>
      </c>
      <c r="H4658" s="655" t="s">
        <v>429</v>
      </c>
    </row>
    <row r="4659" spans="1:8" ht="15" customHeight="1">
      <c r="A4659" s="199">
        <v>45736</v>
      </c>
      <c r="B4659" s="202" t="s">
        <v>3740</v>
      </c>
      <c r="C4659" s="200" t="s">
        <v>204</v>
      </c>
      <c r="D4659" s="645">
        <v>-352800</v>
      </c>
      <c r="E4659" s="201">
        <v>45717</v>
      </c>
      <c r="F4659" s="200" t="s">
        <v>296</v>
      </c>
      <c r="G4659" s="200" t="s">
        <v>337</v>
      </c>
      <c r="H4659" s="200" t="s">
        <v>421</v>
      </c>
    </row>
    <row r="4660" spans="1:8" ht="15" customHeight="1">
      <c r="A4660" s="199">
        <v>45736</v>
      </c>
      <c r="B4660" s="202" t="s">
        <v>3741</v>
      </c>
      <c r="C4660" s="200" t="s">
        <v>204</v>
      </c>
      <c r="D4660" s="645">
        <v>-478100</v>
      </c>
      <c r="E4660" s="201">
        <v>45717</v>
      </c>
      <c r="F4660" s="200" t="s">
        <v>296</v>
      </c>
      <c r="G4660" s="200" t="s">
        <v>44</v>
      </c>
      <c r="H4660" s="200" t="s">
        <v>429</v>
      </c>
    </row>
    <row r="4661" spans="1:8" ht="15" customHeight="1">
      <c r="A4661" s="199">
        <v>45736</v>
      </c>
      <c r="B4661" s="202" t="s">
        <v>3742</v>
      </c>
      <c r="C4661" s="200" t="s">
        <v>204</v>
      </c>
      <c r="D4661" s="645">
        <v>-440900</v>
      </c>
      <c r="E4661" s="201">
        <v>45717</v>
      </c>
      <c r="F4661" s="655" t="s">
        <v>296</v>
      </c>
      <c r="G4661" s="655" t="s">
        <v>337</v>
      </c>
      <c r="H4661" s="655" t="s">
        <v>421</v>
      </c>
    </row>
    <row r="4662" spans="1:8" ht="15" customHeight="1">
      <c r="A4662" s="199">
        <v>45736</v>
      </c>
      <c r="B4662" s="202" t="s">
        <v>3743</v>
      </c>
      <c r="C4662" s="200" t="s">
        <v>204</v>
      </c>
      <c r="D4662" s="645">
        <v>-440900</v>
      </c>
      <c r="E4662" s="201">
        <v>45717</v>
      </c>
      <c r="F4662" s="655" t="s">
        <v>296</v>
      </c>
      <c r="G4662" s="655" t="s">
        <v>522</v>
      </c>
      <c r="H4662" s="655" t="s">
        <v>429</v>
      </c>
    </row>
    <row r="4663" spans="1:8" ht="15" customHeight="1">
      <c r="A4663" s="199">
        <v>45736</v>
      </c>
      <c r="B4663" s="202" t="s">
        <v>3744</v>
      </c>
      <c r="C4663" s="200" t="s">
        <v>204</v>
      </c>
      <c r="D4663" s="645">
        <v>-440900</v>
      </c>
      <c r="E4663" s="201">
        <v>45717</v>
      </c>
      <c r="F4663" s="655" t="s">
        <v>296</v>
      </c>
      <c r="G4663" s="655" t="s">
        <v>337</v>
      </c>
      <c r="H4663" s="655" t="s">
        <v>421</v>
      </c>
    </row>
    <row r="4664" spans="1:8" ht="15" customHeight="1">
      <c r="A4664" s="199">
        <v>45736</v>
      </c>
      <c r="B4664" s="202" t="s">
        <v>3745</v>
      </c>
      <c r="C4664" s="200" t="s">
        <v>204</v>
      </c>
      <c r="D4664" s="645">
        <v>-440900</v>
      </c>
      <c r="E4664" s="201">
        <v>45717</v>
      </c>
      <c r="F4664" s="655" t="s">
        <v>296</v>
      </c>
      <c r="G4664" s="655" t="s">
        <v>337</v>
      </c>
      <c r="H4664" s="655" t="s">
        <v>421</v>
      </c>
    </row>
    <row r="4665" spans="1:8" ht="15" customHeight="1">
      <c r="A4665" s="199">
        <v>45736</v>
      </c>
      <c r="B4665" s="202" t="s">
        <v>3746</v>
      </c>
      <c r="C4665" s="200" t="s">
        <v>204</v>
      </c>
      <c r="D4665" s="645">
        <v>-321600</v>
      </c>
      <c r="E4665" s="201">
        <v>45717</v>
      </c>
      <c r="F4665" s="655" t="s">
        <v>296</v>
      </c>
      <c r="G4665" s="655" t="s">
        <v>337</v>
      </c>
      <c r="H4665" s="655" t="s">
        <v>421</v>
      </c>
    </row>
    <row r="4666" spans="1:8" ht="15" customHeight="1">
      <c r="A4666" s="199">
        <v>45736</v>
      </c>
      <c r="B4666" s="202" t="s">
        <v>3747</v>
      </c>
      <c r="C4666" s="200" t="s">
        <v>204</v>
      </c>
      <c r="D4666" s="645">
        <v>-478100</v>
      </c>
      <c r="E4666" s="201">
        <v>45717</v>
      </c>
      <c r="F4666" s="655" t="s">
        <v>296</v>
      </c>
      <c r="G4666" s="200" t="s">
        <v>44</v>
      </c>
      <c r="H4666" s="655" t="s">
        <v>429</v>
      </c>
    </row>
    <row r="4667" spans="1:8" ht="15" customHeight="1">
      <c r="A4667" s="199">
        <v>45736</v>
      </c>
      <c r="B4667" s="202" t="s">
        <v>3748</v>
      </c>
      <c r="C4667" s="200" t="s">
        <v>204</v>
      </c>
      <c r="D4667" s="645">
        <v>-440900</v>
      </c>
      <c r="E4667" s="201">
        <v>45717</v>
      </c>
      <c r="F4667" s="655" t="s">
        <v>296</v>
      </c>
      <c r="G4667" s="655" t="s">
        <v>337</v>
      </c>
      <c r="H4667" s="655" t="s">
        <v>421</v>
      </c>
    </row>
    <row r="4668" spans="1:8" ht="15" customHeight="1">
      <c r="A4668" s="199">
        <v>45736</v>
      </c>
      <c r="B4668" s="202" t="s">
        <v>3749</v>
      </c>
      <c r="C4668" s="200" t="s">
        <v>204</v>
      </c>
      <c r="D4668" s="645">
        <v>-440900</v>
      </c>
      <c r="E4668" s="201">
        <v>45717</v>
      </c>
      <c r="F4668" s="200" t="s">
        <v>296</v>
      </c>
      <c r="G4668" s="200" t="s">
        <v>44</v>
      </c>
      <c r="H4668" s="200" t="s">
        <v>429</v>
      </c>
    </row>
    <row r="4669" spans="1:8" ht="15" customHeight="1">
      <c r="A4669" s="199">
        <v>45736</v>
      </c>
      <c r="B4669" s="202" t="s">
        <v>3750</v>
      </c>
      <c r="C4669" s="200" t="s">
        <v>204</v>
      </c>
      <c r="D4669" s="645">
        <v>-440900</v>
      </c>
      <c r="E4669" s="201">
        <v>45717</v>
      </c>
      <c r="F4669" s="200" t="s">
        <v>296</v>
      </c>
      <c r="G4669" s="200" t="s">
        <v>337</v>
      </c>
      <c r="H4669" s="200" t="s">
        <v>421</v>
      </c>
    </row>
    <row r="4670" spans="1:8" ht="15" customHeight="1">
      <c r="A4670" s="199">
        <v>45736</v>
      </c>
      <c r="B4670" s="202" t="s">
        <v>3751</v>
      </c>
      <c r="C4670" s="200" t="s">
        <v>204</v>
      </c>
      <c r="D4670" s="645">
        <v>-440900</v>
      </c>
      <c r="E4670" s="201">
        <v>45717</v>
      </c>
      <c r="F4670" s="655" t="s">
        <v>296</v>
      </c>
      <c r="G4670" s="655" t="s">
        <v>522</v>
      </c>
      <c r="H4670" s="655" t="s">
        <v>429</v>
      </c>
    </row>
    <row r="4671" spans="1:8" ht="15" customHeight="1">
      <c r="A4671" s="199">
        <v>45736</v>
      </c>
      <c r="B4671" s="202" t="s">
        <v>3752</v>
      </c>
      <c r="C4671" s="200" t="s">
        <v>204</v>
      </c>
      <c r="D4671" s="645">
        <v>-440900</v>
      </c>
      <c r="E4671" s="201">
        <v>45717</v>
      </c>
      <c r="F4671" s="655" t="s">
        <v>296</v>
      </c>
      <c r="G4671" s="655" t="s">
        <v>522</v>
      </c>
      <c r="H4671" s="655" t="s">
        <v>429</v>
      </c>
    </row>
    <row r="4672" spans="1:8" ht="15" customHeight="1">
      <c r="A4672" s="199">
        <v>45736</v>
      </c>
      <c r="B4672" s="202" t="s">
        <v>3753</v>
      </c>
      <c r="C4672" s="200" t="s">
        <v>204</v>
      </c>
      <c r="D4672" s="645">
        <v>-928800</v>
      </c>
      <c r="E4672" s="201">
        <v>45717</v>
      </c>
      <c r="F4672" s="655" t="s">
        <v>296</v>
      </c>
      <c r="G4672" s="655" t="s">
        <v>522</v>
      </c>
      <c r="H4672" s="655" t="s">
        <v>338</v>
      </c>
    </row>
    <row r="4673" spans="1:8" ht="15" customHeight="1">
      <c r="A4673" s="199">
        <v>45736</v>
      </c>
      <c r="B4673" s="202" t="s">
        <v>3754</v>
      </c>
      <c r="C4673" s="200" t="s">
        <v>204</v>
      </c>
      <c r="D4673" s="645">
        <v>-811200</v>
      </c>
      <c r="E4673" s="201">
        <v>45717</v>
      </c>
      <c r="F4673" s="655" t="s">
        <v>296</v>
      </c>
      <c r="G4673" s="655" t="s">
        <v>337</v>
      </c>
      <c r="H4673" s="200" t="s">
        <v>338</v>
      </c>
    </row>
    <row r="4674" spans="1:8" ht="15" customHeight="1">
      <c r="A4674" s="199">
        <v>45736</v>
      </c>
      <c r="B4674" s="202" t="s">
        <v>3755</v>
      </c>
      <c r="C4674" s="200" t="s">
        <v>204</v>
      </c>
      <c r="D4674" s="645">
        <v>-1393200</v>
      </c>
      <c r="E4674" s="201">
        <v>45717</v>
      </c>
      <c r="F4674" s="655" t="s">
        <v>296</v>
      </c>
      <c r="G4674" s="655" t="s">
        <v>337</v>
      </c>
      <c r="H4674" s="655" t="s">
        <v>338</v>
      </c>
    </row>
    <row r="4675" spans="1:8" ht="15" customHeight="1">
      <c r="A4675" s="199">
        <v>45736</v>
      </c>
      <c r="B4675" s="202" t="s">
        <v>3756</v>
      </c>
      <c r="C4675" s="200" t="s">
        <v>204</v>
      </c>
      <c r="D4675" s="645">
        <v>-440900</v>
      </c>
      <c r="E4675" s="201">
        <v>45717</v>
      </c>
      <c r="F4675" s="655" t="s">
        <v>296</v>
      </c>
      <c r="G4675" s="655" t="s">
        <v>337</v>
      </c>
      <c r="H4675" s="655" t="s">
        <v>421</v>
      </c>
    </row>
    <row r="4676" spans="1:8" ht="15" customHeight="1">
      <c r="A4676" s="199">
        <v>45736</v>
      </c>
      <c r="B4676" s="202" t="s">
        <v>3757</v>
      </c>
      <c r="C4676" s="200" t="s">
        <v>204</v>
      </c>
      <c r="D4676" s="645">
        <v>-478100</v>
      </c>
      <c r="E4676" s="201">
        <v>45717</v>
      </c>
      <c r="F4676" s="655" t="s">
        <v>296</v>
      </c>
      <c r="G4676" s="200" t="s">
        <v>44</v>
      </c>
      <c r="H4676" s="655" t="s">
        <v>429</v>
      </c>
    </row>
    <row r="4677" spans="1:8" ht="15" customHeight="1">
      <c r="A4677" s="199">
        <v>45736</v>
      </c>
      <c r="B4677" s="202" t="s">
        <v>3758</v>
      </c>
      <c r="C4677" s="200" t="s">
        <v>204</v>
      </c>
      <c r="D4677" s="645">
        <v>-440900</v>
      </c>
      <c r="E4677" s="201">
        <v>45717</v>
      </c>
      <c r="F4677" s="200" t="s">
        <v>296</v>
      </c>
      <c r="G4677" s="200" t="s">
        <v>337</v>
      </c>
      <c r="H4677" s="200" t="s">
        <v>421</v>
      </c>
    </row>
    <row r="4678" spans="1:8" ht="15" customHeight="1">
      <c r="A4678" s="199">
        <v>45736</v>
      </c>
      <c r="B4678" s="202" t="s">
        <v>3759</v>
      </c>
      <c r="C4678" s="200" t="s">
        <v>204</v>
      </c>
      <c r="D4678" s="645">
        <v>-440900</v>
      </c>
      <c r="E4678" s="201">
        <v>45717</v>
      </c>
      <c r="F4678" s="655" t="s">
        <v>296</v>
      </c>
      <c r="G4678" s="655" t="s">
        <v>337</v>
      </c>
      <c r="H4678" s="655" t="s">
        <v>421</v>
      </c>
    </row>
    <row r="4679" spans="1:8" ht="15" customHeight="1">
      <c r="A4679" s="199">
        <v>45736</v>
      </c>
      <c r="B4679" s="202" t="s">
        <v>3760</v>
      </c>
      <c r="C4679" s="200" t="s">
        <v>204</v>
      </c>
      <c r="D4679" s="645">
        <v>-526400</v>
      </c>
      <c r="E4679" s="201">
        <v>45717</v>
      </c>
      <c r="F4679" s="655" t="s">
        <v>296</v>
      </c>
      <c r="G4679" s="655" t="s">
        <v>522</v>
      </c>
      <c r="H4679" s="655" t="s">
        <v>429</v>
      </c>
    </row>
    <row r="4680" spans="1:8" ht="15" customHeight="1">
      <c r="A4680" s="199">
        <v>45736</v>
      </c>
      <c r="B4680" s="202" t="s">
        <v>3761</v>
      </c>
      <c r="C4680" s="200" t="s">
        <v>204</v>
      </c>
      <c r="D4680" s="645">
        <v>-440900</v>
      </c>
      <c r="E4680" s="201">
        <v>45717</v>
      </c>
      <c r="F4680" s="655" t="s">
        <v>296</v>
      </c>
      <c r="G4680" s="655" t="s">
        <v>522</v>
      </c>
      <c r="H4680" s="655" t="s">
        <v>429</v>
      </c>
    </row>
    <row r="4681" spans="1:8" ht="15" customHeight="1">
      <c r="A4681" s="199">
        <v>45736</v>
      </c>
      <c r="B4681" s="202" t="s">
        <v>3762</v>
      </c>
      <c r="C4681" s="200" t="s">
        <v>204</v>
      </c>
      <c r="D4681" s="645">
        <v>-357700</v>
      </c>
      <c r="E4681" s="201">
        <v>45717</v>
      </c>
      <c r="F4681" s="655" t="s">
        <v>296</v>
      </c>
      <c r="G4681" s="655" t="s">
        <v>337</v>
      </c>
      <c r="H4681" s="655" t="s">
        <v>421</v>
      </c>
    </row>
    <row r="4682" spans="1:8" ht="15" customHeight="1">
      <c r="A4682" s="199">
        <v>45736</v>
      </c>
      <c r="B4682" s="202" t="s">
        <v>3763</v>
      </c>
      <c r="C4682" s="200" t="s">
        <v>204</v>
      </c>
      <c r="D4682" s="645">
        <v>-440900</v>
      </c>
      <c r="E4682" s="201">
        <v>45717</v>
      </c>
      <c r="F4682" s="655" t="s">
        <v>296</v>
      </c>
      <c r="G4682" s="655" t="s">
        <v>337</v>
      </c>
      <c r="H4682" s="655" t="s">
        <v>421</v>
      </c>
    </row>
    <row r="4683" spans="1:8" ht="15" customHeight="1">
      <c r="A4683" s="199">
        <v>45736</v>
      </c>
      <c r="B4683" s="202" t="s">
        <v>3764</v>
      </c>
      <c r="C4683" s="200" t="s">
        <v>204</v>
      </c>
      <c r="D4683" s="645">
        <v>-478100</v>
      </c>
      <c r="E4683" s="201">
        <v>45717</v>
      </c>
      <c r="F4683" s="655" t="s">
        <v>296</v>
      </c>
      <c r="G4683" s="200" t="s">
        <v>44</v>
      </c>
      <c r="H4683" s="655" t="s">
        <v>429</v>
      </c>
    </row>
    <row r="4684" spans="1:8" ht="15" customHeight="1">
      <c r="A4684" s="199">
        <v>45736</v>
      </c>
      <c r="B4684" s="202" t="s">
        <v>3765</v>
      </c>
      <c r="C4684" s="200" t="s">
        <v>204</v>
      </c>
      <c r="D4684" s="645">
        <v>-440900</v>
      </c>
      <c r="E4684" s="201">
        <v>45717</v>
      </c>
      <c r="F4684" s="655" t="s">
        <v>296</v>
      </c>
      <c r="G4684" s="655" t="s">
        <v>522</v>
      </c>
      <c r="H4684" s="655" t="s">
        <v>429</v>
      </c>
    </row>
    <row r="4685" spans="1:8" ht="15" customHeight="1">
      <c r="A4685" s="199">
        <v>45736</v>
      </c>
      <c r="B4685" s="202" t="s">
        <v>3766</v>
      </c>
      <c r="C4685" s="200" t="s">
        <v>204</v>
      </c>
      <c r="D4685" s="645">
        <v>-425300</v>
      </c>
      <c r="E4685" s="201">
        <v>45717</v>
      </c>
      <c r="F4685" s="200" t="s">
        <v>296</v>
      </c>
      <c r="G4685" s="200" t="s">
        <v>337</v>
      </c>
      <c r="H4685" s="200" t="s">
        <v>421</v>
      </c>
    </row>
    <row r="4686" spans="1:8" ht="15" customHeight="1">
      <c r="A4686" s="199">
        <v>45736</v>
      </c>
      <c r="B4686" s="202" t="s">
        <v>3767</v>
      </c>
      <c r="C4686" s="200" t="s">
        <v>204</v>
      </c>
      <c r="D4686" s="645">
        <v>-478100</v>
      </c>
      <c r="E4686" s="201">
        <v>45717</v>
      </c>
      <c r="F4686" s="200" t="s">
        <v>296</v>
      </c>
      <c r="G4686" s="200" t="s">
        <v>44</v>
      </c>
      <c r="H4686" s="200" t="s">
        <v>429</v>
      </c>
    </row>
    <row r="4687" spans="1:8" ht="15" customHeight="1">
      <c r="A4687" s="199">
        <v>45736</v>
      </c>
      <c r="B4687" s="202" t="s">
        <v>3768</v>
      </c>
      <c r="C4687" s="200" t="s">
        <v>204</v>
      </c>
      <c r="D4687" s="645">
        <v>-478100</v>
      </c>
      <c r="E4687" s="201">
        <v>45717</v>
      </c>
      <c r="F4687" s="200" t="s">
        <v>296</v>
      </c>
      <c r="G4687" s="200" t="s">
        <v>44</v>
      </c>
      <c r="H4687" s="200" t="s">
        <v>429</v>
      </c>
    </row>
    <row r="4688" spans="1:8" ht="15" customHeight="1">
      <c r="A4688" s="199">
        <v>45736</v>
      </c>
      <c r="B4688" s="202" t="s">
        <v>3769</v>
      </c>
      <c r="C4688" s="200" t="s">
        <v>204</v>
      </c>
      <c r="D4688" s="645">
        <v>-478100</v>
      </c>
      <c r="E4688" s="201">
        <v>45717</v>
      </c>
      <c r="F4688" s="200" t="s">
        <v>296</v>
      </c>
      <c r="G4688" s="200" t="s">
        <v>44</v>
      </c>
      <c r="H4688" s="200" t="s">
        <v>429</v>
      </c>
    </row>
    <row r="4689" spans="1:9" ht="15" customHeight="1">
      <c r="A4689" s="199">
        <v>45736</v>
      </c>
      <c r="B4689" s="202" t="s">
        <v>3770</v>
      </c>
      <c r="C4689" s="200" t="s">
        <v>204</v>
      </c>
      <c r="D4689" s="645">
        <v>-928800</v>
      </c>
      <c r="E4689" s="201">
        <v>45717</v>
      </c>
      <c r="F4689" s="655" t="s">
        <v>296</v>
      </c>
      <c r="G4689" s="655" t="s">
        <v>337</v>
      </c>
      <c r="H4689" s="655" t="s">
        <v>338</v>
      </c>
    </row>
    <row r="4690" spans="1:9" ht="15" customHeight="1">
      <c r="A4690" s="199">
        <v>45736</v>
      </c>
      <c r="B4690" s="202" t="s">
        <v>3771</v>
      </c>
      <c r="C4690" s="200" t="s">
        <v>204</v>
      </c>
      <c r="D4690" s="645">
        <v>-563500</v>
      </c>
      <c r="E4690" s="201">
        <v>45717</v>
      </c>
      <c r="F4690" s="655" t="s">
        <v>296</v>
      </c>
      <c r="G4690" s="655" t="s">
        <v>337</v>
      </c>
      <c r="H4690" s="655" t="s">
        <v>421</v>
      </c>
    </row>
    <row r="4691" spans="1:9" ht="15" customHeight="1">
      <c r="A4691" s="199">
        <v>45736</v>
      </c>
      <c r="B4691" s="202" t="s">
        <v>3772</v>
      </c>
      <c r="C4691" s="200" t="s">
        <v>204</v>
      </c>
      <c r="D4691" s="645">
        <v>-1014100</v>
      </c>
      <c r="E4691" s="201">
        <v>45717</v>
      </c>
      <c r="F4691" s="655" t="s">
        <v>296</v>
      </c>
      <c r="G4691" s="200" t="s">
        <v>44</v>
      </c>
      <c r="H4691" s="655" t="s">
        <v>338</v>
      </c>
    </row>
    <row r="4692" spans="1:9" ht="15" customHeight="1">
      <c r="A4692" s="199">
        <v>45736</v>
      </c>
      <c r="B4692" s="202" t="s">
        <v>3773</v>
      </c>
      <c r="C4692" s="200" t="s">
        <v>204</v>
      </c>
      <c r="D4692" s="645">
        <v>-478100</v>
      </c>
      <c r="E4692" s="201">
        <v>45717</v>
      </c>
      <c r="F4692" s="655" t="s">
        <v>296</v>
      </c>
      <c r="G4692" s="200" t="s">
        <v>44</v>
      </c>
      <c r="H4692" s="655" t="s">
        <v>429</v>
      </c>
    </row>
    <row r="4693" spans="1:9" ht="15" customHeight="1">
      <c r="A4693" s="199">
        <v>45736</v>
      </c>
      <c r="B4693" s="202" t="s">
        <v>3774</v>
      </c>
      <c r="C4693" s="200" t="s">
        <v>204</v>
      </c>
      <c r="D4693" s="645">
        <v>-440900</v>
      </c>
      <c r="E4693" s="201">
        <v>45717</v>
      </c>
      <c r="F4693" s="655" t="s">
        <v>296</v>
      </c>
      <c r="G4693" s="655" t="s">
        <v>522</v>
      </c>
      <c r="H4693" s="655" t="s">
        <v>429</v>
      </c>
    </row>
    <row r="4694" spans="1:9" ht="15" customHeight="1">
      <c r="A4694" s="199">
        <v>45736</v>
      </c>
      <c r="B4694" s="202" t="s">
        <v>3775</v>
      </c>
      <c r="C4694" s="200" t="s">
        <v>204</v>
      </c>
      <c r="D4694" s="645">
        <v>-478100</v>
      </c>
      <c r="E4694" s="201">
        <v>45717</v>
      </c>
      <c r="F4694" s="200" t="s">
        <v>296</v>
      </c>
      <c r="G4694" s="200" t="s">
        <v>44</v>
      </c>
      <c r="H4694" s="200" t="s">
        <v>429</v>
      </c>
    </row>
    <row r="4695" spans="1:9" ht="15" customHeight="1">
      <c r="A4695" s="199">
        <v>45736</v>
      </c>
      <c r="B4695" s="202" t="s">
        <v>3776</v>
      </c>
      <c r="C4695" s="200" t="s">
        <v>204</v>
      </c>
      <c r="D4695" s="645">
        <v>-440900</v>
      </c>
      <c r="E4695" s="201">
        <v>45717</v>
      </c>
      <c r="F4695" s="200" t="s">
        <v>296</v>
      </c>
      <c r="G4695" s="200" t="s">
        <v>337</v>
      </c>
      <c r="H4695" s="200" t="s">
        <v>421</v>
      </c>
    </row>
    <row r="4696" spans="1:9" ht="15" customHeight="1">
      <c r="A4696" s="199">
        <v>45736</v>
      </c>
      <c r="B4696" s="202" t="s">
        <v>3777</v>
      </c>
      <c r="C4696" s="200" t="s">
        <v>204</v>
      </c>
      <c r="D4696" s="645">
        <v>-316200</v>
      </c>
      <c r="E4696" s="201">
        <v>45717</v>
      </c>
      <c r="F4696" s="655" t="s">
        <v>296</v>
      </c>
      <c r="G4696" s="655" t="s">
        <v>522</v>
      </c>
      <c r="H4696" s="655" t="s">
        <v>429</v>
      </c>
    </row>
    <row r="4697" spans="1:9" ht="15" customHeight="1">
      <c r="A4697" s="199">
        <v>45736</v>
      </c>
      <c r="B4697" s="202" t="s">
        <v>3778</v>
      </c>
      <c r="C4697" s="200" t="s">
        <v>204</v>
      </c>
      <c r="D4697" s="645">
        <v>-440900</v>
      </c>
      <c r="E4697" s="201">
        <v>45717</v>
      </c>
      <c r="F4697" s="655" t="s">
        <v>296</v>
      </c>
      <c r="G4697" s="655" t="s">
        <v>337</v>
      </c>
      <c r="H4697" s="655" t="s">
        <v>421</v>
      </c>
    </row>
    <row r="4698" spans="1:9" ht="15" customHeight="1">
      <c r="A4698" s="199">
        <v>45736</v>
      </c>
      <c r="B4698" s="202" t="s">
        <v>3779</v>
      </c>
      <c r="C4698" s="200" t="s">
        <v>204</v>
      </c>
      <c r="D4698" s="645">
        <v>-478100</v>
      </c>
      <c r="E4698" s="201">
        <v>45717</v>
      </c>
      <c r="F4698" s="655" t="s">
        <v>296</v>
      </c>
      <c r="G4698" s="200" t="s">
        <v>44</v>
      </c>
      <c r="H4698" s="655" t="s">
        <v>429</v>
      </c>
    </row>
    <row r="4699" spans="1:9" ht="15" customHeight="1">
      <c r="A4699" s="199">
        <v>45736</v>
      </c>
      <c r="B4699" s="202" t="s">
        <v>3780</v>
      </c>
      <c r="C4699" s="200" t="s">
        <v>204</v>
      </c>
      <c r="D4699" s="645">
        <v>-478100</v>
      </c>
      <c r="E4699" s="201">
        <v>45717</v>
      </c>
      <c r="F4699" s="655" t="s">
        <v>296</v>
      </c>
      <c r="G4699" s="200" t="s">
        <v>44</v>
      </c>
      <c r="H4699" s="655" t="s">
        <v>429</v>
      </c>
    </row>
    <row r="4700" spans="1:9" ht="15" customHeight="1">
      <c r="A4700" s="199">
        <v>45736</v>
      </c>
      <c r="B4700" s="202" t="s">
        <v>3781</v>
      </c>
      <c r="C4700" s="200" t="s">
        <v>204</v>
      </c>
      <c r="D4700" s="645">
        <v>-478100</v>
      </c>
      <c r="E4700" s="201">
        <v>45717</v>
      </c>
      <c r="F4700" s="655" t="s">
        <v>296</v>
      </c>
      <c r="G4700" s="200" t="s">
        <v>44</v>
      </c>
      <c r="H4700" s="655" t="s">
        <v>429</v>
      </c>
    </row>
    <row r="4701" spans="1:9" ht="15" customHeight="1">
      <c r="A4701" s="199">
        <v>45728</v>
      </c>
      <c r="B4701" s="202" t="s">
        <v>3782</v>
      </c>
      <c r="C4701" s="200" t="s">
        <v>307</v>
      </c>
      <c r="D4701" s="204">
        <v>-200000</v>
      </c>
      <c r="E4701" s="201">
        <v>45717</v>
      </c>
      <c r="F4701" s="200" t="s">
        <v>256</v>
      </c>
      <c r="G4701" s="200" t="s">
        <v>107</v>
      </c>
      <c r="H4701" s="200" t="s">
        <v>275</v>
      </c>
      <c r="I4701" s="200" t="s">
        <v>3783</v>
      </c>
    </row>
    <row r="4702" spans="1:9" ht="15" customHeight="1">
      <c r="A4702" s="199">
        <v>45728</v>
      </c>
      <c r="B4702" s="202" t="s">
        <v>3784</v>
      </c>
      <c r="C4702" s="200" t="s">
        <v>307</v>
      </c>
      <c r="D4702" s="204">
        <v>-34000</v>
      </c>
      <c r="E4702" s="201">
        <v>45717</v>
      </c>
      <c r="F4702" s="200" t="s">
        <v>256</v>
      </c>
      <c r="G4702" s="200" t="s">
        <v>107</v>
      </c>
      <c r="H4702" s="200" t="s">
        <v>275</v>
      </c>
      <c r="I4702" s="200" t="s">
        <v>3783</v>
      </c>
    </row>
    <row r="4703" spans="1:9" ht="15" customHeight="1">
      <c r="A4703" s="199">
        <v>45734</v>
      </c>
      <c r="B4703" s="202" t="s">
        <v>2732</v>
      </c>
      <c r="C4703" s="200" t="s">
        <v>307</v>
      </c>
      <c r="D4703" s="204">
        <v>-34000</v>
      </c>
      <c r="E4703" s="201">
        <v>45717</v>
      </c>
      <c r="F4703" s="200" t="s">
        <v>296</v>
      </c>
      <c r="G4703" s="200" t="s">
        <v>984</v>
      </c>
      <c r="H4703" s="200" t="s">
        <v>268</v>
      </c>
    </row>
    <row r="4704" spans="1:9" ht="15" customHeight="1">
      <c r="A4704" s="199">
        <v>45734</v>
      </c>
      <c r="B4704" s="202" t="s">
        <v>2732</v>
      </c>
      <c r="C4704" s="200" t="s">
        <v>307</v>
      </c>
      <c r="D4704" s="204">
        <v>-60440</v>
      </c>
      <c r="E4704" s="201">
        <v>45717</v>
      </c>
      <c r="F4704" s="200" t="s">
        <v>296</v>
      </c>
      <c r="G4704" s="200" t="s">
        <v>337</v>
      </c>
      <c r="H4704" s="200" t="s">
        <v>326</v>
      </c>
    </row>
    <row r="4705" spans="1:9" ht="15" customHeight="1">
      <c r="A4705" s="199">
        <v>45734</v>
      </c>
      <c r="B4705" s="202" t="s">
        <v>2732</v>
      </c>
      <c r="C4705" s="200" t="s">
        <v>307</v>
      </c>
      <c r="D4705" s="204">
        <v>-7000</v>
      </c>
      <c r="E4705" s="201">
        <v>45717</v>
      </c>
      <c r="F4705" s="200" t="s">
        <v>297</v>
      </c>
      <c r="G4705" s="200" t="s">
        <v>1313</v>
      </c>
      <c r="H4705" s="200" t="s">
        <v>268</v>
      </c>
    </row>
    <row r="4706" spans="1:9" ht="15" customHeight="1">
      <c r="A4706" s="199">
        <v>45734</v>
      </c>
      <c r="B4706" s="202" t="s">
        <v>2732</v>
      </c>
      <c r="C4706" s="200" t="s">
        <v>307</v>
      </c>
      <c r="D4706" s="204">
        <v>-56000</v>
      </c>
      <c r="E4706" s="201">
        <v>45717</v>
      </c>
      <c r="F4706" s="200" t="s">
        <v>395</v>
      </c>
      <c r="G4706" s="531" t="s">
        <v>395</v>
      </c>
      <c r="H4706" s="200" t="s">
        <v>268</v>
      </c>
      <c r="I4706" s="673"/>
    </row>
    <row r="4707" spans="1:9" ht="15" customHeight="1">
      <c r="A4707" s="199">
        <v>45734</v>
      </c>
      <c r="B4707" s="202" t="s">
        <v>3785</v>
      </c>
      <c r="C4707" s="200" t="s">
        <v>372</v>
      </c>
      <c r="D4707" s="204">
        <v>-1600</v>
      </c>
      <c r="E4707" s="201">
        <v>45717</v>
      </c>
      <c r="F4707" s="200" t="s">
        <v>296</v>
      </c>
      <c r="G4707" s="200" t="s">
        <v>337</v>
      </c>
      <c r="H4707" s="200" t="s">
        <v>326</v>
      </c>
    </row>
    <row r="4708" spans="1:9" ht="15" customHeight="1">
      <c r="A4708" s="199">
        <v>45734</v>
      </c>
      <c r="B4708" s="202" t="s">
        <v>2734</v>
      </c>
      <c r="C4708" s="200" t="s">
        <v>372</v>
      </c>
      <c r="D4708" s="204">
        <v>-960</v>
      </c>
      <c r="E4708" s="201">
        <v>45717</v>
      </c>
      <c r="F4708" s="200" t="s">
        <v>296</v>
      </c>
      <c r="G4708" s="200" t="s">
        <v>337</v>
      </c>
      <c r="H4708" s="200" t="s">
        <v>326</v>
      </c>
    </row>
    <row r="4709" spans="1:9" ht="15" customHeight="1">
      <c r="A4709" s="199">
        <v>45726</v>
      </c>
      <c r="B4709" s="202" t="s">
        <v>1677</v>
      </c>
      <c r="C4709" s="200" t="s">
        <v>307</v>
      </c>
      <c r="D4709" s="204">
        <v>-50000</v>
      </c>
      <c r="E4709" s="201">
        <v>45717</v>
      </c>
      <c r="F4709" s="200" t="s">
        <v>296</v>
      </c>
      <c r="G4709" s="200" t="s">
        <v>44</v>
      </c>
      <c r="H4709" s="200" t="s">
        <v>442</v>
      </c>
      <c r="I4709" s="200" t="s">
        <v>2982</v>
      </c>
    </row>
    <row r="4710" spans="1:9" ht="15" customHeight="1">
      <c r="A4710" s="199">
        <v>45727</v>
      </c>
      <c r="B4710" s="202" t="s">
        <v>418</v>
      </c>
      <c r="C4710" s="200" t="s">
        <v>307</v>
      </c>
      <c r="D4710" s="204">
        <v>-20000</v>
      </c>
      <c r="E4710" s="201">
        <v>45717</v>
      </c>
      <c r="F4710" s="200" t="s">
        <v>296</v>
      </c>
      <c r="G4710" s="200" t="s">
        <v>44</v>
      </c>
      <c r="H4710" s="200" t="s">
        <v>442</v>
      </c>
      <c r="I4710" s="200" t="s">
        <v>2982</v>
      </c>
    </row>
    <row r="4711" spans="1:9" ht="15" customHeight="1">
      <c r="A4711" s="199">
        <v>45727</v>
      </c>
      <c r="B4711" s="202" t="s">
        <v>3786</v>
      </c>
      <c r="C4711" s="200" t="s">
        <v>307</v>
      </c>
      <c r="D4711" s="204">
        <v>-25000</v>
      </c>
      <c r="E4711" s="201">
        <v>45717</v>
      </c>
      <c r="F4711" s="200" t="s">
        <v>296</v>
      </c>
      <c r="G4711" s="200" t="s">
        <v>522</v>
      </c>
      <c r="H4711" s="200" t="s">
        <v>442</v>
      </c>
      <c r="I4711" s="200" t="s">
        <v>2982</v>
      </c>
    </row>
    <row r="4712" spans="1:9" ht="15" customHeight="1">
      <c r="A4712" s="199">
        <v>45727</v>
      </c>
      <c r="B4712" s="202" t="s">
        <v>3787</v>
      </c>
      <c r="C4712" s="200" t="s">
        <v>307</v>
      </c>
      <c r="D4712" s="204">
        <v>-50000</v>
      </c>
      <c r="E4712" s="201">
        <v>45717</v>
      </c>
      <c r="F4712" s="200" t="s">
        <v>296</v>
      </c>
      <c r="G4712" s="200" t="s">
        <v>44</v>
      </c>
      <c r="H4712" s="200" t="s">
        <v>442</v>
      </c>
      <c r="I4712" s="200" t="s">
        <v>2982</v>
      </c>
    </row>
    <row r="4713" spans="1:9" ht="15" customHeight="1">
      <c r="A4713" s="199">
        <v>45727</v>
      </c>
      <c r="B4713" s="202" t="s">
        <v>3788</v>
      </c>
      <c r="C4713" s="200" t="s">
        <v>307</v>
      </c>
      <c r="D4713" s="204">
        <v>-50000</v>
      </c>
      <c r="E4713" s="201">
        <v>45717</v>
      </c>
      <c r="F4713" s="200" t="s">
        <v>296</v>
      </c>
      <c r="G4713" s="200" t="s">
        <v>522</v>
      </c>
      <c r="H4713" s="200" t="s">
        <v>442</v>
      </c>
      <c r="I4713" s="200" t="s">
        <v>2982</v>
      </c>
    </row>
    <row r="4714" spans="1:9" ht="15" customHeight="1">
      <c r="A4714" s="199">
        <v>45727</v>
      </c>
      <c r="B4714" s="202" t="s">
        <v>3789</v>
      </c>
      <c r="C4714" s="200" t="s">
        <v>307</v>
      </c>
      <c r="D4714" s="204">
        <v>-12000</v>
      </c>
      <c r="E4714" s="201">
        <v>45717</v>
      </c>
      <c r="F4714" s="200" t="s">
        <v>296</v>
      </c>
      <c r="G4714" s="200" t="s">
        <v>337</v>
      </c>
      <c r="H4714" s="200" t="s">
        <v>326</v>
      </c>
      <c r="I4714" s="200" t="s">
        <v>2982</v>
      </c>
    </row>
    <row r="4715" spans="1:9" ht="15" customHeight="1">
      <c r="A4715" s="199">
        <v>45729</v>
      </c>
      <c r="B4715" s="202" t="s">
        <v>3790</v>
      </c>
      <c r="C4715" s="200" t="s">
        <v>307</v>
      </c>
      <c r="D4715" s="204">
        <v>-15000</v>
      </c>
      <c r="E4715" s="201">
        <v>45717</v>
      </c>
      <c r="F4715" s="200" t="s">
        <v>296</v>
      </c>
      <c r="G4715" s="200" t="s">
        <v>44</v>
      </c>
      <c r="H4715" s="200" t="s">
        <v>442</v>
      </c>
      <c r="I4715" s="200" t="s">
        <v>2982</v>
      </c>
    </row>
    <row r="4716" spans="1:9" ht="15" customHeight="1">
      <c r="A4716" s="199">
        <v>45731</v>
      </c>
      <c r="B4716" s="202" t="s">
        <v>3791</v>
      </c>
      <c r="C4716" s="200" t="s">
        <v>307</v>
      </c>
      <c r="D4716" s="204">
        <v>-15000</v>
      </c>
      <c r="E4716" s="201">
        <v>45717</v>
      </c>
      <c r="F4716" s="200" t="s">
        <v>296</v>
      </c>
      <c r="G4716" s="200" t="s">
        <v>337</v>
      </c>
      <c r="H4716" s="200" t="s">
        <v>326</v>
      </c>
      <c r="I4716" s="200" t="s">
        <v>2982</v>
      </c>
    </row>
    <row r="4717" spans="1:9" ht="15" customHeight="1">
      <c r="A4717" s="199">
        <v>45731</v>
      </c>
      <c r="B4717" s="202" t="s">
        <v>3792</v>
      </c>
      <c r="C4717" s="200" t="s">
        <v>307</v>
      </c>
      <c r="D4717" s="204">
        <v>-6000</v>
      </c>
      <c r="E4717" s="201">
        <v>45717</v>
      </c>
      <c r="F4717" s="200" t="s">
        <v>296</v>
      </c>
      <c r="G4717" s="200" t="s">
        <v>337</v>
      </c>
      <c r="H4717" s="200" t="s">
        <v>322</v>
      </c>
      <c r="I4717" s="200" t="s">
        <v>2982</v>
      </c>
    </row>
    <row r="4718" spans="1:9" ht="15" customHeight="1">
      <c r="A4718" s="199">
        <v>45733</v>
      </c>
      <c r="B4718" s="202" t="s">
        <v>3793</v>
      </c>
      <c r="C4718" s="200" t="s">
        <v>307</v>
      </c>
      <c r="D4718" s="204">
        <v>-20000</v>
      </c>
      <c r="E4718" s="201">
        <v>45717</v>
      </c>
      <c r="F4718" s="200" t="s">
        <v>296</v>
      </c>
      <c r="G4718" s="200" t="s">
        <v>522</v>
      </c>
      <c r="H4718" s="200" t="s">
        <v>442</v>
      </c>
      <c r="I4718" s="200" t="s">
        <v>2982</v>
      </c>
    </row>
    <row r="4719" spans="1:9" ht="15" customHeight="1">
      <c r="A4719" s="199">
        <v>45733</v>
      </c>
      <c r="B4719" s="202" t="s">
        <v>3793</v>
      </c>
      <c r="C4719" s="200" t="s">
        <v>307</v>
      </c>
      <c r="D4719" s="204">
        <v>-20000</v>
      </c>
      <c r="E4719" s="201">
        <v>45717</v>
      </c>
      <c r="F4719" s="200" t="s">
        <v>296</v>
      </c>
      <c r="G4719" s="200" t="s">
        <v>337</v>
      </c>
      <c r="H4719" s="200" t="s">
        <v>326</v>
      </c>
      <c r="I4719" s="200" t="s">
        <v>2982</v>
      </c>
    </row>
    <row r="4720" spans="1:9" ht="15" customHeight="1">
      <c r="A4720" s="199">
        <v>45733</v>
      </c>
      <c r="B4720" s="202" t="s">
        <v>3793</v>
      </c>
      <c r="C4720" s="200" t="s">
        <v>307</v>
      </c>
      <c r="D4720" s="204">
        <v>-20000</v>
      </c>
      <c r="E4720" s="201">
        <v>45717</v>
      </c>
      <c r="F4720" s="200" t="s">
        <v>296</v>
      </c>
      <c r="G4720" s="200" t="s">
        <v>44</v>
      </c>
      <c r="H4720" s="200" t="s">
        <v>442</v>
      </c>
      <c r="I4720" s="200" t="s">
        <v>2982</v>
      </c>
    </row>
    <row r="4721" spans="1:9" ht="15" customHeight="1">
      <c r="A4721" s="199">
        <v>45728</v>
      </c>
      <c r="B4721" s="202" t="s">
        <v>420</v>
      </c>
      <c r="C4721" s="200" t="s">
        <v>307</v>
      </c>
      <c r="D4721" s="204">
        <v>-16100</v>
      </c>
      <c r="E4721" s="201">
        <v>45717</v>
      </c>
      <c r="F4721" s="200" t="s">
        <v>296</v>
      </c>
      <c r="G4721" s="200" t="s">
        <v>984</v>
      </c>
      <c r="H4721" s="200" t="s">
        <v>350</v>
      </c>
      <c r="I4721" s="200" t="s">
        <v>2982</v>
      </c>
    </row>
    <row r="4722" spans="1:9" ht="15" customHeight="1">
      <c r="A4722" s="199">
        <v>45728</v>
      </c>
      <c r="B4722" s="202" t="s">
        <v>3794</v>
      </c>
      <c r="C4722" s="200" t="s">
        <v>307</v>
      </c>
      <c r="D4722" s="204">
        <v>-4600</v>
      </c>
      <c r="E4722" s="201">
        <v>45717</v>
      </c>
      <c r="F4722" s="200" t="s">
        <v>395</v>
      </c>
      <c r="G4722" s="531" t="s">
        <v>395</v>
      </c>
      <c r="H4722" s="200" t="s">
        <v>350</v>
      </c>
      <c r="I4722" s="673"/>
    </row>
    <row r="4723" spans="1:9" ht="15" customHeight="1">
      <c r="A4723" s="199">
        <v>45728</v>
      </c>
      <c r="B4723" s="202" t="s">
        <v>3795</v>
      </c>
      <c r="C4723" s="200" t="s">
        <v>307</v>
      </c>
      <c r="D4723" s="204">
        <v>-89000</v>
      </c>
      <c r="E4723" s="201">
        <v>45717</v>
      </c>
      <c r="F4723" s="200" t="s">
        <v>297</v>
      </c>
      <c r="G4723" s="200" t="s">
        <v>1578</v>
      </c>
      <c r="H4723" s="200" t="s">
        <v>350</v>
      </c>
      <c r="I4723" s="200" t="s">
        <v>2982</v>
      </c>
    </row>
    <row r="4724" spans="1:9" ht="15" customHeight="1">
      <c r="A4724" s="199">
        <v>45728</v>
      </c>
      <c r="B4724" s="202" t="s">
        <v>3796</v>
      </c>
      <c r="C4724" s="200" t="s">
        <v>307</v>
      </c>
      <c r="D4724" s="204">
        <v>-3500</v>
      </c>
      <c r="E4724" s="201">
        <v>45717</v>
      </c>
      <c r="F4724" s="200" t="s">
        <v>297</v>
      </c>
      <c r="G4724" s="200" t="s">
        <v>1578</v>
      </c>
      <c r="H4724" s="200" t="s">
        <v>346</v>
      </c>
      <c r="I4724" s="200" t="s">
        <v>2982</v>
      </c>
    </row>
    <row r="4725" spans="1:9" ht="15" customHeight="1">
      <c r="A4725" s="199">
        <v>45728</v>
      </c>
      <c r="B4725" s="202" t="s">
        <v>3797</v>
      </c>
      <c r="C4725" s="200" t="s">
        <v>307</v>
      </c>
      <c r="D4725" s="204">
        <v>-20000</v>
      </c>
      <c r="E4725" s="201">
        <v>45717</v>
      </c>
      <c r="F4725" s="200" t="s">
        <v>297</v>
      </c>
      <c r="G4725" s="200" t="s">
        <v>1578</v>
      </c>
      <c r="H4725" s="200" t="s">
        <v>346</v>
      </c>
      <c r="I4725" s="200" t="s">
        <v>2982</v>
      </c>
    </row>
    <row r="4726" spans="1:9" ht="15" customHeight="1">
      <c r="A4726" s="199">
        <v>45728</v>
      </c>
      <c r="B4726" s="202" t="s">
        <v>3798</v>
      </c>
      <c r="C4726" s="200" t="s">
        <v>307</v>
      </c>
      <c r="D4726" s="204">
        <v>-23743</v>
      </c>
      <c r="E4726" s="201">
        <v>45717</v>
      </c>
      <c r="F4726" s="200" t="s">
        <v>395</v>
      </c>
      <c r="G4726" s="531" t="s">
        <v>395</v>
      </c>
      <c r="H4726" s="200" t="s">
        <v>350</v>
      </c>
      <c r="I4726" s="673"/>
    </row>
    <row r="4727" spans="1:9" ht="15" customHeight="1">
      <c r="A4727" s="199">
        <v>45728</v>
      </c>
      <c r="B4727" s="202" t="s">
        <v>436</v>
      </c>
      <c r="C4727" s="200" t="s">
        <v>307</v>
      </c>
      <c r="D4727" s="204">
        <v>-600</v>
      </c>
      <c r="E4727" s="201">
        <v>45717</v>
      </c>
      <c r="F4727" s="200" t="s">
        <v>395</v>
      </c>
      <c r="G4727" s="531" t="s">
        <v>395</v>
      </c>
      <c r="H4727" s="200" t="s">
        <v>350</v>
      </c>
      <c r="I4727" s="673"/>
    </row>
    <row r="4728" spans="1:9" ht="15" customHeight="1">
      <c r="A4728" s="199">
        <v>45729</v>
      </c>
      <c r="B4728" s="202" t="s">
        <v>3799</v>
      </c>
      <c r="C4728" s="200" t="s">
        <v>307</v>
      </c>
      <c r="D4728" s="204">
        <v>-20000</v>
      </c>
      <c r="E4728" s="201">
        <v>45717</v>
      </c>
      <c r="F4728" s="200" t="s">
        <v>296</v>
      </c>
      <c r="G4728" s="200" t="s">
        <v>984</v>
      </c>
      <c r="H4728" s="200" t="s">
        <v>268</v>
      </c>
      <c r="I4728" s="648" t="s">
        <v>329</v>
      </c>
    </row>
    <row r="4729" spans="1:9" ht="15" customHeight="1">
      <c r="A4729" s="199">
        <v>45730</v>
      </c>
      <c r="B4729" s="202" t="s">
        <v>3800</v>
      </c>
      <c r="C4729" s="200" t="s">
        <v>307</v>
      </c>
      <c r="D4729" s="204">
        <v>-7000</v>
      </c>
      <c r="E4729" s="201">
        <v>45717</v>
      </c>
      <c r="F4729" s="200" t="s">
        <v>297</v>
      </c>
      <c r="G4729" s="200" t="s">
        <v>1313</v>
      </c>
      <c r="H4729" s="200" t="s">
        <v>268</v>
      </c>
      <c r="I4729" s="200" t="s">
        <v>2982</v>
      </c>
    </row>
    <row r="4730" spans="1:9" ht="15" customHeight="1">
      <c r="A4730" s="199">
        <v>45730</v>
      </c>
      <c r="B4730" s="202" t="s">
        <v>3801</v>
      </c>
      <c r="C4730" s="200" t="s">
        <v>307</v>
      </c>
      <c r="D4730" s="204">
        <v>-21000</v>
      </c>
      <c r="E4730" s="201">
        <v>45717</v>
      </c>
      <c r="F4730" s="200" t="s">
        <v>297</v>
      </c>
      <c r="G4730" s="200" t="s">
        <v>1313</v>
      </c>
      <c r="H4730" s="200" t="s">
        <v>377</v>
      </c>
      <c r="I4730" s="200" t="s">
        <v>2982</v>
      </c>
    </row>
    <row r="4731" spans="1:9" ht="15" customHeight="1">
      <c r="A4731" s="199">
        <v>45730</v>
      </c>
      <c r="B4731" s="202" t="s">
        <v>3802</v>
      </c>
      <c r="C4731" s="200" t="s">
        <v>307</v>
      </c>
      <c r="D4731" s="204">
        <v>-94224.67</v>
      </c>
      <c r="E4731" s="201">
        <v>45717</v>
      </c>
      <c r="F4731" s="200" t="s">
        <v>297</v>
      </c>
      <c r="G4731" s="200" t="s">
        <v>1578</v>
      </c>
      <c r="H4731" s="200" t="s">
        <v>350</v>
      </c>
      <c r="I4731" s="200" t="s">
        <v>2982</v>
      </c>
    </row>
    <row r="4732" spans="1:9" ht="15" customHeight="1">
      <c r="A4732" s="199">
        <v>45730</v>
      </c>
      <c r="B4732" s="202" t="s">
        <v>3803</v>
      </c>
      <c r="C4732" s="200" t="s">
        <v>307</v>
      </c>
      <c r="D4732" s="204">
        <v>-12532</v>
      </c>
      <c r="E4732" s="201">
        <v>45717</v>
      </c>
      <c r="F4732" s="200" t="s">
        <v>297</v>
      </c>
      <c r="G4732" s="200" t="s">
        <v>1578</v>
      </c>
      <c r="H4732" s="200" t="s">
        <v>377</v>
      </c>
      <c r="I4732" s="200" t="s">
        <v>2982</v>
      </c>
    </row>
    <row r="4733" spans="1:9" ht="15" customHeight="1">
      <c r="A4733" s="199">
        <v>45730</v>
      </c>
      <c r="B4733" s="202" t="s">
        <v>3804</v>
      </c>
      <c r="C4733" s="200" t="s">
        <v>307</v>
      </c>
      <c r="D4733" s="204">
        <v>-14400</v>
      </c>
      <c r="E4733" s="201">
        <v>45717</v>
      </c>
      <c r="F4733" s="200" t="s">
        <v>297</v>
      </c>
      <c r="G4733" s="200" t="s">
        <v>1313</v>
      </c>
      <c r="H4733" s="200" t="s">
        <v>350</v>
      </c>
      <c r="I4733" s="648" t="s">
        <v>329</v>
      </c>
    </row>
    <row r="4734" spans="1:9" ht="15" customHeight="1">
      <c r="A4734" s="199">
        <v>45730</v>
      </c>
      <c r="B4734" s="202" t="s">
        <v>3805</v>
      </c>
      <c r="C4734" s="200" t="s">
        <v>307</v>
      </c>
      <c r="D4734" s="204">
        <v>-107380</v>
      </c>
      <c r="E4734" s="201">
        <v>45717</v>
      </c>
      <c r="F4734" s="200" t="s">
        <v>297</v>
      </c>
      <c r="G4734" s="200" t="s">
        <v>1578</v>
      </c>
      <c r="H4734" s="200" t="s">
        <v>350</v>
      </c>
      <c r="I4734" s="200" t="s">
        <v>2982</v>
      </c>
    </row>
    <row r="4735" spans="1:9" ht="15" customHeight="1">
      <c r="A4735" s="199">
        <v>45730</v>
      </c>
      <c r="B4735" s="202" t="s">
        <v>3806</v>
      </c>
      <c r="C4735" s="200" t="s">
        <v>307</v>
      </c>
      <c r="D4735" s="204">
        <v>-38470</v>
      </c>
      <c r="E4735" s="201">
        <v>45717</v>
      </c>
      <c r="F4735" s="200" t="s">
        <v>297</v>
      </c>
      <c r="G4735" s="200" t="s">
        <v>1578</v>
      </c>
      <c r="H4735" s="200" t="s">
        <v>377</v>
      </c>
      <c r="I4735" s="200" t="s">
        <v>2982</v>
      </c>
    </row>
    <row r="4736" spans="1:9" ht="15" customHeight="1">
      <c r="A4736" s="199">
        <v>45733</v>
      </c>
      <c r="B4736" s="202" t="s">
        <v>3807</v>
      </c>
      <c r="C4736" s="200" t="s">
        <v>307</v>
      </c>
      <c r="D4736" s="204">
        <v>-20000</v>
      </c>
      <c r="E4736" s="201">
        <v>45717</v>
      </c>
      <c r="F4736" s="200" t="s">
        <v>395</v>
      </c>
      <c r="G4736" s="531" t="s">
        <v>395</v>
      </c>
      <c r="H4736" s="200" t="s">
        <v>346</v>
      </c>
      <c r="I4736" s="673"/>
    </row>
    <row r="4737" spans="1:9" ht="15" customHeight="1">
      <c r="A4737" s="199">
        <v>45726</v>
      </c>
      <c r="B4737" s="202" t="s">
        <v>3808</v>
      </c>
      <c r="C4737" s="200" t="s">
        <v>307</v>
      </c>
      <c r="D4737" s="204">
        <v>-60000</v>
      </c>
      <c r="E4737" s="201">
        <v>45717</v>
      </c>
      <c r="F4737" s="200" t="s">
        <v>256</v>
      </c>
      <c r="G4737" s="200" t="s">
        <v>256</v>
      </c>
      <c r="H4737" s="200" t="s">
        <v>270</v>
      </c>
      <c r="I4737" s="200" t="s">
        <v>3809</v>
      </c>
    </row>
    <row r="4738" spans="1:9" ht="15" customHeight="1">
      <c r="A4738" s="199">
        <v>45726</v>
      </c>
      <c r="B4738" s="202" t="s">
        <v>3810</v>
      </c>
      <c r="C4738" s="200" t="s">
        <v>307</v>
      </c>
      <c r="D4738" s="204">
        <v>-13000</v>
      </c>
      <c r="E4738" s="201">
        <v>45717</v>
      </c>
      <c r="F4738" s="200" t="s">
        <v>256</v>
      </c>
      <c r="G4738" s="200" t="s">
        <v>256</v>
      </c>
      <c r="H4738" s="200" t="s">
        <v>270</v>
      </c>
      <c r="I4738" s="200" t="s">
        <v>3809</v>
      </c>
    </row>
    <row r="4739" spans="1:9" ht="15" customHeight="1">
      <c r="A4739" s="199">
        <v>45726</v>
      </c>
      <c r="B4739" s="202" t="s">
        <v>3811</v>
      </c>
      <c r="C4739" s="200" t="s">
        <v>307</v>
      </c>
      <c r="D4739" s="204">
        <v>-22000</v>
      </c>
      <c r="E4739" s="201">
        <v>45717</v>
      </c>
      <c r="F4739" s="200" t="s">
        <v>256</v>
      </c>
      <c r="G4739" s="200" t="s">
        <v>256</v>
      </c>
      <c r="H4739" s="200" t="s">
        <v>270</v>
      </c>
      <c r="I4739" s="200" t="s">
        <v>3809</v>
      </c>
    </row>
    <row r="4740" spans="1:9" ht="15" customHeight="1">
      <c r="A4740" s="199">
        <v>45726</v>
      </c>
      <c r="B4740" s="202" t="s">
        <v>3812</v>
      </c>
      <c r="C4740" s="200" t="s">
        <v>307</v>
      </c>
      <c r="D4740" s="204">
        <v>-30000</v>
      </c>
      <c r="E4740" s="201">
        <v>45717</v>
      </c>
      <c r="F4740" s="200" t="s">
        <v>256</v>
      </c>
      <c r="G4740" s="200" t="s">
        <v>256</v>
      </c>
      <c r="H4740" s="200" t="s">
        <v>270</v>
      </c>
      <c r="I4740" s="200" t="s">
        <v>3809</v>
      </c>
    </row>
    <row r="4741" spans="1:9" ht="15" customHeight="1">
      <c r="A4741" s="199">
        <v>45726</v>
      </c>
      <c r="B4741" s="202" t="s">
        <v>3813</v>
      </c>
      <c r="C4741" s="200" t="s">
        <v>307</v>
      </c>
      <c r="D4741" s="204">
        <v>-66000</v>
      </c>
      <c r="E4741" s="201">
        <v>45717</v>
      </c>
      <c r="F4741" s="200" t="s">
        <v>256</v>
      </c>
      <c r="G4741" s="200" t="s">
        <v>256</v>
      </c>
      <c r="H4741" s="200" t="s">
        <v>270</v>
      </c>
      <c r="I4741" s="200" t="s">
        <v>3809</v>
      </c>
    </row>
    <row r="4742" spans="1:9" ht="15" customHeight="1">
      <c r="A4742" s="199">
        <v>45727</v>
      </c>
      <c r="B4742" s="202" t="s">
        <v>3814</v>
      </c>
      <c r="C4742" s="200" t="s">
        <v>307</v>
      </c>
      <c r="D4742" s="204">
        <v>-13000</v>
      </c>
      <c r="E4742" s="201">
        <v>45717</v>
      </c>
      <c r="F4742" s="200" t="s">
        <v>256</v>
      </c>
      <c r="G4742" s="200" t="s">
        <v>256</v>
      </c>
      <c r="H4742" s="200" t="s">
        <v>270</v>
      </c>
      <c r="I4742" s="200" t="s">
        <v>3809</v>
      </c>
    </row>
    <row r="4743" spans="1:9" ht="15" customHeight="1">
      <c r="A4743" s="199">
        <v>45727</v>
      </c>
      <c r="B4743" s="202" t="s">
        <v>3815</v>
      </c>
      <c r="C4743" s="200" t="s">
        <v>307</v>
      </c>
      <c r="D4743" s="204">
        <v>-19000</v>
      </c>
      <c r="E4743" s="201">
        <v>45717</v>
      </c>
      <c r="F4743" s="200" t="s">
        <v>256</v>
      </c>
      <c r="G4743" s="200" t="s">
        <v>256</v>
      </c>
      <c r="H4743" s="200" t="s">
        <v>270</v>
      </c>
      <c r="I4743" s="200" t="s">
        <v>3809</v>
      </c>
    </row>
    <row r="4744" spans="1:9" ht="15" customHeight="1">
      <c r="A4744" s="199">
        <v>45727</v>
      </c>
      <c r="B4744" s="202" t="s">
        <v>3816</v>
      </c>
      <c r="C4744" s="200" t="s">
        <v>307</v>
      </c>
      <c r="D4744" s="204">
        <v>-15000</v>
      </c>
      <c r="E4744" s="201">
        <v>45717</v>
      </c>
      <c r="F4744" s="200" t="s">
        <v>256</v>
      </c>
      <c r="G4744" s="200" t="s">
        <v>256</v>
      </c>
      <c r="H4744" s="200" t="s">
        <v>270</v>
      </c>
      <c r="I4744" s="200" t="s">
        <v>3809</v>
      </c>
    </row>
    <row r="4745" spans="1:9" ht="15" customHeight="1">
      <c r="A4745" s="199">
        <v>45727</v>
      </c>
      <c r="B4745" s="202" t="s">
        <v>3817</v>
      </c>
      <c r="C4745" s="200" t="s">
        <v>307</v>
      </c>
      <c r="D4745" s="204">
        <v>-20000</v>
      </c>
      <c r="E4745" s="201">
        <v>45717</v>
      </c>
      <c r="F4745" s="200" t="s">
        <v>256</v>
      </c>
      <c r="G4745" s="200" t="s">
        <v>256</v>
      </c>
      <c r="H4745" s="200" t="s">
        <v>270</v>
      </c>
      <c r="I4745" s="200" t="s">
        <v>3809</v>
      </c>
    </row>
    <row r="4746" spans="1:9" ht="15" customHeight="1">
      <c r="A4746" s="199">
        <v>45728</v>
      </c>
      <c r="B4746" s="202" t="s">
        <v>3814</v>
      </c>
      <c r="C4746" s="200" t="s">
        <v>307</v>
      </c>
      <c r="D4746" s="204">
        <v>-15000</v>
      </c>
      <c r="E4746" s="201">
        <v>45717</v>
      </c>
      <c r="F4746" s="200" t="s">
        <v>256</v>
      </c>
      <c r="G4746" s="200" t="s">
        <v>256</v>
      </c>
      <c r="H4746" s="200" t="s">
        <v>270</v>
      </c>
      <c r="I4746" s="200" t="s">
        <v>3809</v>
      </c>
    </row>
    <row r="4747" spans="1:9" ht="15" customHeight="1">
      <c r="A4747" s="199">
        <v>45729</v>
      </c>
      <c r="B4747" s="202" t="s">
        <v>3818</v>
      </c>
      <c r="C4747" s="200" t="s">
        <v>307</v>
      </c>
      <c r="D4747" s="204">
        <v>-38000</v>
      </c>
      <c r="E4747" s="201">
        <v>45717</v>
      </c>
      <c r="F4747" s="200" t="s">
        <v>256</v>
      </c>
      <c r="G4747" s="200" t="s">
        <v>256</v>
      </c>
      <c r="H4747" s="200" t="s">
        <v>270</v>
      </c>
      <c r="I4747" s="200" t="s">
        <v>3809</v>
      </c>
    </row>
    <row r="4748" spans="1:9" ht="15" customHeight="1">
      <c r="A4748" s="199">
        <v>45729</v>
      </c>
      <c r="B4748" s="202" t="s">
        <v>3819</v>
      </c>
      <c r="C4748" s="200" t="s">
        <v>307</v>
      </c>
      <c r="D4748" s="204">
        <v>-11500</v>
      </c>
      <c r="E4748" s="201">
        <v>45717</v>
      </c>
      <c r="F4748" s="200" t="s">
        <v>256</v>
      </c>
      <c r="G4748" s="200" t="s">
        <v>256</v>
      </c>
      <c r="H4748" s="200" t="s">
        <v>270</v>
      </c>
      <c r="I4748" s="200" t="s">
        <v>3809</v>
      </c>
    </row>
    <row r="4749" spans="1:9" ht="15" customHeight="1">
      <c r="A4749" s="199">
        <v>45729</v>
      </c>
      <c r="B4749" s="202" t="s">
        <v>3820</v>
      </c>
      <c r="C4749" s="200" t="s">
        <v>307</v>
      </c>
      <c r="D4749" s="204">
        <v>-86300</v>
      </c>
      <c r="E4749" s="201">
        <v>45717</v>
      </c>
      <c r="F4749" s="200" t="s">
        <v>256</v>
      </c>
      <c r="G4749" s="200" t="s">
        <v>256</v>
      </c>
      <c r="H4749" s="200" t="s">
        <v>270</v>
      </c>
      <c r="I4749" s="200" t="s">
        <v>3809</v>
      </c>
    </row>
    <row r="4750" spans="1:9" ht="15" customHeight="1">
      <c r="A4750" s="199">
        <v>45730</v>
      </c>
      <c r="B4750" s="202" t="s">
        <v>3821</v>
      </c>
      <c r="C4750" s="200" t="s">
        <v>307</v>
      </c>
      <c r="D4750" s="204">
        <v>-15500</v>
      </c>
      <c r="E4750" s="201">
        <v>45717</v>
      </c>
      <c r="F4750" s="200" t="s">
        <v>256</v>
      </c>
      <c r="G4750" s="200" t="s">
        <v>256</v>
      </c>
      <c r="H4750" s="200" t="s">
        <v>270</v>
      </c>
      <c r="I4750" s="200" t="s">
        <v>3809</v>
      </c>
    </row>
    <row r="4751" spans="1:9" ht="15" customHeight="1">
      <c r="A4751" s="199">
        <v>45730</v>
      </c>
      <c r="B4751" s="202" t="s">
        <v>3822</v>
      </c>
      <c r="C4751" s="200" t="s">
        <v>307</v>
      </c>
      <c r="D4751" s="204">
        <v>-39000</v>
      </c>
      <c r="E4751" s="201">
        <v>45717</v>
      </c>
      <c r="F4751" s="200" t="s">
        <v>256</v>
      </c>
      <c r="G4751" s="200" t="s">
        <v>256</v>
      </c>
      <c r="H4751" s="200" t="s">
        <v>270</v>
      </c>
      <c r="I4751" s="200" t="s">
        <v>3809</v>
      </c>
    </row>
    <row r="4752" spans="1:9" ht="15" customHeight="1">
      <c r="A4752" s="199">
        <v>45730</v>
      </c>
      <c r="B4752" s="202" t="s">
        <v>3823</v>
      </c>
      <c r="C4752" s="200" t="s">
        <v>307</v>
      </c>
      <c r="D4752" s="204">
        <v>-20000</v>
      </c>
      <c r="E4752" s="201">
        <v>45717</v>
      </c>
      <c r="F4752" s="200" t="s">
        <v>256</v>
      </c>
      <c r="G4752" s="200" t="s">
        <v>256</v>
      </c>
      <c r="H4752" s="200" t="s">
        <v>270</v>
      </c>
      <c r="I4752" s="200" t="s">
        <v>3809</v>
      </c>
    </row>
    <row r="4753" spans="1:9" ht="15" customHeight="1">
      <c r="A4753" s="199">
        <v>45720</v>
      </c>
      <c r="B4753" s="202" t="s">
        <v>3824</v>
      </c>
      <c r="C4753" s="200" t="s">
        <v>307</v>
      </c>
      <c r="D4753" s="204">
        <v>-17000</v>
      </c>
      <c r="E4753" s="201">
        <v>45717</v>
      </c>
      <c r="F4753" s="200" t="s">
        <v>395</v>
      </c>
      <c r="G4753" s="531" t="s">
        <v>395</v>
      </c>
      <c r="H4753" s="200" t="s">
        <v>268</v>
      </c>
      <c r="I4753" s="673"/>
    </row>
    <row r="4754" spans="1:9" ht="15" customHeight="1">
      <c r="A4754" s="199">
        <v>45720</v>
      </c>
      <c r="B4754" s="202" t="s">
        <v>3825</v>
      </c>
      <c r="C4754" s="200" t="s">
        <v>307</v>
      </c>
      <c r="D4754" s="204">
        <v>-6500</v>
      </c>
      <c r="E4754" s="201">
        <v>45717</v>
      </c>
      <c r="F4754" s="200" t="s">
        <v>395</v>
      </c>
      <c r="G4754" s="531" t="s">
        <v>395</v>
      </c>
      <c r="H4754" s="200" t="s">
        <v>268</v>
      </c>
      <c r="I4754" s="673"/>
    </row>
    <row r="4755" spans="1:9" ht="15" customHeight="1">
      <c r="A4755" s="199">
        <v>45720</v>
      </c>
      <c r="B4755" s="202" t="s">
        <v>3826</v>
      </c>
      <c r="C4755" s="200" t="s">
        <v>307</v>
      </c>
      <c r="D4755" s="204">
        <v>-6500</v>
      </c>
      <c r="E4755" s="201">
        <v>45717</v>
      </c>
      <c r="F4755" s="200" t="s">
        <v>395</v>
      </c>
      <c r="G4755" s="531" t="s">
        <v>395</v>
      </c>
      <c r="H4755" s="200" t="s">
        <v>268</v>
      </c>
      <c r="I4755" s="673"/>
    </row>
    <row r="4756" spans="1:9" ht="15" customHeight="1">
      <c r="A4756" s="199">
        <v>45722</v>
      </c>
      <c r="B4756" s="202" t="s">
        <v>3827</v>
      </c>
      <c r="C4756" s="200" t="s">
        <v>307</v>
      </c>
      <c r="D4756" s="204">
        <v>-6500</v>
      </c>
      <c r="E4756" s="201">
        <v>45717</v>
      </c>
      <c r="F4756" s="200" t="s">
        <v>296</v>
      </c>
      <c r="G4756" s="200" t="s">
        <v>411</v>
      </c>
      <c r="H4756" s="200" t="s">
        <v>268</v>
      </c>
      <c r="I4756" s="200" t="s">
        <v>3185</v>
      </c>
    </row>
    <row r="4757" spans="1:9" ht="15" customHeight="1">
      <c r="A4757" s="199">
        <v>45722</v>
      </c>
      <c r="B4757" s="202" t="s">
        <v>3828</v>
      </c>
      <c r="C4757" s="200" t="s">
        <v>307</v>
      </c>
      <c r="D4757" s="204">
        <v>-6500</v>
      </c>
      <c r="E4757" s="201">
        <v>45717</v>
      </c>
      <c r="F4757" s="200" t="s">
        <v>297</v>
      </c>
      <c r="G4757" s="200" t="s">
        <v>1578</v>
      </c>
      <c r="H4757" s="200" t="s">
        <v>268</v>
      </c>
      <c r="I4757" s="200" t="s">
        <v>3185</v>
      </c>
    </row>
    <row r="4758" spans="1:9" ht="15" customHeight="1">
      <c r="A4758" s="199">
        <v>45723</v>
      </c>
      <c r="B4758" s="202" t="s">
        <v>3829</v>
      </c>
      <c r="C4758" s="200" t="s">
        <v>307</v>
      </c>
      <c r="D4758" s="204">
        <v>-6500</v>
      </c>
      <c r="E4758" s="201">
        <v>45717</v>
      </c>
      <c r="F4758" s="200" t="s">
        <v>296</v>
      </c>
      <c r="G4758" s="200" t="s">
        <v>411</v>
      </c>
      <c r="H4758" s="200" t="s">
        <v>268</v>
      </c>
      <c r="I4758" s="648" t="s">
        <v>329</v>
      </c>
    </row>
    <row r="4759" spans="1:9" ht="15" customHeight="1">
      <c r="A4759" s="199">
        <v>45726</v>
      </c>
      <c r="B4759" s="202" t="s">
        <v>1949</v>
      </c>
      <c r="C4759" s="200" t="s">
        <v>307</v>
      </c>
      <c r="D4759" s="204">
        <v>-6500</v>
      </c>
      <c r="E4759" s="201">
        <v>45717</v>
      </c>
      <c r="F4759" s="200" t="s">
        <v>297</v>
      </c>
      <c r="G4759" s="200" t="s">
        <v>1578</v>
      </c>
      <c r="H4759" s="200" t="s">
        <v>268</v>
      </c>
      <c r="I4759" s="200" t="s">
        <v>3185</v>
      </c>
    </row>
    <row r="4760" spans="1:9" ht="15" customHeight="1">
      <c r="A4760" s="199">
        <v>45726</v>
      </c>
      <c r="B4760" s="202" t="s">
        <v>3830</v>
      </c>
      <c r="C4760" s="200" t="s">
        <v>307</v>
      </c>
      <c r="D4760" s="204">
        <v>-17000</v>
      </c>
      <c r="E4760" s="201">
        <v>45717</v>
      </c>
      <c r="F4760" s="200" t="s">
        <v>297</v>
      </c>
      <c r="G4760" s="200" t="s">
        <v>1578</v>
      </c>
      <c r="H4760" s="200" t="s">
        <v>268</v>
      </c>
      <c r="I4760" s="648" t="s">
        <v>329</v>
      </c>
    </row>
    <row r="4761" spans="1:9" ht="15" customHeight="1">
      <c r="A4761" s="199">
        <v>45735</v>
      </c>
      <c r="B4761" s="202" t="s">
        <v>3831</v>
      </c>
      <c r="C4761" s="200" t="s">
        <v>307</v>
      </c>
      <c r="D4761" s="204">
        <v>-15533.333329999999</v>
      </c>
      <c r="E4761" s="201">
        <v>45717</v>
      </c>
      <c r="F4761" s="200" t="s">
        <v>296</v>
      </c>
      <c r="G4761" s="200" t="s">
        <v>522</v>
      </c>
      <c r="H4761" s="200" t="s">
        <v>442</v>
      </c>
      <c r="I4761" s="648" t="s">
        <v>329</v>
      </c>
    </row>
    <row r="4762" spans="1:9" ht="15" customHeight="1">
      <c r="A4762" s="199">
        <v>45735</v>
      </c>
      <c r="B4762" s="202" t="s">
        <v>3831</v>
      </c>
      <c r="C4762" s="200" t="s">
        <v>307</v>
      </c>
      <c r="D4762" s="204">
        <v>-15533.333329999999</v>
      </c>
      <c r="E4762" s="201">
        <v>45717</v>
      </c>
      <c r="F4762" s="200" t="s">
        <v>296</v>
      </c>
      <c r="G4762" s="200" t="s">
        <v>337</v>
      </c>
      <c r="H4762" s="200" t="s">
        <v>326</v>
      </c>
      <c r="I4762" s="648" t="s">
        <v>329</v>
      </c>
    </row>
    <row r="4763" spans="1:9" ht="15" customHeight="1">
      <c r="A4763" s="199">
        <v>45735</v>
      </c>
      <c r="B4763" s="202" t="s">
        <v>3831</v>
      </c>
      <c r="C4763" s="200" t="s">
        <v>307</v>
      </c>
      <c r="D4763" s="204">
        <v>-15533.333329999999</v>
      </c>
      <c r="E4763" s="201">
        <v>45717</v>
      </c>
      <c r="F4763" s="200" t="s">
        <v>296</v>
      </c>
      <c r="G4763" s="200" t="s">
        <v>44</v>
      </c>
      <c r="H4763" s="200" t="s">
        <v>442</v>
      </c>
      <c r="I4763" s="648" t="s">
        <v>329</v>
      </c>
    </row>
    <row r="4764" spans="1:9" ht="15" customHeight="1">
      <c r="A4764" s="199">
        <v>45735</v>
      </c>
      <c r="B4764" s="202" t="s">
        <v>3832</v>
      </c>
      <c r="C4764" s="200" t="s">
        <v>307</v>
      </c>
      <c r="D4764" s="204">
        <v>-20800</v>
      </c>
      <c r="E4764" s="201">
        <v>45717</v>
      </c>
      <c r="F4764" s="200" t="s">
        <v>256</v>
      </c>
      <c r="G4764" s="200" t="s">
        <v>256</v>
      </c>
      <c r="H4764" s="200" t="s">
        <v>270</v>
      </c>
    </row>
    <row r="4765" spans="1:9" ht="15" customHeight="1">
      <c r="A4765" s="199">
        <v>45735</v>
      </c>
      <c r="B4765" s="202" t="s">
        <v>3833</v>
      </c>
      <c r="C4765" s="200" t="s">
        <v>307</v>
      </c>
      <c r="D4765" s="204">
        <v>-7000</v>
      </c>
      <c r="E4765" s="201">
        <v>45717</v>
      </c>
      <c r="F4765" s="200" t="s">
        <v>296</v>
      </c>
      <c r="G4765" s="200" t="s">
        <v>1980</v>
      </c>
      <c r="H4765" s="200" t="s">
        <v>442</v>
      </c>
    </row>
    <row r="4766" spans="1:9" ht="15" customHeight="1">
      <c r="A4766" s="199">
        <v>45735</v>
      </c>
      <c r="B4766" s="202" t="s">
        <v>3834</v>
      </c>
      <c r="C4766" s="200" t="s">
        <v>307</v>
      </c>
      <c r="D4766" s="204">
        <v>-150800</v>
      </c>
      <c r="E4766" s="201">
        <v>45717</v>
      </c>
      <c r="F4766" s="200" t="s">
        <v>296</v>
      </c>
      <c r="G4766" s="200" t="s">
        <v>1980</v>
      </c>
      <c r="H4766" s="200" t="s">
        <v>322</v>
      </c>
    </row>
    <row r="4767" spans="1:9" ht="15" customHeight="1">
      <c r="A4767" s="199">
        <v>45729</v>
      </c>
      <c r="B4767" s="202" t="s">
        <v>3835</v>
      </c>
      <c r="C4767" s="200" t="s">
        <v>307</v>
      </c>
      <c r="D4767" s="204">
        <v>-15000</v>
      </c>
      <c r="E4767" s="201">
        <v>45717</v>
      </c>
      <c r="F4767" s="200" t="s">
        <v>296</v>
      </c>
      <c r="G4767" s="200" t="s">
        <v>875</v>
      </c>
      <c r="H4767" s="200" t="s">
        <v>268</v>
      </c>
      <c r="I4767" s="648" t="s">
        <v>329</v>
      </c>
    </row>
    <row r="4768" spans="1:9" ht="15" customHeight="1">
      <c r="A4768" s="199">
        <v>45734</v>
      </c>
      <c r="B4768" s="202" t="s">
        <v>3607</v>
      </c>
      <c r="C4768" s="200" t="s">
        <v>136</v>
      </c>
      <c r="D4768" s="204">
        <v>-590000</v>
      </c>
      <c r="E4768" s="201">
        <v>45717</v>
      </c>
      <c r="F4768" s="200" t="s">
        <v>256</v>
      </c>
      <c r="G4768" s="200" t="s">
        <v>256</v>
      </c>
      <c r="H4768" s="200" t="s">
        <v>9</v>
      </c>
    </row>
    <row r="4769" spans="1:9" ht="15" customHeight="1">
      <c r="A4769" s="199">
        <v>45734</v>
      </c>
      <c r="B4769" s="202" t="s">
        <v>3608</v>
      </c>
      <c r="C4769" s="200" t="s">
        <v>136</v>
      </c>
      <c r="D4769" s="204">
        <v>-80000</v>
      </c>
      <c r="E4769" s="201">
        <v>45717</v>
      </c>
      <c r="F4769" s="200" t="s">
        <v>256</v>
      </c>
      <c r="G4769" s="200" t="s">
        <v>256</v>
      </c>
      <c r="H4769" s="200" t="s">
        <v>9</v>
      </c>
    </row>
    <row r="4770" spans="1:9" ht="15" customHeight="1">
      <c r="A4770" s="199">
        <v>45734</v>
      </c>
      <c r="B4770" s="202" t="s">
        <v>3836</v>
      </c>
      <c r="C4770" s="200" t="s">
        <v>136</v>
      </c>
      <c r="D4770" s="204">
        <v>590000</v>
      </c>
      <c r="E4770" s="201">
        <v>45717</v>
      </c>
      <c r="F4770" s="200" t="s">
        <v>256</v>
      </c>
      <c r="G4770" s="200" t="s">
        <v>256</v>
      </c>
      <c r="H4770" s="200" t="s">
        <v>9</v>
      </c>
    </row>
    <row r="4771" spans="1:9" ht="15" customHeight="1">
      <c r="A4771" s="199">
        <v>45734</v>
      </c>
      <c r="B4771" s="202" t="s">
        <v>3837</v>
      </c>
      <c r="C4771" s="200" t="s">
        <v>136</v>
      </c>
      <c r="D4771" s="204">
        <v>80000</v>
      </c>
      <c r="E4771" s="201">
        <v>45717</v>
      </c>
      <c r="F4771" s="200" t="s">
        <v>256</v>
      </c>
      <c r="G4771" s="200" t="s">
        <v>256</v>
      </c>
      <c r="H4771" s="200" t="s">
        <v>9</v>
      </c>
    </row>
    <row r="4772" spans="1:9" ht="15" customHeight="1">
      <c r="A4772" s="199">
        <v>45730</v>
      </c>
      <c r="B4772" s="202" t="s">
        <v>3838</v>
      </c>
      <c r="C4772" s="200" t="s">
        <v>136</v>
      </c>
      <c r="D4772" s="204">
        <v>1195514</v>
      </c>
      <c r="E4772" s="201">
        <v>45717</v>
      </c>
      <c r="F4772" s="200" t="s">
        <v>295</v>
      </c>
    </row>
    <row r="4773" spans="1:9" ht="15" customHeight="1">
      <c r="A4773" s="199">
        <v>45730</v>
      </c>
      <c r="B4773" s="202" t="s">
        <v>3838</v>
      </c>
      <c r="C4773" s="200" t="s">
        <v>136</v>
      </c>
      <c r="D4773" s="204">
        <v>1228034</v>
      </c>
      <c r="E4773" s="201">
        <v>45717</v>
      </c>
      <c r="F4773" s="200" t="s">
        <v>295</v>
      </c>
    </row>
    <row r="4774" spans="1:9" ht="15" customHeight="1">
      <c r="A4774" s="199">
        <v>45730</v>
      </c>
      <c r="B4774" s="202" t="s">
        <v>3838</v>
      </c>
      <c r="C4774" s="200" t="s">
        <v>136</v>
      </c>
      <c r="D4774" s="204">
        <v>429853</v>
      </c>
      <c r="E4774" s="201">
        <v>45717</v>
      </c>
      <c r="F4774" s="200" t="s">
        <v>295</v>
      </c>
    </row>
    <row r="4775" spans="1:9" ht="15" customHeight="1">
      <c r="A4775" s="199">
        <v>45730</v>
      </c>
      <c r="B4775" s="202" t="s">
        <v>3839</v>
      </c>
      <c r="C4775" s="200" t="s">
        <v>136</v>
      </c>
      <c r="D4775" s="204">
        <v>8980108.2799999993</v>
      </c>
      <c r="E4775" s="201">
        <v>45717</v>
      </c>
      <c r="F4775" s="200" t="s">
        <v>295</v>
      </c>
    </row>
    <row r="4776" spans="1:9" ht="15" customHeight="1">
      <c r="A4776" s="199">
        <v>45730</v>
      </c>
      <c r="B4776" s="202" t="s">
        <v>3840</v>
      </c>
      <c r="C4776" s="200" t="s">
        <v>136</v>
      </c>
      <c r="D4776" s="204">
        <v>3413064.7</v>
      </c>
      <c r="E4776" s="201">
        <v>45717</v>
      </c>
      <c r="F4776" s="200" t="s">
        <v>295</v>
      </c>
    </row>
    <row r="4777" spans="1:9" ht="15" customHeight="1">
      <c r="A4777" s="199">
        <v>45734</v>
      </c>
      <c r="B4777" s="202" t="s">
        <v>3841</v>
      </c>
      <c r="C4777" s="200" t="s">
        <v>136</v>
      </c>
      <c r="D4777" s="204">
        <v>6196667.0499999998</v>
      </c>
      <c r="E4777" s="201">
        <v>45717</v>
      </c>
      <c r="F4777" s="200" t="s">
        <v>2786</v>
      </c>
    </row>
    <row r="4778" spans="1:9" ht="15" customHeight="1">
      <c r="A4778" s="199">
        <v>45735</v>
      </c>
      <c r="B4778" s="202" t="s">
        <v>2117</v>
      </c>
      <c r="C4778" s="200" t="s">
        <v>136</v>
      </c>
      <c r="D4778" s="204">
        <v>6373181</v>
      </c>
      <c r="E4778" s="201">
        <v>45717</v>
      </c>
      <c r="F4778" s="200" t="s">
        <v>650</v>
      </c>
    </row>
    <row r="4779" spans="1:9" ht="15" customHeight="1">
      <c r="A4779" s="808">
        <v>45736</v>
      </c>
      <c r="B4779" s="809" t="s">
        <v>3842</v>
      </c>
      <c r="C4779" s="809" t="s">
        <v>204</v>
      </c>
      <c r="D4779" s="775">
        <v>-569997828.92083299</v>
      </c>
      <c r="E4779" s="811">
        <v>45717</v>
      </c>
      <c r="F4779" s="897" t="s">
        <v>296</v>
      </c>
      <c r="G4779" s="809" t="s">
        <v>807</v>
      </c>
      <c r="H4779" s="809" t="s">
        <v>3205</v>
      </c>
      <c r="I4779" s="809"/>
    </row>
    <row r="4780" spans="1:9" ht="15" customHeight="1">
      <c r="A4780" s="808">
        <v>45736</v>
      </c>
      <c r="B4780" s="809" t="s">
        <v>3842</v>
      </c>
      <c r="C4780" s="809" t="s">
        <v>204</v>
      </c>
      <c r="D4780" s="775">
        <v>-17960777.879166961</v>
      </c>
      <c r="E4780" s="811">
        <v>45717</v>
      </c>
      <c r="F4780" s="897" t="s">
        <v>296</v>
      </c>
      <c r="G4780" s="809" t="s">
        <v>1980</v>
      </c>
      <c r="H4780" s="809" t="s">
        <v>3205</v>
      </c>
      <c r="I4780" s="809"/>
    </row>
    <row r="4781" spans="1:9" ht="15" customHeight="1">
      <c r="A4781" s="199">
        <v>45734</v>
      </c>
      <c r="B4781" s="202" t="s">
        <v>3843</v>
      </c>
      <c r="C4781" s="200" t="s">
        <v>204</v>
      </c>
      <c r="D4781" s="645">
        <v>100000000</v>
      </c>
      <c r="E4781" s="201">
        <v>45717</v>
      </c>
      <c r="F4781" s="200" t="s">
        <v>652</v>
      </c>
      <c r="G4781" s="200" t="s">
        <v>1980</v>
      </c>
    </row>
    <row r="4782" spans="1:9" ht="15" customHeight="1">
      <c r="A4782" s="199">
        <v>45735</v>
      </c>
      <c r="B4782" s="202" t="s">
        <v>3844</v>
      </c>
      <c r="C4782" s="200" t="s">
        <v>204</v>
      </c>
      <c r="D4782" s="645">
        <v>130000000</v>
      </c>
      <c r="E4782" s="201">
        <v>45717</v>
      </c>
      <c r="F4782" s="200" t="s">
        <v>652</v>
      </c>
      <c r="G4782" s="200" t="s">
        <v>807</v>
      </c>
    </row>
    <row r="4783" spans="1:9" ht="15" customHeight="1">
      <c r="A4783" s="199">
        <v>45736</v>
      </c>
      <c r="B4783" s="202" t="s">
        <v>3844</v>
      </c>
      <c r="C4783" s="200" t="s">
        <v>204</v>
      </c>
      <c r="D4783" s="645">
        <v>100000000</v>
      </c>
      <c r="E4783" s="201">
        <v>45717</v>
      </c>
      <c r="F4783" s="200" t="s">
        <v>652</v>
      </c>
      <c r="G4783" s="200" t="s">
        <v>807</v>
      </c>
    </row>
    <row r="4784" spans="1:9" ht="15" customHeight="1">
      <c r="A4784" s="199">
        <v>45736</v>
      </c>
      <c r="B4784" s="202" t="s">
        <v>3845</v>
      </c>
      <c r="C4784" s="200" t="s">
        <v>204</v>
      </c>
      <c r="D4784" s="645">
        <v>600000000</v>
      </c>
      <c r="E4784" s="201">
        <v>45717</v>
      </c>
      <c r="F4784" s="200" t="s">
        <v>652</v>
      </c>
      <c r="G4784" s="200" t="s">
        <v>1983</v>
      </c>
    </row>
    <row r="4785" spans="1:9" ht="15" customHeight="1">
      <c r="A4785" s="199">
        <v>45736</v>
      </c>
      <c r="B4785" s="202" t="s">
        <v>3846</v>
      </c>
      <c r="C4785" s="200" t="s">
        <v>204</v>
      </c>
      <c r="D4785" s="645">
        <v>1512400000</v>
      </c>
      <c r="E4785" s="201">
        <v>45717</v>
      </c>
      <c r="F4785" s="200" t="s">
        <v>652</v>
      </c>
      <c r="G4785" s="200" t="s">
        <v>44</v>
      </c>
    </row>
    <row r="4786" spans="1:9" ht="15" customHeight="1">
      <c r="A4786" s="808">
        <v>45737</v>
      </c>
      <c r="B4786" s="809" t="s">
        <v>3842</v>
      </c>
      <c r="C4786" s="809" t="s">
        <v>204</v>
      </c>
      <c r="D4786" s="775">
        <v>-601517814.38055527</v>
      </c>
      <c r="E4786" s="811">
        <v>45717</v>
      </c>
      <c r="F4786" s="809" t="s">
        <v>296</v>
      </c>
      <c r="G4786" s="809" t="s">
        <v>1980</v>
      </c>
      <c r="H4786" s="809" t="s">
        <v>3205</v>
      </c>
      <c r="I4786" s="809"/>
    </row>
    <row r="4787" spans="1:9" ht="15" customHeight="1">
      <c r="A4787" s="808">
        <v>45737</v>
      </c>
      <c r="B4787" s="809" t="s">
        <v>3842</v>
      </c>
      <c r="C4787" s="809" t="s">
        <v>204</v>
      </c>
      <c r="D4787" s="775">
        <v>-619478592.25972223</v>
      </c>
      <c r="E4787" s="811">
        <v>45717</v>
      </c>
      <c r="F4787" s="809" t="s">
        <v>296</v>
      </c>
      <c r="G4787" s="809" t="s">
        <v>1983</v>
      </c>
      <c r="H4787" s="809" t="s">
        <v>3205</v>
      </c>
      <c r="I4787" s="809" t="s">
        <v>329</v>
      </c>
    </row>
    <row r="4788" spans="1:9" ht="15" customHeight="1">
      <c r="A4788" s="808">
        <v>45737</v>
      </c>
      <c r="B4788" s="809" t="s">
        <v>3842</v>
      </c>
      <c r="C4788" s="809" t="s">
        <v>204</v>
      </c>
      <c r="D4788" s="775">
        <v>-12157474.602777779</v>
      </c>
      <c r="E4788" s="811">
        <v>45717</v>
      </c>
      <c r="F4788" s="809" t="s">
        <v>296</v>
      </c>
      <c r="G4788" s="809" t="s">
        <v>3847</v>
      </c>
      <c r="H4788" s="809" t="s">
        <v>655</v>
      </c>
      <c r="I4788" s="809"/>
    </row>
    <row r="4789" spans="1:9" ht="15" customHeight="1">
      <c r="A4789" s="808">
        <v>45737</v>
      </c>
      <c r="B4789" s="809" t="s">
        <v>3842</v>
      </c>
      <c r="C4789" s="809" t="s">
        <v>204</v>
      </c>
      <c r="D4789" s="775">
        <v>-23209724.241666671</v>
      </c>
      <c r="E4789" s="811">
        <v>45717</v>
      </c>
      <c r="F4789" s="809" t="s">
        <v>297</v>
      </c>
      <c r="G4789" s="809" t="s">
        <v>3848</v>
      </c>
      <c r="H4789" s="809" t="s">
        <v>655</v>
      </c>
      <c r="I4789" s="809"/>
    </row>
    <row r="4790" spans="1:9" ht="15" customHeight="1">
      <c r="A4790" s="808">
        <v>45737</v>
      </c>
      <c r="B4790" s="809" t="s">
        <v>3842</v>
      </c>
      <c r="C4790" s="809" t="s">
        <v>204</v>
      </c>
      <c r="D4790" s="775">
        <v>-43380079.832638897</v>
      </c>
      <c r="E4790" s="811">
        <v>45717</v>
      </c>
      <c r="F4790" s="809" t="s">
        <v>296</v>
      </c>
      <c r="G4790" s="809" t="s">
        <v>3849</v>
      </c>
      <c r="H4790" s="809" t="s">
        <v>655</v>
      </c>
      <c r="I4790" s="809"/>
    </row>
    <row r="4791" spans="1:9" ht="15" customHeight="1">
      <c r="A4791" s="808">
        <v>45737</v>
      </c>
      <c r="B4791" s="809" t="s">
        <v>3842</v>
      </c>
      <c r="C4791" s="809" t="s">
        <v>204</v>
      </c>
      <c r="D4791" s="775">
        <v>-37577648.772222228</v>
      </c>
      <c r="E4791" s="811">
        <v>45717</v>
      </c>
      <c r="F4791" s="809" t="s">
        <v>296</v>
      </c>
      <c r="G4791" s="809" t="s">
        <v>3850</v>
      </c>
      <c r="H4791" s="809" t="s">
        <v>655</v>
      </c>
      <c r="I4791" s="809"/>
    </row>
    <row r="4792" spans="1:9" ht="15" customHeight="1">
      <c r="A4792" s="808">
        <v>45737</v>
      </c>
      <c r="B4792" s="809" t="s">
        <v>3842</v>
      </c>
      <c r="C4792" s="809" t="s">
        <v>204</v>
      </c>
      <c r="D4792" s="775">
        <v>-62884822.91041711</v>
      </c>
      <c r="E4792" s="811">
        <v>45717</v>
      </c>
      <c r="F4792" s="809" t="s">
        <v>296</v>
      </c>
      <c r="G4792" s="809" t="s">
        <v>3167</v>
      </c>
      <c r="H4792" s="809" t="s">
        <v>3205</v>
      </c>
      <c r="I4792" s="809"/>
    </row>
    <row r="4793" spans="1:9" ht="15" customHeight="1">
      <c r="A4793" s="199">
        <v>45733</v>
      </c>
      <c r="B4793" s="202" t="s">
        <v>3851</v>
      </c>
      <c r="C4793" s="200" t="s">
        <v>307</v>
      </c>
      <c r="D4793" s="204">
        <v>-108490</v>
      </c>
      <c r="E4793" s="201">
        <v>45717</v>
      </c>
      <c r="F4793" s="200" t="s">
        <v>256</v>
      </c>
      <c r="G4793" s="200" t="s">
        <v>256</v>
      </c>
      <c r="H4793" s="200" t="s">
        <v>267</v>
      </c>
    </row>
    <row r="4794" spans="1:9" ht="15" customHeight="1">
      <c r="A4794" s="199">
        <v>45730</v>
      </c>
      <c r="B4794" s="202" t="s">
        <v>3852</v>
      </c>
      <c r="C4794" s="200" t="s">
        <v>204</v>
      </c>
      <c r="D4794" s="645">
        <v>81000</v>
      </c>
      <c r="E4794" s="201">
        <v>45717</v>
      </c>
      <c r="F4794" s="200" t="s">
        <v>256</v>
      </c>
      <c r="G4794" s="200" t="s">
        <v>256</v>
      </c>
      <c r="H4794" s="200" t="s">
        <v>267</v>
      </c>
    </row>
    <row r="4795" spans="1:9" ht="15" customHeight="1">
      <c r="A4795" s="199">
        <v>45730</v>
      </c>
      <c r="B4795" s="202" t="s">
        <v>3853</v>
      </c>
      <c r="C4795" s="200" t="s">
        <v>314</v>
      </c>
      <c r="D4795" s="645">
        <v>1103589</v>
      </c>
      <c r="E4795" s="662">
        <v>45717</v>
      </c>
      <c r="F4795" s="200" t="s">
        <v>295</v>
      </c>
    </row>
    <row r="4796" spans="1:9" ht="15" customHeight="1">
      <c r="A4796" s="199">
        <v>45733</v>
      </c>
      <c r="B4796" s="202" t="s">
        <v>3854</v>
      </c>
      <c r="C4796" s="200" t="s">
        <v>314</v>
      </c>
      <c r="D4796" s="645">
        <v>1047612</v>
      </c>
      <c r="E4796" s="662">
        <v>45717</v>
      </c>
      <c r="F4796" s="200" t="s">
        <v>295</v>
      </c>
    </row>
    <row r="4797" spans="1:9" ht="15" customHeight="1">
      <c r="A4797" s="199">
        <v>45735</v>
      </c>
      <c r="B4797" s="202" t="s">
        <v>3855</v>
      </c>
      <c r="C4797" s="200" t="s">
        <v>314</v>
      </c>
      <c r="D4797" s="645">
        <v>2433070</v>
      </c>
      <c r="E4797" s="662">
        <v>45717</v>
      </c>
      <c r="F4797" s="200" t="s">
        <v>295</v>
      </c>
    </row>
    <row r="4798" spans="1:9" ht="15" customHeight="1">
      <c r="A4798" s="199">
        <v>45731</v>
      </c>
      <c r="B4798" s="202" t="s">
        <v>666</v>
      </c>
      <c r="C4798" s="200" t="s">
        <v>398</v>
      </c>
      <c r="D4798" s="658">
        <v>-123500</v>
      </c>
      <c r="E4798" s="201">
        <v>45717</v>
      </c>
      <c r="F4798" s="200" t="s">
        <v>256</v>
      </c>
      <c r="G4798" s="200" t="s">
        <v>256</v>
      </c>
      <c r="H4798" s="200" t="s">
        <v>266</v>
      </c>
    </row>
    <row r="4799" spans="1:9" ht="15" customHeight="1">
      <c r="A4799" s="199">
        <v>45731</v>
      </c>
      <c r="B4799" s="202" t="s">
        <v>3856</v>
      </c>
      <c r="C4799" s="200" t="s">
        <v>398</v>
      </c>
      <c r="D4799" s="658">
        <v>-199661.15</v>
      </c>
      <c r="E4799" s="201">
        <v>45717</v>
      </c>
      <c r="F4799" s="200" t="s">
        <v>256</v>
      </c>
      <c r="G4799" s="200" t="s">
        <v>107</v>
      </c>
      <c r="H4799" s="200" t="s">
        <v>777</v>
      </c>
    </row>
    <row r="4800" spans="1:9" ht="15" customHeight="1">
      <c r="A4800" s="199">
        <v>45732</v>
      </c>
      <c r="B4800" s="202" t="s">
        <v>3857</v>
      </c>
      <c r="C4800" s="200" t="s">
        <v>398</v>
      </c>
      <c r="D4800" s="658">
        <v>-26900</v>
      </c>
      <c r="E4800" s="201">
        <v>45717</v>
      </c>
      <c r="F4800" s="200" t="s">
        <v>256</v>
      </c>
      <c r="G4800" s="200" t="s">
        <v>107</v>
      </c>
      <c r="H4800" s="200" t="s">
        <v>277</v>
      </c>
    </row>
    <row r="4801" spans="1:9" ht="15" customHeight="1">
      <c r="A4801" s="199">
        <v>45732</v>
      </c>
      <c r="B4801" s="202" t="s">
        <v>3858</v>
      </c>
      <c r="C4801" s="200" t="s">
        <v>398</v>
      </c>
      <c r="D4801" s="658">
        <v>-7470</v>
      </c>
      <c r="E4801" s="201">
        <v>45717</v>
      </c>
      <c r="F4801" s="200" t="s">
        <v>256</v>
      </c>
      <c r="G4801" s="200" t="s">
        <v>107</v>
      </c>
      <c r="H4801" s="200" t="s">
        <v>9</v>
      </c>
    </row>
    <row r="4802" spans="1:9" ht="15" customHeight="1">
      <c r="A4802" s="199">
        <v>45733</v>
      </c>
      <c r="B4802" s="202" t="s">
        <v>3859</v>
      </c>
      <c r="C4802" s="200" t="s">
        <v>398</v>
      </c>
      <c r="D4802" s="658">
        <v>-59000</v>
      </c>
      <c r="E4802" s="201">
        <v>45717</v>
      </c>
      <c r="F4802" s="200" t="s">
        <v>256</v>
      </c>
      <c r="G4802" s="200" t="s">
        <v>107</v>
      </c>
      <c r="H4802" s="200" t="s">
        <v>277</v>
      </c>
    </row>
    <row r="4803" spans="1:9" ht="15" customHeight="1">
      <c r="A4803" s="199">
        <v>45733</v>
      </c>
      <c r="B4803" s="202" t="s">
        <v>3860</v>
      </c>
      <c r="C4803" s="200" t="s">
        <v>398</v>
      </c>
      <c r="D4803" s="658">
        <v>-134403.46</v>
      </c>
      <c r="E4803" s="201">
        <v>45717</v>
      </c>
      <c r="F4803" s="200" t="s">
        <v>256</v>
      </c>
      <c r="G4803" s="200" t="s">
        <v>256</v>
      </c>
      <c r="H4803" s="200" t="s">
        <v>266</v>
      </c>
    </row>
    <row r="4804" spans="1:9" ht="15" customHeight="1">
      <c r="A4804" s="199">
        <v>45734</v>
      </c>
      <c r="B4804" s="202" t="s">
        <v>3861</v>
      </c>
      <c r="C4804" s="200" t="s">
        <v>398</v>
      </c>
      <c r="D4804" s="658">
        <v>-219611.82</v>
      </c>
      <c r="E4804" s="201">
        <v>45717</v>
      </c>
      <c r="F4804" s="200" t="s">
        <v>256</v>
      </c>
      <c r="G4804" s="200" t="s">
        <v>107</v>
      </c>
      <c r="H4804" s="200" t="s">
        <v>777</v>
      </c>
    </row>
    <row r="4805" spans="1:9" ht="15" customHeight="1">
      <c r="A4805" s="199">
        <v>45734</v>
      </c>
      <c r="B4805" s="202" t="s">
        <v>3862</v>
      </c>
      <c r="C4805" s="200" t="s">
        <v>398</v>
      </c>
      <c r="D4805" s="658">
        <v>-671506</v>
      </c>
      <c r="E4805" s="201">
        <v>45717</v>
      </c>
      <c r="F4805" s="200" t="s">
        <v>298</v>
      </c>
    </row>
    <row r="4806" spans="1:9" ht="15" customHeight="1">
      <c r="A4806" s="199">
        <v>45735</v>
      </c>
      <c r="B4806" s="202" t="s">
        <v>959</v>
      </c>
      <c r="C4806" s="200" t="s">
        <v>398</v>
      </c>
      <c r="D4806" s="658">
        <v>-182370.52</v>
      </c>
      <c r="E4806" s="201">
        <v>45717</v>
      </c>
      <c r="F4806" s="200" t="s">
        <v>256</v>
      </c>
      <c r="G4806" s="200" t="s">
        <v>256</v>
      </c>
      <c r="H4806" s="541" t="s">
        <v>266</v>
      </c>
    </row>
    <row r="4807" spans="1:9" s="643" customFormat="1" ht="15" customHeight="1">
      <c r="A4807" s="640">
        <v>45741</v>
      </c>
      <c r="B4807" s="641" t="s">
        <v>3863</v>
      </c>
      <c r="C4807" s="641" t="s">
        <v>136</v>
      </c>
      <c r="D4807" s="642">
        <v>-298500</v>
      </c>
      <c r="E4807" s="644">
        <v>45717</v>
      </c>
      <c r="F4807" s="641" t="s">
        <v>296</v>
      </c>
      <c r="G4807" s="641" t="s">
        <v>337</v>
      </c>
      <c r="H4807" s="641" t="s">
        <v>421</v>
      </c>
      <c r="I4807" s="641"/>
    </row>
    <row r="4808" spans="1:9" ht="15" customHeight="1">
      <c r="A4808" s="199">
        <v>45741</v>
      </c>
      <c r="B4808" s="202" t="s">
        <v>3864</v>
      </c>
      <c r="C4808" s="200" t="s">
        <v>136</v>
      </c>
      <c r="D4808" s="204">
        <v>-168000</v>
      </c>
      <c r="E4808" s="201">
        <v>45717</v>
      </c>
      <c r="F4808" s="200" t="s">
        <v>296</v>
      </c>
      <c r="G4808" s="200" t="s">
        <v>44</v>
      </c>
      <c r="H4808" s="200" t="s">
        <v>421</v>
      </c>
    </row>
    <row r="4809" spans="1:9" ht="15" customHeight="1">
      <c r="A4809" s="199">
        <v>45741</v>
      </c>
      <c r="B4809" s="202" t="s">
        <v>3865</v>
      </c>
      <c r="C4809" s="200" t="s">
        <v>136</v>
      </c>
      <c r="D4809" s="204">
        <v>-3985200</v>
      </c>
      <c r="E4809" s="201">
        <v>45717</v>
      </c>
      <c r="F4809" s="200" t="s">
        <v>296</v>
      </c>
      <c r="G4809" s="200" t="s">
        <v>522</v>
      </c>
      <c r="H4809" s="200" t="s">
        <v>811</v>
      </c>
    </row>
    <row r="4810" spans="1:9" ht="15" customHeight="1">
      <c r="A4810" s="199">
        <v>45741</v>
      </c>
      <c r="B4810" s="202" t="s">
        <v>3866</v>
      </c>
      <c r="C4810" s="200" t="s">
        <v>372</v>
      </c>
      <c r="D4810" s="204">
        <v>-40500</v>
      </c>
      <c r="E4810" s="201">
        <v>45717</v>
      </c>
      <c r="F4810" s="200" t="s">
        <v>296</v>
      </c>
      <c r="G4810" s="200" t="s">
        <v>522</v>
      </c>
      <c r="H4810" s="200" t="s">
        <v>811</v>
      </c>
    </row>
    <row r="4811" spans="1:9" ht="15" customHeight="1">
      <c r="A4811" s="199">
        <v>45741</v>
      </c>
      <c r="B4811" s="202" t="s">
        <v>3867</v>
      </c>
      <c r="C4811" s="200" t="s">
        <v>372</v>
      </c>
      <c r="D4811" s="204">
        <v>-24300</v>
      </c>
      <c r="E4811" s="201">
        <v>45717</v>
      </c>
      <c r="F4811" s="200" t="s">
        <v>296</v>
      </c>
      <c r="G4811" s="200" t="s">
        <v>522</v>
      </c>
      <c r="H4811" s="200" t="s">
        <v>811</v>
      </c>
    </row>
    <row r="4812" spans="1:9" ht="15" customHeight="1">
      <c r="A4812" s="199">
        <v>45741</v>
      </c>
      <c r="B4812" s="202" t="s">
        <v>3868</v>
      </c>
      <c r="C4812" s="200" t="s">
        <v>136</v>
      </c>
      <c r="D4812" s="204">
        <v>-8220000</v>
      </c>
      <c r="E4812" s="201">
        <v>45717</v>
      </c>
      <c r="F4812" s="200" t="s">
        <v>296</v>
      </c>
      <c r="G4812" s="200" t="s">
        <v>522</v>
      </c>
      <c r="H4812" s="200" t="s">
        <v>488</v>
      </c>
    </row>
    <row r="4813" spans="1:9" ht="15" customHeight="1">
      <c r="A4813" s="199">
        <v>45741</v>
      </c>
      <c r="B4813" s="202" t="s">
        <v>3868</v>
      </c>
      <c r="C4813" s="200" t="s">
        <v>136</v>
      </c>
      <c r="D4813" s="204">
        <v>-3377500</v>
      </c>
      <c r="E4813" s="201">
        <v>45717</v>
      </c>
      <c r="F4813" s="200" t="s">
        <v>296</v>
      </c>
      <c r="G4813" s="200" t="s">
        <v>44</v>
      </c>
      <c r="H4813" s="200" t="s">
        <v>488</v>
      </c>
    </row>
    <row r="4814" spans="1:9" ht="15" customHeight="1">
      <c r="A4814" s="199">
        <v>45741</v>
      </c>
      <c r="B4814" s="202" t="s">
        <v>3868</v>
      </c>
      <c r="C4814" s="200" t="s">
        <v>136</v>
      </c>
      <c r="D4814" s="204">
        <v>-3377500</v>
      </c>
      <c r="E4814" s="201">
        <v>45717</v>
      </c>
      <c r="F4814" s="200" t="s">
        <v>296</v>
      </c>
      <c r="G4814" s="200" t="s">
        <v>44</v>
      </c>
      <c r="H4814" s="200" t="s">
        <v>366</v>
      </c>
    </row>
    <row r="4815" spans="1:9" ht="15" customHeight="1">
      <c r="A4815" s="199">
        <v>45742</v>
      </c>
      <c r="B4815" s="202" t="s">
        <v>3869</v>
      </c>
      <c r="C4815" s="200" t="s">
        <v>136</v>
      </c>
      <c r="D4815" s="204">
        <v>-383600</v>
      </c>
      <c r="E4815" s="201">
        <v>45717</v>
      </c>
      <c r="F4815" s="200" t="s">
        <v>256</v>
      </c>
      <c r="G4815" s="200" t="s">
        <v>256</v>
      </c>
      <c r="H4815" s="200" t="s">
        <v>269</v>
      </c>
    </row>
    <row r="4816" spans="1:9" ht="15" customHeight="1">
      <c r="A4816" s="199">
        <v>45742</v>
      </c>
      <c r="B4816" s="202" t="s">
        <v>3870</v>
      </c>
      <c r="C4816" s="200" t="s">
        <v>372</v>
      </c>
      <c r="D4816" s="204">
        <v>-14000</v>
      </c>
      <c r="E4816" s="201">
        <v>45717</v>
      </c>
      <c r="F4816" s="200" t="s">
        <v>256</v>
      </c>
      <c r="G4816" s="200" t="s">
        <v>256</v>
      </c>
      <c r="H4816" s="200" t="s">
        <v>269</v>
      </c>
    </row>
    <row r="4817" spans="1:9" ht="15" customHeight="1">
      <c r="A4817" s="199">
        <v>45742</v>
      </c>
      <c r="B4817" s="202" t="s">
        <v>3871</v>
      </c>
      <c r="C4817" s="200" t="s">
        <v>372</v>
      </c>
      <c r="D4817" s="204">
        <v>-2400</v>
      </c>
      <c r="E4817" s="201">
        <v>45717</v>
      </c>
      <c r="F4817" s="200" t="s">
        <v>256</v>
      </c>
      <c r="G4817" s="200" t="s">
        <v>256</v>
      </c>
      <c r="H4817" s="200" t="s">
        <v>269</v>
      </c>
    </row>
    <row r="4818" spans="1:9" ht="15" customHeight="1">
      <c r="A4818" s="199">
        <v>45742</v>
      </c>
      <c r="B4818" s="202" t="s">
        <v>3869</v>
      </c>
      <c r="C4818" s="200" t="s">
        <v>136</v>
      </c>
      <c r="D4818" s="204">
        <v>-160000</v>
      </c>
      <c r="E4818" s="201">
        <v>45717</v>
      </c>
      <c r="F4818" s="200" t="s">
        <v>296</v>
      </c>
      <c r="G4818" s="200" t="s">
        <v>522</v>
      </c>
      <c r="H4818" s="200" t="s">
        <v>322</v>
      </c>
    </row>
    <row r="4819" spans="1:9" ht="15" customHeight="1">
      <c r="A4819" s="199">
        <v>45742</v>
      </c>
      <c r="B4819" s="202" t="s">
        <v>3869</v>
      </c>
      <c r="C4819" s="200" t="s">
        <v>136</v>
      </c>
      <c r="D4819" s="204">
        <v>-160000</v>
      </c>
      <c r="E4819" s="201">
        <v>45717</v>
      </c>
      <c r="F4819" s="200" t="s">
        <v>296</v>
      </c>
      <c r="G4819" s="200" t="s">
        <v>453</v>
      </c>
      <c r="H4819" s="200" t="s">
        <v>97</v>
      </c>
    </row>
    <row r="4820" spans="1:9" ht="15" customHeight="1">
      <c r="A4820" s="199">
        <v>45742</v>
      </c>
      <c r="B4820" s="202" t="s">
        <v>3869</v>
      </c>
      <c r="C4820" s="200" t="s">
        <v>136</v>
      </c>
      <c r="D4820" s="204">
        <v>-80000</v>
      </c>
      <c r="E4820" s="201">
        <v>45717</v>
      </c>
      <c r="F4820" s="200" t="s">
        <v>296</v>
      </c>
      <c r="G4820" s="200" t="s">
        <v>453</v>
      </c>
      <c r="H4820" s="200" t="s">
        <v>97</v>
      </c>
    </row>
    <row r="4821" spans="1:9" ht="15" customHeight="1">
      <c r="A4821" s="199">
        <v>45742</v>
      </c>
      <c r="B4821" s="202" t="s">
        <v>3872</v>
      </c>
      <c r="C4821" s="200" t="s">
        <v>136</v>
      </c>
      <c r="D4821" s="204">
        <v>-1416000</v>
      </c>
      <c r="E4821" s="201">
        <v>45717</v>
      </c>
      <c r="F4821" s="200" t="s">
        <v>296</v>
      </c>
      <c r="G4821" s="200" t="s">
        <v>1124</v>
      </c>
      <c r="H4821" s="200" t="s">
        <v>346</v>
      </c>
    </row>
    <row r="4822" spans="1:9" ht="15" customHeight="1">
      <c r="A4822" s="199">
        <v>45742</v>
      </c>
      <c r="B4822" s="202" t="s">
        <v>3873</v>
      </c>
      <c r="C4822" s="200" t="s">
        <v>372</v>
      </c>
      <c r="D4822" s="204">
        <v>-12000</v>
      </c>
      <c r="E4822" s="201">
        <v>45717</v>
      </c>
      <c r="F4822" s="200" t="s">
        <v>296</v>
      </c>
      <c r="G4822" s="200" t="s">
        <v>1124</v>
      </c>
      <c r="H4822" s="200" t="s">
        <v>346</v>
      </c>
    </row>
    <row r="4823" spans="1:9" ht="15" customHeight="1">
      <c r="A4823" s="199">
        <v>45742</v>
      </c>
      <c r="B4823" s="202" t="s">
        <v>3874</v>
      </c>
      <c r="C4823" s="200" t="s">
        <v>314</v>
      </c>
      <c r="D4823" s="645">
        <v>-21900</v>
      </c>
      <c r="E4823" s="201">
        <v>45717</v>
      </c>
      <c r="F4823" s="200" t="s">
        <v>296</v>
      </c>
      <c r="G4823" s="200" t="s">
        <v>453</v>
      </c>
      <c r="H4823" s="200" t="s">
        <v>98</v>
      </c>
    </row>
    <row r="4824" spans="1:9" ht="15" customHeight="1">
      <c r="A4824" s="199">
        <v>45743</v>
      </c>
      <c r="B4824" s="202" t="s">
        <v>3875</v>
      </c>
      <c r="C4824" s="200" t="s">
        <v>314</v>
      </c>
      <c r="D4824" s="645">
        <v>-1060734</v>
      </c>
      <c r="E4824" s="201">
        <v>45717</v>
      </c>
      <c r="F4824" s="200" t="s">
        <v>297</v>
      </c>
      <c r="G4824" s="200" t="s">
        <v>388</v>
      </c>
      <c r="H4824" s="531" t="s">
        <v>386</v>
      </c>
      <c r="I4824" s="648" t="s">
        <v>329</v>
      </c>
    </row>
    <row r="4825" spans="1:9" ht="15" customHeight="1">
      <c r="A4825" s="199">
        <v>45743</v>
      </c>
      <c r="B4825" s="202" t="s">
        <v>3876</v>
      </c>
      <c r="C4825" s="200" t="s">
        <v>314</v>
      </c>
      <c r="D4825" s="645">
        <v>-606902</v>
      </c>
      <c r="E4825" s="201">
        <v>45717</v>
      </c>
      <c r="F4825" s="200" t="s">
        <v>297</v>
      </c>
      <c r="G4825" s="200" t="s">
        <v>1578</v>
      </c>
      <c r="H4825" s="531" t="s">
        <v>386</v>
      </c>
    </row>
    <row r="4826" spans="1:9" ht="15" customHeight="1">
      <c r="A4826" s="199">
        <v>45743</v>
      </c>
      <c r="B4826" s="202" t="s">
        <v>3877</v>
      </c>
      <c r="C4826" s="200" t="s">
        <v>314</v>
      </c>
      <c r="D4826" s="645">
        <v>-606900</v>
      </c>
      <c r="E4826" s="201">
        <v>45717</v>
      </c>
      <c r="F4826" s="200" t="s">
        <v>296</v>
      </c>
      <c r="G4826" s="200" t="s">
        <v>984</v>
      </c>
      <c r="H4826" s="531" t="s">
        <v>386</v>
      </c>
      <c r="I4826" s="648" t="s">
        <v>329</v>
      </c>
    </row>
    <row r="4827" spans="1:9" ht="15" customHeight="1">
      <c r="A4827" s="199">
        <v>45743</v>
      </c>
      <c r="B4827" s="202" t="s">
        <v>3878</v>
      </c>
      <c r="C4827" s="200" t="s">
        <v>314</v>
      </c>
      <c r="D4827" s="645">
        <v>-511070</v>
      </c>
      <c r="E4827" s="201">
        <v>45717</v>
      </c>
      <c r="F4827" s="200" t="s">
        <v>256</v>
      </c>
      <c r="G4827" s="200" t="s">
        <v>256</v>
      </c>
      <c r="H4827" s="200" t="s">
        <v>269</v>
      </c>
    </row>
    <row r="4828" spans="1:9" ht="15" customHeight="1">
      <c r="A4828" s="199">
        <v>45741</v>
      </c>
      <c r="B4828" s="202" t="s">
        <v>3879</v>
      </c>
      <c r="C4828" s="200" t="s">
        <v>204</v>
      </c>
      <c r="D4828" s="649">
        <v>-73224100</v>
      </c>
      <c r="E4828" s="201">
        <v>45717</v>
      </c>
      <c r="F4828" s="200" t="s">
        <v>296</v>
      </c>
      <c r="G4828" s="200" t="s">
        <v>44</v>
      </c>
      <c r="H4828" s="200" t="s">
        <v>2659</v>
      </c>
    </row>
    <row r="4829" spans="1:9" ht="15" customHeight="1">
      <c r="A4829" s="199">
        <v>45741</v>
      </c>
      <c r="B4829" s="202" t="s">
        <v>3880</v>
      </c>
      <c r="C4829" s="200" t="s">
        <v>372</v>
      </c>
      <c r="D4829" s="204">
        <v>-4817375</v>
      </c>
      <c r="E4829" s="201">
        <v>45717</v>
      </c>
      <c r="F4829" s="200" t="s">
        <v>296</v>
      </c>
      <c r="G4829" s="200" t="s">
        <v>44</v>
      </c>
      <c r="H4829" s="200" t="s">
        <v>2659</v>
      </c>
    </row>
    <row r="4830" spans="1:9" s="700" customFormat="1" ht="15" customHeight="1">
      <c r="A4830" s="698">
        <v>45741</v>
      </c>
      <c r="B4830" s="699" t="s">
        <v>3881</v>
      </c>
      <c r="C4830" s="699" t="s">
        <v>204</v>
      </c>
      <c r="D4830" s="728">
        <v>-29398223</v>
      </c>
      <c r="E4830" s="701">
        <v>45717</v>
      </c>
      <c r="F4830" s="699" t="s">
        <v>296</v>
      </c>
      <c r="G4830" s="699" t="s">
        <v>522</v>
      </c>
      <c r="H4830" s="699" t="s">
        <v>1854</v>
      </c>
      <c r="I4830" s="699"/>
    </row>
    <row r="4831" spans="1:9" s="700" customFormat="1" ht="15" customHeight="1">
      <c r="A4831" s="698">
        <v>45741</v>
      </c>
      <c r="B4831" s="699" t="s">
        <v>3881</v>
      </c>
      <c r="C4831" s="699" t="s">
        <v>204</v>
      </c>
      <c r="D4831" s="728">
        <v>-29398223</v>
      </c>
      <c r="E4831" s="701">
        <v>45717</v>
      </c>
      <c r="F4831" s="699" t="s">
        <v>296</v>
      </c>
      <c r="G4831" s="699" t="s">
        <v>807</v>
      </c>
      <c r="H4831" s="699" t="s">
        <v>1854</v>
      </c>
      <c r="I4831" s="699"/>
    </row>
    <row r="4832" spans="1:9" ht="15" customHeight="1">
      <c r="A4832" s="199">
        <v>45741</v>
      </c>
      <c r="B4832" s="202" t="s">
        <v>3882</v>
      </c>
      <c r="C4832" s="200" t="s">
        <v>204</v>
      </c>
      <c r="D4832" s="649">
        <v>-346500</v>
      </c>
      <c r="E4832" s="201">
        <v>45717</v>
      </c>
      <c r="F4832" s="200" t="s">
        <v>296</v>
      </c>
      <c r="G4832" s="200" t="s">
        <v>337</v>
      </c>
      <c r="H4832" s="200" t="s">
        <v>326</v>
      </c>
    </row>
    <row r="4833" spans="1:9" ht="15" customHeight="1">
      <c r="A4833" s="199">
        <v>45742</v>
      </c>
      <c r="B4833" s="202" t="s">
        <v>3883</v>
      </c>
      <c r="C4833" s="200" t="s">
        <v>204</v>
      </c>
      <c r="D4833" s="649">
        <v>-4510547</v>
      </c>
      <c r="E4833" s="201">
        <v>45717</v>
      </c>
      <c r="F4833" s="200" t="s">
        <v>296</v>
      </c>
      <c r="G4833" s="200" t="s">
        <v>392</v>
      </c>
      <c r="H4833" s="200" t="s">
        <v>1962</v>
      </c>
    </row>
    <row r="4834" spans="1:9" ht="15" customHeight="1">
      <c r="A4834" s="199">
        <v>45742</v>
      </c>
      <c r="B4834" s="202" t="s">
        <v>3884</v>
      </c>
      <c r="C4834" s="200" t="s">
        <v>204</v>
      </c>
      <c r="D4834" s="649">
        <v>-600000</v>
      </c>
      <c r="E4834" s="201">
        <v>45717</v>
      </c>
      <c r="F4834" s="200" t="s">
        <v>296</v>
      </c>
      <c r="G4834" s="200" t="s">
        <v>337</v>
      </c>
      <c r="H4834" s="200" t="s">
        <v>446</v>
      </c>
    </row>
    <row r="4835" spans="1:9" ht="15" customHeight="1">
      <c r="A4835" s="199">
        <v>45742</v>
      </c>
      <c r="B4835" s="202" t="s">
        <v>3884</v>
      </c>
      <c r="C4835" s="200" t="s">
        <v>372</v>
      </c>
      <c r="D4835" s="204">
        <v>-21762</v>
      </c>
      <c r="E4835" s="201">
        <v>45717</v>
      </c>
      <c r="F4835" s="200" t="s">
        <v>296</v>
      </c>
      <c r="G4835" s="200" t="s">
        <v>337</v>
      </c>
      <c r="H4835" s="200" t="s">
        <v>446</v>
      </c>
    </row>
    <row r="4836" spans="1:9" ht="15" customHeight="1">
      <c r="A4836" s="199">
        <v>45742</v>
      </c>
      <c r="B4836" s="202" t="s">
        <v>3884</v>
      </c>
      <c r="C4836" s="200" t="s">
        <v>204</v>
      </c>
      <c r="D4836" s="649">
        <v>-600000</v>
      </c>
      <c r="E4836" s="201">
        <v>45717</v>
      </c>
      <c r="F4836" s="200" t="s">
        <v>296</v>
      </c>
      <c r="G4836" s="200" t="s">
        <v>522</v>
      </c>
      <c r="H4836" s="200" t="s">
        <v>446</v>
      </c>
    </row>
    <row r="4837" spans="1:9" ht="15" customHeight="1">
      <c r="A4837" s="199">
        <v>45742</v>
      </c>
      <c r="B4837" s="202" t="s">
        <v>3884</v>
      </c>
      <c r="C4837" s="200" t="s">
        <v>372</v>
      </c>
      <c r="D4837" s="204">
        <v>-21762</v>
      </c>
      <c r="E4837" s="201">
        <v>45717</v>
      </c>
      <c r="F4837" s="200" t="s">
        <v>296</v>
      </c>
      <c r="G4837" s="200" t="s">
        <v>522</v>
      </c>
      <c r="H4837" s="200" t="s">
        <v>446</v>
      </c>
    </row>
    <row r="4838" spans="1:9" ht="15" customHeight="1">
      <c r="A4838" s="199">
        <v>45742</v>
      </c>
      <c r="B4838" s="202" t="s">
        <v>3884</v>
      </c>
      <c r="C4838" s="200" t="s">
        <v>204</v>
      </c>
      <c r="D4838" s="649">
        <v>-600000</v>
      </c>
      <c r="E4838" s="201">
        <v>45717</v>
      </c>
      <c r="F4838" s="200" t="s">
        <v>296</v>
      </c>
      <c r="G4838" s="200" t="s">
        <v>44</v>
      </c>
      <c r="H4838" s="200" t="s">
        <v>326</v>
      </c>
    </row>
    <row r="4839" spans="1:9" ht="15" customHeight="1">
      <c r="A4839" s="199">
        <v>45742</v>
      </c>
      <c r="B4839" s="202" t="s">
        <v>3884</v>
      </c>
      <c r="C4839" s="200" t="s">
        <v>372</v>
      </c>
      <c r="D4839" s="204">
        <v>-21762</v>
      </c>
      <c r="E4839" s="201">
        <v>45717</v>
      </c>
      <c r="F4839" s="200" t="s">
        <v>296</v>
      </c>
      <c r="G4839" s="200" t="s">
        <v>44</v>
      </c>
      <c r="H4839" s="200" t="s">
        <v>326</v>
      </c>
    </row>
    <row r="4840" spans="1:9" ht="15" customHeight="1">
      <c r="A4840" s="199">
        <v>45742</v>
      </c>
      <c r="B4840" s="202" t="s">
        <v>3885</v>
      </c>
      <c r="C4840" s="200" t="s">
        <v>204</v>
      </c>
      <c r="D4840" s="649">
        <v>-3990000</v>
      </c>
      <c r="E4840" s="201">
        <v>45717</v>
      </c>
      <c r="F4840" s="200" t="s">
        <v>296</v>
      </c>
      <c r="G4840" s="200" t="s">
        <v>522</v>
      </c>
      <c r="H4840" s="200" t="s">
        <v>2659</v>
      </c>
    </row>
    <row r="4841" spans="1:9" ht="15" customHeight="1">
      <c r="A4841" s="199">
        <v>45743</v>
      </c>
      <c r="B4841" s="202" t="s">
        <v>3886</v>
      </c>
      <c r="C4841" s="200" t="s">
        <v>204</v>
      </c>
      <c r="D4841" s="649">
        <v>-289600</v>
      </c>
      <c r="E4841" s="201">
        <v>45717</v>
      </c>
      <c r="F4841" s="200" t="s">
        <v>296</v>
      </c>
      <c r="G4841" s="200" t="s">
        <v>875</v>
      </c>
      <c r="H4841" s="200" t="s">
        <v>377</v>
      </c>
      <c r="I4841" s="648" t="s">
        <v>329</v>
      </c>
    </row>
    <row r="4842" spans="1:9" ht="15" customHeight="1">
      <c r="A4842" s="199">
        <v>45743</v>
      </c>
      <c r="B4842" s="202" t="s">
        <v>3628</v>
      </c>
      <c r="C4842" s="200" t="s">
        <v>204</v>
      </c>
      <c r="D4842" s="649">
        <v>-2553000</v>
      </c>
      <c r="E4842" s="201">
        <v>45717</v>
      </c>
      <c r="F4842" s="200" t="s">
        <v>296</v>
      </c>
      <c r="G4842" s="200" t="s">
        <v>1980</v>
      </c>
      <c r="H4842" s="200" t="s">
        <v>1560</v>
      </c>
    </row>
    <row r="4843" spans="1:9" ht="15" customHeight="1">
      <c r="A4843" s="199">
        <v>45743</v>
      </c>
      <c r="B4843" s="202" t="s">
        <v>3887</v>
      </c>
      <c r="C4843" s="200" t="s">
        <v>372</v>
      </c>
      <c r="D4843" s="204">
        <v>-638250</v>
      </c>
      <c r="E4843" s="201">
        <v>45717</v>
      </c>
      <c r="F4843" s="200" t="s">
        <v>296</v>
      </c>
      <c r="G4843" s="200" t="s">
        <v>1980</v>
      </c>
      <c r="H4843" s="200" t="s">
        <v>1560</v>
      </c>
    </row>
    <row r="4844" spans="1:9" ht="15" customHeight="1">
      <c r="A4844" s="199">
        <v>45743</v>
      </c>
      <c r="B4844" s="202" t="s">
        <v>3628</v>
      </c>
      <c r="C4844" s="200" t="s">
        <v>204</v>
      </c>
      <c r="D4844" s="649">
        <v>-2553000</v>
      </c>
      <c r="E4844" s="201">
        <v>45717</v>
      </c>
      <c r="F4844" s="200" t="s">
        <v>296</v>
      </c>
      <c r="G4844" s="200" t="s">
        <v>1983</v>
      </c>
      <c r="H4844" s="200" t="s">
        <v>1560</v>
      </c>
    </row>
    <row r="4845" spans="1:9" ht="15" customHeight="1">
      <c r="A4845" s="199">
        <v>45743</v>
      </c>
      <c r="B4845" s="202" t="s">
        <v>3887</v>
      </c>
      <c r="C4845" s="200" t="s">
        <v>372</v>
      </c>
      <c r="D4845" s="204">
        <v>-638250</v>
      </c>
      <c r="E4845" s="201">
        <v>45717</v>
      </c>
      <c r="F4845" s="200" t="s">
        <v>296</v>
      </c>
      <c r="G4845" s="200" t="s">
        <v>1983</v>
      </c>
      <c r="H4845" s="200" t="s">
        <v>1560</v>
      </c>
    </row>
    <row r="4846" spans="1:9" ht="15" customHeight="1">
      <c r="A4846" s="199">
        <v>45733</v>
      </c>
      <c r="B4846" s="202" t="s">
        <v>3888</v>
      </c>
      <c r="C4846" s="200" t="s">
        <v>204</v>
      </c>
      <c r="D4846" s="649">
        <v>-27000</v>
      </c>
      <c r="E4846" s="201">
        <v>45717</v>
      </c>
      <c r="F4846" s="200" t="s">
        <v>296</v>
      </c>
      <c r="G4846" s="200" t="s">
        <v>1362</v>
      </c>
      <c r="H4846" s="200" t="s">
        <v>350</v>
      </c>
    </row>
    <row r="4847" spans="1:9" ht="15" customHeight="1">
      <c r="A4847" s="199">
        <v>45734</v>
      </c>
      <c r="B4847" s="202" t="s">
        <v>3271</v>
      </c>
      <c r="C4847" s="200" t="s">
        <v>204</v>
      </c>
      <c r="D4847" s="649">
        <v>-20000</v>
      </c>
      <c r="E4847" s="201">
        <v>45717</v>
      </c>
      <c r="F4847" s="200" t="s">
        <v>296</v>
      </c>
      <c r="G4847" s="200" t="s">
        <v>1362</v>
      </c>
      <c r="H4847" s="200" t="s">
        <v>268</v>
      </c>
    </row>
    <row r="4848" spans="1:9" ht="15" customHeight="1">
      <c r="A4848" s="199">
        <v>45734</v>
      </c>
      <c r="B4848" s="202" t="s">
        <v>3279</v>
      </c>
      <c r="C4848" s="200" t="s">
        <v>204</v>
      </c>
      <c r="D4848" s="649">
        <v>-20000</v>
      </c>
      <c r="E4848" s="201">
        <v>45717</v>
      </c>
      <c r="F4848" s="200" t="s">
        <v>296</v>
      </c>
      <c r="G4848" s="200" t="s">
        <v>1362</v>
      </c>
      <c r="H4848" s="200" t="s">
        <v>268</v>
      </c>
    </row>
    <row r="4849" spans="1:9" ht="15" customHeight="1">
      <c r="A4849" s="199">
        <v>45743</v>
      </c>
      <c r="B4849" s="202" t="s">
        <v>3889</v>
      </c>
      <c r="C4849" s="200" t="s">
        <v>204</v>
      </c>
      <c r="D4849" s="649">
        <v>-800000</v>
      </c>
      <c r="E4849" s="201">
        <v>45717</v>
      </c>
      <c r="F4849" s="200" t="s">
        <v>296</v>
      </c>
      <c r="G4849" s="200" t="s">
        <v>453</v>
      </c>
      <c r="H4849" s="200" t="s">
        <v>97</v>
      </c>
    </row>
    <row r="4850" spans="1:9" ht="15" customHeight="1">
      <c r="A4850" s="199">
        <v>45743</v>
      </c>
      <c r="B4850" s="202" t="s">
        <v>3889</v>
      </c>
      <c r="C4850" s="200" t="s">
        <v>204</v>
      </c>
      <c r="D4850" s="649">
        <v>-500000</v>
      </c>
      <c r="E4850" s="201">
        <v>45717</v>
      </c>
      <c r="F4850" s="200" t="s">
        <v>296</v>
      </c>
      <c r="G4850" s="200" t="s">
        <v>453</v>
      </c>
      <c r="H4850" s="200" t="s">
        <v>97</v>
      </c>
    </row>
    <row r="4851" spans="1:9" ht="15" customHeight="1">
      <c r="A4851" s="199">
        <v>45743</v>
      </c>
      <c r="B4851" s="202" t="s">
        <v>3889</v>
      </c>
      <c r="C4851" s="200" t="s">
        <v>204</v>
      </c>
      <c r="D4851" s="649">
        <v>-26589</v>
      </c>
      <c r="E4851" s="201">
        <v>45717</v>
      </c>
      <c r="F4851" s="200" t="s">
        <v>296</v>
      </c>
      <c r="G4851" s="200" t="s">
        <v>453</v>
      </c>
      <c r="H4851" s="200" t="s">
        <v>97</v>
      </c>
    </row>
    <row r="4852" spans="1:9" ht="15" customHeight="1">
      <c r="A4852" s="199">
        <v>45743</v>
      </c>
      <c r="B4852" s="202" t="s">
        <v>3890</v>
      </c>
      <c r="C4852" s="200" t="s">
        <v>204</v>
      </c>
      <c r="D4852" s="649">
        <v>-740000</v>
      </c>
      <c r="E4852" s="201">
        <v>45717</v>
      </c>
      <c r="F4852" s="200" t="s">
        <v>296</v>
      </c>
      <c r="G4852" s="200" t="s">
        <v>453</v>
      </c>
      <c r="H4852" s="200" t="s">
        <v>102</v>
      </c>
    </row>
    <row r="4853" spans="1:9" ht="15" customHeight="1">
      <c r="A4853" s="199">
        <v>45743</v>
      </c>
      <c r="B4853" s="202" t="s">
        <v>3891</v>
      </c>
      <c r="C4853" s="200" t="s">
        <v>204</v>
      </c>
      <c r="D4853" s="649">
        <v>-10206850</v>
      </c>
      <c r="E4853" s="201">
        <v>45717</v>
      </c>
      <c r="F4853" s="200" t="s">
        <v>297</v>
      </c>
      <c r="G4853" s="200" t="s">
        <v>3892</v>
      </c>
      <c r="H4853" s="200" t="s">
        <v>839</v>
      </c>
    </row>
    <row r="4854" spans="1:9" ht="15" customHeight="1">
      <c r="A4854" s="199">
        <v>45743</v>
      </c>
      <c r="B4854" s="202" t="s">
        <v>3893</v>
      </c>
      <c r="C4854" s="200" t="s">
        <v>204</v>
      </c>
      <c r="D4854" s="649">
        <v>-32900</v>
      </c>
      <c r="E4854" s="201">
        <v>45717</v>
      </c>
      <c r="F4854" s="200" t="s">
        <v>256</v>
      </c>
      <c r="G4854" s="200" t="s">
        <v>256</v>
      </c>
      <c r="H4854" s="200" t="s">
        <v>267</v>
      </c>
    </row>
    <row r="4855" spans="1:9" ht="15" customHeight="1">
      <c r="A4855" s="199">
        <v>45743</v>
      </c>
      <c r="B4855" s="202" t="s">
        <v>3894</v>
      </c>
      <c r="C4855" s="200" t="s">
        <v>204</v>
      </c>
      <c r="D4855" s="649">
        <v>-694703</v>
      </c>
      <c r="E4855" s="201">
        <v>45717</v>
      </c>
      <c r="F4855" s="200" t="s">
        <v>296</v>
      </c>
      <c r="G4855" s="200" t="s">
        <v>1980</v>
      </c>
      <c r="H4855" s="200" t="s">
        <v>322</v>
      </c>
    </row>
    <row r="4856" spans="1:9" ht="15" customHeight="1">
      <c r="A4856" s="199">
        <v>45743</v>
      </c>
      <c r="B4856" s="202" t="s">
        <v>3894</v>
      </c>
      <c r="C4856" s="200" t="s">
        <v>204</v>
      </c>
      <c r="D4856" s="649">
        <v>-694703</v>
      </c>
      <c r="E4856" s="201">
        <v>45717</v>
      </c>
      <c r="F4856" s="200" t="s">
        <v>296</v>
      </c>
      <c r="G4856" s="200" t="s">
        <v>1983</v>
      </c>
      <c r="H4856" s="200" t="s">
        <v>322</v>
      </c>
    </row>
    <row r="4857" spans="1:9" ht="15" customHeight="1">
      <c r="A4857" s="199">
        <v>45743</v>
      </c>
      <c r="B4857" s="202" t="s">
        <v>3895</v>
      </c>
      <c r="C4857" s="200" t="s">
        <v>204</v>
      </c>
      <c r="D4857" s="649">
        <v>-486266</v>
      </c>
      <c r="E4857" s="201">
        <v>45717</v>
      </c>
      <c r="F4857" s="200" t="s">
        <v>296</v>
      </c>
      <c r="G4857" s="200" t="s">
        <v>2994</v>
      </c>
      <c r="H4857" s="200" t="s">
        <v>377</v>
      </c>
    </row>
    <row r="4858" spans="1:9" ht="15" customHeight="1">
      <c r="A4858" s="199">
        <v>45743</v>
      </c>
      <c r="B4858" s="202" t="s">
        <v>3896</v>
      </c>
      <c r="C4858" s="200" t="s">
        <v>204</v>
      </c>
      <c r="D4858" s="649">
        <v>-517868</v>
      </c>
      <c r="E4858" s="201">
        <v>45717</v>
      </c>
      <c r="F4858" s="200" t="s">
        <v>296</v>
      </c>
      <c r="G4858" s="200" t="s">
        <v>44</v>
      </c>
      <c r="H4858" s="200" t="s">
        <v>421</v>
      </c>
    </row>
    <row r="4859" spans="1:9" ht="15" customHeight="1">
      <c r="A4859" s="199">
        <v>45743</v>
      </c>
      <c r="B4859" s="202" t="s">
        <v>3897</v>
      </c>
      <c r="C4859" s="200" t="s">
        <v>204</v>
      </c>
      <c r="D4859" s="649">
        <v>-38250</v>
      </c>
      <c r="E4859" s="201">
        <v>45717</v>
      </c>
      <c r="F4859" s="200" t="s">
        <v>256</v>
      </c>
      <c r="G4859" s="200" t="s">
        <v>256</v>
      </c>
      <c r="H4859" s="200" t="s">
        <v>263</v>
      </c>
    </row>
    <row r="4860" spans="1:9" ht="15" customHeight="1">
      <c r="A4860" s="199">
        <v>45743</v>
      </c>
      <c r="B4860" s="202" t="s">
        <v>3898</v>
      </c>
      <c r="C4860" s="200" t="s">
        <v>204</v>
      </c>
      <c r="D4860" s="649">
        <v>-208739</v>
      </c>
      <c r="E4860" s="201">
        <v>45717</v>
      </c>
      <c r="F4860" s="200" t="s">
        <v>256</v>
      </c>
      <c r="G4860" s="200" t="s">
        <v>256</v>
      </c>
      <c r="H4860" s="200" t="s">
        <v>267</v>
      </c>
    </row>
    <row r="4861" spans="1:9" ht="15" customHeight="1">
      <c r="A4861" s="199">
        <v>45743</v>
      </c>
      <c r="B4861" s="202" t="s">
        <v>3899</v>
      </c>
      <c r="C4861" s="200" t="s">
        <v>372</v>
      </c>
      <c r="D4861" s="204">
        <v>-21260</v>
      </c>
      <c r="E4861" s="201">
        <v>45717</v>
      </c>
      <c r="F4861" s="200" t="s">
        <v>256</v>
      </c>
      <c r="G4861" s="200" t="s">
        <v>256</v>
      </c>
      <c r="H4861" s="200" t="s">
        <v>267</v>
      </c>
    </row>
    <row r="4862" spans="1:9" ht="15" customHeight="1">
      <c r="A4862" s="199">
        <v>45743</v>
      </c>
      <c r="B4862" s="202" t="s">
        <v>3900</v>
      </c>
      <c r="C4862" s="200" t="s">
        <v>204</v>
      </c>
      <c r="D4862" s="649">
        <v>-4406025</v>
      </c>
      <c r="E4862" s="201">
        <v>45717</v>
      </c>
      <c r="F4862" s="200" t="s">
        <v>296</v>
      </c>
      <c r="G4862" s="200" t="s">
        <v>1825</v>
      </c>
      <c r="H4862" s="200" t="s">
        <v>488</v>
      </c>
    </row>
    <row r="4863" spans="1:9" ht="15" customHeight="1">
      <c r="A4863" s="199">
        <v>45743</v>
      </c>
      <c r="B4863" s="202" t="s">
        <v>3901</v>
      </c>
      <c r="C4863" s="200" t="s">
        <v>204</v>
      </c>
      <c r="D4863" s="649">
        <v>-44181129</v>
      </c>
      <c r="E4863" s="201">
        <v>45717</v>
      </c>
      <c r="F4863" s="200" t="s">
        <v>296</v>
      </c>
      <c r="G4863" s="200" t="s">
        <v>44</v>
      </c>
      <c r="H4863" s="200" t="s">
        <v>1104</v>
      </c>
    </row>
    <row r="4864" spans="1:9" ht="15" customHeight="1">
      <c r="A4864" s="199">
        <v>45743</v>
      </c>
      <c r="B4864" s="202" t="s">
        <v>3902</v>
      </c>
      <c r="C4864" s="200" t="s">
        <v>204</v>
      </c>
      <c r="D4864" s="649">
        <v>-64403750</v>
      </c>
      <c r="E4864" s="201">
        <v>45717</v>
      </c>
      <c r="F4864" s="200" t="s">
        <v>296</v>
      </c>
      <c r="G4864" s="200" t="s">
        <v>807</v>
      </c>
      <c r="H4864" s="200" t="s">
        <v>1104</v>
      </c>
      <c r="I4864" s="648" t="s">
        <v>329</v>
      </c>
    </row>
    <row r="4865" spans="1:9" ht="15" customHeight="1">
      <c r="A4865" s="199">
        <v>45743</v>
      </c>
      <c r="B4865" s="202" t="s">
        <v>3903</v>
      </c>
      <c r="C4865" s="200" t="s">
        <v>204</v>
      </c>
      <c r="D4865" s="649">
        <v>-7181100</v>
      </c>
      <c r="E4865" s="201">
        <v>45717</v>
      </c>
      <c r="F4865" s="200" t="s">
        <v>256</v>
      </c>
      <c r="G4865" s="200" t="s">
        <v>256</v>
      </c>
      <c r="H4865" s="200" t="s">
        <v>261</v>
      </c>
    </row>
    <row r="4866" spans="1:9" s="700" customFormat="1" ht="15" customHeight="1">
      <c r="A4866" s="698">
        <v>45743</v>
      </c>
      <c r="B4866" s="699" t="s">
        <v>3904</v>
      </c>
      <c r="C4866" s="699" t="s">
        <v>204</v>
      </c>
      <c r="D4866" s="728">
        <v>-190800</v>
      </c>
      <c r="E4866" s="701">
        <v>45717</v>
      </c>
      <c r="F4866" s="699" t="s">
        <v>297</v>
      </c>
      <c r="G4866" s="699" t="s">
        <v>1313</v>
      </c>
      <c r="H4866" s="699" t="s">
        <v>342</v>
      </c>
      <c r="I4866" s="699"/>
    </row>
    <row r="4867" spans="1:9" ht="15" customHeight="1">
      <c r="A4867" s="199">
        <v>45744</v>
      </c>
      <c r="B4867" s="202" t="s">
        <v>3905</v>
      </c>
      <c r="C4867" s="200" t="s">
        <v>204</v>
      </c>
      <c r="D4867" s="649">
        <v>-1955000</v>
      </c>
      <c r="E4867" s="201">
        <v>45717</v>
      </c>
      <c r="F4867" s="200" t="s">
        <v>256</v>
      </c>
      <c r="G4867" s="200" t="s">
        <v>107</v>
      </c>
      <c r="H4867" s="200" t="s">
        <v>777</v>
      </c>
    </row>
    <row r="4868" spans="1:9" ht="15" customHeight="1">
      <c r="A4868" s="199">
        <v>45744</v>
      </c>
      <c r="B4868" s="202" t="s">
        <v>3906</v>
      </c>
      <c r="C4868" s="200" t="s">
        <v>372</v>
      </c>
      <c r="D4868" s="204">
        <v>-68000</v>
      </c>
      <c r="E4868" s="201">
        <v>45717</v>
      </c>
      <c r="F4868" s="200" t="s">
        <v>256</v>
      </c>
      <c r="G4868" s="200" t="s">
        <v>107</v>
      </c>
      <c r="H4868" s="200" t="s">
        <v>777</v>
      </c>
    </row>
    <row r="4869" spans="1:9" ht="15" customHeight="1">
      <c r="A4869" s="199">
        <v>45744</v>
      </c>
      <c r="B4869" s="202" t="s">
        <v>3905</v>
      </c>
      <c r="C4869" s="200" t="s">
        <v>204</v>
      </c>
      <c r="D4869" s="649">
        <v>-2737000</v>
      </c>
      <c r="E4869" s="201">
        <v>45717</v>
      </c>
      <c r="F4869" s="200" t="s">
        <v>256</v>
      </c>
      <c r="G4869" s="200" t="s">
        <v>107</v>
      </c>
      <c r="H4869" s="200" t="s">
        <v>777</v>
      </c>
    </row>
    <row r="4870" spans="1:9" ht="15" customHeight="1">
      <c r="A4870" s="199">
        <v>45744</v>
      </c>
      <c r="B4870" s="202" t="s">
        <v>3907</v>
      </c>
      <c r="C4870" s="200" t="s">
        <v>372</v>
      </c>
      <c r="D4870" s="204">
        <v>-95200</v>
      </c>
      <c r="E4870" s="201">
        <v>45717</v>
      </c>
      <c r="F4870" s="200" t="s">
        <v>256</v>
      </c>
      <c r="G4870" s="200" t="s">
        <v>107</v>
      </c>
      <c r="H4870" s="200" t="s">
        <v>777</v>
      </c>
    </row>
    <row r="4871" spans="1:9" ht="15" customHeight="1">
      <c r="A4871" s="199">
        <v>45744</v>
      </c>
      <c r="B4871" s="202" t="s">
        <v>3908</v>
      </c>
      <c r="C4871" s="200" t="s">
        <v>204</v>
      </c>
      <c r="D4871" s="649">
        <v>-18676350</v>
      </c>
      <c r="E4871" s="201">
        <v>45717</v>
      </c>
      <c r="F4871" s="200" t="s">
        <v>296</v>
      </c>
      <c r="G4871" s="200" t="s">
        <v>1124</v>
      </c>
      <c r="H4871" s="200" t="s">
        <v>839</v>
      </c>
    </row>
    <row r="4872" spans="1:9" ht="15" customHeight="1">
      <c r="A4872" s="199">
        <v>45744</v>
      </c>
      <c r="B4872" s="202" t="s">
        <v>3909</v>
      </c>
      <c r="C4872" s="200" t="s">
        <v>204</v>
      </c>
      <c r="D4872" s="649">
        <v>-7634940</v>
      </c>
      <c r="E4872" s="201">
        <v>45717</v>
      </c>
      <c r="F4872" s="200" t="s">
        <v>297</v>
      </c>
      <c r="G4872" s="200" t="s">
        <v>1578</v>
      </c>
      <c r="H4872" s="200" t="s">
        <v>839</v>
      </c>
    </row>
    <row r="4873" spans="1:9" ht="15" customHeight="1">
      <c r="A4873" s="199">
        <v>45744</v>
      </c>
      <c r="B4873" s="202" t="s">
        <v>3910</v>
      </c>
      <c r="C4873" s="200" t="s">
        <v>204</v>
      </c>
      <c r="D4873" s="649">
        <v>-11782950</v>
      </c>
      <c r="E4873" s="201">
        <v>45717</v>
      </c>
      <c r="F4873" s="200" t="s">
        <v>297</v>
      </c>
      <c r="G4873" s="200" t="s">
        <v>1313</v>
      </c>
      <c r="H4873" s="200" t="s">
        <v>839</v>
      </c>
    </row>
    <row r="4874" spans="1:9" ht="15" customHeight="1">
      <c r="A4874" s="199">
        <v>45744</v>
      </c>
      <c r="B4874" s="202" t="s">
        <v>3911</v>
      </c>
      <c r="C4874" s="200" t="s">
        <v>204</v>
      </c>
      <c r="D4874" s="649">
        <v>-176000</v>
      </c>
      <c r="E4874" s="201">
        <v>45717</v>
      </c>
      <c r="F4874" s="200" t="s">
        <v>296</v>
      </c>
      <c r="G4874" s="200" t="s">
        <v>392</v>
      </c>
      <c r="H4874" s="200" t="s">
        <v>839</v>
      </c>
      <c r="I4874" s="648" t="s">
        <v>329</v>
      </c>
    </row>
    <row r="4875" spans="1:9" ht="15" customHeight="1">
      <c r="A4875" s="199">
        <v>45744</v>
      </c>
      <c r="B4875" s="202" t="s">
        <v>3912</v>
      </c>
      <c r="C4875" s="200" t="s">
        <v>204</v>
      </c>
      <c r="D4875" s="649">
        <v>-7716062</v>
      </c>
      <c r="E4875" s="201">
        <v>45717</v>
      </c>
      <c r="F4875" s="200" t="s">
        <v>296</v>
      </c>
      <c r="G4875" s="200" t="s">
        <v>1124</v>
      </c>
      <c r="H4875" s="200" t="s">
        <v>377</v>
      </c>
    </row>
    <row r="4876" spans="1:9" ht="15" customHeight="1">
      <c r="A4876" s="199">
        <v>45744</v>
      </c>
      <c r="B4876" s="202" t="s">
        <v>3913</v>
      </c>
      <c r="C4876" s="200" t="s">
        <v>372</v>
      </c>
      <c r="D4876" s="204">
        <v>-338424</v>
      </c>
      <c r="E4876" s="201">
        <v>45717</v>
      </c>
      <c r="F4876" s="200" t="s">
        <v>296</v>
      </c>
      <c r="G4876" s="200" t="s">
        <v>1124</v>
      </c>
      <c r="H4876" s="200" t="s">
        <v>377</v>
      </c>
    </row>
    <row r="4877" spans="1:9" ht="15" customHeight="1">
      <c r="A4877" s="199">
        <v>45744</v>
      </c>
      <c r="B4877" s="202" t="s">
        <v>1925</v>
      </c>
      <c r="C4877" s="200" t="s">
        <v>204</v>
      </c>
      <c r="D4877" s="649">
        <v>-89712</v>
      </c>
      <c r="E4877" s="201">
        <v>45717</v>
      </c>
      <c r="F4877" s="200" t="s">
        <v>296</v>
      </c>
      <c r="G4877" s="200" t="s">
        <v>337</v>
      </c>
      <c r="H4877" s="200" t="s">
        <v>326</v>
      </c>
    </row>
    <row r="4878" spans="1:9" ht="15" customHeight="1">
      <c r="A4878" s="199">
        <v>45744</v>
      </c>
      <c r="B4878" s="202" t="s">
        <v>1925</v>
      </c>
      <c r="C4878" s="200" t="s">
        <v>204</v>
      </c>
      <c r="D4878" s="649">
        <v>-66000</v>
      </c>
      <c r="E4878" s="201">
        <v>45717</v>
      </c>
      <c r="F4878" s="200" t="s">
        <v>395</v>
      </c>
      <c r="G4878" s="531" t="s">
        <v>395</v>
      </c>
      <c r="H4878" s="200" t="s">
        <v>268</v>
      </c>
      <c r="I4878" s="673"/>
    </row>
    <row r="4879" spans="1:9" ht="15" customHeight="1">
      <c r="A4879" s="199">
        <v>45744</v>
      </c>
      <c r="B4879" s="202" t="s">
        <v>1925</v>
      </c>
      <c r="C4879" s="200" t="s">
        <v>204</v>
      </c>
      <c r="D4879" s="649">
        <v>-61000</v>
      </c>
      <c r="E4879" s="201">
        <v>45717</v>
      </c>
      <c r="F4879" s="200" t="s">
        <v>297</v>
      </c>
      <c r="G4879" s="200" t="s">
        <v>1313</v>
      </c>
      <c r="H4879" s="200" t="s">
        <v>268</v>
      </c>
    </row>
    <row r="4880" spans="1:9" ht="15" customHeight="1">
      <c r="A4880" s="199">
        <v>45743</v>
      </c>
      <c r="B4880" s="202" t="s">
        <v>3901</v>
      </c>
      <c r="C4880" s="200" t="s">
        <v>204</v>
      </c>
      <c r="D4880" s="649">
        <v>-26518818</v>
      </c>
      <c r="E4880" s="201">
        <v>45717</v>
      </c>
      <c r="F4880" s="200" t="s">
        <v>296</v>
      </c>
      <c r="G4880" s="200" t="s">
        <v>522</v>
      </c>
      <c r="H4880" s="200" t="s">
        <v>1104</v>
      </c>
    </row>
    <row r="4881" spans="1:9" ht="15" customHeight="1">
      <c r="A4881" s="199">
        <v>45744</v>
      </c>
      <c r="B4881" s="202" t="s">
        <v>1925</v>
      </c>
      <c r="C4881" s="200" t="s">
        <v>204</v>
      </c>
      <c r="D4881" s="649">
        <v>-38000</v>
      </c>
      <c r="E4881" s="201">
        <v>45717</v>
      </c>
      <c r="F4881" s="200" t="s">
        <v>296</v>
      </c>
      <c r="G4881" s="200" t="s">
        <v>522</v>
      </c>
      <c r="H4881" s="200" t="s">
        <v>442</v>
      </c>
    </row>
    <row r="4882" spans="1:9" ht="15" customHeight="1">
      <c r="A4882" s="199">
        <v>45744</v>
      </c>
      <c r="B4882" s="202" t="s">
        <v>1925</v>
      </c>
      <c r="C4882" s="200" t="s">
        <v>204</v>
      </c>
      <c r="D4882" s="649">
        <v>-76000</v>
      </c>
      <c r="E4882" s="201">
        <v>45717</v>
      </c>
      <c r="F4882" s="200" t="s">
        <v>297</v>
      </c>
      <c r="G4882" s="200" t="s">
        <v>1578</v>
      </c>
      <c r="H4882" s="200" t="s">
        <v>268</v>
      </c>
    </row>
    <row r="4883" spans="1:9" ht="15" customHeight="1">
      <c r="A4883" s="199">
        <v>45744</v>
      </c>
      <c r="B4883" s="202" t="s">
        <v>1925</v>
      </c>
      <c r="C4883" s="200" t="s">
        <v>204</v>
      </c>
      <c r="D4883" s="649">
        <v>-71000</v>
      </c>
      <c r="E4883" s="201">
        <v>45717</v>
      </c>
      <c r="F4883" s="200" t="s">
        <v>395</v>
      </c>
      <c r="G4883" s="531" t="s">
        <v>395</v>
      </c>
      <c r="H4883" s="200" t="s">
        <v>268</v>
      </c>
      <c r="I4883" s="673"/>
    </row>
    <row r="4884" spans="1:9" ht="15" customHeight="1">
      <c r="A4884" s="199">
        <v>45744</v>
      </c>
      <c r="B4884" s="202" t="s">
        <v>1925</v>
      </c>
      <c r="C4884" s="200" t="s">
        <v>204</v>
      </c>
      <c r="D4884" s="649">
        <v>-90000</v>
      </c>
      <c r="E4884" s="201">
        <v>45717</v>
      </c>
      <c r="F4884" s="200" t="s">
        <v>296</v>
      </c>
      <c r="G4884" s="200" t="s">
        <v>2994</v>
      </c>
      <c r="H4884" s="200" t="s">
        <v>268</v>
      </c>
    </row>
    <row r="4885" spans="1:9" ht="15" customHeight="1">
      <c r="A4885" s="199">
        <v>45744</v>
      </c>
      <c r="B4885" s="202" t="s">
        <v>1925</v>
      </c>
      <c r="C4885" s="200" t="s">
        <v>204</v>
      </c>
      <c r="D4885" s="649">
        <v>-18000</v>
      </c>
      <c r="E4885" s="201">
        <v>45717</v>
      </c>
      <c r="F4885" s="200" t="s">
        <v>296</v>
      </c>
      <c r="G4885" s="200" t="s">
        <v>44</v>
      </c>
      <c r="H4885" s="200" t="s">
        <v>442</v>
      </c>
    </row>
    <row r="4886" spans="1:9" ht="15" customHeight="1">
      <c r="A4886" s="199">
        <v>45744</v>
      </c>
      <c r="B4886" s="202" t="s">
        <v>1926</v>
      </c>
      <c r="C4886" s="200" t="s">
        <v>372</v>
      </c>
      <c r="D4886" s="204">
        <v>-5180</v>
      </c>
      <c r="E4886" s="201">
        <v>45717</v>
      </c>
      <c r="F4886" s="200" t="s">
        <v>296</v>
      </c>
      <c r="G4886" s="200" t="s">
        <v>337</v>
      </c>
      <c r="H4886" s="200" t="s">
        <v>326</v>
      </c>
    </row>
    <row r="4887" spans="1:9" ht="15" customHeight="1">
      <c r="A4887" s="199">
        <v>45744</v>
      </c>
      <c r="B4887" s="202" t="s">
        <v>1927</v>
      </c>
      <c r="C4887" s="200" t="s">
        <v>372</v>
      </c>
      <c r="D4887" s="204">
        <v>-3108</v>
      </c>
      <c r="E4887" s="201">
        <v>45717</v>
      </c>
      <c r="F4887" s="200" t="s">
        <v>296</v>
      </c>
      <c r="G4887" s="200" t="s">
        <v>337</v>
      </c>
      <c r="H4887" s="200" t="s">
        <v>326</v>
      </c>
    </row>
    <row r="4888" spans="1:9" ht="15" customHeight="1">
      <c r="A4888" s="199">
        <v>45744</v>
      </c>
      <c r="B4888" s="202" t="s">
        <v>3914</v>
      </c>
      <c r="C4888" s="200" t="s">
        <v>204</v>
      </c>
      <c r="D4888" s="649">
        <v>-2288000</v>
      </c>
      <c r="E4888" s="201">
        <v>45717</v>
      </c>
      <c r="F4888" s="200" t="s">
        <v>256</v>
      </c>
      <c r="G4888" s="200" t="s">
        <v>107</v>
      </c>
      <c r="H4888" s="200" t="s">
        <v>777</v>
      </c>
    </row>
    <row r="4889" spans="1:9" ht="15" customHeight="1">
      <c r="A4889" s="199">
        <v>45744</v>
      </c>
      <c r="B4889" s="202" t="s">
        <v>3915</v>
      </c>
      <c r="C4889" s="200" t="s">
        <v>204</v>
      </c>
      <c r="D4889" s="649">
        <v>-314207</v>
      </c>
      <c r="E4889" s="201">
        <v>45717</v>
      </c>
      <c r="F4889" s="200" t="s">
        <v>256</v>
      </c>
      <c r="G4889" s="200" t="s">
        <v>256</v>
      </c>
      <c r="H4889" s="200" t="s">
        <v>263</v>
      </c>
    </row>
    <row r="4890" spans="1:9" ht="15" customHeight="1">
      <c r="A4890" s="199">
        <v>45744</v>
      </c>
      <c r="B4890" s="202" t="s">
        <v>3916</v>
      </c>
      <c r="C4890" s="200" t="s">
        <v>372</v>
      </c>
      <c r="D4890" s="204">
        <v>-1592</v>
      </c>
      <c r="E4890" s="201">
        <v>45717</v>
      </c>
      <c r="F4890" s="200" t="s">
        <v>256</v>
      </c>
      <c r="G4890" s="200" t="s">
        <v>256</v>
      </c>
      <c r="H4890" s="200" t="s">
        <v>263</v>
      </c>
    </row>
    <row r="4891" spans="1:9" ht="15" customHeight="1">
      <c r="A4891" s="199">
        <v>45744</v>
      </c>
      <c r="B4891" s="202" t="s">
        <v>3915</v>
      </c>
      <c r="C4891" s="200" t="s">
        <v>204</v>
      </c>
      <c r="D4891" s="649">
        <v>-208344</v>
      </c>
      <c r="E4891" s="201">
        <v>45717</v>
      </c>
      <c r="F4891" s="200" t="s">
        <v>395</v>
      </c>
      <c r="G4891" s="531" t="s">
        <v>395</v>
      </c>
      <c r="H4891" s="200" t="s">
        <v>350</v>
      </c>
      <c r="I4891" s="673"/>
    </row>
    <row r="4892" spans="1:9" ht="15" customHeight="1">
      <c r="A4892" s="199">
        <v>45744</v>
      </c>
      <c r="B4892" s="202" t="s">
        <v>3916</v>
      </c>
      <c r="C4892" s="200" t="s">
        <v>372</v>
      </c>
      <c r="D4892" s="204">
        <v>-1056</v>
      </c>
      <c r="E4892" s="201">
        <v>45717</v>
      </c>
      <c r="F4892" s="200" t="s">
        <v>395</v>
      </c>
      <c r="G4892" s="531" t="s">
        <v>395</v>
      </c>
      <c r="H4892" s="200" t="s">
        <v>350</v>
      </c>
    </row>
    <row r="4893" spans="1:9" ht="15" customHeight="1">
      <c r="A4893" s="199">
        <v>45744</v>
      </c>
      <c r="B4893" s="202" t="s">
        <v>3915</v>
      </c>
      <c r="C4893" s="200" t="s">
        <v>204</v>
      </c>
      <c r="D4893" s="649">
        <v>-129544</v>
      </c>
      <c r="E4893" s="201">
        <v>45717</v>
      </c>
      <c r="F4893" s="200" t="s">
        <v>296</v>
      </c>
      <c r="G4893" s="200" t="s">
        <v>2994</v>
      </c>
      <c r="H4893" s="200" t="s">
        <v>350</v>
      </c>
    </row>
    <row r="4894" spans="1:9" ht="15" customHeight="1">
      <c r="A4894" s="199">
        <v>45744</v>
      </c>
      <c r="B4894" s="202" t="s">
        <v>3916</v>
      </c>
      <c r="C4894" s="200" t="s">
        <v>372</v>
      </c>
      <c r="D4894" s="204">
        <v>-656</v>
      </c>
      <c r="E4894" s="201">
        <v>45717</v>
      </c>
      <c r="F4894" s="200" t="s">
        <v>296</v>
      </c>
      <c r="G4894" s="200" t="s">
        <v>2994</v>
      </c>
      <c r="H4894" s="200" t="s">
        <v>350</v>
      </c>
    </row>
    <row r="4895" spans="1:9" ht="15" customHeight="1">
      <c r="A4895" s="199">
        <v>45744</v>
      </c>
      <c r="B4895" s="202" t="s">
        <v>3915</v>
      </c>
      <c r="C4895" s="200" t="s">
        <v>204</v>
      </c>
      <c r="D4895" s="649">
        <v>-34117</v>
      </c>
      <c r="E4895" s="201">
        <v>45717</v>
      </c>
      <c r="F4895" s="200" t="s">
        <v>297</v>
      </c>
      <c r="G4895" s="200" t="s">
        <v>1313</v>
      </c>
      <c r="H4895" s="200" t="s">
        <v>350</v>
      </c>
    </row>
    <row r="4896" spans="1:9" ht="15" customHeight="1">
      <c r="A4896" s="199">
        <v>45744</v>
      </c>
      <c r="B4896" s="202" t="s">
        <v>3916</v>
      </c>
      <c r="C4896" s="200" t="s">
        <v>372</v>
      </c>
      <c r="D4896" s="204">
        <v>-173</v>
      </c>
      <c r="E4896" s="201">
        <v>45717</v>
      </c>
      <c r="F4896" s="200" t="s">
        <v>297</v>
      </c>
      <c r="G4896" s="200" t="s">
        <v>1313</v>
      </c>
      <c r="H4896" s="200" t="s">
        <v>350</v>
      </c>
    </row>
    <row r="4897" spans="1:10" ht="15" customHeight="1">
      <c r="A4897" s="199">
        <v>45744</v>
      </c>
      <c r="B4897" s="202" t="s">
        <v>3917</v>
      </c>
      <c r="C4897" s="200" t="s">
        <v>204</v>
      </c>
      <c r="D4897" s="649">
        <v>-684724</v>
      </c>
      <c r="E4897" s="201">
        <v>45717</v>
      </c>
      <c r="F4897" s="200" t="s">
        <v>296</v>
      </c>
      <c r="G4897" s="200" t="s">
        <v>522</v>
      </c>
      <c r="H4897" s="200" t="s">
        <v>488</v>
      </c>
    </row>
    <row r="4898" spans="1:10" ht="15" customHeight="1">
      <c r="A4898" s="199">
        <v>45744</v>
      </c>
      <c r="B4898" s="202" t="s">
        <v>3918</v>
      </c>
      <c r="C4898" s="200" t="s">
        <v>372</v>
      </c>
      <c r="D4898" s="204">
        <v>-3470</v>
      </c>
      <c r="E4898" s="201">
        <v>45717</v>
      </c>
      <c r="F4898" s="200" t="s">
        <v>296</v>
      </c>
      <c r="G4898" s="200" t="s">
        <v>522</v>
      </c>
      <c r="H4898" s="200" t="s">
        <v>488</v>
      </c>
    </row>
    <row r="4899" spans="1:10" s="807" customFormat="1" ht="15" customHeight="1">
      <c r="A4899" s="803">
        <v>45744</v>
      </c>
      <c r="B4899" s="804" t="s">
        <v>3919</v>
      </c>
      <c r="C4899" s="804" t="s">
        <v>204</v>
      </c>
      <c r="D4899" s="805">
        <v>-10940000</v>
      </c>
      <c r="E4899" s="806">
        <v>45717</v>
      </c>
      <c r="F4899" s="804" t="s">
        <v>296</v>
      </c>
      <c r="G4899" s="804" t="s">
        <v>1735</v>
      </c>
      <c r="H4899" s="804" t="s">
        <v>839</v>
      </c>
      <c r="I4899" s="804"/>
      <c r="J4899" s="807" t="s">
        <v>3920</v>
      </c>
    </row>
    <row r="4900" spans="1:10" ht="15" customHeight="1">
      <c r="A4900" s="199">
        <v>45744</v>
      </c>
      <c r="B4900" s="202" t="s">
        <v>3921</v>
      </c>
      <c r="C4900" s="200" t="s">
        <v>204</v>
      </c>
      <c r="D4900" s="649">
        <v>-2966619</v>
      </c>
      <c r="E4900" s="201">
        <v>45717</v>
      </c>
      <c r="F4900" s="200" t="s">
        <v>296</v>
      </c>
      <c r="G4900" s="200" t="s">
        <v>453</v>
      </c>
      <c r="H4900" s="200" t="s">
        <v>98</v>
      </c>
    </row>
    <row r="4901" spans="1:10" ht="15" customHeight="1">
      <c r="A4901" s="199">
        <v>45744</v>
      </c>
      <c r="B4901" s="202" t="s">
        <v>3922</v>
      </c>
      <c r="C4901" s="200" t="s">
        <v>204</v>
      </c>
      <c r="D4901" s="649">
        <v>-498466</v>
      </c>
      <c r="E4901" s="201">
        <v>45717</v>
      </c>
      <c r="F4901" s="200" t="s">
        <v>256</v>
      </c>
      <c r="G4901" s="200" t="s">
        <v>256</v>
      </c>
      <c r="H4901" s="200" t="s">
        <v>9</v>
      </c>
    </row>
    <row r="4902" spans="1:10" ht="15" customHeight="1">
      <c r="A4902" s="199">
        <v>45744</v>
      </c>
      <c r="B4902" s="202" t="s">
        <v>3923</v>
      </c>
      <c r="C4902" s="200" t="s">
        <v>204</v>
      </c>
      <c r="D4902" s="649">
        <v>-628869</v>
      </c>
      <c r="E4902" s="201">
        <v>45717</v>
      </c>
      <c r="F4902" s="200" t="s">
        <v>256</v>
      </c>
      <c r="G4902" s="200" t="s">
        <v>256</v>
      </c>
      <c r="H4902" s="200" t="s">
        <v>9</v>
      </c>
    </row>
    <row r="4903" spans="1:10" ht="15" customHeight="1">
      <c r="A4903" s="199">
        <v>45744</v>
      </c>
      <c r="B4903" s="202" t="s">
        <v>3924</v>
      </c>
      <c r="C4903" s="200" t="s">
        <v>204</v>
      </c>
      <c r="D4903" s="649">
        <v>-3570000</v>
      </c>
      <c r="E4903" s="201">
        <v>45717</v>
      </c>
      <c r="F4903" s="200" t="s">
        <v>296</v>
      </c>
      <c r="G4903" s="200" t="s">
        <v>522</v>
      </c>
      <c r="H4903" s="200" t="s">
        <v>442</v>
      </c>
    </row>
    <row r="4904" spans="1:10" ht="15" customHeight="1">
      <c r="A4904" s="199">
        <v>45744</v>
      </c>
      <c r="B4904" s="202" t="s">
        <v>3925</v>
      </c>
      <c r="C4904" s="200" t="s">
        <v>204</v>
      </c>
      <c r="D4904" s="649">
        <v>-495840</v>
      </c>
      <c r="E4904" s="201">
        <v>45717</v>
      </c>
      <c r="F4904" s="200" t="s">
        <v>256</v>
      </c>
      <c r="G4904" s="200" t="s">
        <v>256</v>
      </c>
      <c r="H4904" s="200" t="s">
        <v>269</v>
      </c>
    </row>
    <row r="4905" spans="1:10" ht="15" customHeight="1">
      <c r="A4905" s="199">
        <v>45744</v>
      </c>
      <c r="B4905" s="202" t="s">
        <v>3926</v>
      </c>
      <c r="C4905" s="200" t="s">
        <v>204</v>
      </c>
      <c r="D4905" s="649">
        <v>-131000</v>
      </c>
      <c r="E4905" s="201">
        <v>45717</v>
      </c>
      <c r="F4905" s="200" t="s">
        <v>256</v>
      </c>
      <c r="G4905" s="200" t="s">
        <v>256</v>
      </c>
      <c r="H4905" s="200" t="s">
        <v>265</v>
      </c>
    </row>
    <row r="4906" spans="1:10" ht="15" customHeight="1">
      <c r="A4906" s="199">
        <v>45734</v>
      </c>
      <c r="B4906" s="202" t="s">
        <v>3927</v>
      </c>
      <c r="C4906" s="200" t="s">
        <v>307</v>
      </c>
      <c r="D4906" s="204">
        <v>-15750</v>
      </c>
      <c r="E4906" s="201">
        <v>45717</v>
      </c>
      <c r="F4906" s="200" t="s">
        <v>296</v>
      </c>
      <c r="G4906" s="200" t="s">
        <v>337</v>
      </c>
      <c r="H4906" s="200" t="s">
        <v>366</v>
      </c>
      <c r="I4906" s="200" t="s">
        <v>2982</v>
      </c>
    </row>
    <row r="4907" spans="1:10" ht="15" customHeight="1">
      <c r="A4907" s="199">
        <v>45734</v>
      </c>
      <c r="B4907" s="202" t="s">
        <v>3928</v>
      </c>
      <c r="C4907" s="200" t="s">
        <v>307</v>
      </c>
      <c r="D4907" s="204">
        <v>-10000</v>
      </c>
      <c r="E4907" s="201">
        <v>45717</v>
      </c>
      <c r="F4907" s="200" t="s">
        <v>296</v>
      </c>
      <c r="G4907" s="200" t="s">
        <v>337</v>
      </c>
      <c r="H4907" s="200" t="s">
        <v>326</v>
      </c>
      <c r="I4907" s="200" t="s">
        <v>2982</v>
      </c>
    </row>
    <row r="4908" spans="1:10" ht="15" customHeight="1">
      <c r="A4908" s="199">
        <v>45734</v>
      </c>
      <c r="B4908" s="202" t="s">
        <v>3929</v>
      </c>
      <c r="C4908" s="200" t="s">
        <v>307</v>
      </c>
      <c r="D4908" s="204">
        <v>-40000</v>
      </c>
      <c r="E4908" s="201">
        <v>45717</v>
      </c>
      <c r="F4908" s="200" t="s">
        <v>296</v>
      </c>
      <c r="G4908" s="200" t="s">
        <v>337</v>
      </c>
      <c r="H4908" s="200" t="s">
        <v>326</v>
      </c>
      <c r="I4908" s="200" t="s">
        <v>2982</v>
      </c>
    </row>
    <row r="4909" spans="1:10" ht="15" customHeight="1">
      <c r="A4909" s="199">
        <v>45735</v>
      </c>
      <c r="B4909" s="202" t="s">
        <v>3930</v>
      </c>
      <c r="C4909" s="200" t="s">
        <v>307</v>
      </c>
      <c r="D4909" s="204">
        <v>-80000</v>
      </c>
      <c r="E4909" s="201">
        <v>45717</v>
      </c>
      <c r="F4909" s="200" t="s">
        <v>296</v>
      </c>
      <c r="G4909" s="200" t="s">
        <v>522</v>
      </c>
      <c r="H4909" s="200" t="s">
        <v>442</v>
      </c>
      <c r="I4909" s="200" t="s">
        <v>2982</v>
      </c>
    </row>
    <row r="4910" spans="1:10" ht="15" customHeight="1">
      <c r="A4910" s="199">
        <v>45736</v>
      </c>
      <c r="B4910" s="202" t="s">
        <v>3931</v>
      </c>
      <c r="C4910" s="200" t="s">
        <v>307</v>
      </c>
      <c r="D4910" s="204">
        <v>-61500</v>
      </c>
      <c r="E4910" s="201">
        <v>45717</v>
      </c>
      <c r="F4910" s="200" t="s">
        <v>296</v>
      </c>
      <c r="G4910" s="200" t="s">
        <v>44</v>
      </c>
      <c r="H4910" s="200" t="s">
        <v>421</v>
      </c>
      <c r="I4910" s="200" t="s">
        <v>2982</v>
      </c>
    </row>
    <row r="4911" spans="1:10" ht="15" customHeight="1">
      <c r="A4911" s="199">
        <v>45736</v>
      </c>
      <c r="B4911" s="202" t="s">
        <v>3932</v>
      </c>
      <c r="C4911" s="200" t="s">
        <v>307</v>
      </c>
      <c r="D4911" s="204">
        <v>-24000</v>
      </c>
      <c r="E4911" s="201">
        <v>45717</v>
      </c>
      <c r="F4911" s="200" t="s">
        <v>296</v>
      </c>
      <c r="G4911" s="200" t="s">
        <v>44</v>
      </c>
      <c r="H4911" s="200" t="s">
        <v>322</v>
      </c>
      <c r="I4911" s="200" t="s">
        <v>2982</v>
      </c>
    </row>
    <row r="4912" spans="1:10" ht="15" customHeight="1">
      <c r="A4912" s="199">
        <v>45737</v>
      </c>
      <c r="B4912" s="202" t="s">
        <v>3933</v>
      </c>
      <c r="C4912" s="200" t="s">
        <v>307</v>
      </c>
      <c r="D4912" s="204">
        <v>-60000</v>
      </c>
      <c r="E4912" s="201">
        <v>45717</v>
      </c>
      <c r="F4912" s="200" t="s">
        <v>296</v>
      </c>
      <c r="G4912" s="200" t="s">
        <v>44</v>
      </c>
      <c r="H4912" s="200" t="s">
        <v>442</v>
      </c>
      <c r="I4912" s="200" t="s">
        <v>2982</v>
      </c>
    </row>
    <row r="4913" spans="1:9" ht="15" customHeight="1">
      <c r="A4913" s="199">
        <v>45741</v>
      </c>
      <c r="B4913" s="202" t="s">
        <v>3934</v>
      </c>
      <c r="C4913" s="200" t="s">
        <v>307</v>
      </c>
      <c r="D4913" s="204">
        <v>-15500</v>
      </c>
      <c r="E4913" s="201">
        <v>45717</v>
      </c>
      <c r="F4913" s="200" t="s">
        <v>296</v>
      </c>
      <c r="G4913" s="200" t="s">
        <v>337</v>
      </c>
      <c r="H4913" s="200" t="s">
        <v>488</v>
      </c>
      <c r="I4913" s="200" t="s">
        <v>2982</v>
      </c>
    </row>
    <row r="4914" spans="1:9" ht="15" customHeight="1">
      <c r="A4914" s="199">
        <v>45733</v>
      </c>
      <c r="B4914" s="202" t="s">
        <v>3935</v>
      </c>
      <c r="C4914" s="200" t="s">
        <v>307</v>
      </c>
      <c r="D4914" s="204">
        <v>-20000</v>
      </c>
      <c r="E4914" s="201">
        <v>45717</v>
      </c>
      <c r="F4914" s="200" t="s">
        <v>395</v>
      </c>
      <c r="G4914" s="531" t="s">
        <v>395</v>
      </c>
      <c r="H4914" s="200" t="s">
        <v>346</v>
      </c>
      <c r="I4914" s="673"/>
    </row>
    <row r="4915" spans="1:9" ht="15" customHeight="1">
      <c r="A4915" s="199">
        <v>45734</v>
      </c>
      <c r="B4915" s="202" t="s">
        <v>3936</v>
      </c>
      <c r="C4915" s="200" t="s">
        <v>307</v>
      </c>
      <c r="D4915" s="204">
        <v>-21999</v>
      </c>
      <c r="E4915" s="201">
        <v>45717</v>
      </c>
      <c r="F4915" s="200" t="s">
        <v>256</v>
      </c>
      <c r="G4915" s="200" t="s">
        <v>256</v>
      </c>
      <c r="H4915" s="200" t="s">
        <v>263</v>
      </c>
      <c r="I4915" s="200" t="s">
        <v>2982</v>
      </c>
    </row>
    <row r="4916" spans="1:9" ht="15" customHeight="1">
      <c r="A4916" s="199">
        <v>45735</v>
      </c>
      <c r="B4916" s="202" t="s">
        <v>3937</v>
      </c>
      <c r="C4916" s="200" t="s">
        <v>307</v>
      </c>
      <c r="D4916" s="204">
        <v>-18000</v>
      </c>
      <c r="E4916" s="201">
        <v>45717</v>
      </c>
      <c r="F4916" s="200" t="s">
        <v>296</v>
      </c>
      <c r="G4916" s="200" t="s">
        <v>2994</v>
      </c>
      <c r="H4916" s="200" t="s">
        <v>377</v>
      </c>
      <c r="I4916" s="200" t="s">
        <v>2982</v>
      </c>
    </row>
    <row r="4917" spans="1:9" ht="15" customHeight="1">
      <c r="A4917" s="199">
        <v>45735</v>
      </c>
      <c r="B4917" s="202" t="s">
        <v>3938</v>
      </c>
      <c r="C4917" s="200" t="s">
        <v>307</v>
      </c>
      <c r="D4917" s="204">
        <v>-11201</v>
      </c>
      <c r="E4917" s="201">
        <v>45717</v>
      </c>
      <c r="F4917" s="200" t="s">
        <v>296</v>
      </c>
      <c r="G4917" s="200" t="s">
        <v>2994</v>
      </c>
      <c r="H4917" s="200" t="s">
        <v>377</v>
      </c>
      <c r="I4917" s="200" t="s">
        <v>2982</v>
      </c>
    </row>
    <row r="4918" spans="1:9" ht="15" customHeight="1">
      <c r="A4918" s="199">
        <v>45735</v>
      </c>
      <c r="B4918" s="202" t="s">
        <v>3939</v>
      </c>
      <c r="C4918" s="200" t="s">
        <v>307</v>
      </c>
      <c r="D4918" s="204">
        <v>-2000</v>
      </c>
      <c r="E4918" s="201">
        <v>45717</v>
      </c>
      <c r="F4918" s="200" t="s">
        <v>296</v>
      </c>
      <c r="G4918" s="200" t="s">
        <v>2994</v>
      </c>
      <c r="H4918" s="200" t="s">
        <v>377</v>
      </c>
      <c r="I4918" s="200" t="s">
        <v>2982</v>
      </c>
    </row>
    <row r="4919" spans="1:9" ht="15" customHeight="1">
      <c r="A4919" s="199">
        <v>45735</v>
      </c>
      <c r="B4919" s="202" t="s">
        <v>3940</v>
      </c>
      <c r="C4919" s="200" t="s">
        <v>307</v>
      </c>
      <c r="D4919" s="204">
        <v>-63250</v>
      </c>
      <c r="E4919" s="201">
        <v>45717</v>
      </c>
      <c r="F4919" s="200" t="s">
        <v>297</v>
      </c>
      <c r="G4919" s="200" t="s">
        <v>1313</v>
      </c>
      <c r="H4919" s="200" t="s">
        <v>350</v>
      </c>
      <c r="I4919" s="200" t="s">
        <v>2982</v>
      </c>
    </row>
    <row r="4920" spans="1:9" ht="15" customHeight="1">
      <c r="A4920" s="199">
        <v>45735</v>
      </c>
      <c r="B4920" s="202" t="s">
        <v>3941</v>
      </c>
      <c r="C4920" s="200" t="s">
        <v>307</v>
      </c>
      <c r="D4920" s="204">
        <v>-3972</v>
      </c>
      <c r="E4920" s="201">
        <v>45717</v>
      </c>
      <c r="F4920" s="200" t="s">
        <v>296</v>
      </c>
      <c r="G4920" s="200" t="s">
        <v>2994</v>
      </c>
      <c r="H4920" s="200" t="s">
        <v>377</v>
      </c>
      <c r="I4920" s="200" t="s">
        <v>2982</v>
      </c>
    </row>
    <row r="4921" spans="1:9" ht="15" customHeight="1">
      <c r="A4921" s="199">
        <v>45735</v>
      </c>
      <c r="B4921" s="202" t="s">
        <v>3942</v>
      </c>
      <c r="C4921" s="200" t="s">
        <v>307</v>
      </c>
      <c r="D4921" s="204">
        <v>-149912</v>
      </c>
      <c r="E4921" s="201">
        <v>45717</v>
      </c>
      <c r="F4921" s="200" t="s">
        <v>395</v>
      </c>
      <c r="G4921" s="531" t="s">
        <v>395</v>
      </c>
      <c r="H4921" s="200" t="s">
        <v>350</v>
      </c>
      <c r="I4921" s="673"/>
    </row>
    <row r="4922" spans="1:9" ht="15" customHeight="1">
      <c r="A4922" s="199">
        <v>45736</v>
      </c>
      <c r="B4922" s="202" t="s">
        <v>3943</v>
      </c>
      <c r="C4922" s="200" t="s">
        <v>307</v>
      </c>
      <c r="D4922" s="204">
        <v>-15200</v>
      </c>
      <c r="E4922" s="201">
        <v>45717</v>
      </c>
      <c r="F4922" s="200" t="s">
        <v>256</v>
      </c>
      <c r="G4922" s="200" t="s">
        <v>256</v>
      </c>
      <c r="H4922" s="200" t="s">
        <v>263</v>
      </c>
      <c r="I4922" s="200" t="s">
        <v>2982</v>
      </c>
    </row>
    <row r="4923" spans="1:9" ht="15" customHeight="1">
      <c r="A4923" s="199">
        <v>45737</v>
      </c>
      <c r="B4923" s="202" t="s">
        <v>3944</v>
      </c>
      <c r="C4923" s="200" t="s">
        <v>307</v>
      </c>
      <c r="D4923" s="204">
        <v>-17910</v>
      </c>
      <c r="E4923" s="201">
        <v>45717</v>
      </c>
      <c r="F4923" s="200" t="s">
        <v>256</v>
      </c>
      <c r="G4923" s="200" t="s">
        <v>256</v>
      </c>
      <c r="H4923" s="200" t="s">
        <v>263</v>
      </c>
      <c r="I4923" s="200" t="s">
        <v>2982</v>
      </c>
    </row>
    <row r="4924" spans="1:9" ht="15" customHeight="1">
      <c r="A4924" s="199">
        <v>45741</v>
      </c>
      <c r="B4924" s="202" t="s">
        <v>3945</v>
      </c>
      <c r="C4924" s="200" t="s">
        <v>307</v>
      </c>
      <c r="D4924" s="204">
        <v>-3200</v>
      </c>
      <c r="E4924" s="201">
        <v>45717</v>
      </c>
      <c r="F4924" s="200" t="s">
        <v>395</v>
      </c>
      <c r="G4924" s="531" t="s">
        <v>395</v>
      </c>
      <c r="H4924" s="200" t="s">
        <v>377</v>
      </c>
      <c r="I4924" s="673"/>
    </row>
    <row r="4925" spans="1:9" ht="15" customHeight="1">
      <c r="A4925" s="199">
        <v>45741</v>
      </c>
      <c r="B4925" s="202" t="s">
        <v>3946</v>
      </c>
      <c r="C4925" s="200" t="s">
        <v>307</v>
      </c>
      <c r="D4925" s="204">
        <v>-22000</v>
      </c>
      <c r="E4925" s="201">
        <v>45717</v>
      </c>
      <c r="F4925" s="200" t="s">
        <v>297</v>
      </c>
      <c r="G4925" s="200" t="s">
        <v>1313</v>
      </c>
      <c r="H4925" s="200" t="s">
        <v>350</v>
      </c>
      <c r="I4925" s="673"/>
    </row>
    <row r="4926" spans="1:9" ht="15" customHeight="1">
      <c r="A4926" s="199">
        <v>45741</v>
      </c>
      <c r="B4926" s="202" t="s">
        <v>3946</v>
      </c>
      <c r="C4926" s="200" t="s">
        <v>307</v>
      </c>
      <c r="D4926" s="204">
        <v>-83400</v>
      </c>
      <c r="E4926" s="201">
        <v>45717</v>
      </c>
      <c r="F4926" s="200" t="s">
        <v>297</v>
      </c>
      <c r="G4926" s="200" t="s">
        <v>1578</v>
      </c>
      <c r="H4926" s="200" t="s">
        <v>350</v>
      </c>
    </row>
    <row r="4927" spans="1:9" ht="15" customHeight="1">
      <c r="A4927" s="199">
        <v>45741</v>
      </c>
      <c r="B4927" s="202" t="s">
        <v>3946</v>
      </c>
      <c r="C4927" s="200" t="s">
        <v>307</v>
      </c>
      <c r="D4927" s="204">
        <v>-28200</v>
      </c>
      <c r="E4927" s="201">
        <v>45717</v>
      </c>
      <c r="F4927" s="200" t="s">
        <v>296</v>
      </c>
      <c r="G4927" s="200" t="s">
        <v>2994</v>
      </c>
      <c r="H4927" s="200" t="s">
        <v>350</v>
      </c>
      <c r="I4927" s="673"/>
    </row>
    <row r="4928" spans="1:9" ht="15" customHeight="1">
      <c r="A4928" s="199">
        <v>45741</v>
      </c>
      <c r="B4928" s="202" t="s">
        <v>3947</v>
      </c>
      <c r="C4928" s="200" t="s">
        <v>307</v>
      </c>
      <c r="D4928" s="204">
        <v>-25800</v>
      </c>
      <c r="E4928" s="201">
        <v>45717</v>
      </c>
      <c r="F4928" s="200" t="s">
        <v>395</v>
      </c>
      <c r="G4928" s="531" t="s">
        <v>395</v>
      </c>
      <c r="H4928" s="200" t="s">
        <v>377</v>
      </c>
    </row>
    <row r="4929" spans="1:9" ht="15" customHeight="1">
      <c r="A4929" s="199">
        <v>45741</v>
      </c>
      <c r="B4929" s="202" t="s">
        <v>3948</v>
      </c>
      <c r="C4929" s="200" t="s">
        <v>307</v>
      </c>
      <c r="D4929" s="204">
        <v>-40000</v>
      </c>
      <c r="E4929" s="201">
        <v>45717</v>
      </c>
      <c r="F4929" s="200" t="s">
        <v>297</v>
      </c>
      <c r="G4929" s="200" t="s">
        <v>1578</v>
      </c>
      <c r="H4929" s="200" t="s">
        <v>346</v>
      </c>
      <c r="I4929" s="200" t="s">
        <v>2982</v>
      </c>
    </row>
    <row r="4930" spans="1:9" ht="15" customHeight="1">
      <c r="A4930" s="199">
        <v>45741</v>
      </c>
      <c r="B4930" s="202" t="s">
        <v>3949</v>
      </c>
      <c r="C4930" s="200" t="s">
        <v>307</v>
      </c>
      <c r="D4930" s="204">
        <v>-3000</v>
      </c>
      <c r="E4930" s="201">
        <v>45717</v>
      </c>
      <c r="F4930" s="200" t="s">
        <v>297</v>
      </c>
      <c r="G4930" s="200" t="s">
        <v>1578</v>
      </c>
      <c r="H4930" s="200" t="s">
        <v>346</v>
      </c>
      <c r="I4930" s="200" t="s">
        <v>2982</v>
      </c>
    </row>
    <row r="4931" spans="1:9" ht="15" customHeight="1">
      <c r="A4931" s="199">
        <v>45741</v>
      </c>
      <c r="B4931" s="202" t="s">
        <v>3950</v>
      </c>
      <c r="C4931" s="200" t="s">
        <v>307</v>
      </c>
      <c r="D4931" s="204">
        <v>-4000</v>
      </c>
      <c r="E4931" s="201">
        <v>45717</v>
      </c>
      <c r="F4931" s="200" t="s">
        <v>297</v>
      </c>
      <c r="G4931" s="200" t="s">
        <v>1578</v>
      </c>
      <c r="H4931" s="200" t="s">
        <v>346</v>
      </c>
      <c r="I4931" s="200" t="s">
        <v>2982</v>
      </c>
    </row>
    <row r="4932" spans="1:9" ht="15" customHeight="1">
      <c r="A4932" s="199">
        <v>45742</v>
      </c>
      <c r="B4932" s="202" t="s">
        <v>3951</v>
      </c>
      <c r="C4932" s="200" t="s">
        <v>307</v>
      </c>
      <c r="D4932" s="204">
        <v>-40000</v>
      </c>
      <c r="E4932" s="201">
        <v>45717</v>
      </c>
      <c r="F4932" s="531" t="s">
        <v>297</v>
      </c>
      <c r="G4932" s="200" t="s">
        <v>385</v>
      </c>
      <c r="H4932" s="200" t="s">
        <v>268</v>
      </c>
      <c r="I4932" s="200" t="s">
        <v>3185</v>
      </c>
    </row>
    <row r="4933" spans="1:9" ht="15" customHeight="1">
      <c r="A4933" s="199">
        <v>45742</v>
      </c>
      <c r="B4933" s="202" t="s">
        <v>3952</v>
      </c>
      <c r="C4933" s="200" t="s">
        <v>307</v>
      </c>
      <c r="D4933" s="204">
        <v>-10000</v>
      </c>
      <c r="E4933" s="201">
        <v>45717</v>
      </c>
      <c r="F4933" s="531" t="s">
        <v>297</v>
      </c>
      <c r="G4933" s="200" t="s">
        <v>385</v>
      </c>
      <c r="H4933" s="200" t="s">
        <v>342</v>
      </c>
      <c r="I4933" s="200" t="s">
        <v>3185</v>
      </c>
    </row>
    <row r="4934" spans="1:9" ht="15" customHeight="1">
      <c r="A4934" s="199">
        <v>45742</v>
      </c>
      <c r="B4934" s="202" t="s">
        <v>3953</v>
      </c>
      <c r="C4934" s="200" t="s">
        <v>307</v>
      </c>
      <c r="D4934" s="204">
        <v>-8000</v>
      </c>
      <c r="E4934" s="201">
        <v>45717</v>
      </c>
      <c r="F4934" s="531" t="s">
        <v>297</v>
      </c>
      <c r="G4934" s="200" t="s">
        <v>385</v>
      </c>
      <c r="H4934" s="200" t="s">
        <v>342</v>
      </c>
      <c r="I4934" s="200" t="s">
        <v>3185</v>
      </c>
    </row>
    <row r="4935" spans="1:9" ht="15" customHeight="1">
      <c r="A4935" s="199">
        <v>45742</v>
      </c>
      <c r="B4935" s="202" t="s">
        <v>3954</v>
      </c>
      <c r="C4935" s="200" t="s">
        <v>307</v>
      </c>
      <c r="D4935" s="204">
        <v>-40000</v>
      </c>
      <c r="E4935" s="201">
        <v>45717</v>
      </c>
      <c r="F4935" s="531" t="s">
        <v>297</v>
      </c>
      <c r="G4935" s="200" t="s">
        <v>385</v>
      </c>
      <c r="H4935" s="200" t="s">
        <v>268</v>
      </c>
      <c r="I4935" s="200" t="s">
        <v>3185</v>
      </c>
    </row>
    <row r="4936" spans="1:9" ht="15" customHeight="1">
      <c r="A4936" s="199">
        <v>45735</v>
      </c>
      <c r="B4936" s="202" t="s">
        <v>3955</v>
      </c>
      <c r="C4936" s="200" t="s">
        <v>307</v>
      </c>
      <c r="D4936" s="204">
        <v>-143000</v>
      </c>
      <c r="E4936" s="201">
        <v>45717</v>
      </c>
      <c r="F4936" s="200" t="s">
        <v>256</v>
      </c>
      <c r="G4936" s="200" t="s">
        <v>256</v>
      </c>
      <c r="H4936" s="200" t="s">
        <v>9</v>
      </c>
    </row>
    <row r="4937" spans="1:9" ht="15" customHeight="1">
      <c r="A4937" s="199">
        <v>45734</v>
      </c>
      <c r="B4937" s="202" t="s">
        <v>3956</v>
      </c>
      <c r="C4937" s="200" t="s">
        <v>307</v>
      </c>
      <c r="D4937" s="204">
        <v>-73000</v>
      </c>
      <c r="E4937" s="201">
        <v>45717</v>
      </c>
      <c r="F4937" s="200" t="s">
        <v>256</v>
      </c>
      <c r="G4937" s="200" t="s">
        <v>256</v>
      </c>
      <c r="H4937" s="200" t="s">
        <v>9</v>
      </c>
    </row>
    <row r="4938" spans="1:9" ht="15" customHeight="1">
      <c r="A4938" s="199">
        <v>45734</v>
      </c>
      <c r="B4938" s="202" t="s">
        <v>3957</v>
      </c>
      <c r="C4938" s="200" t="s">
        <v>307</v>
      </c>
      <c r="D4938" s="204">
        <v>-57300</v>
      </c>
      <c r="E4938" s="201">
        <v>45717</v>
      </c>
      <c r="F4938" s="200" t="s">
        <v>256</v>
      </c>
      <c r="G4938" s="200" t="s">
        <v>256</v>
      </c>
      <c r="H4938" s="200" t="s">
        <v>9</v>
      </c>
    </row>
    <row r="4939" spans="1:9" ht="15" customHeight="1">
      <c r="A4939" s="199">
        <v>45742</v>
      </c>
      <c r="B4939" s="202" t="s">
        <v>2732</v>
      </c>
      <c r="C4939" s="200" t="s">
        <v>307</v>
      </c>
      <c r="D4939" s="204">
        <v>-142808</v>
      </c>
      <c r="E4939" s="201">
        <v>45717</v>
      </c>
      <c r="F4939" s="200" t="s">
        <v>395</v>
      </c>
      <c r="G4939" s="531" t="s">
        <v>395</v>
      </c>
      <c r="H4939" s="200" t="s">
        <v>268</v>
      </c>
    </row>
    <row r="4940" spans="1:9" ht="15" customHeight="1">
      <c r="A4940" s="199">
        <v>45742</v>
      </c>
      <c r="B4940" s="202" t="s">
        <v>2732</v>
      </c>
      <c r="C4940" s="200" t="s">
        <v>307</v>
      </c>
      <c r="D4940" s="204">
        <v>-22000</v>
      </c>
      <c r="E4940" s="201">
        <v>45717</v>
      </c>
      <c r="F4940" s="200" t="s">
        <v>256</v>
      </c>
      <c r="G4940" s="200" t="s">
        <v>256</v>
      </c>
      <c r="H4940" s="200" t="s">
        <v>268</v>
      </c>
    </row>
    <row r="4941" spans="1:9" ht="15" customHeight="1">
      <c r="A4941" s="199">
        <v>45742</v>
      </c>
      <c r="B4941" s="202" t="s">
        <v>2732</v>
      </c>
      <c r="C4941" s="200" t="s">
        <v>307</v>
      </c>
      <c r="D4941" s="204">
        <v>-29000</v>
      </c>
      <c r="E4941" s="201">
        <v>45717</v>
      </c>
      <c r="F4941" s="200" t="s">
        <v>296</v>
      </c>
      <c r="G4941" s="200" t="s">
        <v>2994</v>
      </c>
      <c r="H4941" s="200" t="s">
        <v>268</v>
      </c>
    </row>
    <row r="4942" spans="1:9" ht="15" customHeight="1">
      <c r="A4942" s="199">
        <v>45742</v>
      </c>
      <c r="B4942" s="202" t="s">
        <v>2732</v>
      </c>
      <c r="C4942" s="200" t="s">
        <v>307</v>
      </c>
      <c r="D4942" s="204">
        <v>-7000</v>
      </c>
      <c r="E4942" s="201">
        <v>45717</v>
      </c>
      <c r="F4942" s="200" t="s">
        <v>296</v>
      </c>
      <c r="G4942" s="200" t="s">
        <v>337</v>
      </c>
      <c r="H4942" s="200" t="s">
        <v>326</v>
      </c>
    </row>
    <row r="4943" spans="1:9" ht="15" customHeight="1">
      <c r="A4943" s="199">
        <v>45742</v>
      </c>
      <c r="B4943" s="202" t="s">
        <v>2732</v>
      </c>
      <c r="C4943" s="200" t="s">
        <v>307</v>
      </c>
      <c r="D4943" s="204">
        <v>-35000</v>
      </c>
      <c r="E4943" s="201">
        <v>45717</v>
      </c>
      <c r="F4943" s="200" t="s">
        <v>297</v>
      </c>
      <c r="G4943" s="200" t="s">
        <v>1313</v>
      </c>
      <c r="H4943" s="200" t="s">
        <v>268</v>
      </c>
    </row>
    <row r="4944" spans="1:9" ht="15" customHeight="1">
      <c r="A4944" s="199">
        <v>45742</v>
      </c>
      <c r="B4944" s="202" t="s">
        <v>2732</v>
      </c>
      <c r="C4944" s="200" t="s">
        <v>307</v>
      </c>
      <c r="D4944" s="204">
        <v>-22000</v>
      </c>
      <c r="E4944" s="201">
        <v>45717</v>
      </c>
      <c r="F4944" s="200" t="s">
        <v>395</v>
      </c>
      <c r="G4944" s="531" t="s">
        <v>395</v>
      </c>
      <c r="H4944" s="200" t="s">
        <v>268</v>
      </c>
      <c r="I4944" s="673"/>
    </row>
    <row r="4945" spans="1:9" ht="15" customHeight="1">
      <c r="A4945" s="199">
        <v>45742</v>
      </c>
      <c r="B4945" s="202" t="s">
        <v>3785</v>
      </c>
      <c r="C4945" s="200" t="s">
        <v>372</v>
      </c>
      <c r="D4945" s="204">
        <v>-2620</v>
      </c>
      <c r="E4945" s="201">
        <v>45717</v>
      </c>
      <c r="F4945" s="200" t="s">
        <v>395</v>
      </c>
      <c r="G4945" s="531" t="s">
        <v>395</v>
      </c>
      <c r="H4945" s="200" t="s">
        <v>268</v>
      </c>
    </row>
    <row r="4946" spans="1:9" ht="15" customHeight="1">
      <c r="A4946" s="199">
        <v>45742</v>
      </c>
      <c r="B4946" s="202" t="s">
        <v>2734</v>
      </c>
      <c r="C4946" s="200" t="s">
        <v>372</v>
      </c>
      <c r="D4946" s="204">
        <v>-1572</v>
      </c>
      <c r="E4946" s="201">
        <v>45717</v>
      </c>
      <c r="F4946" s="200" t="s">
        <v>395</v>
      </c>
      <c r="G4946" s="531" t="s">
        <v>395</v>
      </c>
      <c r="H4946" s="200" t="s">
        <v>268</v>
      </c>
    </row>
    <row r="4947" spans="1:9" ht="15" customHeight="1">
      <c r="A4947" s="199">
        <v>45735</v>
      </c>
      <c r="B4947" s="202" t="s">
        <v>3958</v>
      </c>
      <c r="C4947" s="200" t="s">
        <v>307</v>
      </c>
      <c r="D4947" s="204">
        <v>-12000</v>
      </c>
      <c r="E4947" s="201">
        <v>45717</v>
      </c>
      <c r="F4947" s="200" t="s">
        <v>297</v>
      </c>
      <c r="G4947" s="200" t="s">
        <v>1578</v>
      </c>
      <c r="H4947" s="200" t="s">
        <v>342</v>
      </c>
      <c r="I4947" s="200" t="s">
        <v>3959</v>
      </c>
    </row>
    <row r="4948" spans="1:9" ht="15" customHeight="1">
      <c r="A4948" s="199">
        <v>45735</v>
      </c>
      <c r="B4948" s="202" t="s">
        <v>3960</v>
      </c>
      <c r="C4948" s="200" t="s">
        <v>307</v>
      </c>
      <c r="D4948" s="204">
        <v>-12000</v>
      </c>
      <c r="E4948" s="201">
        <v>45717</v>
      </c>
      <c r="F4948" s="200" t="s">
        <v>297</v>
      </c>
      <c r="G4948" s="200" t="s">
        <v>1578</v>
      </c>
      <c r="H4948" s="200" t="s">
        <v>342</v>
      </c>
      <c r="I4948" s="200" t="s">
        <v>3959</v>
      </c>
    </row>
    <row r="4949" spans="1:9" ht="15" customHeight="1">
      <c r="A4949" s="199">
        <v>45735</v>
      </c>
      <c r="B4949" s="202" t="s">
        <v>3961</v>
      </c>
      <c r="C4949" s="200" t="s">
        <v>307</v>
      </c>
      <c r="D4949" s="204">
        <v>-6500</v>
      </c>
      <c r="E4949" s="201">
        <v>45717</v>
      </c>
      <c r="F4949" s="200" t="s">
        <v>297</v>
      </c>
      <c r="G4949" s="200" t="s">
        <v>1578</v>
      </c>
      <c r="H4949" s="200" t="s">
        <v>268</v>
      </c>
      <c r="I4949" s="200" t="s">
        <v>3959</v>
      </c>
    </row>
    <row r="4950" spans="1:9" ht="15" customHeight="1">
      <c r="A4950" s="199">
        <v>45736</v>
      </c>
      <c r="B4950" s="202" t="s">
        <v>3962</v>
      </c>
      <c r="C4950" s="200" t="s">
        <v>307</v>
      </c>
      <c r="D4950" s="204">
        <v>-6500</v>
      </c>
      <c r="E4950" s="201">
        <v>45717</v>
      </c>
      <c r="F4950" s="200" t="s">
        <v>297</v>
      </c>
      <c r="G4950" s="200" t="s">
        <v>1578</v>
      </c>
      <c r="H4950" s="200" t="s">
        <v>268</v>
      </c>
      <c r="I4950" s="200" t="s">
        <v>3959</v>
      </c>
    </row>
    <row r="4951" spans="1:9" ht="15" customHeight="1">
      <c r="A4951" s="199">
        <v>45736</v>
      </c>
      <c r="B4951" s="202" t="s">
        <v>3963</v>
      </c>
      <c r="C4951" s="200" t="s">
        <v>307</v>
      </c>
      <c r="D4951" s="204">
        <v>-8000</v>
      </c>
      <c r="E4951" s="201">
        <v>45717</v>
      </c>
      <c r="F4951" s="200" t="s">
        <v>297</v>
      </c>
      <c r="G4951" s="200" t="s">
        <v>1578</v>
      </c>
      <c r="H4951" s="200" t="s">
        <v>342</v>
      </c>
      <c r="I4951" s="200" t="s">
        <v>3959</v>
      </c>
    </row>
    <row r="4952" spans="1:9" ht="15" customHeight="1">
      <c r="A4952" s="199">
        <v>45736</v>
      </c>
      <c r="B4952" s="202" t="s">
        <v>3964</v>
      </c>
      <c r="C4952" s="200" t="s">
        <v>307</v>
      </c>
      <c r="D4952" s="204">
        <v>-18000</v>
      </c>
      <c r="E4952" s="201">
        <v>45717</v>
      </c>
      <c r="F4952" s="200" t="s">
        <v>297</v>
      </c>
      <c r="G4952" s="200" t="s">
        <v>1578</v>
      </c>
      <c r="H4952" s="200" t="s">
        <v>342</v>
      </c>
      <c r="I4952" s="200" t="s">
        <v>3959</v>
      </c>
    </row>
    <row r="4953" spans="1:9" ht="15" customHeight="1">
      <c r="A4953" s="199">
        <v>45736</v>
      </c>
      <c r="B4953" s="202" t="s">
        <v>3960</v>
      </c>
      <c r="C4953" s="200" t="s">
        <v>307</v>
      </c>
      <c r="D4953" s="204">
        <v>-12000</v>
      </c>
      <c r="E4953" s="201">
        <v>45717</v>
      </c>
      <c r="F4953" s="200" t="s">
        <v>297</v>
      </c>
      <c r="G4953" s="200" t="s">
        <v>1578</v>
      </c>
      <c r="H4953" s="200" t="s">
        <v>342</v>
      </c>
      <c r="I4953" s="200" t="s">
        <v>3959</v>
      </c>
    </row>
    <row r="4954" spans="1:9" ht="15" customHeight="1">
      <c r="A4954" s="199">
        <v>45736</v>
      </c>
      <c r="B4954" s="202" t="s">
        <v>3965</v>
      </c>
      <c r="C4954" s="200" t="s">
        <v>307</v>
      </c>
      <c r="D4954" s="204">
        <v>-6500</v>
      </c>
      <c r="E4954" s="201">
        <v>45717</v>
      </c>
      <c r="F4954" s="200" t="s">
        <v>297</v>
      </c>
      <c r="G4954" s="200" t="s">
        <v>1578</v>
      </c>
      <c r="H4954" s="200" t="s">
        <v>268</v>
      </c>
      <c r="I4954" s="200" t="s">
        <v>3959</v>
      </c>
    </row>
    <row r="4955" spans="1:9" ht="15" customHeight="1">
      <c r="A4955" s="199">
        <v>45736</v>
      </c>
      <c r="B4955" s="202" t="s">
        <v>3966</v>
      </c>
      <c r="C4955" s="200" t="s">
        <v>307</v>
      </c>
      <c r="D4955" s="204">
        <v>-12600</v>
      </c>
      <c r="E4955" s="201">
        <v>45717</v>
      </c>
      <c r="F4955" s="200" t="s">
        <v>297</v>
      </c>
      <c r="G4955" s="200" t="s">
        <v>1578</v>
      </c>
      <c r="H4955" s="200" t="s">
        <v>567</v>
      </c>
      <c r="I4955" s="200" t="s">
        <v>3959</v>
      </c>
    </row>
    <row r="4956" spans="1:9" ht="15" customHeight="1">
      <c r="A4956" s="199">
        <v>45736</v>
      </c>
      <c r="B4956" s="202" t="s">
        <v>3967</v>
      </c>
      <c r="C4956" s="200" t="s">
        <v>307</v>
      </c>
      <c r="D4956" s="204">
        <v>-6500</v>
      </c>
      <c r="E4956" s="201">
        <v>45717</v>
      </c>
      <c r="F4956" s="200" t="s">
        <v>297</v>
      </c>
      <c r="G4956" s="200" t="s">
        <v>1578</v>
      </c>
      <c r="H4956" s="200" t="s">
        <v>268</v>
      </c>
      <c r="I4956" s="200" t="s">
        <v>3959</v>
      </c>
    </row>
    <row r="4957" spans="1:9" ht="15" customHeight="1">
      <c r="A4957" s="199">
        <v>45736</v>
      </c>
      <c r="B4957" s="202" t="s">
        <v>3961</v>
      </c>
      <c r="C4957" s="200" t="s">
        <v>307</v>
      </c>
      <c r="D4957" s="204">
        <v>-6500</v>
      </c>
      <c r="E4957" s="201">
        <v>45717</v>
      </c>
      <c r="F4957" s="200" t="s">
        <v>297</v>
      </c>
      <c r="G4957" s="200" t="s">
        <v>1578</v>
      </c>
      <c r="H4957" s="200" t="s">
        <v>268</v>
      </c>
      <c r="I4957" s="200" t="s">
        <v>3959</v>
      </c>
    </row>
    <row r="4958" spans="1:9" ht="15" customHeight="1">
      <c r="A4958" s="199">
        <v>45737</v>
      </c>
      <c r="B4958" s="202" t="s">
        <v>3963</v>
      </c>
      <c r="C4958" s="200" t="s">
        <v>307</v>
      </c>
      <c r="D4958" s="204">
        <v>-8000</v>
      </c>
      <c r="E4958" s="201">
        <v>45717</v>
      </c>
      <c r="F4958" s="200" t="s">
        <v>297</v>
      </c>
      <c r="G4958" s="200" t="s">
        <v>1578</v>
      </c>
      <c r="H4958" s="200" t="s">
        <v>342</v>
      </c>
      <c r="I4958" s="200" t="s">
        <v>3959</v>
      </c>
    </row>
    <row r="4959" spans="1:9" ht="15" customHeight="1">
      <c r="A4959" s="199">
        <v>45737</v>
      </c>
      <c r="B4959" s="202" t="s">
        <v>3958</v>
      </c>
      <c r="C4959" s="200" t="s">
        <v>307</v>
      </c>
      <c r="D4959" s="204">
        <v>-12000</v>
      </c>
      <c r="E4959" s="201">
        <v>45717</v>
      </c>
      <c r="F4959" s="200" t="s">
        <v>297</v>
      </c>
      <c r="G4959" s="200" t="s">
        <v>1578</v>
      </c>
      <c r="H4959" s="200" t="s">
        <v>342</v>
      </c>
      <c r="I4959" s="200" t="s">
        <v>3959</v>
      </c>
    </row>
    <row r="4960" spans="1:9" ht="15" customHeight="1">
      <c r="A4960" s="199">
        <v>45737</v>
      </c>
      <c r="B4960" s="202" t="s">
        <v>3960</v>
      </c>
      <c r="C4960" s="200" t="s">
        <v>307</v>
      </c>
      <c r="D4960" s="204">
        <v>-12000</v>
      </c>
      <c r="E4960" s="201">
        <v>45717</v>
      </c>
      <c r="F4960" s="200" t="s">
        <v>297</v>
      </c>
      <c r="G4960" s="200" t="s">
        <v>1578</v>
      </c>
      <c r="H4960" s="200" t="s">
        <v>342</v>
      </c>
      <c r="I4960" s="200" t="s">
        <v>3959</v>
      </c>
    </row>
    <row r="4961" spans="1:9" ht="15" customHeight="1">
      <c r="A4961" s="199">
        <v>45737</v>
      </c>
      <c r="B4961" s="202" t="s">
        <v>3968</v>
      </c>
      <c r="C4961" s="200" t="s">
        <v>307</v>
      </c>
      <c r="D4961" s="204">
        <v>-6500</v>
      </c>
      <c r="E4961" s="201">
        <v>45717</v>
      </c>
      <c r="F4961" s="200" t="s">
        <v>297</v>
      </c>
      <c r="G4961" s="200" t="s">
        <v>1578</v>
      </c>
      <c r="H4961" s="200" t="s">
        <v>268</v>
      </c>
      <c r="I4961" s="200" t="s">
        <v>3959</v>
      </c>
    </row>
    <row r="4962" spans="1:9" ht="15" customHeight="1">
      <c r="A4962" s="199">
        <v>45737</v>
      </c>
      <c r="B4962" s="202" t="s">
        <v>3969</v>
      </c>
      <c r="C4962" s="200" t="s">
        <v>307</v>
      </c>
      <c r="D4962" s="204">
        <v>-6500</v>
      </c>
      <c r="E4962" s="201">
        <v>45717</v>
      </c>
      <c r="F4962" s="200" t="s">
        <v>297</v>
      </c>
      <c r="G4962" s="200" t="s">
        <v>1578</v>
      </c>
      <c r="H4962" s="200" t="s">
        <v>268</v>
      </c>
      <c r="I4962" s="200" t="s">
        <v>3959</v>
      </c>
    </row>
    <row r="4963" spans="1:9" ht="15" customHeight="1">
      <c r="A4963" s="199">
        <v>45737</v>
      </c>
      <c r="B4963" s="202" t="s">
        <v>3969</v>
      </c>
      <c r="C4963" s="200" t="s">
        <v>307</v>
      </c>
      <c r="D4963" s="204">
        <v>-15000</v>
      </c>
      <c r="E4963" s="201">
        <v>45717</v>
      </c>
      <c r="F4963" s="200" t="s">
        <v>297</v>
      </c>
      <c r="G4963" s="200" t="s">
        <v>1578</v>
      </c>
      <c r="H4963" s="200" t="s">
        <v>268</v>
      </c>
      <c r="I4963" s="200" t="s">
        <v>3959</v>
      </c>
    </row>
    <row r="4964" spans="1:9" ht="15" customHeight="1">
      <c r="A4964" s="199">
        <v>45741</v>
      </c>
      <c r="B4964" s="202" t="s">
        <v>3970</v>
      </c>
      <c r="C4964" s="200" t="s">
        <v>307</v>
      </c>
      <c r="D4964" s="204">
        <v>-86100</v>
      </c>
      <c r="E4964" s="201">
        <v>45717</v>
      </c>
      <c r="F4964" s="200" t="s">
        <v>256</v>
      </c>
      <c r="G4964" s="200" t="s">
        <v>256</v>
      </c>
      <c r="H4964" s="200" t="s">
        <v>263</v>
      </c>
    </row>
    <row r="4965" spans="1:9" ht="15" customHeight="1">
      <c r="A4965" s="199">
        <v>45735</v>
      </c>
      <c r="B4965" s="202" t="s">
        <v>3971</v>
      </c>
      <c r="C4965" s="200" t="s">
        <v>307</v>
      </c>
      <c r="D4965" s="204">
        <v>-16000</v>
      </c>
      <c r="E4965" s="201">
        <v>45717</v>
      </c>
      <c r="F4965" s="200" t="s">
        <v>297</v>
      </c>
      <c r="G4965" s="200" t="s">
        <v>1578</v>
      </c>
      <c r="H4965" s="200" t="s">
        <v>268</v>
      </c>
      <c r="I4965" s="200" t="s">
        <v>3185</v>
      </c>
    </row>
    <row r="4966" spans="1:9" ht="15" customHeight="1">
      <c r="A4966" s="199">
        <v>45736</v>
      </c>
      <c r="B4966" s="202" t="s">
        <v>3972</v>
      </c>
      <c r="C4966" s="200" t="s">
        <v>307</v>
      </c>
      <c r="D4966" s="204">
        <v>-6500</v>
      </c>
      <c r="E4966" s="201">
        <v>45717</v>
      </c>
      <c r="F4966" s="200" t="s">
        <v>296</v>
      </c>
      <c r="G4966" s="200" t="s">
        <v>411</v>
      </c>
      <c r="H4966" s="200" t="s">
        <v>268</v>
      </c>
      <c r="I4966" s="200" t="s">
        <v>3185</v>
      </c>
    </row>
    <row r="4967" spans="1:9" ht="15" customHeight="1">
      <c r="A4967" s="199">
        <v>45737</v>
      </c>
      <c r="B4967" s="202" t="s">
        <v>3973</v>
      </c>
      <c r="C4967" s="200" t="s">
        <v>307</v>
      </c>
      <c r="D4967" s="204">
        <v>-6500</v>
      </c>
      <c r="E4967" s="201">
        <v>45717</v>
      </c>
      <c r="F4967" s="200" t="s">
        <v>297</v>
      </c>
      <c r="G4967" s="200" t="s">
        <v>1578</v>
      </c>
      <c r="H4967" s="200" t="s">
        <v>268</v>
      </c>
      <c r="I4967" s="200" t="s">
        <v>3185</v>
      </c>
    </row>
    <row r="4968" spans="1:9" ht="15" customHeight="1">
      <c r="A4968" s="199">
        <v>45741</v>
      </c>
      <c r="B4968" s="202" t="s">
        <v>3974</v>
      </c>
      <c r="C4968" s="200" t="s">
        <v>307</v>
      </c>
      <c r="D4968" s="204">
        <v>-6500</v>
      </c>
      <c r="E4968" s="201">
        <v>45717</v>
      </c>
      <c r="F4968" s="200" t="s">
        <v>296</v>
      </c>
      <c r="G4968" s="200" t="s">
        <v>411</v>
      </c>
      <c r="H4968" s="200" t="s">
        <v>268</v>
      </c>
      <c r="I4968" s="200" t="s">
        <v>3185</v>
      </c>
    </row>
    <row r="4969" spans="1:9" ht="15" customHeight="1">
      <c r="A4969" s="199">
        <v>45741</v>
      </c>
      <c r="B4969" s="202" t="s">
        <v>3975</v>
      </c>
      <c r="C4969" s="200" t="s">
        <v>307</v>
      </c>
      <c r="D4969" s="204">
        <v>-6500</v>
      </c>
      <c r="E4969" s="201">
        <v>45717</v>
      </c>
      <c r="F4969" s="200" t="s">
        <v>296</v>
      </c>
      <c r="G4969" s="200" t="s">
        <v>411</v>
      </c>
      <c r="H4969" s="200" t="s">
        <v>268</v>
      </c>
      <c r="I4969" s="200" t="s">
        <v>3185</v>
      </c>
    </row>
    <row r="4970" spans="1:9" ht="15" customHeight="1">
      <c r="A4970" s="199">
        <v>45741</v>
      </c>
      <c r="B4970" s="202" t="s">
        <v>3976</v>
      </c>
      <c r="C4970" s="200" t="s">
        <v>307</v>
      </c>
      <c r="D4970" s="204">
        <v>-17000</v>
      </c>
      <c r="E4970" s="201">
        <v>45717</v>
      </c>
      <c r="F4970" s="200" t="s">
        <v>296</v>
      </c>
      <c r="G4970" s="200" t="s">
        <v>411</v>
      </c>
      <c r="H4970" s="200" t="s">
        <v>268</v>
      </c>
      <c r="I4970" s="200" t="s">
        <v>3185</v>
      </c>
    </row>
    <row r="4971" spans="1:9" ht="15" customHeight="1">
      <c r="A4971" s="199">
        <v>45735</v>
      </c>
      <c r="B4971" s="202" t="s">
        <v>3977</v>
      </c>
      <c r="C4971" s="200" t="s">
        <v>307</v>
      </c>
      <c r="D4971" s="204">
        <v>-34000</v>
      </c>
      <c r="E4971" s="201">
        <v>45717</v>
      </c>
      <c r="F4971" s="200" t="s">
        <v>297</v>
      </c>
      <c r="G4971" s="200" t="s">
        <v>1578</v>
      </c>
      <c r="H4971" s="200" t="s">
        <v>268</v>
      </c>
      <c r="I4971" s="200" t="s">
        <v>3978</v>
      </c>
    </row>
    <row r="4972" spans="1:9" ht="15" customHeight="1">
      <c r="A4972" s="199">
        <v>45735</v>
      </c>
      <c r="B4972" s="202" t="s">
        <v>3979</v>
      </c>
      <c r="C4972" s="200" t="s">
        <v>307</v>
      </c>
      <c r="D4972" s="204">
        <v>-6500</v>
      </c>
      <c r="E4972" s="201">
        <v>45717</v>
      </c>
      <c r="F4972" s="200" t="s">
        <v>297</v>
      </c>
      <c r="G4972" s="200" t="s">
        <v>1578</v>
      </c>
      <c r="H4972" s="200" t="s">
        <v>268</v>
      </c>
      <c r="I4972" s="200" t="s">
        <v>3978</v>
      </c>
    </row>
    <row r="4973" spans="1:9" ht="15" customHeight="1">
      <c r="A4973" s="199">
        <v>45735</v>
      </c>
      <c r="B4973" s="202" t="s">
        <v>3980</v>
      </c>
      <c r="C4973" s="200" t="s">
        <v>307</v>
      </c>
      <c r="D4973" s="204">
        <v>-18000</v>
      </c>
      <c r="E4973" s="201">
        <v>45717</v>
      </c>
      <c r="F4973" s="200" t="s">
        <v>297</v>
      </c>
      <c r="G4973" s="200" t="s">
        <v>1578</v>
      </c>
      <c r="H4973" s="200" t="s">
        <v>342</v>
      </c>
      <c r="I4973" s="200" t="s">
        <v>3978</v>
      </c>
    </row>
    <row r="4974" spans="1:9" ht="15" customHeight="1">
      <c r="A4974" s="199">
        <v>45735</v>
      </c>
      <c r="B4974" s="202" t="s">
        <v>3981</v>
      </c>
      <c r="C4974" s="200" t="s">
        <v>307</v>
      </c>
      <c r="D4974" s="204">
        <v>-6500</v>
      </c>
      <c r="E4974" s="201">
        <v>45717</v>
      </c>
      <c r="F4974" s="200" t="s">
        <v>297</v>
      </c>
      <c r="G4974" s="200" t="s">
        <v>1578</v>
      </c>
      <c r="H4974" s="200" t="s">
        <v>268</v>
      </c>
      <c r="I4974" s="200" t="s">
        <v>3978</v>
      </c>
    </row>
    <row r="4975" spans="1:9" ht="15" customHeight="1">
      <c r="A4975" s="199">
        <v>45735</v>
      </c>
      <c r="B4975" s="202" t="s">
        <v>2270</v>
      </c>
      <c r="C4975" s="200" t="s">
        <v>307</v>
      </c>
      <c r="D4975" s="204">
        <v>-17000</v>
      </c>
      <c r="E4975" s="201">
        <v>45717</v>
      </c>
      <c r="F4975" s="200" t="s">
        <v>297</v>
      </c>
      <c r="G4975" s="200" t="s">
        <v>1578</v>
      </c>
      <c r="H4975" s="200" t="s">
        <v>268</v>
      </c>
      <c r="I4975" s="200" t="s">
        <v>3978</v>
      </c>
    </row>
    <row r="4976" spans="1:9" ht="15" customHeight="1">
      <c r="A4976" s="199">
        <v>45729</v>
      </c>
      <c r="B4976" s="202" t="s">
        <v>3191</v>
      </c>
      <c r="C4976" s="200" t="s">
        <v>307</v>
      </c>
      <c r="D4976" s="204">
        <v>-17000</v>
      </c>
      <c r="E4976" s="201">
        <v>45717</v>
      </c>
      <c r="F4976" s="200" t="s">
        <v>296</v>
      </c>
      <c r="G4976" s="200" t="s">
        <v>411</v>
      </c>
      <c r="H4976" s="200" t="s">
        <v>268</v>
      </c>
      <c r="I4976" s="200" t="s">
        <v>3185</v>
      </c>
    </row>
    <row r="4977" spans="1:9" ht="15" customHeight="1">
      <c r="A4977" s="199">
        <v>45729</v>
      </c>
      <c r="B4977" s="202" t="s">
        <v>3982</v>
      </c>
      <c r="C4977" s="200" t="s">
        <v>307</v>
      </c>
      <c r="D4977" s="204">
        <v>-6500</v>
      </c>
      <c r="E4977" s="201">
        <v>45717</v>
      </c>
      <c r="F4977" s="200" t="s">
        <v>296</v>
      </c>
      <c r="G4977" s="200" t="s">
        <v>411</v>
      </c>
      <c r="H4977" s="200" t="s">
        <v>268</v>
      </c>
      <c r="I4977" s="200" t="s">
        <v>3185</v>
      </c>
    </row>
    <row r="4978" spans="1:9" ht="15" customHeight="1">
      <c r="A4978" s="199">
        <v>45729</v>
      </c>
      <c r="B4978" s="202" t="s">
        <v>3983</v>
      </c>
      <c r="C4978" s="200" t="s">
        <v>307</v>
      </c>
      <c r="D4978" s="204">
        <v>-6500</v>
      </c>
      <c r="E4978" s="201">
        <v>45717</v>
      </c>
      <c r="F4978" s="200" t="s">
        <v>296</v>
      </c>
      <c r="G4978" s="200" t="s">
        <v>411</v>
      </c>
      <c r="H4978" s="200" t="s">
        <v>268</v>
      </c>
      <c r="I4978" s="648" t="s">
        <v>329</v>
      </c>
    </row>
    <row r="4979" spans="1:9" ht="15" customHeight="1">
      <c r="A4979" s="199">
        <v>45730</v>
      </c>
      <c r="B4979" s="202" t="s">
        <v>3984</v>
      </c>
      <c r="C4979" s="200" t="s">
        <v>307</v>
      </c>
      <c r="D4979" s="204">
        <v>-6500</v>
      </c>
      <c r="E4979" s="201">
        <v>45717</v>
      </c>
      <c r="F4979" s="200" t="s">
        <v>395</v>
      </c>
      <c r="G4979" s="531" t="s">
        <v>395</v>
      </c>
      <c r="H4979" s="200" t="s">
        <v>268</v>
      </c>
      <c r="I4979" s="673"/>
    </row>
    <row r="4980" spans="1:9" ht="15" customHeight="1">
      <c r="A4980" s="199">
        <v>45730</v>
      </c>
      <c r="B4980" s="202" t="s">
        <v>3985</v>
      </c>
      <c r="C4980" s="200" t="s">
        <v>307</v>
      </c>
      <c r="D4980" s="204">
        <v>-6500</v>
      </c>
      <c r="E4980" s="201">
        <v>45717</v>
      </c>
      <c r="F4980" s="200" t="s">
        <v>297</v>
      </c>
      <c r="G4980" s="200" t="s">
        <v>1578</v>
      </c>
      <c r="H4980" s="200" t="s">
        <v>268</v>
      </c>
      <c r="I4980" s="200" t="s">
        <v>3185</v>
      </c>
    </row>
    <row r="4981" spans="1:9" ht="15" customHeight="1">
      <c r="A4981" s="199">
        <v>45730</v>
      </c>
      <c r="B4981" s="202" t="s">
        <v>3983</v>
      </c>
      <c r="C4981" s="200" t="s">
        <v>307</v>
      </c>
      <c r="D4981" s="204">
        <v>-6500</v>
      </c>
      <c r="E4981" s="201">
        <v>45717</v>
      </c>
      <c r="F4981" s="200" t="s">
        <v>297</v>
      </c>
      <c r="G4981" s="200" t="s">
        <v>1578</v>
      </c>
      <c r="H4981" s="200" t="s">
        <v>268</v>
      </c>
      <c r="I4981" s="200" t="s">
        <v>3185</v>
      </c>
    </row>
    <row r="4982" spans="1:9" ht="15" customHeight="1">
      <c r="A4982" s="199">
        <v>45733</v>
      </c>
      <c r="B4982" s="202" t="s">
        <v>3986</v>
      </c>
      <c r="C4982" s="200" t="s">
        <v>307</v>
      </c>
      <c r="D4982" s="204">
        <v>-17000</v>
      </c>
      <c r="E4982" s="201">
        <v>45717</v>
      </c>
      <c r="F4982" s="200" t="s">
        <v>297</v>
      </c>
      <c r="G4982" s="200" t="s">
        <v>1578</v>
      </c>
      <c r="H4982" s="200" t="s">
        <v>268</v>
      </c>
      <c r="I4982" s="200" t="s">
        <v>3185</v>
      </c>
    </row>
    <row r="4983" spans="1:9" ht="15" customHeight="1">
      <c r="A4983" s="199">
        <v>45741</v>
      </c>
      <c r="B4983" s="202" t="s">
        <v>3987</v>
      </c>
      <c r="C4983" s="200" t="s">
        <v>307</v>
      </c>
      <c r="D4983" s="204">
        <v>40000</v>
      </c>
      <c r="E4983" s="201">
        <v>45717</v>
      </c>
      <c r="F4983" s="200" t="s">
        <v>256</v>
      </c>
      <c r="G4983" s="200" t="s">
        <v>256</v>
      </c>
      <c r="H4983" s="200" t="s">
        <v>9</v>
      </c>
    </row>
    <row r="4984" spans="1:9" ht="15" customHeight="1">
      <c r="A4984" s="199">
        <v>45734</v>
      </c>
      <c r="B4984" s="202" t="s">
        <v>3988</v>
      </c>
      <c r="C4984" s="200" t="s">
        <v>307</v>
      </c>
      <c r="D4984" s="204">
        <v>-39500</v>
      </c>
      <c r="E4984" s="201">
        <v>45717</v>
      </c>
      <c r="F4984" s="200" t="s">
        <v>256</v>
      </c>
      <c r="G4984" s="200" t="s">
        <v>256</v>
      </c>
      <c r="H4984" s="200" t="s">
        <v>269</v>
      </c>
      <c r="I4984" s="200" t="s">
        <v>3989</v>
      </c>
    </row>
    <row r="4985" spans="1:9" ht="15" customHeight="1">
      <c r="A4985" s="199">
        <v>45734</v>
      </c>
      <c r="B4985" s="202" t="s">
        <v>3990</v>
      </c>
      <c r="C4985" s="200" t="s">
        <v>307</v>
      </c>
      <c r="D4985" s="204">
        <v>-20599</v>
      </c>
      <c r="E4985" s="201">
        <v>45717</v>
      </c>
      <c r="F4985" s="200" t="s">
        <v>256</v>
      </c>
      <c r="G4985" s="200" t="s">
        <v>256</v>
      </c>
      <c r="H4985" s="200" t="s">
        <v>269</v>
      </c>
      <c r="I4985" s="200" t="s">
        <v>3989</v>
      </c>
    </row>
    <row r="4986" spans="1:9" ht="15" customHeight="1">
      <c r="A4986" s="199">
        <v>45735</v>
      </c>
      <c r="B4986" s="202" t="s">
        <v>3991</v>
      </c>
      <c r="C4986" s="200" t="s">
        <v>307</v>
      </c>
      <c r="D4986" s="204">
        <v>-20000</v>
      </c>
      <c r="E4986" s="201">
        <v>45717</v>
      </c>
      <c r="F4986" s="200" t="s">
        <v>256</v>
      </c>
      <c r="G4986" s="200" t="s">
        <v>256</v>
      </c>
      <c r="H4986" s="200" t="s">
        <v>269</v>
      </c>
      <c r="I4986" s="200" t="s">
        <v>3989</v>
      </c>
    </row>
    <row r="4987" spans="1:9" ht="15" customHeight="1">
      <c r="A4987" s="199">
        <v>45735</v>
      </c>
      <c r="B4987" s="202" t="s">
        <v>3988</v>
      </c>
      <c r="C4987" s="200" t="s">
        <v>307</v>
      </c>
      <c r="D4987" s="204">
        <v>-27000</v>
      </c>
      <c r="E4987" s="201">
        <v>45717</v>
      </c>
      <c r="F4987" s="200" t="s">
        <v>256</v>
      </c>
      <c r="G4987" s="200" t="s">
        <v>256</v>
      </c>
      <c r="H4987" s="200" t="s">
        <v>269</v>
      </c>
      <c r="I4987" s="200" t="s">
        <v>3989</v>
      </c>
    </row>
    <row r="4988" spans="1:9" ht="15" customHeight="1">
      <c r="A4988" s="199">
        <v>45736</v>
      </c>
      <c r="B4988" s="202" t="s">
        <v>3988</v>
      </c>
      <c r="C4988" s="200" t="s">
        <v>307</v>
      </c>
      <c r="D4988" s="204">
        <v>-26500</v>
      </c>
      <c r="E4988" s="201">
        <v>45717</v>
      </c>
      <c r="F4988" s="200" t="s">
        <v>256</v>
      </c>
      <c r="G4988" s="200" t="s">
        <v>256</v>
      </c>
      <c r="H4988" s="200" t="s">
        <v>269</v>
      </c>
      <c r="I4988" s="200" t="s">
        <v>3989</v>
      </c>
    </row>
    <row r="4989" spans="1:9" ht="15" customHeight="1">
      <c r="A4989" s="199">
        <v>45736</v>
      </c>
      <c r="B4989" s="202" t="s">
        <v>3991</v>
      </c>
      <c r="C4989" s="200" t="s">
        <v>307</v>
      </c>
      <c r="D4989" s="204">
        <v>-33900</v>
      </c>
      <c r="E4989" s="201">
        <v>45717</v>
      </c>
      <c r="F4989" s="200" t="s">
        <v>256</v>
      </c>
      <c r="G4989" s="200" t="s">
        <v>256</v>
      </c>
      <c r="H4989" s="200" t="s">
        <v>269</v>
      </c>
      <c r="I4989" s="200" t="s">
        <v>3989</v>
      </c>
    </row>
    <row r="4990" spans="1:9" ht="15" customHeight="1">
      <c r="A4990" s="199">
        <v>45737</v>
      </c>
      <c r="B4990" s="202" t="s">
        <v>3992</v>
      </c>
      <c r="C4990" s="200" t="s">
        <v>307</v>
      </c>
      <c r="D4990" s="204">
        <v>-20000</v>
      </c>
      <c r="E4990" s="201">
        <v>45717</v>
      </c>
      <c r="F4990" s="200" t="s">
        <v>256</v>
      </c>
      <c r="G4990" s="200" t="s">
        <v>256</v>
      </c>
      <c r="H4990" s="200" t="s">
        <v>269</v>
      </c>
      <c r="I4990" s="200" t="s">
        <v>3989</v>
      </c>
    </row>
    <row r="4991" spans="1:9" ht="15" customHeight="1">
      <c r="A4991" s="199">
        <v>45737</v>
      </c>
      <c r="B4991" s="202" t="s">
        <v>3993</v>
      </c>
      <c r="C4991" s="200" t="s">
        <v>307</v>
      </c>
      <c r="D4991" s="204">
        <v>-2700</v>
      </c>
      <c r="E4991" s="201">
        <v>45717</v>
      </c>
      <c r="F4991" s="200" t="s">
        <v>256</v>
      </c>
      <c r="G4991" s="200" t="s">
        <v>256</v>
      </c>
      <c r="H4991" s="200" t="s">
        <v>269</v>
      </c>
      <c r="I4991" s="200" t="s">
        <v>3989</v>
      </c>
    </row>
    <row r="4992" spans="1:9" ht="15" customHeight="1">
      <c r="A4992" s="199">
        <v>45732</v>
      </c>
      <c r="B4992" s="202" t="s">
        <v>3994</v>
      </c>
      <c r="C4992" s="200" t="s">
        <v>307</v>
      </c>
      <c r="D4992" s="204">
        <v>-3500</v>
      </c>
      <c r="E4992" s="201">
        <v>45717</v>
      </c>
      <c r="F4992" s="200" t="s">
        <v>256</v>
      </c>
      <c r="G4992" s="200" t="s">
        <v>256</v>
      </c>
      <c r="H4992" s="200" t="s">
        <v>269</v>
      </c>
      <c r="I4992" s="200" t="s">
        <v>3989</v>
      </c>
    </row>
    <row r="4993" spans="1:9" ht="15" customHeight="1">
      <c r="A4993" s="199">
        <v>45732</v>
      </c>
      <c r="B4993" s="202" t="s">
        <v>3994</v>
      </c>
      <c r="C4993" s="200" t="s">
        <v>307</v>
      </c>
      <c r="D4993" s="204">
        <v>-2000</v>
      </c>
      <c r="E4993" s="201">
        <v>45717</v>
      </c>
      <c r="F4993" s="200" t="s">
        <v>256</v>
      </c>
      <c r="G4993" s="200" t="s">
        <v>256</v>
      </c>
      <c r="H4993" s="200" t="s">
        <v>269</v>
      </c>
      <c r="I4993" s="200" t="s">
        <v>3989</v>
      </c>
    </row>
    <row r="4994" spans="1:9" ht="15" customHeight="1">
      <c r="A4994" s="199">
        <v>45733</v>
      </c>
      <c r="B4994" s="202" t="s">
        <v>3995</v>
      </c>
      <c r="C4994" s="200" t="s">
        <v>307</v>
      </c>
      <c r="D4994" s="204">
        <v>-110395</v>
      </c>
      <c r="E4994" s="201">
        <v>45717</v>
      </c>
      <c r="F4994" s="200" t="s">
        <v>256</v>
      </c>
      <c r="G4994" s="200" t="s">
        <v>256</v>
      </c>
      <c r="H4994" s="200" t="s">
        <v>269</v>
      </c>
      <c r="I4994" s="200" t="s">
        <v>3989</v>
      </c>
    </row>
    <row r="4995" spans="1:9" ht="15" customHeight="1">
      <c r="A4995" s="199">
        <v>45734</v>
      </c>
      <c r="B4995" s="202" t="s">
        <v>3996</v>
      </c>
      <c r="C4995" s="200" t="s">
        <v>307</v>
      </c>
      <c r="D4995" s="204">
        <v>-54405</v>
      </c>
      <c r="E4995" s="201">
        <v>45717</v>
      </c>
      <c r="F4995" s="200" t="s">
        <v>256</v>
      </c>
      <c r="G4995" s="200" t="s">
        <v>256</v>
      </c>
      <c r="H4995" s="200" t="s">
        <v>269</v>
      </c>
      <c r="I4995" s="200" t="s">
        <v>3989</v>
      </c>
    </row>
    <row r="4996" spans="1:9" ht="15" customHeight="1">
      <c r="A4996" s="199">
        <v>45733</v>
      </c>
      <c r="B4996" s="202" t="s">
        <v>3997</v>
      </c>
      <c r="C4996" s="200" t="s">
        <v>307</v>
      </c>
      <c r="D4996" s="204">
        <v>-130000</v>
      </c>
      <c r="E4996" s="201">
        <v>45717</v>
      </c>
      <c r="F4996" s="200" t="s">
        <v>256</v>
      </c>
      <c r="G4996" s="200" t="s">
        <v>256</v>
      </c>
      <c r="H4996" s="200" t="s">
        <v>269</v>
      </c>
      <c r="I4996" s="200" t="s">
        <v>3989</v>
      </c>
    </row>
    <row r="4997" spans="1:9" ht="15" customHeight="1">
      <c r="A4997" s="199">
        <v>45738</v>
      </c>
      <c r="B4997" s="202" t="s">
        <v>3991</v>
      </c>
      <c r="C4997" s="200" t="s">
        <v>307</v>
      </c>
      <c r="D4997" s="204">
        <v>-27000</v>
      </c>
      <c r="E4997" s="201">
        <v>45717</v>
      </c>
      <c r="F4997" s="200" t="s">
        <v>256</v>
      </c>
      <c r="G4997" s="200" t="s">
        <v>256</v>
      </c>
      <c r="H4997" s="200" t="s">
        <v>269</v>
      </c>
      <c r="I4997" s="200" t="s">
        <v>3989</v>
      </c>
    </row>
    <row r="4998" spans="1:9" ht="15" customHeight="1">
      <c r="A4998" s="199">
        <v>45738</v>
      </c>
      <c r="B4998" s="202" t="s">
        <v>3998</v>
      </c>
      <c r="C4998" s="200" t="s">
        <v>307</v>
      </c>
      <c r="D4998" s="204">
        <v>-33500</v>
      </c>
      <c r="E4998" s="201">
        <v>45717</v>
      </c>
      <c r="F4998" s="200" t="s">
        <v>256</v>
      </c>
      <c r="G4998" s="200" t="s">
        <v>256</v>
      </c>
      <c r="H4998" s="200" t="s">
        <v>269</v>
      </c>
      <c r="I4998" s="200" t="s">
        <v>3989</v>
      </c>
    </row>
    <row r="4999" spans="1:9" ht="15" customHeight="1">
      <c r="A4999" s="199">
        <v>45733</v>
      </c>
      <c r="B4999" s="202" t="s">
        <v>3999</v>
      </c>
      <c r="C4999" s="200" t="s">
        <v>307</v>
      </c>
      <c r="D4999" s="204">
        <v>-20000</v>
      </c>
      <c r="E4999" s="201">
        <v>45717</v>
      </c>
      <c r="F4999" s="200" t="s">
        <v>296</v>
      </c>
      <c r="G4999" s="200" t="s">
        <v>44</v>
      </c>
      <c r="H4999" s="200" t="s">
        <v>442</v>
      </c>
      <c r="I4999" s="200" t="s">
        <v>4000</v>
      </c>
    </row>
    <row r="5000" spans="1:9" ht="15" customHeight="1">
      <c r="A5000" s="199">
        <v>45733</v>
      </c>
      <c r="B5000" s="202" t="s">
        <v>4001</v>
      </c>
      <c r="C5000" s="200" t="s">
        <v>307</v>
      </c>
      <c r="D5000" s="204">
        <v>-25000</v>
      </c>
      <c r="E5000" s="201">
        <v>45717</v>
      </c>
      <c r="F5000" s="200" t="s">
        <v>296</v>
      </c>
      <c r="G5000" s="200" t="s">
        <v>44</v>
      </c>
      <c r="H5000" s="200" t="s">
        <v>326</v>
      </c>
      <c r="I5000" s="200" t="s">
        <v>4000</v>
      </c>
    </row>
    <row r="5001" spans="1:9" ht="15" customHeight="1">
      <c r="A5001" s="199">
        <v>45734</v>
      </c>
      <c r="B5001" s="202" t="s">
        <v>4002</v>
      </c>
      <c r="C5001" s="200" t="s">
        <v>307</v>
      </c>
      <c r="D5001" s="204">
        <v>-50000</v>
      </c>
      <c r="E5001" s="201">
        <v>45717</v>
      </c>
      <c r="F5001" s="200" t="s">
        <v>296</v>
      </c>
      <c r="G5001" s="200" t="s">
        <v>44</v>
      </c>
      <c r="H5001" s="200" t="s">
        <v>442</v>
      </c>
      <c r="I5001" s="200" t="s">
        <v>4000</v>
      </c>
    </row>
    <row r="5002" spans="1:9" ht="15" customHeight="1">
      <c r="A5002" s="199">
        <v>45734</v>
      </c>
      <c r="B5002" s="202" t="s">
        <v>4003</v>
      </c>
      <c r="C5002" s="200" t="s">
        <v>307</v>
      </c>
      <c r="D5002" s="204">
        <v>-15000</v>
      </c>
      <c r="E5002" s="201">
        <v>45717</v>
      </c>
      <c r="F5002" s="200" t="s">
        <v>296</v>
      </c>
      <c r="G5002" s="200" t="s">
        <v>44</v>
      </c>
      <c r="H5002" s="200" t="s">
        <v>326</v>
      </c>
      <c r="I5002" s="200" t="s">
        <v>4000</v>
      </c>
    </row>
    <row r="5003" spans="1:9" ht="15" customHeight="1">
      <c r="A5003" s="199">
        <v>45736</v>
      </c>
      <c r="B5003" s="202" t="s">
        <v>4004</v>
      </c>
      <c r="C5003" s="200" t="s">
        <v>307</v>
      </c>
      <c r="D5003" s="204">
        <v>-50000</v>
      </c>
      <c r="E5003" s="201">
        <v>45717</v>
      </c>
      <c r="F5003" s="200" t="s">
        <v>296</v>
      </c>
      <c r="G5003" s="200" t="s">
        <v>44</v>
      </c>
      <c r="H5003" s="200" t="s">
        <v>442</v>
      </c>
      <c r="I5003" s="200" t="s">
        <v>4000</v>
      </c>
    </row>
    <row r="5004" spans="1:9" ht="15" customHeight="1">
      <c r="A5004" s="199">
        <v>45736</v>
      </c>
      <c r="B5004" s="202" t="s">
        <v>4005</v>
      </c>
      <c r="C5004" s="200" t="s">
        <v>307</v>
      </c>
      <c r="D5004" s="204">
        <v>-39100</v>
      </c>
      <c r="E5004" s="201">
        <v>45717</v>
      </c>
      <c r="F5004" s="200" t="s">
        <v>296</v>
      </c>
      <c r="G5004" s="200" t="s">
        <v>44</v>
      </c>
      <c r="H5004" s="200" t="s">
        <v>326</v>
      </c>
      <c r="I5004" s="200" t="s">
        <v>4000</v>
      </c>
    </row>
    <row r="5005" spans="1:9" ht="15" customHeight="1">
      <c r="A5005" s="199">
        <v>45736</v>
      </c>
      <c r="B5005" s="202" t="s">
        <v>4006</v>
      </c>
      <c r="C5005" s="200" t="s">
        <v>307</v>
      </c>
      <c r="D5005" s="204">
        <v>-21000</v>
      </c>
      <c r="E5005" s="201">
        <v>45717</v>
      </c>
      <c r="F5005" s="200" t="s">
        <v>296</v>
      </c>
      <c r="G5005" s="200" t="s">
        <v>44</v>
      </c>
      <c r="H5005" s="200" t="s">
        <v>326</v>
      </c>
      <c r="I5005" s="200" t="s">
        <v>4000</v>
      </c>
    </row>
    <row r="5006" spans="1:9" ht="15" customHeight="1">
      <c r="A5006" s="199">
        <v>45737</v>
      </c>
      <c r="B5006" s="202" t="s">
        <v>4007</v>
      </c>
      <c r="C5006" s="200" t="s">
        <v>307</v>
      </c>
      <c r="D5006" s="204">
        <v>-19500</v>
      </c>
      <c r="E5006" s="201">
        <v>45717</v>
      </c>
      <c r="F5006" s="200" t="s">
        <v>296</v>
      </c>
      <c r="G5006" s="200" t="s">
        <v>44</v>
      </c>
      <c r="H5006" s="200" t="s">
        <v>326</v>
      </c>
      <c r="I5006" s="200" t="s">
        <v>4000</v>
      </c>
    </row>
    <row r="5007" spans="1:9" ht="15" customHeight="1">
      <c r="A5007" s="199">
        <v>45737</v>
      </c>
      <c r="B5007" s="202" t="s">
        <v>4008</v>
      </c>
      <c r="C5007" s="200" t="s">
        <v>307</v>
      </c>
      <c r="D5007" s="204">
        <v>-30000</v>
      </c>
      <c r="E5007" s="201">
        <v>45717</v>
      </c>
      <c r="F5007" s="200" t="s">
        <v>296</v>
      </c>
      <c r="G5007" s="200" t="s">
        <v>44</v>
      </c>
      <c r="H5007" s="200" t="s">
        <v>442</v>
      </c>
      <c r="I5007" s="200" t="s">
        <v>4000</v>
      </c>
    </row>
    <row r="5008" spans="1:9" ht="15" customHeight="1">
      <c r="A5008" s="199">
        <v>45737</v>
      </c>
      <c r="B5008" s="202" t="s">
        <v>4009</v>
      </c>
      <c r="C5008" s="200" t="s">
        <v>307</v>
      </c>
      <c r="D5008" s="204">
        <v>-19900</v>
      </c>
      <c r="E5008" s="201">
        <v>45717</v>
      </c>
      <c r="F5008" s="200" t="s">
        <v>296</v>
      </c>
      <c r="G5008" s="200" t="s">
        <v>44</v>
      </c>
      <c r="H5008" s="200" t="s">
        <v>326</v>
      </c>
      <c r="I5008" s="200" t="s">
        <v>4000</v>
      </c>
    </row>
    <row r="5009" spans="1:9" ht="15" customHeight="1">
      <c r="A5009" s="199">
        <v>45737</v>
      </c>
      <c r="B5009" s="202" t="s">
        <v>4010</v>
      </c>
      <c r="C5009" s="200" t="s">
        <v>307</v>
      </c>
      <c r="D5009" s="204">
        <v>-17000</v>
      </c>
      <c r="E5009" s="201">
        <v>45717</v>
      </c>
      <c r="F5009" s="200" t="s">
        <v>296</v>
      </c>
      <c r="G5009" s="200" t="s">
        <v>44</v>
      </c>
      <c r="H5009" s="200" t="s">
        <v>442</v>
      </c>
      <c r="I5009" s="200" t="s">
        <v>4000</v>
      </c>
    </row>
    <row r="5010" spans="1:9" ht="15" customHeight="1">
      <c r="A5010" s="199">
        <v>45741</v>
      </c>
      <c r="B5010" s="202" t="s">
        <v>4011</v>
      </c>
      <c r="C5010" s="200" t="s">
        <v>307</v>
      </c>
      <c r="D5010" s="204">
        <v>-17000</v>
      </c>
      <c r="E5010" s="201">
        <v>45717</v>
      </c>
      <c r="F5010" s="200" t="s">
        <v>297</v>
      </c>
      <c r="G5010" s="200" t="s">
        <v>1578</v>
      </c>
      <c r="H5010" s="200" t="s">
        <v>268</v>
      </c>
      <c r="I5010" s="200" t="s">
        <v>3034</v>
      </c>
    </row>
    <row r="5011" spans="1:9" ht="15" customHeight="1">
      <c r="A5011" s="199">
        <v>45741</v>
      </c>
      <c r="B5011" s="202" t="s">
        <v>4012</v>
      </c>
      <c r="C5011" s="200" t="s">
        <v>307</v>
      </c>
      <c r="D5011" s="204">
        <v>-17000</v>
      </c>
      <c r="E5011" s="201">
        <v>45717</v>
      </c>
      <c r="F5011" s="200" t="s">
        <v>297</v>
      </c>
      <c r="G5011" s="200" t="s">
        <v>1578</v>
      </c>
      <c r="H5011" s="200" t="s">
        <v>268</v>
      </c>
      <c r="I5011" s="200" t="s">
        <v>3034</v>
      </c>
    </row>
    <row r="5012" spans="1:9" ht="15" customHeight="1">
      <c r="A5012" s="199">
        <v>45741</v>
      </c>
      <c r="B5012" s="202" t="s">
        <v>4012</v>
      </c>
      <c r="C5012" s="200" t="s">
        <v>307</v>
      </c>
      <c r="D5012" s="204">
        <v>-17000</v>
      </c>
      <c r="E5012" s="201">
        <v>45717</v>
      </c>
      <c r="F5012" s="200" t="s">
        <v>297</v>
      </c>
      <c r="G5012" s="200" t="s">
        <v>1578</v>
      </c>
      <c r="H5012" s="200" t="s">
        <v>268</v>
      </c>
      <c r="I5012" s="200" t="s">
        <v>3034</v>
      </c>
    </row>
    <row r="5013" spans="1:9" ht="15" customHeight="1">
      <c r="A5013" s="199">
        <v>45734</v>
      </c>
      <c r="B5013" s="202" t="s">
        <v>4011</v>
      </c>
      <c r="C5013" s="200" t="s">
        <v>307</v>
      </c>
      <c r="D5013" s="204">
        <v>-17000</v>
      </c>
      <c r="E5013" s="201">
        <v>45717</v>
      </c>
      <c r="F5013" s="200" t="s">
        <v>297</v>
      </c>
      <c r="G5013" s="200" t="s">
        <v>1578</v>
      </c>
      <c r="H5013" s="200" t="s">
        <v>268</v>
      </c>
      <c r="I5013" s="200" t="s">
        <v>3034</v>
      </c>
    </row>
    <row r="5014" spans="1:9" ht="15" customHeight="1">
      <c r="A5014" s="199">
        <v>45734</v>
      </c>
      <c r="B5014" s="202" t="s">
        <v>4012</v>
      </c>
      <c r="C5014" s="200" t="s">
        <v>307</v>
      </c>
      <c r="D5014" s="204">
        <v>-17000</v>
      </c>
      <c r="E5014" s="201">
        <v>45717</v>
      </c>
      <c r="F5014" s="200" t="s">
        <v>297</v>
      </c>
      <c r="G5014" s="200" t="s">
        <v>1578</v>
      </c>
      <c r="H5014" s="200" t="s">
        <v>268</v>
      </c>
      <c r="I5014" s="200" t="s">
        <v>3034</v>
      </c>
    </row>
    <row r="5015" spans="1:9" ht="15" customHeight="1">
      <c r="A5015" s="199">
        <v>45734</v>
      </c>
      <c r="B5015" s="202" t="s">
        <v>4011</v>
      </c>
      <c r="C5015" s="200" t="s">
        <v>307</v>
      </c>
      <c r="D5015" s="204">
        <v>-17000</v>
      </c>
      <c r="E5015" s="201">
        <v>45717</v>
      </c>
      <c r="F5015" s="200" t="s">
        <v>297</v>
      </c>
      <c r="G5015" s="200" t="s">
        <v>1578</v>
      </c>
      <c r="H5015" s="200" t="s">
        <v>268</v>
      </c>
      <c r="I5015" s="200" t="s">
        <v>3034</v>
      </c>
    </row>
    <row r="5016" spans="1:9" ht="15" customHeight="1">
      <c r="A5016" s="199">
        <v>45734</v>
      </c>
      <c r="B5016" s="202" t="s">
        <v>3184</v>
      </c>
      <c r="C5016" s="200" t="s">
        <v>307</v>
      </c>
      <c r="D5016" s="204">
        <v>-6500</v>
      </c>
      <c r="E5016" s="201">
        <v>45717</v>
      </c>
      <c r="F5016" s="200" t="s">
        <v>297</v>
      </c>
      <c r="G5016" s="200" t="s">
        <v>1578</v>
      </c>
      <c r="H5016" s="200" t="s">
        <v>268</v>
      </c>
      <c r="I5016" s="200" t="s">
        <v>3034</v>
      </c>
    </row>
    <row r="5017" spans="1:9" ht="15" customHeight="1">
      <c r="A5017" s="199">
        <v>45730</v>
      </c>
      <c r="B5017" s="202" t="s">
        <v>4013</v>
      </c>
      <c r="C5017" s="200" t="s">
        <v>307</v>
      </c>
      <c r="D5017" s="204">
        <v>-6500</v>
      </c>
      <c r="E5017" s="201">
        <v>45717</v>
      </c>
      <c r="F5017" s="200" t="s">
        <v>297</v>
      </c>
      <c r="G5017" s="200" t="s">
        <v>1578</v>
      </c>
      <c r="H5017" s="200" t="s">
        <v>268</v>
      </c>
      <c r="I5017" s="200" t="s">
        <v>3034</v>
      </c>
    </row>
    <row r="5018" spans="1:9" ht="15" customHeight="1">
      <c r="A5018" s="199">
        <v>45728</v>
      </c>
      <c r="B5018" s="202" t="s">
        <v>4014</v>
      </c>
      <c r="C5018" s="200" t="s">
        <v>307</v>
      </c>
      <c r="D5018" s="204">
        <v>-6300</v>
      </c>
      <c r="E5018" s="201">
        <v>45717</v>
      </c>
      <c r="F5018" s="200" t="s">
        <v>297</v>
      </c>
      <c r="G5018" s="200" t="s">
        <v>1578</v>
      </c>
      <c r="H5018" s="200" t="s">
        <v>268</v>
      </c>
      <c r="I5018" s="200" t="s">
        <v>3034</v>
      </c>
    </row>
    <row r="5019" spans="1:9" ht="15" customHeight="1">
      <c r="A5019" s="199">
        <v>45728</v>
      </c>
      <c r="B5019" s="202" t="s">
        <v>3184</v>
      </c>
      <c r="C5019" s="200" t="s">
        <v>307</v>
      </c>
      <c r="D5019" s="204">
        <v>-8000</v>
      </c>
      <c r="E5019" s="201">
        <v>45717</v>
      </c>
      <c r="F5019" s="200" t="s">
        <v>297</v>
      </c>
      <c r="G5019" s="200" t="s">
        <v>1578</v>
      </c>
      <c r="H5019" s="200" t="s">
        <v>268</v>
      </c>
      <c r="I5019" s="200" t="s">
        <v>3034</v>
      </c>
    </row>
    <row r="5020" spans="1:9" ht="15" customHeight="1">
      <c r="A5020" s="199">
        <v>45727</v>
      </c>
      <c r="B5020" s="202" t="s">
        <v>4015</v>
      </c>
      <c r="C5020" s="200" t="s">
        <v>307</v>
      </c>
      <c r="D5020" s="204">
        <v>-20000</v>
      </c>
      <c r="E5020" s="201">
        <v>45717</v>
      </c>
      <c r="F5020" s="200" t="s">
        <v>297</v>
      </c>
      <c r="G5020" s="200" t="s">
        <v>1578</v>
      </c>
      <c r="H5020" s="200" t="s">
        <v>268</v>
      </c>
      <c r="I5020" s="200" t="s">
        <v>3034</v>
      </c>
    </row>
    <row r="5021" spans="1:9" ht="15" customHeight="1">
      <c r="A5021" s="199">
        <v>45726</v>
      </c>
      <c r="B5021" s="202" t="s">
        <v>4016</v>
      </c>
      <c r="C5021" s="200" t="s">
        <v>307</v>
      </c>
      <c r="D5021" s="204">
        <v>-6500</v>
      </c>
      <c r="E5021" s="201">
        <v>45717</v>
      </c>
      <c r="F5021" s="200" t="s">
        <v>297</v>
      </c>
      <c r="G5021" s="200" t="s">
        <v>1578</v>
      </c>
      <c r="H5021" s="200" t="s">
        <v>268</v>
      </c>
      <c r="I5021" s="200" t="s">
        <v>3034</v>
      </c>
    </row>
    <row r="5022" spans="1:9" ht="15" customHeight="1">
      <c r="A5022" s="199">
        <v>45726</v>
      </c>
      <c r="B5022" s="202" t="s">
        <v>4017</v>
      </c>
      <c r="C5022" s="200" t="s">
        <v>307</v>
      </c>
      <c r="D5022" s="204">
        <v>-6500</v>
      </c>
      <c r="E5022" s="201">
        <v>45717</v>
      </c>
      <c r="F5022" s="200" t="s">
        <v>297</v>
      </c>
      <c r="G5022" s="200" t="s">
        <v>1578</v>
      </c>
      <c r="H5022" s="200" t="s">
        <v>268</v>
      </c>
      <c r="I5022" s="200" t="s">
        <v>3034</v>
      </c>
    </row>
    <row r="5023" spans="1:9" ht="15" customHeight="1">
      <c r="A5023" s="199">
        <v>45726</v>
      </c>
      <c r="B5023" s="202" t="s">
        <v>4018</v>
      </c>
      <c r="C5023" s="200" t="s">
        <v>307</v>
      </c>
      <c r="D5023" s="204">
        <v>-15000</v>
      </c>
      <c r="E5023" s="201">
        <v>45717</v>
      </c>
      <c r="F5023" s="200" t="s">
        <v>297</v>
      </c>
      <c r="G5023" s="200" t="s">
        <v>1578</v>
      </c>
      <c r="H5023" s="200" t="s">
        <v>268</v>
      </c>
      <c r="I5023" s="200" t="s">
        <v>3034</v>
      </c>
    </row>
    <row r="5024" spans="1:9" ht="15" customHeight="1">
      <c r="A5024" s="199">
        <v>45723</v>
      </c>
      <c r="B5024" s="202" t="s">
        <v>4019</v>
      </c>
      <c r="C5024" s="200" t="s">
        <v>307</v>
      </c>
      <c r="D5024" s="204">
        <v>-20000</v>
      </c>
      <c r="E5024" s="201">
        <v>45717</v>
      </c>
      <c r="F5024" s="200" t="s">
        <v>297</v>
      </c>
      <c r="G5024" s="200" t="s">
        <v>1578</v>
      </c>
      <c r="H5024" s="200" t="s">
        <v>268</v>
      </c>
      <c r="I5024" s="200" t="s">
        <v>3034</v>
      </c>
    </row>
    <row r="5025" spans="1:9" ht="15" customHeight="1">
      <c r="A5025" s="199">
        <v>45721</v>
      </c>
      <c r="B5025" s="202" t="s">
        <v>4020</v>
      </c>
      <c r="C5025" s="200" t="s">
        <v>307</v>
      </c>
      <c r="D5025" s="204">
        <v>-7000</v>
      </c>
      <c r="E5025" s="201">
        <v>45717</v>
      </c>
      <c r="F5025" s="200" t="s">
        <v>297</v>
      </c>
      <c r="G5025" s="200" t="s">
        <v>1578</v>
      </c>
      <c r="H5025" s="200" t="s">
        <v>268</v>
      </c>
      <c r="I5025" s="200" t="s">
        <v>3034</v>
      </c>
    </row>
    <row r="5026" spans="1:9" ht="15" customHeight="1">
      <c r="A5026" s="199">
        <v>45721</v>
      </c>
      <c r="B5026" s="202" t="s">
        <v>4021</v>
      </c>
      <c r="C5026" s="200" t="s">
        <v>307</v>
      </c>
      <c r="D5026" s="204">
        <v>-7000</v>
      </c>
      <c r="E5026" s="201">
        <v>45717</v>
      </c>
      <c r="F5026" s="200" t="s">
        <v>297</v>
      </c>
      <c r="G5026" s="200" t="s">
        <v>1578</v>
      </c>
      <c r="H5026" s="200" t="s">
        <v>268</v>
      </c>
      <c r="I5026" s="200" t="s">
        <v>3034</v>
      </c>
    </row>
    <row r="5027" spans="1:9" ht="15" customHeight="1">
      <c r="A5027" s="199">
        <v>45720</v>
      </c>
      <c r="B5027" s="202" t="s">
        <v>4022</v>
      </c>
      <c r="C5027" s="200" t="s">
        <v>307</v>
      </c>
      <c r="D5027" s="204">
        <v>-20000</v>
      </c>
      <c r="E5027" s="201">
        <v>45717</v>
      </c>
      <c r="F5027" s="200" t="s">
        <v>297</v>
      </c>
      <c r="G5027" s="200" t="s">
        <v>1578</v>
      </c>
      <c r="H5027" s="200" t="s">
        <v>268</v>
      </c>
      <c r="I5027" s="200" t="s">
        <v>3034</v>
      </c>
    </row>
    <row r="5028" spans="1:9" ht="15" customHeight="1">
      <c r="A5028" s="199">
        <v>45720</v>
      </c>
      <c r="B5028" s="202" t="s">
        <v>4022</v>
      </c>
      <c r="C5028" s="200" t="s">
        <v>307</v>
      </c>
      <c r="D5028" s="204">
        <v>-20000</v>
      </c>
      <c r="E5028" s="201">
        <v>45717</v>
      </c>
      <c r="F5028" s="200" t="s">
        <v>297</v>
      </c>
      <c r="G5028" s="200" t="s">
        <v>1578</v>
      </c>
      <c r="H5028" s="200" t="s">
        <v>268</v>
      </c>
      <c r="I5028" s="200" t="s">
        <v>3034</v>
      </c>
    </row>
    <row r="5029" spans="1:9" ht="15" customHeight="1">
      <c r="A5029" s="199">
        <v>45720</v>
      </c>
      <c r="B5029" s="202" t="s">
        <v>4023</v>
      </c>
      <c r="C5029" s="200" t="s">
        <v>307</v>
      </c>
      <c r="D5029" s="204">
        <v>-8000</v>
      </c>
      <c r="E5029" s="201">
        <v>45717</v>
      </c>
      <c r="F5029" s="200" t="s">
        <v>297</v>
      </c>
      <c r="G5029" s="200" t="s">
        <v>1578</v>
      </c>
      <c r="H5029" s="200" t="s">
        <v>268</v>
      </c>
      <c r="I5029" s="200" t="s">
        <v>3034</v>
      </c>
    </row>
    <row r="5030" spans="1:9" ht="15" customHeight="1">
      <c r="A5030" s="199">
        <v>45720</v>
      </c>
      <c r="B5030" s="202" t="s">
        <v>4024</v>
      </c>
      <c r="C5030" s="200" t="s">
        <v>307</v>
      </c>
      <c r="D5030" s="204">
        <v>-20000</v>
      </c>
      <c r="E5030" s="201">
        <v>45717</v>
      </c>
      <c r="F5030" s="200" t="s">
        <v>297</v>
      </c>
      <c r="G5030" s="200" t="s">
        <v>1578</v>
      </c>
      <c r="H5030" s="200" t="s">
        <v>268</v>
      </c>
      <c r="I5030" s="200" t="s">
        <v>3034</v>
      </c>
    </row>
    <row r="5031" spans="1:9" ht="15" customHeight="1">
      <c r="A5031" s="199">
        <v>45720</v>
      </c>
      <c r="B5031" s="202" t="s">
        <v>4025</v>
      </c>
      <c r="C5031" s="200" t="s">
        <v>307</v>
      </c>
      <c r="D5031" s="204">
        <v>-6500</v>
      </c>
      <c r="E5031" s="201">
        <v>45717</v>
      </c>
      <c r="F5031" s="200" t="s">
        <v>297</v>
      </c>
      <c r="G5031" s="200" t="s">
        <v>1578</v>
      </c>
      <c r="H5031" s="200" t="s">
        <v>346</v>
      </c>
      <c r="I5031" s="200" t="s">
        <v>3034</v>
      </c>
    </row>
    <row r="5032" spans="1:9" ht="15" customHeight="1">
      <c r="A5032" s="199">
        <v>45719</v>
      </c>
      <c r="B5032" s="202" t="s">
        <v>4026</v>
      </c>
      <c r="C5032" s="200" t="s">
        <v>307</v>
      </c>
      <c r="D5032" s="204">
        <v>-6500</v>
      </c>
      <c r="E5032" s="201">
        <v>45717</v>
      </c>
      <c r="F5032" s="200" t="s">
        <v>297</v>
      </c>
      <c r="G5032" s="200" t="s">
        <v>1578</v>
      </c>
      <c r="H5032" s="200" t="s">
        <v>268</v>
      </c>
      <c r="I5032" s="200" t="s">
        <v>3034</v>
      </c>
    </row>
    <row r="5033" spans="1:9" ht="15" customHeight="1">
      <c r="A5033" s="199">
        <v>45719</v>
      </c>
      <c r="B5033" s="202" t="s">
        <v>4027</v>
      </c>
      <c r="C5033" s="200" t="s">
        <v>307</v>
      </c>
      <c r="D5033" s="204">
        <v>-30000</v>
      </c>
      <c r="E5033" s="201">
        <v>45717</v>
      </c>
      <c r="F5033" s="200" t="s">
        <v>297</v>
      </c>
      <c r="G5033" s="200" t="s">
        <v>1578</v>
      </c>
      <c r="H5033" s="200" t="s">
        <v>268</v>
      </c>
      <c r="I5033" s="200" t="s">
        <v>3034</v>
      </c>
    </row>
    <row r="5034" spans="1:9" ht="15" customHeight="1">
      <c r="A5034" s="199">
        <v>45719</v>
      </c>
      <c r="B5034" s="202" t="s">
        <v>1187</v>
      </c>
      <c r="C5034" s="200" t="s">
        <v>307</v>
      </c>
      <c r="D5034" s="204">
        <v>-6500</v>
      </c>
      <c r="E5034" s="201">
        <v>45717</v>
      </c>
      <c r="F5034" s="200" t="s">
        <v>297</v>
      </c>
      <c r="G5034" s="200" t="s">
        <v>1578</v>
      </c>
      <c r="H5034" s="200" t="s">
        <v>268</v>
      </c>
      <c r="I5034" s="200" t="s">
        <v>3034</v>
      </c>
    </row>
    <row r="5035" spans="1:9" ht="15" customHeight="1">
      <c r="A5035" s="199">
        <v>45719</v>
      </c>
      <c r="B5035" s="202" t="s">
        <v>4028</v>
      </c>
      <c r="C5035" s="200" t="s">
        <v>307</v>
      </c>
      <c r="D5035" s="204">
        <v>-30000</v>
      </c>
      <c r="E5035" s="201">
        <v>45717</v>
      </c>
      <c r="F5035" s="200" t="s">
        <v>297</v>
      </c>
      <c r="G5035" s="200" t="s">
        <v>1578</v>
      </c>
      <c r="H5035" s="200" t="s">
        <v>268</v>
      </c>
      <c r="I5035" s="200" t="s">
        <v>3034</v>
      </c>
    </row>
    <row r="5036" spans="1:9" ht="15" customHeight="1">
      <c r="A5036" s="199">
        <v>45719</v>
      </c>
      <c r="B5036" s="202" t="s">
        <v>1187</v>
      </c>
      <c r="C5036" s="200" t="s">
        <v>307</v>
      </c>
      <c r="D5036" s="204">
        <v>-6500</v>
      </c>
      <c r="E5036" s="201">
        <v>45717</v>
      </c>
      <c r="F5036" s="200" t="s">
        <v>297</v>
      </c>
      <c r="G5036" s="200" t="s">
        <v>1578</v>
      </c>
      <c r="H5036" s="200" t="s">
        <v>268</v>
      </c>
      <c r="I5036" s="200" t="s">
        <v>3034</v>
      </c>
    </row>
    <row r="5037" spans="1:9" ht="15" customHeight="1">
      <c r="A5037" s="199">
        <v>45719</v>
      </c>
      <c r="B5037" s="202" t="s">
        <v>1187</v>
      </c>
      <c r="C5037" s="200" t="s">
        <v>307</v>
      </c>
      <c r="D5037" s="204">
        <v>-6500</v>
      </c>
      <c r="E5037" s="201">
        <v>45717</v>
      </c>
      <c r="F5037" s="200" t="s">
        <v>297</v>
      </c>
      <c r="G5037" s="200" t="s">
        <v>1578</v>
      </c>
      <c r="H5037" s="200" t="s">
        <v>268</v>
      </c>
      <c r="I5037" s="200" t="s">
        <v>3034</v>
      </c>
    </row>
    <row r="5038" spans="1:9" ht="15" customHeight="1">
      <c r="A5038" s="199">
        <v>45719</v>
      </c>
      <c r="B5038" s="202" t="s">
        <v>4029</v>
      </c>
      <c r="C5038" s="200" t="s">
        <v>307</v>
      </c>
      <c r="D5038" s="204">
        <v>-45000</v>
      </c>
      <c r="E5038" s="201">
        <v>45717</v>
      </c>
      <c r="F5038" s="200" t="s">
        <v>297</v>
      </c>
      <c r="G5038" s="200" t="s">
        <v>1578</v>
      </c>
      <c r="H5038" s="200" t="s">
        <v>342</v>
      </c>
      <c r="I5038" s="200" t="s">
        <v>3034</v>
      </c>
    </row>
    <row r="5039" spans="1:9" ht="15" customHeight="1">
      <c r="A5039" s="199">
        <v>45719</v>
      </c>
      <c r="B5039" s="202" t="s">
        <v>4030</v>
      </c>
      <c r="C5039" s="200" t="s">
        <v>307</v>
      </c>
      <c r="D5039" s="204">
        <v>-16500</v>
      </c>
      <c r="E5039" s="201">
        <v>45717</v>
      </c>
      <c r="F5039" s="200" t="s">
        <v>297</v>
      </c>
      <c r="G5039" s="200" t="s">
        <v>1578</v>
      </c>
      <c r="H5039" s="200" t="s">
        <v>342</v>
      </c>
      <c r="I5039" s="200" t="s">
        <v>3034</v>
      </c>
    </row>
    <row r="5040" spans="1:9" ht="15" customHeight="1">
      <c r="A5040" s="199">
        <v>45726</v>
      </c>
      <c r="B5040" s="202" t="s">
        <v>4031</v>
      </c>
      <c r="C5040" s="200" t="s">
        <v>307</v>
      </c>
      <c r="D5040" s="204">
        <v>-63000</v>
      </c>
      <c r="E5040" s="201">
        <v>45717</v>
      </c>
      <c r="F5040" s="200" t="s">
        <v>256</v>
      </c>
      <c r="G5040" s="200" t="s">
        <v>107</v>
      </c>
      <c r="H5040" s="200" t="s">
        <v>275</v>
      </c>
      <c r="I5040" s="200" t="s">
        <v>3783</v>
      </c>
    </row>
    <row r="5041" spans="1:9" ht="15" customHeight="1">
      <c r="A5041" s="199">
        <v>45726</v>
      </c>
      <c r="B5041" s="202" t="s">
        <v>4032</v>
      </c>
      <c r="C5041" s="200" t="s">
        <v>307</v>
      </c>
      <c r="D5041" s="204">
        <v>-50000</v>
      </c>
      <c r="E5041" s="201">
        <v>45717</v>
      </c>
      <c r="F5041" s="200" t="s">
        <v>256</v>
      </c>
      <c r="G5041" s="200" t="s">
        <v>107</v>
      </c>
      <c r="H5041" s="200" t="s">
        <v>275</v>
      </c>
      <c r="I5041" s="200" t="s">
        <v>3783</v>
      </c>
    </row>
    <row r="5042" spans="1:9" ht="15" customHeight="1">
      <c r="A5042" s="199">
        <v>45726</v>
      </c>
      <c r="B5042" s="202" t="s">
        <v>4033</v>
      </c>
      <c r="C5042" s="200" t="s">
        <v>307</v>
      </c>
      <c r="D5042" s="204">
        <v>-119700</v>
      </c>
      <c r="E5042" s="201">
        <v>45717</v>
      </c>
      <c r="F5042" s="200" t="s">
        <v>256</v>
      </c>
      <c r="G5042" s="200" t="s">
        <v>107</v>
      </c>
      <c r="H5042" s="200" t="s">
        <v>275</v>
      </c>
      <c r="I5042" s="200" t="s">
        <v>3783</v>
      </c>
    </row>
    <row r="5043" spans="1:9" ht="15" customHeight="1">
      <c r="A5043" s="199">
        <v>45727</v>
      </c>
      <c r="B5043" s="202" t="s">
        <v>4034</v>
      </c>
      <c r="C5043" s="200" t="s">
        <v>307</v>
      </c>
      <c r="D5043" s="204">
        <v>-330000</v>
      </c>
      <c r="E5043" s="201">
        <v>45717</v>
      </c>
      <c r="F5043" s="200" t="s">
        <v>256</v>
      </c>
      <c r="G5043" s="200" t="s">
        <v>107</v>
      </c>
      <c r="H5043" s="200" t="s">
        <v>275</v>
      </c>
      <c r="I5043" s="200" t="s">
        <v>3783</v>
      </c>
    </row>
    <row r="5044" spans="1:9" ht="15" customHeight="1">
      <c r="A5044" s="199">
        <v>45727</v>
      </c>
      <c r="B5044" s="202" t="s">
        <v>4035</v>
      </c>
      <c r="C5044" s="200" t="s">
        <v>307</v>
      </c>
      <c r="D5044" s="204">
        <v>-270000</v>
      </c>
      <c r="E5044" s="201">
        <v>45717</v>
      </c>
      <c r="F5044" s="200" t="s">
        <v>256</v>
      </c>
      <c r="G5044" s="200" t="s">
        <v>107</v>
      </c>
      <c r="H5044" s="200" t="s">
        <v>275</v>
      </c>
      <c r="I5044" s="200" t="s">
        <v>3783</v>
      </c>
    </row>
    <row r="5045" spans="1:9" ht="15" customHeight="1">
      <c r="A5045" s="199">
        <v>45726</v>
      </c>
      <c r="B5045" s="202" t="s">
        <v>4036</v>
      </c>
      <c r="C5045" s="200" t="s">
        <v>307</v>
      </c>
      <c r="D5045" s="204">
        <v>-31390</v>
      </c>
      <c r="E5045" s="201">
        <v>45717</v>
      </c>
      <c r="F5045" s="200" t="s">
        <v>296</v>
      </c>
      <c r="G5045" s="200" t="s">
        <v>1124</v>
      </c>
      <c r="H5045" s="200" t="s">
        <v>268</v>
      </c>
      <c r="I5045" s="200" t="s">
        <v>4037</v>
      </c>
    </row>
    <row r="5046" spans="1:9" ht="15" customHeight="1">
      <c r="A5046" s="199">
        <v>45726</v>
      </c>
      <c r="B5046" s="202" t="s">
        <v>4038</v>
      </c>
      <c r="C5046" s="200" t="s">
        <v>307</v>
      </c>
      <c r="D5046" s="204">
        <v>-19500</v>
      </c>
      <c r="E5046" s="201">
        <v>45717</v>
      </c>
      <c r="F5046" s="200" t="s">
        <v>296</v>
      </c>
      <c r="G5046" s="200" t="s">
        <v>1124</v>
      </c>
      <c r="H5046" s="200" t="s">
        <v>268</v>
      </c>
      <c r="I5046" s="200" t="s">
        <v>4037</v>
      </c>
    </row>
    <row r="5047" spans="1:9" ht="15" customHeight="1">
      <c r="A5047" s="199">
        <v>45726</v>
      </c>
      <c r="B5047" s="202" t="s">
        <v>4039</v>
      </c>
      <c r="C5047" s="200" t="s">
        <v>307</v>
      </c>
      <c r="D5047" s="204">
        <v>-13000</v>
      </c>
      <c r="E5047" s="201">
        <v>45717</v>
      </c>
      <c r="F5047" s="200" t="s">
        <v>296</v>
      </c>
      <c r="G5047" s="200" t="s">
        <v>1124</v>
      </c>
      <c r="H5047" s="200" t="s">
        <v>268</v>
      </c>
      <c r="I5047" s="200" t="s">
        <v>4037</v>
      </c>
    </row>
    <row r="5048" spans="1:9" ht="15" customHeight="1">
      <c r="A5048" s="199">
        <v>45726</v>
      </c>
      <c r="B5048" s="202" t="s">
        <v>1745</v>
      </c>
      <c r="C5048" s="200" t="s">
        <v>307</v>
      </c>
      <c r="D5048" s="204">
        <v>-39800</v>
      </c>
      <c r="E5048" s="201">
        <v>45717</v>
      </c>
      <c r="F5048" s="200" t="s">
        <v>296</v>
      </c>
      <c r="G5048" s="200" t="s">
        <v>1124</v>
      </c>
      <c r="H5048" s="200" t="s">
        <v>342</v>
      </c>
      <c r="I5048" s="200" t="s">
        <v>4037</v>
      </c>
    </row>
    <row r="5049" spans="1:9" ht="15" customHeight="1">
      <c r="A5049" s="199">
        <v>45726</v>
      </c>
      <c r="B5049" s="202" t="s">
        <v>4040</v>
      </c>
      <c r="C5049" s="200" t="s">
        <v>307</v>
      </c>
      <c r="D5049" s="204">
        <v>-27000</v>
      </c>
      <c r="E5049" s="201">
        <v>45717</v>
      </c>
      <c r="F5049" s="200" t="s">
        <v>296</v>
      </c>
      <c r="G5049" s="200" t="s">
        <v>1124</v>
      </c>
      <c r="H5049" s="200" t="s">
        <v>268</v>
      </c>
      <c r="I5049" s="200" t="s">
        <v>4037</v>
      </c>
    </row>
    <row r="5050" spans="1:9" ht="15" customHeight="1">
      <c r="A5050" s="199">
        <v>45727</v>
      </c>
      <c r="B5050" s="202" t="s">
        <v>4041</v>
      </c>
      <c r="C5050" s="200" t="s">
        <v>307</v>
      </c>
      <c r="D5050" s="204">
        <v>-21203</v>
      </c>
      <c r="E5050" s="201">
        <v>45717</v>
      </c>
      <c r="F5050" s="200" t="s">
        <v>296</v>
      </c>
      <c r="G5050" s="200" t="s">
        <v>1362</v>
      </c>
      <c r="H5050" s="200" t="s">
        <v>268</v>
      </c>
      <c r="I5050" s="200" t="s">
        <v>4037</v>
      </c>
    </row>
    <row r="5051" spans="1:9" ht="15" customHeight="1">
      <c r="A5051" s="199">
        <v>45727</v>
      </c>
      <c r="B5051" s="202" t="s">
        <v>4042</v>
      </c>
      <c r="C5051" s="200" t="s">
        <v>307</v>
      </c>
      <c r="D5051" s="204">
        <v>-20000</v>
      </c>
      <c r="E5051" s="201">
        <v>45717</v>
      </c>
      <c r="F5051" s="200" t="s">
        <v>296</v>
      </c>
      <c r="G5051" s="200" t="s">
        <v>1362</v>
      </c>
      <c r="H5051" s="200" t="s">
        <v>268</v>
      </c>
      <c r="I5051" s="200" t="s">
        <v>4037</v>
      </c>
    </row>
    <row r="5052" spans="1:9" ht="15" customHeight="1">
      <c r="A5052" s="199">
        <v>45727</v>
      </c>
      <c r="B5052" s="202" t="s">
        <v>4043</v>
      </c>
      <c r="C5052" s="200" t="s">
        <v>307</v>
      </c>
      <c r="D5052" s="204">
        <v>-20000</v>
      </c>
      <c r="E5052" s="201">
        <v>45717</v>
      </c>
      <c r="F5052" s="200" t="s">
        <v>296</v>
      </c>
      <c r="G5052" s="200" t="s">
        <v>1362</v>
      </c>
      <c r="H5052" s="200" t="s">
        <v>268</v>
      </c>
      <c r="I5052" s="200" t="s">
        <v>4037</v>
      </c>
    </row>
    <row r="5053" spans="1:9" ht="15" customHeight="1">
      <c r="A5053" s="199">
        <v>45727</v>
      </c>
      <c r="B5053" s="202" t="s">
        <v>4044</v>
      </c>
      <c r="C5053" s="200" t="s">
        <v>307</v>
      </c>
      <c r="D5053" s="204">
        <v>-12000</v>
      </c>
      <c r="E5053" s="201">
        <v>45717</v>
      </c>
      <c r="F5053" s="200" t="s">
        <v>296</v>
      </c>
      <c r="G5053" s="200" t="s">
        <v>1362</v>
      </c>
      <c r="H5053" s="200" t="s">
        <v>268</v>
      </c>
      <c r="I5053" s="200" t="s">
        <v>4037</v>
      </c>
    </row>
    <row r="5054" spans="1:9" ht="15" customHeight="1">
      <c r="A5054" s="199">
        <v>45727</v>
      </c>
      <c r="B5054" s="202" t="s">
        <v>4045</v>
      </c>
      <c r="C5054" s="200" t="s">
        <v>307</v>
      </c>
      <c r="D5054" s="204">
        <v>-45000</v>
      </c>
      <c r="E5054" s="201">
        <v>45717</v>
      </c>
      <c r="F5054" s="200" t="s">
        <v>296</v>
      </c>
      <c r="G5054" s="200" t="s">
        <v>1362</v>
      </c>
      <c r="H5054" s="200" t="s">
        <v>379</v>
      </c>
      <c r="I5054" s="200" t="s">
        <v>4037</v>
      </c>
    </row>
    <row r="5055" spans="1:9" ht="15" customHeight="1">
      <c r="A5055" s="199">
        <v>45727</v>
      </c>
      <c r="B5055" s="202" t="s">
        <v>4046</v>
      </c>
      <c r="C5055" s="200" t="s">
        <v>307</v>
      </c>
      <c r="D5055" s="204">
        <v>-11000</v>
      </c>
      <c r="E5055" s="201">
        <v>45717</v>
      </c>
      <c r="F5055" s="200" t="s">
        <v>296</v>
      </c>
      <c r="G5055" s="200" t="s">
        <v>1362</v>
      </c>
      <c r="H5055" s="200" t="s">
        <v>268</v>
      </c>
      <c r="I5055" s="200" t="s">
        <v>4037</v>
      </c>
    </row>
    <row r="5056" spans="1:9" ht="15" customHeight="1">
      <c r="A5056" s="199">
        <v>45727</v>
      </c>
      <c r="B5056" s="202" t="s">
        <v>4047</v>
      </c>
      <c r="C5056" s="200" t="s">
        <v>307</v>
      </c>
      <c r="D5056" s="204">
        <v>-76600</v>
      </c>
      <c r="E5056" s="201">
        <v>45717</v>
      </c>
      <c r="F5056" s="200" t="s">
        <v>296</v>
      </c>
      <c r="G5056" s="200" t="s">
        <v>1362</v>
      </c>
      <c r="H5056" s="200" t="s">
        <v>268</v>
      </c>
      <c r="I5056" s="200" t="s">
        <v>4037</v>
      </c>
    </row>
    <row r="5057" spans="1:9" ht="15" customHeight="1">
      <c r="A5057" s="199">
        <v>45727</v>
      </c>
      <c r="B5057" s="202" t="s">
        <v>4048</v>
      </c>
      <c r="C5057" s="200" t="s">
        <v>307</v>
      </c>
      <c r="D5057" s="204">
        <v>-76600</v>
      </c>
      <c r="E5057" s="201">
        <v>45717</v>
      </c>
      <c r="F5057" s="200" t="s">
        <v>296</v>
      </c>
      <c r="G5057" s="200" t="s">
        <v>1362</v>
      </c>
      <c r="H5057" s="200" t="s">
        <v>342</v>
      </c>
      <c r="I5057" s="200" t="s">
        <v>4037</v>
      </c>
    </row>
    <row r="5058" spans="1:9" ht="15" customHeight="1">
      <c r="A5058" s="199">
        <v>45727</v>
      </c>
      <c r="B5058" s="202" t="s">
        <v>4049</v>
      </c>
      <c r="C5058" s="200" t="s">
        <v>307</v>
      </c>
      <c r="D5058" s="204">
        <v>-13000</v>
      </c>
      <c r="E5058" s="201">
        <v>45717</v>
      </c>
      <c r="F5058" s="200" t="s">
        <v>296</v>
      </c>
      <c r="G5058" s="200" t="s">
        <v>1362</v>
      </c>
      <c r="H5058" s="200" t="s">
        <v>268</v>
      </c>
      <c r="I5058" s="200" t="s">
        <v>4037</v>
      </c>
    </row>
    <row r="5059" spans="1:9" ht="15" customHeight="1">
      <c r="A5059" s="199">
        <v>45727</v>
      </c>
      <c r="B5059" s="202" t="s">
        <v>4050</v>
      </c>
      <c r="C5059" s="200" t="s">
        <v>307</v>
      </c>
      <c r="D5059" s="204">
        <v>-20000</v>
      </c>
      <c r="E5059" s="201">
        <v>45717</v>
      </c>
      <c r="F5059" s="200" t="s">
        <v>296</v>
      </c>
      <c r="G5059" s="200" t="s">
        <v>1362</v>
      </c>
      <c r="H5059" s="200" t="s">
        <v>268</v>
      </c>
      <c r="I5059" s="200" t="s">
        <v>4037</v>
      </c>
    </row>
    <row r="5060" spans="1:9" ht="15" customHeight="1">
      <c r="A5060" s="199">
        <v>45727</v>
      </c>
      <c r="B5060" s="202" t="s">
        <v>4051</v>
      </c>
      <c r="C5060" s="200" t="s">
        <v>307</v>
      </c>
      <c r="D5060" s="204">
        <v>-20000</v>
      </c>
      <c r="E5060" s="201">
        <v>45717</v>
      </c>
      <c r="F5060" s="200" t="s">
        <v>296</v>
      </c>
      <c r="G5060" s="200" t="s">
        <v>1362</v>
      </c>
      <c r="H5060" s="200" t="s">
        <v>268</v>
      </c>
      <c r="I5060" s="200" t="s">
        <v>4037</v>
      </c>
    </row>
    <row r="5061" spans="1:9" ht="15" customHeight="1">
      <c r="A5061" s="199">
        <v>45727</v>
      </c>
      <c r="B5061" s="202" t="s">
        <v>4052</v>
      </c>
      <c r="C5061" s="200" t="s">
        <v>307</v>
      </c>
      <c r="D5061" s="204">
        <v>-85093</v>
      </c>
      <c r="E5061" s="201">
        <v>45717</v>
      </c>
      <c r="F5061" s="200" t="s">
        <v>296</v>
      </c>
      <c r="G5061" s="200" t="s">
        <v>1362</v>
      </c>
      <c r="H5061" s="200" t="s">
        <v>342</v>
      </c>
      <c r="I5061" s="200" t="s">
        <v>4037</v>
      </c>
    </row>
    <row r="5062" spans="1:9" ht="15" customHeight="1">
      <c r="A5062" s="199">
        <v>45727</v>
      </c>
      <c r="B5062" s="202" t="s">
        <v>4053</v>
      </c>
      <c r="C5062" s="200" t="s">
        <v>307</v>
      </c>
      <c r="D5062" s="204">
        <v>-26284</v>
      </c>
      <c r="E5062" s="201">
        <v>45717</v>
      </c>
      <c r="F5062" s="200" t="s">
        <v>296</v>
      </c>
      <c r="G5062" s="200" t="s">
        <v>1362</v>
      </c>
      <c r="H5062" s="200" t="s">
        <v>268</v>
      </c>
      <c r="I5062" s="200" t="s">
        <v>4037</v>
      </c>
    </row>
    <row r="5063" spans="1:9" ht="15" customHeight="1">
      <c r="A5063" s="199">
        <v>45728</v>
      </c>
      <c r="B5063" s="202" t="s">
        <v>4041</v>
      </c>
      <c r="C5063" s="200" t="s">
        <v>307</v>
      </c>
      <c r="D5063" s="204">
        <v>-20550</v>
      </c>
      <c r="E5063" s="201">
        <v>45717</v>
      </c>
      <c r="F5063" s="200" t="s">
        <v>296</v>
      </c>
      <c r="G5063" s="200" t="s">
        <v>1124</v>
      </c>
      <c r="H5063" s="200" t="s">
        <v>268</v>
      </c>
      <c r="I5063" s="200" t="s">
        <v>4037</v>
      </c>
    </row>
    <row r="5064" spans="1:9" ht="15" customHeight="1">
      <c r="A5064" s="199">
        <v>45730</v>
      </c>
      <c r="B5064" s="202" t="s">
        <v>4054</v>
      </c>
      <c r="C5064" s="200" t="s">
        <v>307</v>
      </c>
      <c r="D5064" s="204">
        <v>-29500</v>
      </c>
      <c r="E5064" s="201">
        <v>45717</v>
      </c>
      <c r="F5064" s="200" t="s">
        <v>296</v>
      </c>
      <c r="G5064" s="200" t="s">
        <v>1124</v>
      </c>
      <c r="H5064" s="200" t="s">
        <v>268</v>
      </c>
      <c r="I5064" s="200" t="s">
        <v>4037</v>
      </c>
    </row>
    <row r="5065" spans="1:9" ht="15" customHeight="1">
      <c r="A5065" s="199">
        <v>45730</v>
      </c>
      <c r="B5065" s="202" t="s">
        <v>4055</v>
      </c>
      <c r="C5065" s="200" t="s">
        <v>307</v>
      </c>
      <c r="D5065" s="204">
        <v>-35000</v>
      </c>
      <c r="E5065" s="201">
        <v>45717</v>
      </c>
      <c r="F5065" s="200" t="s">
        <v>296</v>
      </c>
      <c r="G5065" s="200" t="s">
        <v>1124</v>
      </c>
      <c r="H5065" s="200" t="s">
        <v>268</v>
      </c>
      <c r="I5065" s="200" t="s">
        <v>4037</v>
      </c>
    </row>
    <row r="5066" spans="1:9" ht="15" customHeight="1">
      <c r="A5066" s="199">
        <v>45733</v>
      </c>
      <c r="B5066" s="202" t="s">
        <v>4056</v>
      </c>
      <c r="C5066" s="200" t="s">
        <v>307</v>
      </c>
      <c r="D5066" s="204">
        <v>-35000</v>
      </c>
      <c r="E5066" s="201">
        <v>45717</v>
      </c>
      <c r="F5066" s="200" t="s">
        <v>296</v>
      </c>
      <c r="G5066" s="200" t="s">
        <v>44</v>
      </c>
      <c r="H5066" s="200" t="s">
        <v>442</v>
      </c>
      <c r="I5066" s="200" t="s">
        <v>4037</v>
      </c>
    </row>
    <row r="5067" spans="1:9" ht="15" customHeight="1">
      <c r="A5067" s="199">
        <v>45733</v>
      </c>
      <c r="B5067" s="202" t="s">
        <v>4057</v>
      </c>
      <c r="C5067" s="200" t="s">
        <v>307</v>
      </c>
      <c r="D5067" s="204">
        <v>-19500</v>
      </c>
      <c r="E5067" s="201">
        <v>45717</v>
      </c>
      <c r="F5067" s="200" t="s">
        <v>296</v>
      </c>
      <c r="G5067" s="200" t="s">
        <v>44</v>
      </c>
      <c r="H5067" s="200" t="s">
        <v>442</v>
      </c>
      <c r="I5067" s="200" t="s">
        <v>4037</v>
      </c>
    </row>
    <row r="5068" spans="1:9" ht="15" customHeight="1">
      <c r="A5068" s="199">
        <v>45733</v>
      </c>
      <c r="B5068" s="202" t="s">
        <v>4058</v>
      </c>
      <c r="C5068" s="200" t="s">
        <v>307</v>
      </c>
      <c r="D5068" s="204">
        <v>-20000</v>
      </c>
      <c r="E5068" s="201">
        <v>45717</v>
      </c>
      <c r="F5068" s="200" t="s">
        <v>296</v>
      </c>
      <c r="G5068" s="200" t="s">
        <v>44</v>
      </c>
      <c r="H5068" s="200" t="s">
        <v>442</v>
      </c>
      <c r="I5068" s="200" t="s">
        <v>4037</v>
      </c>
    </row>
    <row r="5069" spans="1:9" ht="15" customHeight="1">
      <c r="A5069" s="199">
        <v>45733</v>
      </c>
      <c r="B5069" s="202" t="s">
        <v>1745</v>
      </c>
      <c r="C5069" s="200" t="s">
        <v>307</v>
      </c>
      <c r="D5069" s="204">
        <v>-25000</v>
      </c>
      <c r="E5069" s="201">
        <v>45717</v>
      </c>
      <c r="F5069" s="200" t="s">
        <v>296</v>
      </c>
      <c r="G5069" s="200" t="s">
        <v>44</v>
      </c>
      <c r="H5069" s="200" t="s">
        <v>322</v>
      </c>
      <c r="I5069" s="200" t="s">
        <v>4037</v>
      </c>
    </row>
    <row r="5070" spans="1:9" ht="15" customHeight="1">
      <c r="A5070" s="199">
        <v>45734</v>
      </c>
      <c r="B5070" s="202" t="s">
        <v>4059</v>
      </c>
      <c r="C5070" s="200" t="s">
        <v>307</v>
      </c>
      <c r="D5070" s="204">
        <v>-20000</v>
      </c>
      <c r="E5070" s="201">
        <v>45717</v>
      </c>
      <c r="F5070" s="200" t="s">
        <v>296</v>
      </c>
      <c r="G5070" s="200" t="s">
        <v>44</v>
      </c>
      <c r="H5070" s="200" t="s">
        <v>442</v>
      </c>
      <c r="I5070" s="200" t="s">
        <v>4037</v>
      </c>
    </row>
    <row r="5071" spans="1:9" ht="15" customHeight="1">
      <c r="A5071" s="199">
        <v>45734</v>
      </c>
      <c r="B5071" s="202" t="s">
        <v>4060</v>
      </c>
      <c r="C5071" s="200" t="s">
        <v>307</v>
      </c>
      <c r="D5071" s="204">
        <v>-100000</v>
      </c>
      <c r="E5071" s="201">
        <v>45717</v>
      </c>
      <c r="F5071" s="200" t="s">
        <v>296</v>
      </c>
      <c r="G5071" s="200" t="s">
        <v>44</v>
      </c>
      <c r="H5071" s="200" t="s">
        <v>442</v>
      </c>
      <c r="I5071" s="200" t="s">
        <v>4037</v>
      </c>
    </row>
    <row r="5072" spans="1:9" ht="15" customHeight="1">
      <c r="A5072" s="199">
        <v>45735</v>
      </c>
      <c r="B5072" s="202" t="s">
        <v>4061</v>
      </c>
      <c r="C5072" s="200" t="s">
        <v>307</v>
      </c>
      <c r="D5072" s="204">
        <v>-50000</v>
      </c>
      <c r="E5072" s="201">
        <v>45717</v>
      </c>
      <c r="F5072" s="200" t="s">
        <v>296</v>
      </c>
      <c r="G5072" s="200" t="s">
        <v>44</v>
      </c>
      <c r="H5072" s="200" t="s">
        <v>442</v>
      </c>
      <c r="I5072" s="200" t="s">
        <v>4037</v>
      </c>
    </row>
    <row r="5073" spans="1:9" ht="15" customHeight="1">
      <c r="A5073" s="199">
        <v>45735</v>
      </c>
      <c r="B5073" s="202" t="s">
        <v>4030</v>
      </c>
      <c r="C5073" s="200" t="s">
        <v>307</v>
      </c>
      <c r="D5073" s="204">
        <v>-35500</v>
      </c>
      <c r="E5073" s="201">
        <v>45717</v>
      </c>
      <c r="F5073" s="200" t="s">
        <v>296</v>
      </c>
      <c r="G5073" s="200" t="s">
        <v>44</v>
      </c>
      <c r="H5073" s="200" t="s">
        <v>322</v>
      </c>
      <c r="I5073" s="200" t="s">
        <v>4037</v>
      </c>
    </row>
    <row r="5074" spans="1:9" ht="15" customHeight="1">
      <c r="A5074" s="199">
        <v>45736</v>
      </c>
      <c r="B5074" s="202" t="s">
        <v>1523</v>
      </c>
      <c r="C5074" s="200" t="s">
        <v>307</v>
      </c>
      <c r="D5074" s="204">
        <v>-16800</v>
      </c>
      <c r="E5074" s="201">
        <v>45717</v>
      </c>
      <c r="F5074" s="200" t="s">
        <v>296</v>
      </c>
      <c r="G5074" s="200" t="s">
        <v>44</v>
      </c>
      <c r="H5074" s="200" t="s">
        <v>322</v>
      </c>
      <c r="I5074" s="200" t="s">
        <v>4037</v>
      </c>
    </row>
    <row r="5075" spans="1:9" ht="15" customHeight="1">
      <c r="A5075" s="199">
        <v>45736</v>
      </c>
      <c r="B5075" s="202" t="s">
        <v>3138</v>
      </c>
      <c r="C5075" s="200" t="s">
        <v>307</v>
      </c>
      <c r="D5075" s="204">
        <v>-60000</v>
      </c>
      <c r="E5075" s="201">
        <v>45717</v>
      </c>
      <c r="F5075" s="200" t="s">
        <v>296</v>
      </c>
      <c r="G5075" s="200" t="s">
        <v>44</v>
      </c>
      <c r="H5075" s="200" t="s">
        <v>442</v>
      </c>
      <c r="I5075" s="200" t="s">
        <v>4037</v>
      </c>
    </row>
    <row r="5076" spans="1:9" ht="15" customHeight="1">
      <c r="A5076" s="199">
        <v>45736</v>
      </c>
      <c r="B5076" s="202" t="s">
        <v>4062</v>
      </c>
      <c r="C5076" s="200" t="s">
        <v>307</v>
      </c>
      <c r="D5076" s="204">
        <v>-29500</v>
      </c>
      <c r="E5076" s="201">
        <v>45717</v>
      </c>
      <c r="F5076" s="200" t="s">
        <v>296</v>
      </c>
      <c r="G5076" s="200" t="s">
        <v>44</v>
      </c>
      <c r="H5076" s="200" t="s">
        <v>442</v>
      </c>
      <c r="I5076" s="200" t="s">
        <v>4037</v>
      </c>
    </row>
    <row r="5077" spans="1:9" ht="15" customHeight="1">
      <c r="A5077" s="199">
        <v>45736</v>
      </c>
      <c r="B5077" s="202" t="s">
        <v>1745</v>
      </c>
      <c r="C5077" s="200" t="s">
        <v>307</v>
      </c>
      <c r="D5077" s="204">
        <v>-58800</v>
      </c>
      <c r="E5077" s="201">
        <v>45717</v>
      </c>
      <c r="F5077" s="200" t="s">
        <v>296</v>
      </c>
      <c r="G5077" s="200" t="s">
        <v>44</v>
      </c>
      <c r="H5077" s="200" t="s">
        <v>322</v>
      </c>
      <c r="I5077" s="200" t="s">
        <v>4037</v>
      </c>
    </row>
    <row r="5078" spans="1:9" ht="15" customHeight="1">
      <c r="A5078" s="199">
        <v>45736</v>
      </c>
      <c r="B5078" s="202" t="s">
        <v>4063</v>
      </c>
      <c r="C5078" s="200" t="s">
        <v>307</v>
      </c>
      <c r="D5078" s="204">
        <v>-34000</v>
      </c>
      <c r="E5078" s="201">
        <v>45717</v>
      </c>
      <c r="F5078" s="200" t="s">
        <v>296</v>
      </c>
      <c r="G5078" s="200" t="s">
        <v>44</v>
      </c>
      <c r="H5078" s="200" t="s">
        <v>442</v>
      </c>
      <c r="I5078" s="200" t="s">
        <v>4037</v>
      </c>
    </row>
    <row r="5079" spans="1:9" ht="15" customHeight="1">
      <c r="A5079" s="199">
        <v>45744</v>
      </c>
      <c r="B5079" s="202" t="s">
        <v>4064</v>
      </c>
      <c r="C5079" s="200" t="s">
        <v>307</v>
      </c>
      <c r="D5079" s="204">
        <v>-607200</v>
      </c>
      <c r="E5079" s="201">
        <v>45717</v>
      </c>
      <c r="F5079" s="200" t="s">
        <v>296</v>
      </c>
      <c r="G5079" s="200" t="s">
        <v>1735</v>
      </c>
      <c r="H5079" s="200" t="s">
        <v>346</v>
      </c>
      <c r="I5079" s="648" t="s">
        <v>329</v>
      </c>
    </row>
    <row r="5080" spans="1:9" ht="15" customHeight="1">
      <c r="A5080" s="199">
        <v>45742</v>
      </c>
      <c r="B5080" s="202" t="s">
        <v>4065</v>
      </c>
      <c r="C5080" s="200" t="s">
        <v>307</v>
      </c>
      <c r="D5080" s="204">
        <v>-2667</v>
      </c>
      <c r="E5080" s="201">
        <v>45717</v>
      </c>
      <c r="F5080" s="200" t="s">
        <v>296</v>
      </c>
      <c r="G5080" s="200" t="s">
        <v>337</v>
      </c>
      <c r="H5080" s="200" t="s">
        <v>326</v>
      </c>
      <c r="I5080" s="200" t="s">
        <v>1901</v>
      </c>
    </row>
    <row r="5081" spans="1:9" ht="15" customHeight="1">
      <c r="A5081" s="199">
        <v>45742</v>
      </c>
      <c r="B5081" s="202" t="s">
        <v>4065</v>
      </c>
      <c r="C5081" s="200" t="s">
        <v>307</v>
      </c>
      <c r="D5081" s="204">
        <v>-2667</v>
      </c>
      <c r="E5081" s="201">
        <v>45717</v>
      </c>
      <c r="F5081" s="200" t="s">
        <v>296</v>
      </c>
      <c r="G5081" s="200" t="s">
        <v>44</v>
      </c>
      <c r="H5081" s="200" t="s">
        <v>442</v>
      </c>
      <c r="I5081" s="200" t="s">
        <v>1901</v>
      </c>
    </row>
    <row r="5082" spans="1:9" ht="15" customHeight="1">
      <c r="A5082" s="199">
        <v>45742</v>
      </c>
      <c r="B5082" s="202" t="s">
        <v>4065</v>
      </c>
      <c r="C5082" s="200" t="s">
        <v>307</v>
      </c>
      <c r="D5082" s="204">
        <v>-2667</v>
      </c>
      <c r="E5082" s="201">
        <v>45717</v>
      </c>
      <c r="F5082" s="200" t="s">
        <v>296</v>
      </c>
      <c r="G5082" s="200" t="s">
        <v>522</v>
      </c>
      <c r="H5082" s="200" t="s">
        <v>442</v>
      </c>
      <c r="I5082" s="200" t="s">
        <v>1901</v>
      </c>
    </row>
    <row r="5083" spans="1:9" ht="15" customHeight="1">
      <c r="A5083" s="199">
        <v>45742</v>
      </c>
      <c r="B5083" s="202" t="s">
        <v>4066</v>
      </c>
      <c r="C5083" s="200" t="s">
        <v>307</v>
      </c>
      <c r="D5083" s="204">
        <v>-13333</v>
      </c>
      <c r="E5083" s="201">
        <v>45717</v>
      </c>
      <c r="F5083" s="200" t="s">
        <v>296</v>
      </c>
      <c r="G5083" s="200" t="s">
        <v>337</v>
      </c>
      <c r="H5083" s="200" t="s">
        <v>326</v>
      </c>
      <c r="I5083" s="200" t="s">
        <v>1901</v>
      </c>
    </row>
    <row r="5084" spans="1:9" ht="15" customHeight="1">
      <c r="A5084" s="199">
        <v>45742</v>
      </c>
      <c r="B5084" s="202" t="s">
        <v>4066</v>
      </c>
      <c r="C5084" s="200" t="s">
        <v>307</v>
      </c>
      <c r="D5084" s="204">
        <v>-13333</v>
      </c>
      <c r="E5084" s="201">
        <v>45717</v>
      </c>
      <c r="F5084" s="200" t="s">
        <v>296</v>
      </c>
      <c r="G5084" s="200" t="s">
        <v>44</v>
      </c>
      <c r="H5084" s="200" t="s">
        <v>442</v>
      </c>
      <c r="I5084" s="200" t="s">
        <v>1901</v>
      </c>
    </row>
    <row r="5085" spans="1:9" ht="15" customHeight="1">
      <c r="A5085" s="199">
        <v>45742</v>
      </c>
      <c r="B5085" s="202" t="s">
        <v>4066</v>
      </c>
      <c r="C5085" s="200" t="s">
        <v>307</v>
      </c>
      <c r="D5085" s="204">
        <v>-13333</v>
      </c>
      <c r="E5085" s="201">
        <v>45717</v>
      </c>
      <c r="F5085" s="200" t="s">
        <v>296</v>
      </c>
      <c r="G5085" s="200" t="s">
        <v>522</v>
      </c>
      <c r="H5085" s="200" t="s">
        <v>442</v>
      </c>
      <c r="I5085" s="200" t="s">
        <v>1901</v>
      </c>
    </row>
    <row r="5086" spans="1:9" ht="15" customHeight="1">
      <c r="A5086" s="199">
        <v>45742</v>
      </c>
      <c r="B5086" s="202" t="s">
        <v>4067</v>
      </c>
      <c r="C5086" s="200" t="s">
        <v>307</v>
      </c>
      <c r="D5086" s="204">
        <v>-3333</v>
      </c>
      <c r="E5086" s="201">
        <v>45717</v>
      </c>
      <c r="F5086" s="200" t="s">
        <v>296</v>
      </c>
      <c r="G5086" s="200" t="s">
        <v>337</v>
      </c>
      <c r="H5086" s="200" t="s">
        <v>326</v>
      </c>
      <c r="I5086" s="200" t="s">
        <v>1901</v>
      </c>
    </row>
    <row r="5087" spans="1:9" ht="15" customHeight="1">
      <c r="A5087" s="199">
        <v>45742</v>
      </c>
      <c r="B5087" s="202" t="s">
        <v>4067</v>
      </c>
      <c r="C5087" s="200" t="s">
        <v>307</v>
      </c>
      <c r="D5087" s="204">
        <v>-3333</v>
      </c>
      <c r="E5087" s="201">
        <v>45717</v>
      </c>
      <c r="F5087" s="200" t="s">
        <v>296</v>
      </c>
      <c r="G5087" s="200" t="s">
        <v>44</v>
      </c>
      <c r="H5087" s="200" t="s">
        <v>326</v>
      </c>
      <c r="I5087" s="200" t="s">
        <v>1901</v>
      </c>
    </row>
    <row r="5088" spans="1:9" ht="15" customHeight="1">
      <c r="A5088" s="199">
        <v>45742</v>
      </c>
      <c r="B5088" s="202" t="s">
        <v>4067</v>
      </c>
      <c r="C5088" s="200" t="s">
        <v>307</v>
      </c>
      <c r="D5088" s="204">
        <v>-3333</v>
      </c>
      <c r="E5088" s="201">
        <v>45717</v>
      </c>
      <c r="F5088" s="200" t="s">
        <v>296</v>
      </c>
      <c r="G5088" s="200" t="s">
        <v>522</v>
      </c>
      <c r="H5088" s="200" t="s">
        <v>326</v>
      </c>
      <c r="I5088" s="200" t="s">
        <v>1901</v>
      </c>
    </row>
    <row r="5089" spans="1:9" ht="15" customHeight="1">
      <c r="A5089" s="199">
        <v>45742</v>
      </c>
      <c r="B5089" s="202" t="s">
        <v>4068</v>
      </c>
      <c r="C5089" s="200" t="s">
        <v>307</v>
      </c>
      <c r="D5089" s="204">
        <v>-6000</v>
      </c>
      <c r="E5089" s="201">
        <v>45717</v>
      </c>
      <c r="F5089" s="200" t="s">
        <v>296</v>
      </c>
      <c r="G5089" s="200" t="s">
        <v>337</v>
      </c>
      <c r="H5089" s="200" t="s">
        <v>326</v>
      </c>
      <c r="I5089" s="200" t="s">
        <v>1901</v>
      </c>
    </row>
    <row r="5090" spans="1:9" ht="15" customHeight="1">
      <c r="A5090" s="199">
        <v>45742</v>
      </c>
      <c r="B5090" s="202" t="s">
        <v>4068</v>
      </c>
      <c r="C5090" s="200" t="s">
        <v>307</v>
      </c>
      <c r="D5090" s="204">
        <v>-6000</v>
      </c>
      <c r="E5090" s="201">
        <v>45717</v>
      </c>
      <c r="F5090" s="200" t="s">
        <v>296</v>
      </c>
      <c r="G5090" s="200" t="s">
        <v>44</v>
      </c>
      <c r="H5090" s="200" t="s">
        <v>326</v>
      </c>
      <c r="I5090" s="200" t="s">
        <v>1901</v>
      </c>
    </row>
    <row r="5091" spans="1:9" ht="15" customHeight="1">
      <c r="A5091" s="199">
        <v>45742</v>
      </c>
      <c r="B5091" s="202" t="s">
        <v>4068</v>
      </c>
      <c r="C5091" s="200" t="s">
        <v>307</v>
      </c>
      <c r="D5091" s="204">
        <v>-6000</v>
      </c>
      <c r="E5091" s="201">
        <v>45717</v>
      </c>
      <c r="F5091" s="200" t="s">
        <v>296</v>
      </c>
      <c r="G5091" s="200" t="s">
        <v>522</v>
      </c>
      <c r="H5091" s="200" t="s">
        <v>326</v>
      </c>
      <c r="I5091" s="200" t="s">
        <v>1901</v>
      </c>
    </row>
    <row r="5092" spans="1:9" ht="15" customHeight="1">
      <c r="A5092" s="199">
        <v>45743</v>
      </c>
      <c r="B5092" s="202" t="s">
        <v>4067</v>
      </c>
      <c r="C5092" s="200" t="s">
        <v>307</v>
      </c>
      <c r="D5092" s="204">
        <v>-3333</v>
      </c>
      <c r="E5092" s="201">
        <v>45717</v>
      </c>
      <c r="F5092" s="200" t="s">
        <v>296</v>
      </c>
      <c r="G5092" s="200" t="s">
        <v>337</v>
      </c>
      <c r="H5092" s="200" t="s">
        <v>326</v>
      </c>
      <c r="I5092" s="200" t="s">
        <v>1901</v>
      </c>
    </row>
    <row r="5093" spans="1:9" ht="15" customHeight="1">
      <c r="A5093" s="199">
        <v>45743</v>
      </c>
      <c r="B5093" s="202" t="s">
        <v>4067</v>
      </c>
      <c r="C5093" s="200" t="s">
        <v>307</v>
      </c>
      <c r="D5093" s="204">
        <v>-3333</v>
      </c>
      <c r="E5093" s="201">
        <v>45717</v>
      </c>
      <c r="F5093" s="200" t="s">
        <v>296</v>
      </c>
      <c r="G5093" s="200" t="s">
        <v>44</v>
      </c>
      <c r="H5093" s="200" t="s">
        <v>326</v>
      </c>
      <c r="I5093" s="200" t="s">
        <v>1901</v>
      </c>
    </row>
    <row r="5094" spans="1:9" ht="15" customHeight="1">
      <c r="A5094" s="199">
        <v>45743</v>
      </c>
      <c r="B5094" s="202" t="s">
        <v>4067</v>
      </c>
      <c r="C5094" s="200" t="s">
        <v>307</v>
      </c>
      <c r="D5094" s="204">
        <v>-3333</v>
      </c>
      <c r="E5094" s="201">
        <v>45717</v>
      </c>
      <c r="F5094" s="200" t="s">
        <v>296</v>
      </c>
      <c r="G5094" s="200" t="s">
        <v>522</v>
      </c>
      <c r="H5094" s="200" t="s">
        <v>326</v>
      </c>
      <c r="I5094" s="200" t="s">
        <v>1901</v>
      </c>
    </row>
    <row r="5095" spans="1:9" ht="15" customHeight="1">
      <c r="A5095" s="199">
        <v>45743</v>
      </c>
      <c r="B5095" s="202" t="s">
        <v>4068</v>
      </c>
      <c r="C5095" s="200" t="s">
        <v>307</v>
      </c>
      <c r="D5095" s="204">
        <v>-6000</v>
      </c>
      <c r="E5095" s="201">
        <v>45717</v>
      </c>
      <c r="F5095" s="200" t="s">
        <v>296</v>
      </c>
      <c r="G5095" s="200" t="s">
        <v>337</v>
      </c>
      <c r="H5095" s="200" t="s">
        <v>326</v>
      </c>
      <c r="I5095" s="200" t="s">
        <v>1901</v>
      </c>
    </row>
    <row r="5096" spans="1:9" ht="15" customHeight="1">
      <c r="A5096" s="199">
        <v>45743</v>
      </c>
      <c r="B5096" s="202" t="s">
        <v>4068</v>
      </c>
      <c r="C5096" s="200" t="s">
        <v>307</v>
      </c>
      <c r="D5096" s="204">
        <v>-6000</v>
      </c>
      <c r="E5096" s="201">
        <v>45717</v>
      </c>
      <c r="F5096" s="200" t="s">
        <v>296</v>
      </c>
      <c r="G5096" s="200" t="s">
        <v>44</v>
      </c>
      <c r="H5096" s="200" t="s">
        <v>326</v>
      </c>
      <c r="I5096" s="200" t="s">
        <v>1901</v>
      </c>
    </row>
    <row r="5097" spans="1:9" ht="15" customHeight="1">
      <c r="A5097" s="199">
        <v>45743</v>
      </c>
      <c r="B5097" s="202" t="s">
        <v>4068</v>
      </c>
      <c r="C5097" s="200" t="s">
        <v>307</v>
      </c>
      <c r="D5097" s="204">
        <v>-6000</v>
      </c>
      <c r="E5097" s="201">
        <v>45717</v>
      </c>
      <c r="F5097" s="200" t="s">
        <v>296</v>
      </c>
      <c r="G5097" s="200" t="s">
        <v>522</v>
      </c>
      <c r="H5097" s="200" t="s">
        <v>326</v>
      </c>
      <c r="I5097" s="200" t="s">
        <v>1901</v>
      </c>
    </row>
    <row r="5098" spans="1:9" ht="15" customHeight="1">
      <c r="A5098" s="199">
        <v>45743</v>
      </c>
      <c r="B5098" s="202" t="s">
        <v>1020</v>
      </c>
      <c r="C5098" s="200" t="s">
        <v>307</v>
      </c>
      <c r="D5098" s="204">
        <v>-6667</v>
      </c>
      <c r="E5098" s="201">
        <v>45717</v>
      </c>
      <c r="F5098" s="200" t="s">
        <v>296</v>
      </c>
      <c r="G5098" s="200" t="s">
        <v>337</v>
      </c>
      <c r="H5098" s="200" t="s">
        <v>326</v>
      </c>
      <c r="I5098" s="200" t="s">
        <v>1901</v>
      </c>
    </row>
    <row r="5099" spans="1:9" ht="15" customHeight="1">
      <c r="A5099" s="199">
        <v>45743</v>
      </c>
      <c r="B5099" s="202" t="s">
        <v>1020</v>
      </c>
      <c r="C5099" s="200" t="s">
        <v>307</v>
      </c>
      <c r="D5099" s="204">
        <v>-6667</v>
      </c>
      <c r="E5099" s="201">
        <v>45717</v>
      </c>
      <c r="F5099" s="200" t="s">
        <v>296</v>
      </c>
      <c r="G5099" s="200" t="s">
        <v>44</v>
      </c>
      <c r="H5099" s="200" t="s">
        <v>442</v>
      </c>
      <c r="I5099" s="200" t="s">
        <v>1901</v>
      </c>
    </row>
    <row r="5100" spans="1:9" ht="15" customHeight="1">
      <c r="A5100" s="199">
        <v>45743</v>
      </c>
      <c r="B5100" s="202" t="s">
        <v>1020</v>
      </c>
      <c r="C5100" s="200" t="s">
        <v>307</v>
      </c>
      <c r="D5100" s="204">
        <v>-6667</v>
      </c>
      <c r="E5100" s="201">
        <v>45717</v>
      </c>
      <c r="F5100" s="200" t="s">
        <v>296</v>
      </c>
      <c r="G5100" s="200" t="s">
        <v>522</v>
      </c>
      <c r="H5100" s="200" t="s">
        <v>442</v>
      </c>
      <c r="I5100" s="200" t="s">
        <v>1901</v>
      </c>
    </row>
    <row r="5101" spans="1:9" ht="15" customHeight="1">
      <c r="A5101" s="199">
        <v>45744</v>
      </c>
      <c r="B5101" s="202" t="s">
        <v>4069</v>
      </c>
      <c r="C5101" s="200" t="s">
        <v>204</v>
      </c>
      <c r="D5101" s="658">
        <v>-4839200</v>
      </c>
      <c r="E5101" s="201">
        <v>45717</v>
      </c>
      <c r="F5101" s="200" t="s">
        <v>256</v>
      </c>
      <c r="G5101" s="200" t="s">
        <v>256</v>
      </c>
      <c r="H5101" s="200" t="s">
        <v>121</v>
      </c>
    </row>
    <row r="5102" spans="1:9" ht="15" customHeight="1">
      <c r="A5102" s="199">
        <v>45744</v>
      </c>
      <c r="B5102" s="202" t="s">
        <v>4070</v>
      </c>
      <c r="C5102" s="200" t="s">
        <v>204</v>
      </c>
      <c r="D5102" s="204">
        <v>-12862000</v>
      </c>
      <c r="E5102" s="201">
        <v>45717</v>
      </c>
      <c r="F5102" s="200" t="s">
        <v>256</v>
      </c>
      <c r="G5102" s="200" t="s">
        <v>256</v>
      </c>
      <c r="H5102" s="200" t="s">
        <v>121</v>
      </c>
    </row>
    <row r="5103" spans="1:9" ht="15" customHeight="1">
      <c r="A5103" s="199">
        <v>45744</v>
      </c>
      <c r="B5103" s="202" t="s">
        <v>4071</v>
      </c>
      <c r="C5103" s="200" t="s">
        <v>204</v>
      </c>
      <c r="D5103" s="204">
        <v>-882000</v>
      </c>
      <c r="E5103" s="201">
        <v>45717</v>
      </c>
      <c r="F5103" s="200" t="s">
        <v>256</v>
      </c>
      <c r="G5103" s="200" t="s">
        <v>256</v>
      </c>
      <c r="H5103" s="200" t="s">
        <v>121</v>
      </c>
    </row>
    <row r="5104" spans="1:9" ht="15" customHeight="1">
      <c r="A5104" s="199">
        <v>45744</v>
      </c>
      <c r="B5104" s="202" t="s">
        <v>4072</v>
      </c>
      <c r="C5104" s="200" t="s">
        <v>204</v>
      </c>
      <c r="D5104" s="204">
        <v>-2240000</v>
      </c>
      <c r="E5104" s="201">
        <v>45717</v>
      </c>
      <c r="F5104" s="200" t="s">
        <v>256</v>
      </c>
      <c r="G5104" s="200" t="s">
        <v>256</v>
      </c>
      <c r="H5104" s="200" t="s">
        <v>121</v>
      </c>
    </row>
    <row r="5105" spans="1:8" ht="15" customHeight="1">
      <c r="A5105" s="199">
        <v>45744</v>
      </c>
      <c r="B5105" s="202" t="s">
        <v>4073</v>
      </c>
      <c r="C5105" s="200" t="s">
        <v>204</v>
      </c>
      <c r="D5105" s="204">
        <v>-904080</v>
      </c>
      <c r="E5105" s="201">
        <v>45717</v>
      </c>
      <c r="F5105" s="200" t="s">
        <v>256</v>
      </c>
      <c r="G5105" s="200" t="s">
        <v>256</v>
      </c>
      <c r="H5105" s="200" t="s">
        <v>121</v>
      </c>
    </row>
    <row r="5106" spans="1:8" ht="15" customHeight="1">
      <c r="A5106" s="199">
        <v>45744</v>
      </c>
      <c r="B5106" s="202" t="s">
        <v>4074</v>
      </c>
      <c r="C5106" s="200" t="s">
        <v>204</v>
      </c>
      <c r="D5106" s="204">
        <v>-701477</v>
      </c>
      <c r="E5106" s="201">
        <v>45717</v>
      </c>
      <c r="F5106" s="200" t="s">
        <v>256</v>
      </c>
      <c r="G5106" s="200" t="s">
        <v>256</v>
      </c>
      <c r="H5106" s="200" t="s">
        <v>121</v>
      </c>
    </row>
    <row r="5107" spans="1:8" ht="15" customHeight="1">
      <c r="A5107" s="199">
        <v>45744</v>
      </c>
      <c r="B5107" s="202" t="s">
        <v>4075</v>
      </c>
      <c r="C5107" s="200" t="s">
        <v>204</v>
      </c>
      <c r="D5107" s="204">
        <v>-3220000</v>
      </c>
      <c r="E5107" s="201">
        <v>45717</v>
      </c>
      <c r="F5107" s="200" t="s">
        <v>256</v>
      </c>
      <c r="G5107" s="200" t="s">
        <v>256</v>
      </c>
      <c r="H5107" s="200" t="s">
        <v>121</v>
      </c>
    </row>
    <row r="5108" spans="1:8" ht="15" customHeight="1">
      <c r="A5108" s="199">
        <v>45744</v>
      </c>
      <c r="B5108" s="202" t="s">
        <v>4076</v>
      </c>
      <c r="C5108" s="200" t="s">
        <v>204</v>
      </c>
      <c r="D5108" s="204">
        <v>-777500</v>
      </c>
      <c r="E5108" s="201">
        <v>45717</v>
      </c>
      <c r="F5108" s="200" t="s">
        <v>256</v>
      </c>
      <c r="G5108" s="200" t="s">
        <v>256</v>
      </c>
      <c r="H5108" s="200" t="s">
        <v>121</v>
      </c>
    </row>
    <row r="5109" spans="1:8" ht="15" customHeight="1">
      <c r="A5109" s="199">
        <v>45744</v>
      </c>
      <c r="B5109" s="202" t="s">
        <v>4077</v>
      </c>
      <c r="C5109" s="200" t="s">
        <v>204</v>
      </c>
      <c r="D5109" s="204">
        <v>-1856000</v>
      </c>
      <c r="E5109" s="201">
        <v>45717</v>
      </c>
      <c r="F5109" s="200" t="s">
        <v>256</v>
      </c>
      <c r="G5109" s="200" t="s">
        <v>256</v>
      </c>
      <c r="H5109" s="200" t="s">
        <v>121</v>
      </c>
    </row>
    <row r="5110" spans="1:8" ht="15" customHeight="1">
      <c r="A5110" s="199">
        <v>45744</v>
      </c>
      <c r="B5110" s="202" t="s">
        <v>4078</v>
      </c>
      <c r="C5110" s="200" t="s">
        <v>204</v>
      </c>
      <c r="D5110" s="204">
        <v>-533813</v>
      </c>
      <c r="E5110" s="201">
        <v>45717</v>
      </c>
      <c r="F5110" s="200" t="s">
        <v>256</v>
      </c>
      <c r="G5110" s="200" t="s">
        <v>256</v>
      </c>
      <c r="H5110" s="200" t="s">
        <v>121</v>
      </c>
    </row>
    <row r="5111" spans="1:8" ht="15" customHeight="1">
      <c r="A5111" s="199">
        <v>45744</v>
      </c>
      <c r="B5111" s="202" t="s">
        <v>4079</v>
      </c>
      <c r="C5111" s="200" t="s">
        <v>204</v>
      </c>
      <c r="D5111" s="204">
        <v>-1182000</v>
      </c>
      <c r="E5111" s="201">
        <v>45717</v>
      </c>
      <c r="F5111" s="200" t="s">
        <v>256</v>
      </c>
      <c r="G5111" s="200" t="s">
        <v>256</v>
      </c>
      <c r="H5111" s="200" t="s">
        <v>121</v>
      </c>
    </row>
    <row r="5112" spans="1:8" ht="15" customHeight="1">
      <c r="A5112" s="199">
        <v>45744</v>
      </c>
      <c r="B5112" s="202" t="s">
        <v>4080</v>
      </c>
      <c r="C5112" s="200" t="s">
        <v>204</v>
      </c>
      <c r="D5112" s="204">
        <v>-754810</v>
      </c>
      <c r="E5112" s="201">
        <v>45717</v>
      </c>
      <c r="F5112" s="200" t="s">
        <v>256</v>
      </c>
      <c r="G5112" s="200" t="s">
        <v>256</v>
      </c>
      <c r="H5112" s="200" t="s">
        <v>121</v>
      </c>
    </row>
    <row r="5113" spans="1:8" ht="15" customHeight="1">
      <c r="A5113" s="199">
        <v>45744</v>
      </c>
      <c r="B5113" s="202" t="s">
        <v>4081</v>
      </c>
      <c r="C5113" s="200" t="s">
        <v>204</v>
      </c>
      <c r="D5113" s="204">
        <v>-754810</v>
      </c>
      <c r="E5113" s="201">
        <v>45717</v>
      </c>
      <c r="F5113" s="200" t="s">
        <v>256</v>
      </c>
      <c r="G5113" s="200" t="s">
        <v>256</v>
      </c>
      <c r="H5113" s="200" t="s">
        <v>121</v>
      </c>
    </row>
    <row r="5114" spans="1:8" ht="15" customHeight="1">
      <c r="A5114" s="199">
        <v>45744</v>
      </c>
      <c r="B5114" s="202" t="s">
        <v>4082</v>
      </c>
      <c r="C5114" s="200" t="s">
        <v>204</v>
      </c>
      <c r="D5114" s="204">
        <v>-2500000</v>
      </c>
      <c r="E5114" s="201">
        <v>45717</v>
      </c>
      <c r="F5114" s="200" t="s">
        <v>256</v>
      </c>
      <c r="G5114" s="200" t="s">
        <v>256</v>
      </c>
      <c r="H5114" s="200" t="s">
        <v>121</v>
      </c>
    </row>
    <row r="5115" spans="1:8" ht="15" customHeight="1">
      <c r="A5115" s="199">
        <v>45744</v>
      </c>
      <c r="B5115" s="202" t="s">
        <v>4083</v>
      </c>
      <c r="C5115" s="200" t="s">
        <v>204</v>
      </c>
      <c r="D5115" s="204">
        <v>-2981100</v>
      </c>
      <c r="E5115" s="201">
        <v>45717</v>
      </c>
      <c r="F5115" s="200" t="s">
        <v>256</v>
      </c>
      <c r="G5115" s="200" t="s">
        <v>107</v>
      </c>
      <c r="H5115" s="200" t="s">
        <v>121</v>
      </c>
    </row>
    <row r="5116" spans="1:8" ht="15" customHeight="1">
      <c r="A5116" s="199">
        <v>45744</v>
      </c>
      <c r="B5116" s="202" t="s">
        <v>4084</v>
      </c>
      <c r="C5116" s="200" t="s">
        <v>204</v>
      </c>
      <c r="D5116" s="204">
        <v>-2760000</v>
      </c>
      <c r="E5116" s="201">
        <v>45717</v>
      </c>
      <c r="F5116" s="200" t="s">
        <v>256</v>
      </c>
      <c r="G5116" s="200" t="s">
        <v>256</v>
      </c>
      <c r="H5116" s="200" t="s">
        <v>121</v>
      </c>
    </row>
    <row r="5117" spans="1:8" ht="15" customHeight="1">
      <c r="A5117" s="199">
        <v>45744</v>
      </c>
      <c r="B5117" s="202" t="s">
        <v>4085</v>
      </c>
      <c r="C5117" s="200" t="s">
        <v>204</v>
      </c>
      <c r="D5117" s="204">
        <v>-2324000</v>
      </c>
      <c r="E5117" s="201">
        <v>45717</v>
      </c>
      <c r="F5117" s="200" t="s">
        <v>256</v>
      </c>
      <c r="G5117" s="200" t="s">
        <v>107</v>
      </c>
      <c r="H5117" s="200" t="s">
        <v>121</v>
      </c>
    </row>
    <row r="5118" spans="1:8" ht="15" customHeight="1">
      <c r="A5118" s="199">
        <v>45744</v>
      </c>
      <c r="B5118" s="202" t="s">
        <v>4086</v>
      </c>
      <c r="C5118" s="200" t="s">
        <v>204</v>
      </c>
      <c r="D5118" s="204">
        <v>-754810</v>
      </c>
      <c r="E5118" s="201">
        <v>45717</v>
      </c>
      <c r="F5118" s="200" t="s">
        <v>256</v>
      </c>
      <c r="G5118" s="200" t="s">
        <v>256</v>
      </c>
      <c r="H5118" s="200" t="s">
        <v>121</v>
      </c>
    </row>
    <row r="5119" spans="1:8" ht="15" customHeight="1">
      <c r="A5119" s="199">
        <v>45744</v>
      </c>
      <c r="B5119" s="202" t="s">
        <v>4087</v>
      </c>
      <c r="C5119" s="200" t="s">
        <v>204</v>
      </c>
      <c r="D5119" s="204">
        <v>-2316000</v>
      </c>
      <c r="E5119" s="201">
        <v>45717</v>
      </c>
      <c r="F5119" s="200" t="s">
        <v>256</v>
      </c>
      <c r="G5119" s="200" t="s">
        <v>256</v>
      </c>
      <c r="H5119" s="200" t="s">
        <v>121</v>
      </c>
    </row>
    <row r="5120" spans="1:8" ht="15" customHeight="1">
      <c r="A5120" s="199">
        <v>45744</v>
      </c>
      <c r="B5120" s="202" t="s">
        <v>4088</v>
      </c>
      <c r="C5120" s="200" t="s">
        <v>204</v>
      </c>
      <c r="D5120" s="204">
        <v>-882000</v>
      </c>
      <c r="E5120" s="201">
        <v>45717</v>
      </c>
      <c r="F5120" s="200" t="s">
        <v>256</v>
      </c>
      <c r="G5120" s="200" t="s">
        <v>256</v>
      </c>
      <c r="H5120" s="200" t="s">
        <v>121</v>
      </c>
    </row>
    <row r="5121" spans="1:9" ht="15" customHeight="1">
      <c r="A5121" s="199">
        <v>45744</v>
      </c>
      <c r="B5121" s="202" t="s">
        <v>4089</v>
      </c>
      <c r="C5121" s="200" t="s">
        <v>204</v>
      </c>
      <c r="D5121" s="204">
        <v>-2944000</v>
      </c>
      <c r="E5121" s="201">
        <v>45717</v>
      </c>
      <c r="F5121" s="200" t="s">
        <v>256</v>
      </c>
      <c r="G5121" s="200" t="s">
        <v>256</v>
      </c>
      <c r="H5121" s="200" t="s">
        <v>121</v>
      </c>
    </row>
    <row r="5122" spans="1:9" ht="15" customHeight="1">
      <c r="A5122" s="199">
        <v>45744</v>
      </c>
      <c r="B5122" s="202" t="s">
        <v>4090</v>
      </c>
      <c r="C5122" s="200" t="s">
        <v>204</v>
      </c>
      <c r="D5122" s="204">
        <v>-1856000</v>
      </c>
      <c r="E5122" s="201">
        <v>45717</v>
      </c>
      <c r="F5122" s="200" t="s">
        <v>296</v>
      </c>
      <c r="G5122" s="200" t="s">
        <v>453</v>
      </c>
      <c r="H5122" s="200" t="s">
        <v>121</v>
      </c>
    </row>
    <row r="5123" spans="1:9" ht="15" customHeight="1">
      <c r="A5123" s="199">
        <v>45744</v>
      </c>
      <c r="B5123" s="202" t="s">
        <v>4091</v>
      </c>
      <c r="C5123" s="200" t="s">
        <v>204</v>
      </c>
      <c r="D5123" s="204">
        <v>-3005333</v>
      </c>
      <c r="E5123" s="201">
        <v>45717</v>
      </c>
      <c r="F5123" s="200" t="s">
        <v>256</v>
      </c>
      <c r="G5123" s="200" t="s">
        <v>256</v>
      </c>
      <c r="H5123" s="200" t="s">
        <v>121</v>
      </c>
    </row>
    <row r="5124" spans="1:9" ht="15" customHeight="1">
      <c r="A5124" s="199">
        <v>45744</v>
      </c>
      <c r="B5124" s="202" t="s">
        <v>4092</v>
      </c>
      <c r="C5124" s="200" t="s">
        <v>204</v>
      </c>
      <c r="D5124" s="204">
        <v>-12862000</v>
      </c>
      <c r="E5124" s="201">
        <v>45717</v>
      </c>
      <c r="F5124" s="200" t="s">
        <v>256</v>
      </c>
      <c r="G5124" s="200" t="s">
        <v>107</v>
      </c>
      <c r="H5124" s="200" t="s">
        <v>121</v>
      </c>
    </row>
    <row r="5125" spans="1:9" ht="15" customHeight="1">
      <c r="A5125" s="199">
        <v>45744</v>
      </c>
      <c r="B5125" s="202" t="s">
        <v>4093</v>
      </c>
      <c r="C5125" s="200" t="s">
        <v>204</v>
      </c>
      <c r="D5125" s="204">
        <v>-4868424</v>
      </c>
      <c r="E5125" s="201">
        <v>45717</v>
      </c>
      <c r="F5125" s="200" t="s">
        <v>256</v>
      </c>
      <c r="G5125" s="200" t="s">
        <v>107</v>
      </c>
      <c r="H5125" s="200" t="s">
        <v>121</v>
      </c>
    </row>
    <row r="5126" spans="1:9" ht="15" customHeight="1">
      <c r="A5126" s="199">
        <v>45744</v>
      </c>
      <c r="B5126" s="202" t="s">
        <v>4093</v>
      </c>
      <c r="C5126" s="200" t="s">
        <v>204</v>
      </c>
      <c r="D5126" s="204">
        <v>-1967704</v>
      </c>
      <c r="E5126" s="201">
        <v>45717</v>
      </c>
      <c r="F5126" s="200" t="s">
        <v>296</v>
      </c>
      <c r="G5126" s="200" t="s">
        <v>2418</v>
      </c>
      <c r="H5126" s="200" t="s">
        <v>342</v>
      </c>
      <c r="I5126" s="648" t="s">
        <v>329</v>
      </c>
    </row>
    <row r="5127" spans="1:9" ht="15" customHeight="1">
      <c r="A5127" s="199">
        <v>45744</v>
      </c>
      <c r="B5127" s="202" t="s">
        <v>4093</v>
      </c>
      <c r="C5127" s="200" t="s">
        <v>204</v>
      </c>
      <c r="D5127" s="204">
        <v>-3257303</v>
      </c>
      <c r="E5127" s="201">
        <v>45717</v>
      </c>
      <c r="F5127" s="200" t="s">
        <v>297</v>
      </c>
      <c r="G5127" s="200" t="s">
        <v>3892</v>
      </c>
      <c r="H5127" s="200" t="s">
        <v>342</v>
      </c>
    </row>
    <row r="5128" spans="1:9" ht="15" customHeight="1">
      <c r="A5128" s="199">
        <v>45744</v>
      </c>
      <c r="B5128" s="202" t="s">
        <v>4093</v>
      </c>
      <c r="C5128" s="200" t="s">
        <v>204</v>
      </c>
      <c r="D5128" s="204">
        <v>-8826764</v>
      </c>
      <c r="E5128" s="201">
        <v>45717</v>
      </c>
      <c r="F5128" s="200" t="s">
        <v>296</v>
      </c>
      <c r="G5128" s="200" t="s">
        <v>4094</v>
      </c>
      <c r="H5128" s="200" t="s">
        <v>322</v>
      </c>
    </row>
    <row r="5129" spans="1:9" ht="15" customHeight="1">
      <c r="A5129" s="199">
        <v>45744</v>
      </c>
      <c r="B5129" s="202" t="s">
        <v>4095</v>
      </c>
      <c r="C5129" s="200" t="s">
        <v>204</v>
      </c>
      <c r="D5129" s="204">
        <v>-5534350</v>
      </c>
      <c r="E5129" s="201">
        <v>45717</v>
      </c>
      <c r="F5129" s="200" t="s">
        <v>256</v>
      </c>
      <c r="G5129" s="200" t="s">
        <v>107</v>
      </c>
      <c r="H5129" s="200" t="s">
        <v>121</v>
      </c>
    </row>
    <row r="5130" spans="1:9" ht="15" customHeight="1">
      <c r="A5130" s="199">
        <v>45744</v>
      </c>
      <c r="B5130" s="202" t="s">
        <v>4096</v>
      </c>
      <c r="C5130" s="200" t="s">
        <v>204</v>
      </c>
      <c r="D5130" s="204">
        <v>-2768000</v>
      </c>
      <c r="E5130" s="201">
        <v>45717</v>
      </c>
      <c r="F5130" s="200" t="s">
        <v>256</v>
      </c>
      <c r="G5130" s="200" t="s">
        <v>107</v>
      </c>
      <c r="H5130" s="200" t="s">
        <v>121</v>
      </c>
    </row>
    <row r="5131" spans="1:9" ht="15" customHeight="1">
      <c r="A5131" s="199">
        <v>45744</v>
      </c>
      <c r="B5131" s="202" t="s">
        <v>4097</v>
      </c>
      <c r="C5131" s="200" t="s">
        <v>204</v>
      </c>
      <c r="D5131" s="204">
        <v>-754810</v>
      </c>
      <c r="E5131" s="201">
        <v>45717</v>
      </c>
      <c r="F5131" s="200" t="s">
        <v>256</v>
      </c>
      <c r="G5131" s="200" t="s">
        <v>107</v>
      </c>
      <c r="H5131" s="200" t="s">
        <v>121</v>
      </c>
    </row>
    <row r="5132" spans="1:9" ht="15" customHeight="1">
      <c r="A5132" s="199">
        <v>45744</v>
      </c>
      <c r="B5132" s="202" t="s">
        <v>4098</v>
      </c>
      <c r="C5132" s="200" t="s">
        <v>204</v>
      </c>
      <c r="D5132" s="204">
        <v>-4140000</v>
      </c>
      <c r="E5132" s="201">
        <v>45717</v>
      </c>
      <c r="F5132" s="200" t="s">
        <v>296</v>
      </c>
      <c r="G5132" s="200" t="s">
        <v>453</v>
      </c>
      <c r="H5132" s="200" t="s">
        <v>121</v>
      </c>
    </row>
    <row r="5133" spans="1:9" ht="15" customHeight="1">
      <c r="A5133" s="199">
        <v>45744</v>
      </c>
      <c r="B5133" s="202" t="s">
        <v>4099</v>
      </c>
      <c r="C5133" s="200" t="s">
        <v>204</v>
      </c>
      <c r="D5133" s="204">
        <v>-2760000</v>
      </c>
      <c r="E5133" s="201">
        <v>45717</v>
      </c>
      <c r="F5133" s="200" t="s">
        <v>296</v>
      </c>
      <c r="G5133" s="200" t="s">
        <v>453</v>
      </c>
      <c r="H5133" s="200" t="s">
        <v>121</v>
      </c>
    </row>
    <row r="5134" spans="1:9" ht="15" customHeight="1">
      <c r="A5134" s="199">
        <v>45744</v>
      </c>
      <c r="B5134" s="202" t="s">
        <v>4100</v>
      </c>
      <c r="C5134" s="200" t="s">
        <v>204</v>
      </c>
      <c r="D5134" s="204">
        <v>-3404000</v>
      </c>
      <c r="E5134" s="201">
        <v>45717</v>
      </c>
      <c r="F5134" s="200" t="s">
        <v>296</v>
      </c>
      <c r="G5134" s="200" t="s">
        <v>453</v>
      </c>
      <c r="H5134" s="200" t="s">
        <v>121</v>
      </c>
    </row>
    <row r="5135" spans="1:9" ht="15" customHeight="1">
      <c r="A5135" s="199">
        <v>45744</v>
      </c>
      <c r="B5135" s="202" t="s">
        <v>4101</v>
      </c>
      <c r="C5135" s="200" t="s">
        <v>204</v>
      </c>
      <c r="D5135" s="204">
        <v>-2944000</v>
      </c>
      <c r="E5135" s="201">
        <v>45717</v>
      </c>
      <c r="F5135" s="200" t="s">
        <v>296</v>
      </c>
      <c r="G5135" s="200" t="s">
        <v>453</v>
      </c>
      <c r="H5135" s="200" t="s">
        <v>121</v>
      </c>
      <c r="I5135" s="648" t="s">
        <v>329</v>
      </c>
    </row>
    <row r="5136" spans="1:9" ht="15" customHeight="1">
      <c r="A5136" s="199">
        <v>45744</v>
      </c>
      <c r="B5136" s="202" t="s">
        <v>4102</v>
      </c>
      <c r="C5136" s="200" t="s">
        <v>204</v>
      </c>
      <c r="D5136" s="204">
        <v>-853480</v>
      </c>
      <c r="E5136" s="201">
        <v>45717</v>
      </c>
      <c r="F5136" s="200" t="s">
        <v>296</v>
      </c>
      <c r="G5136" s="200" t="s">
        <v>1124</v>
      </c>
      <c r="H5136" s="200" t="s">
        <v>342</v>
      </c>
    </row>
    <row r="5137" spans="1:8" ht="15" customHeight="1">
      <c r="A5137" s="199">
        <v>45744</v>
      </c>
      <c r="B5137" s="202" t="s">
        <v>4103</v>
      </c>
      <c r="C5137" s="200" t="s">
        <v>204</v>
      </c>
      <c r="D5137" s="204">
        <v>-853480</v>
      </c>
      <c r="E5137" s="201">
        <v>45717</v>
      </c>
      <c r="F5137" s="200" t="s">
        <v>296</v>
      </c>
      <c r="G5137" s="200" t="s">
        <v>1124</v>
      </c>
      <c r="H5137" s="200" t="s">
        <v>342</v>
      </c>
    </row>
    <row r="5138" spans="1:8" ht="15" customHeight="1">
      <c r="A5138" s="199">
        <v>45744</v>
      </c>
      <c r="B5138" s="202" t="s">
        <v>4104</v>
      </c>
      <c r="C5138" s="200" t="s">
        <v>204</v>
      </c>
      <c r="D5138" s="204">
        <v>-1307500</v>
      </c>
      <c r="E5138" s="201">
        <v>45717</v>
      </c>
      <c r="F5138" s="200" t="s">
        <v>296</v>
      </c>
      <c r="G5138" s="200" t="s">
        <v>1124</v>
      </c>
      <c r="H5138" s="200" t="s">
        <v>342</v>
      </c>
    </row>
    <row r="5139" spans="1:8" ht="15" customHeight="1">
      <c r="A5139" s="199">
        <v>45744</v>
      </c>
      <c r="B5139" s="202" t="s">
        <v>4105</v>
      </c>
      <c r="C5139" s="200" t="s">
        <v>204</v>
      </c>
      <c r="D5139" s="204">
        <v>-790000</v>
      </c>
      <c r="E5139" s="201">
        <v>45717</v>
      </c>
      <c r="F5139" s="200" t="s">
        <v>296</v>
      </c>
      <c r="G5139" s="200" t="s">
        <v>1124</v>
      </c>
      <c r="H5139" s="200" t="s">
        <v>342</v>
      </c>
    </row>
    <row r="5140" spans="1:8" ht="15" customHeight="1">
      <c r="A5140" s="199">
        <v>45744</v>
      </c>
      <c r="B5140" s="202" t="s">
        <v>4106</v>
      </c>
      <c r="C5140" s="200" t="s">
        <v>204</v>
      </c>
      <c r="D5140" s="204">
        <v>-853480</v>
      </c>
      <c r="E5140" s="201">
        <v>45717</v>
      </c>
      <c r="F5140" s="200" t="s">
        <v>296</v>
      </c>
      <c r="G5140" s="200" t="s">
        <v>1124</v>
      </c>
      <c r="H5140" s="200" t="s">
        <v>342</v>
      </c>
    </row>
    <row r="5141" spans="1:8" ht="15" customHeight="1">
      <c r="A5141" s="199">
        <v>45744</v>
      </c>
      <c r="B5141" s="202" t="s">
        <v>4107</v>
      </c>
      <c r="C5141" s="200" t="s">
        <v>204</v>
      </c>
      <c r="D5141" s="204">
        <v>-685577</v>
      </c>
      <c r="E5141" s="201">
        <v>45717</v>
      </c>
      <c r="F5141" s="200" t="s">
        <v>296</v>
      </c>
      <c r="G5141" s="200" t="s">
        <v>2994</v>
      </c>
      <c r="H5141" s="200" t="s">
        <v>342</v>
      </c>
    </row>
    <row r="5142" spans="1:8" ht="15" customHeight="1">
      <c r="A5142" s="199">
        <v>45744</v>
      </c>
      <c r="B5142" s="202" t="s">
        <v>4108</v>
      </c>
      <c r="C5142" s="200" t="s">
        <v>204</v>
      </c>
      <c r="D5142" s="204">
        <v>-836000</v>
      </c>
      <c r="E5142" s="201">
        <v>45717</v>
      </c>
      <c r="F5142" s="200" t="s">
        <v>296</v>
      </c>
      <c r="G5142" s="200" t="s">
        <v>2994</v>
      </c>
      <c r="H5142" s="200" t="s">
        <v>342</v>
      </c>
    </row>
    <row r="5143" spans="1:8" ht="15" customHeight="1">
      <c r="A5143" s="199">
        <v>45744</v>
      </c>
      <c r="B5143" s="202" t="s">
        <v>4109</v>
      </c>
      <c r="C5143" s="200" t="s">
        <v>204</v>
      </c>
      <c r="D5143" s="204">
        <v>-731510</v>
      </c>
      <c r="E5143" s="201">
        <v>45717</v>
      </c>
      <c r="F5143" s="200" t="s">
        <v>296</v>
      </c>
      <c r="G5143" s="200" t="s">
        <v>2994</v>
      </c>
      <c r="H5143" s="200" t="s">
        <v>342</v>
      </c>
    </row>
    <row r="5144" spans="1:8" ht="15" customHeight="1">
      <c r="A5144" s="199">
        <v>45744</v>
      </c>
      <c r="B5144" s="202" t="s">
        <v>4110</v>
      </c>
      <c r="C5144" s="200" t="s">
        <v>204</v>
      </c>
      <c r="D5144" s="204">
        <v>-1066000</v>
      </c>
      <c r="E5144" s="201">
        <v>45717</v>
      </c>
      <c r="F5144" s="200" t="s">
        <v>296</v>
      </c>
      <c r="G5144" s="200" t="s">
        <v>44</v>
      </c>
      <c r="H5144" s="200" t="s">
        <v>421</v>
      </c>
    </row>
    <row r="5145" spans="1:8" ht="15" customHeight="1">
      <c r="A5145" s="199">
        <v>45744</v>
      </c>
      <c r="B5145" s="202" t="s">
        <v>4111</v>
      </c>
      <c r="C5145" s="200" t="s">
        <v>204</v>
      </c>
      <c r="D5145" s="204">
        <v>-754810</v>
      </c>
      <c r="E5145" s="201">
        <v>45717</v>
      </c>
      <c r="F5145" s="200" t="s">
        <v>296</v>
      </c>
      <c r="G5145" s="200" t="s">
        <v>44</v>
      </c>
      <c r="H5145" s="200" t="s">
        <v>421</v>
      </c>
    </row>
    <row r="5146" spans="1:8" ht="15" customHeight="1">
      <c r="A5146" s="199">
        <v>45744</v>
      </c>
      <c r="B5146" s="202" t="s">
        <v>4112</v>
      </c>
      <c r="C5146" s="200" t="s">
        <v>204</v>
      </c>
      <c r="D5146" s="204">
        <v>-3036000</v>
      </c>
      <c r="E5146" s="201">
        <v>45717</v>
      </c>
      <c r="F5146" s="200" t="s">
        <v>296</v>
      </c>
      <c r="G5146" s="200" t="s">
        <v>44</v>
      </c>
      <c r="H5146" s="655" t="s">
        <v>338</v>
      </c>
    </row>
    <row r="5147" spans="1:8" ht="15" customHeight="1">
      <c r="A5147" s="199">
        <v>45744</v>
      </c>
      <c r="B5147" s="202" t="s">
        <v>4113</v>
      </c>
      <c r="C5147" s="200" t="s">
        <v>204</v>
      </c>
      <c r="D5147" s="204">
        <v>-754810</v>
      </c>
      <c r="E5147" s="201">
        <v>45717</v>
      </c>
      <c r="F5147" s="200" t="s">
        <v>296</v>
      </c>
      <c r="G5147" s="200" t="s">
        <v>44</v>
      </c>
      <c r="H5147" s="200" t="s">
        <v>421</v>
      </c>
    </row>
    <row r="5148" spans="1:8" ht="15" customHeight="1">
      <c r="A5148" s="199">
        <v>45744</v>
      </c>
      <c r="B5148" s="202" t="s">
        <v>4114</v>
      </c>
      <c r="C5148" s="200" t="s">
        <v>204</v>
      </c>
      <c r="D5148" s="204">
        <v>-704489</v>
      </c>
      <c r="E5148" s="201">
        <v>45717</v>
      </c>
      <c r="F5148" s="200" t="s">
        <v>296</v>
      </c>
      <c r="G5148" s="200" t="s">
        <v>44</v>
      </c>
      <c r="H5148" s="200" t="s">
        <v>421</v>
      </c>
    </row>
    <row r="5149" spans="1:8" ht="15" customHeight="1">
      <c r="A5149" s="199">
        <v>45744</v>
      </c>
      <c r="B5149" s="202" t="s">
        <v>4115</v>
      </c>
      <c r="C5149" s="200" t="s">
        <v>204</v>
      </c>
      <c r="D5149" s="204">
        <v>-754810</v>
      </c>
      <c r="E5149" s="201">
        <v>45717</v>
      </c>
      <c r="F5149" s="200" t="s">
        <v>296</v>
      </c>
      <c r="G5149" s="200" t="s">
        <v>44</v>
      </c>
      <c r="H5149" s="200" t="s">
        <v>421</v>
      </c>
    </row>
    <row r="5150" spans="1:8" ht="15" customHeight="1">
      <c r="A5150" s="199">
        <v>45744</v>
      </c>
      <c r="B5150" s="202" t="s">
        <v>4116</v>
      </c>
      <c r="C5150" s="200" t="s">
        <v>204</v>
      </c>
      <c r="D5150" s="204">
        <v>-754810</v>
      </c>
      <c r="E5150" s="201">
        <v>45717</v>
      </c>
      <c r="F5150" s="200" t="s">
        <v>296</v>
      </c>
      <c r="G5150" s="200" t="s">
        <v>44</v>
      </c>
      <c r="H5150" s="200" t="s">
        <v>421</v>
      </c>
    </row>
    <row r="5151" spans="1:8" ht="15" customHeight="1">
      <c r="A5151" s="199">
        <v>45744</v>
      </c>
      <c r="B5151" s="202" t="s">
        <v>4117</v>
      </c>
      <c r="C5151" s="200" t="s">
        <v>204</v>
      </c>
      <c r="D5151" s="204">
        <v>-754810</v>
      </c>
      <c r="E5151" s="201">
        <v>45717</v>
      </c>
      <c r="F5151" s="200" t="s">
        <v>296</v>
      </c>
      <c r="G5151" s="200" t="s">
        <v>44</v>
      </c>
      <c r="H5151" s="200" t="s">
        <v>421</v>
      </c>
    </row>
    <row r="5152" spans="1:8" ht="15" customHeight="1">
      <c r="A5152" s="199">
        <v>45744</v>
      </c>
      <c r="B5152" s="202" t="s">
        <v>4118</v>
      </c>
      <c r="C5152" s="200" t="s">
        <v>204</v>
      </c>
      <c r="D5152" s="204">
        <v>-754810</v>
      </c>
      <c r="E5152" s="201">
        <v>45717</v>
      </c>
      <c r="F5152" s="200" t="s">
        <v>296</v>
      </c>
      <c r="G5152" s="200" t="s">
        <v>44</v>
      </c>
      <c r="H5152" s="200" t="s">
        <v>421</v>
      </c>
    </row>
    <row r="5153" spans="1:8" ht="15" customHeight="1">
      <c r="A5153" s="199">
        <v>45744</v>
      </c>
      <c r="B5153" s="202" t="s">
        <v>4119</v>
      </c>
      <c r="C5153" s="200" t="s">
        <v>204</v>
      </c>
      <c r="D5153" s="204">
        <v>-754810</v>
      </c>
      <c r="E5153" s="201">
        <v>45717</v>
      </c>
      <c r="F5153" s="200" t="s">
        <v>296</v>
      </c>
      <c r="G5153" s="200" t="s">
        <v>44</v>
      </c>
      <c r="H5153" s="200" t="s">
        <v>421</v>
      </c>
    </row>
    <row r="5154" spans="1:8" ht="15" customHeight="1">
      <c r="A5154" s="199">
        <v>45744</v>
      </c>
      <c r="B5154" s="202" t="s">
        <v>4120</v>
      </c>
      <c r="C5154" s="200" t="s">
        <v>204</v>
      </c>
      <c r="D5154" s="204">
        <v>-754810</v>
      </c>
      <c r="E5154" s="201">
        <v>45717</v>
      </c>
      <c r="F5154" s="200" t="s">
        <v>296</v>
      </c>
      <c r="G5154" s="200" t="s">
        <v>44</v>
      </c>
      <c r="H5154" s="200" t="s">
        <v>421</v>
      </c>
    </row>
    <row r="5155" spans="1:8" ht="15" customHeight="1">
      <c r="A5155" s="199">
        <v>45744</v>
      </c>
      <c r="B5155" s="202" t="s">
        <v>4121</v>
      </c>
      <c r="C5155" s="200" t="s">
        <v>204</v>
      </c>
      <c r="D5155" s="204">
        <v>-754810</v>
      </c>
      <c r="E5155" s="201">
        <v>45717</v>
      </c>
      <c r="F5155" s="200" t="s">
        <v>296</v>
      </c>
      <c r="G5155" s="200" t="s">
        <v>44</v>
      </c>
      <c r="H5155" s="200" t="s">
        <v>421</v>
      </c>
    </row>
    <row r="5156" spans="1:8" ht="15" customHeight="1">
      <c r="A5156" s="199">
        <v>45744</v>
      </c>
      <c r="B5156" s="202" t="s">
        <v>4122</v>
      </c>
      <c r="C5156" s="200" t="s">
        <v>204</v>
      </c>
      <c r="D5156" s="204">
        <v>-754810</v>
      </c>
      <c r="E5156" s="201">
        <v>45717</v>
      </c>
      <c r="F5156" s="200" t="s">
        <v>296</v>
      </c>
      <c r="G5156" s="200" t="s">
        <v>44</v>
      </c>
      <c r="H5156" s="200" t="s">
        <v>421</v>
      </c>
    </row>
    <row r="5157" spans="1:8" ht="15" customHeight="1">
      <c r="A5157" s="199">
        <v>45744</v>
      </c>
      <c r="B5157" s="202" t="s">
        <v>4123</v>
      </c>
      <c r="C5157" s="200" t="s">
        <v>204</v>
      </c>
      <c r="D5157" s="204">
        <v>-754810</v>
      </c>
      <c r="E5157" s="201">
        <v>45717</v>
      </c>
      <c r="F5157" s="200" t="s">
        <v>296</v>
      </c>
      <c r="G5157" s="200" t="s">
        <v>44</v>
      </c>
      <c r="H5157" s="200" t="s">
        <v>421</v>
      </c>
    </row>
    <row r="5158" spans="1:8" ht="15" customHeight="1">
      <c r="A5158" s="199">
        <v>45744</v>
      </c>
      <c r="B5158" s="202" t="s">
        <v>4124</v>
      </c>
      <c r="C5158" s="200" t="s">
        <v>204</v>
      </c>
      <c r="D5158" s="204">
        <v>-754810</v>
      </c>
      <c r="E5158" s="201">
        <v>45717</v>
      </c>
      <c r="F5158" s="200" t="s">
        <v>296</v>
      </c>
      <c r="G5158" s="200" t="s">
        <v>44</v>
      </c>
      <c r="H5158" s="200" t="s">
        <v>421</v>
      </c>
    </row>
    <row r="5159" spans="1:8" ht="15" customHeight="1">
      <c r="A5159" s="199">
        <v>45744</v>
      </c>
      <c r="B5159" s="202" t="s">
        <v>4125</v>
      </c>
      <c r="C5159" s="200" t="s">
        <v>204</v>
      </c>
      <c r="D5159" s="204">
        <v>-1066000</v>
      </c>
      <c r="E5159" s="201">
        <v>45717</v>
      </c>
      <c r="F5159" s="200" t="s">
        <v>296</v>
      </c>
      <c r="G5159" s="200" t="s">
        <v>44</v>
      </c>
      <c r="H5159" s="200" t="s">
        <v>421</v>
      </c>
    </row>
    <row r="5160" spans="1:8" ht="15" customHeight="1">
      <c r="A5160" s="199">
        <v>45744</v>
      </c>
      <c r="B5160" s="202" t="s">
        <v>4126</v>
      </c>
      <c r="C5160" s="200" t="s">
        <v>204</v>
      </c>
      <c r="D5160" s="204">
        <v>-754810</v>
      </c>
      <c r="E5160" s="201">
        <v>45717</v>
      </c>
      <c r="F5160" s="200" t="s">
        <v>296</v>
      </c>
      <c r="G5160" s="200" t="s">
        <v>44</v>
      </c>
      <c r="H5160" s="200" t="s">
        <v>421</v>
      </c>
    </row>
    <row r="5161" spans="1:8" ht="15" customHeight="1">
      <c r="A5161" s="199">
        <v>45744</v>
      </c>
      <c r="B5161" s="202" t="s">
        <v>4127</v>
      </c>
      <c r="C5161" s="200" t="s">
        <v>204</v>
      </c>
      <c r="D5161" s="204">
        <v>-754810</v>
      </c>
      <c r="E5161" s="201">
        <v>45717</v>
      </c>
      <c r="F5161" s="200" t="s">
        <v>296</v>
      </c>
      <c r="G5161" s="200" t="s">
        <v>44</v>
      </c>
      <c r="H5161" s="200" t="s">
        <v>421</v>
      </c>
    </row>
    <row r="5162" spans="1:8" ht="15" customHeight="1">
      <c r="A5162" s="199">
        <v>45744</v>
      </c>
      <c r="B5162" s="202" t="s">
        <v>4128</v>
      </c>
      <c r="C5162" s="200" t="s">
        <v>204</v>
      </c>
      <c r="D5162" s="204">
        <v>-754810</v>
      </c>
      <c r="E5162" s="201">
        <v>45717</v>
      </c>
      <c r="F5162" s="200" t="s">
        <v>296</v>
      </c>
      <c r="G5162" s="200" t="s">
        <v>44</v>
      </c>
      <c r="H5162" s="200" t="s">
        <v>421</v>
      </c>
    </row>
    <row r="5163" spans="1:8" ht="15" customHeight="1">
      <c r="A5163" s="199">
        <v>45744</v>
      </c>
      <c r="B5163" s="202" t="s">
        <v>4129</v>
      </c>
      <c r="C5163" s="200" t="s">
        <v>204</v>
      </c>
      <c r="D5163" s="204">
        <v>-754810</v>
      </c>
      <c r="E5163" s="201">
        <v>45717</v>
      </c>
      <c r="F5163" s="200" t="s">
        <v>296</v>
      </c>
      <c r="G5163" s="200" t="s">
        <v>44</v>
      </c>
      <c r="H5163" s="200" t="s">
        <v>421</v>
      </c>
    </row>
    <row r="5164" spans="1:8" ht="15" customHeight="1">
      <c r="A5164" s="199">
        <v>45744</v>
      </c>
      <c r="B5164" s="202" t="s">
        <v>4130</v>
      </c>
      <c r="C5164" s="200" t="s">
        <v>204</v>
      </c>
      <c r="D5164" s="204">
        <v>-4140000</v>
      </c>
      <c r="E5164" s="201">
        <v>45717</v>
      </c>
      <c r="F5164" s="200" t="s">
        <v>296</v>
      </c>
      <c r="G5164" s="200" t="s">
        <v>337</v>
      </c>
      <c r="H5164" s="655" t="s">
        <v>338</v>
      </c>
    </row>
    <row r="5165" spans="1:8" ht="15" customHeight="1">
      <c r="A5165" s="199">
        <v>45744</v>
      </c>
      <c r="B5165" s="202" t="s">
        <v>4131</v>
      </c>
      <c r="C5165" s="200" t="s">
        <v>204</v>
      </c>
      <c r="D5165" s="204">
        <v>-1334000</v>
      </c>
      <c r="E5165" s="201">
        <v>45717</v>
      </c>
      <c r="F5165" s="200" t="s">
        <v>296</v>
      </c>
      <c r="G5165" s="200" t="s">
        <v>337</v>
      </c>
      <c r="H5165" s="200" t="s">
        <v>421</v>
      </c>
    </row>
    <row r="5166" spans="1:8" ht="15" customHeight="1">
      <c r="A5166" s="199">
        <v>45744</v>
      </c>
      <c r="B5166" s="202" t="s">
        <v>4132</v>
      </c>
      <c r="C5166" s="200" t="s">
        <v>204</v>
      </c>
      <c r="D5166" s="204">
        <v>-882000</v>
      </c>
      <c r="E5166" s="201">
        <v>45717</v>
      </c>
      <c r="F5166" s="200" t="s">
        <v>296</v>
      </c>
      <c r="G5166" s="200" t="s">
        <v>337</v>
      </c>
      <c r="H5166" s="200" t="s">
        <v>421</v>
      </c>
    </row>
    <row r="5167" spans="1:8" ht="15" customHeight="1">
      <c r="A5167" s="199">
        <v>45744</v>
      </c>
      <c r="B5167" s="202" t="s">
        <v>4133</v>
      </c>
      <c r="C5167" s="200" t="s">
        <v>204</v>
      </c>
      <c r="D5167" s="204">
        <v>-1250000</v>
      </c>
      <c r="E5167" s="201">
        <v>45717</v>
      </c>
      <c r="F5167" s="200" t="s">
        <v>296</v>
      </c>
      <c r="G5167" s="200" t="s">
        <v>337</v>
      </c>
      <c r="H5167" s="200" t="s">
        <v>421</v>
      </c>
    </row>
    <row r="5168" spans="1:8" ht="15" customHeight="1">
      <c r="A5168" s="199">
        <v>45744</v>
      </c>
      <c r="B5168" s="202" t="s">
        <v>4134</v>
      </c>
      <c r="C5168" s="200" t="s">
        <v>204</v>
      </c>
      <c r="D5168" s="204">
        <v>-754810</v>
      </c>
      <c r="E5168" s="201">
        <v>45717</v>
      </c>
      <c r="F5168" s="200" t="s">
        <v>296</v>
      </c>
      <c r="G5168" s="200" t="s">
        <v>337</v>
      </c>
      <c r="H5168" s="200" t="s">
        <v>421</v>
      </c>
    </row>
    <row r="5169" spans="1:8" ht="15" customHeight="1">
      <c r="A5169" s="199">
        <v>45744</v>
      </c>
      <c r="B5169" s="202" t="s">
        <v>4135</v>
      </c>
      <c r="C5169" s="200" t="s">
        <v>204</v>
      </c>
      <c r="D5169" s="204">
        <v>-3036000</v>
      </c>
      <c r="E5169" s="201">
        <v>45717</v>
      </c>
      <c r="F5169" s="200" t="s">
        <v>296</v>
      </c>
      <c r="G5169" s="200" t="s">
        <v>337</v>
      </c>
      <c r="H5169" s="655" t="s">
        <v>338</v>
      </c>
    </row>
    <row r="5170" spans="1:8" ht="15" customHeight="1">
      <c r="A5170" s="199">
        <v>45744</v>
      </c>
      <c r="B5170" s="202" t="s">
        <v>4136</v>
      </c>
      <c r="C5170" s="200" t="s">
        <v>204</v>
      </c>
      <c r="D5170" s="204">
        <v>-754810</v>
      </c>
      <c r="E5170" s="201">
        <v>45717</v>
      </c>
      <c r="F5170" s="200" t="s">
        <v>296</v>
      </c>
      <c r="G5170" s="200" t="s">
        <v>337</v>
      </c>
      <c r="H5170" s="200" t="s">
        <v>421</v>
      </c>
    </row>
    <row r="5171" spans="1:8" ht="15" customHeight="1">
      <c r="A5171" s="199">
        <v>45744</v>
      </c>
      <c r="B5171" s="202" t="s">
        <v>4137</v>
      </c>
      <c r="C5171" s="200" t="s">
        <v>204</v>
      </c>
      <c r="D5171" s="204">
        <v>-754810</v>
      </c>
      <c r="E5171" s="201">
        <v>45717</v>
      </c>
      <c r="F5171" s="200" t="s">
        <v>296</v>
      </c>
      <c r="G5171" s="200" t="s">
        <v>337</v>
      </c>
      <c r="H5171" s="200" t="s">
        <v>421</v>
      </c>
    </row>
    <row r="5172" spans="1:8" ht="15" customHeight="1">
      <c r="A5172" s="199">
        <v>45744</v>
      </c>
      <c r="B5172" s="202" t="s">
        <v>4138</v>
      </c>
      <c r="C5172" s="200" t="s">
        <v>204</v>
      </c>
      <c r="D5172" s="204">
        <v>-754810</v>
      </c>
      <c r="E5172" s="201">
        <v>45717</v>
      </c>
      <c r="F5172" s="200" t="s">
        <v>296</v>
      </c>
      <c r="G5172" s="200" t="s">
        <v>337</v>
      </c>
      <c r="H5172" s="200" t="s">
        <v>421</v>
      </c>
    </row>
    <row r="5173" spans="1:8" ht="15" customHeight="1">
      <c r="A5173" s="199">
        <v>45744</v>
      </c>
      <c r="B5173" s="202" t="s">
        <v>4139</v>
      </c>
      <c r="C5173" s="200" t="s">
        <v>204</v>
      </c>
      <c r="D5173" s="204">
        <v>-754810</v>
      </c>
      <c r="E5173" s="201">
        <v>45717</v>
      </c>
      <c r="F5173" s="200" t="s">
        <v>296</v>
      </c>
      <c r="G5173" s="200" t="s">
        <v>337</v>
      </c>
      <c r="H5173" s="200" t="s">
        <v>421</v>
      </c>
    </row>
    <row r="5174" spans="1:8" ht="15" customHeight="1">
      <c r="A5174" s="199">
        <v>45744</v>
      </c>
      <c r="B5174" s="202" t="s">
        <v>4140</v>
      </c>
      <c r="C5174" s="200" t="s">
        <v>204</v>
      </c>
      <c r="D5174" s="204">
        <v>-754810</v>
      </c>
      <c r="E5174" s="201">
        <v>45717</v>
      </c>
      <c r="F5174" s="200" t="s">
        <v>296</v>
      </c>
      <c r="G5174" s="200" t="s">
        <v>337</v>
      </c>
      <c r="H5174" s="200" t="s">
        <v>421</v>
      </c>
    </row>
    <row r="5175" spans="1:8" ht="15" customHeight="1">
      <c r="A5175" s="199">
        <v>45744</v>
      </c>
      <c r="B5175" s="202" t="s">
        <v>4141</v>
      </c>
      <c r="C5175" s="200" t="s">
        <v>204</v>
      </c>
      <c r="D5175" s="204">
        <v>-1250000</v>
      </c>
      <c r="E5175" s="201">
        <v>45717</v>
      </c>
      <c r="F5175" s="200" t="s">
        <v>296</v>
      </c>
      <c r="G5175" s="200" t="s">
        <v>337</v>
      </c>
      <c r="H5175" s="200" t="s">
        <v>338</v>
      </c>
    </row>
    <row r="5176" spans="1:8" ht="15" customHeight="1">
      <c r="A5176" s="199">
        <v>45744</v>
      </c>
      <c r="B5176" s="202" t="s">
        <v>4142</v>
      </c>
      <c r="C5176" s="200" t="s">
        <v>204</v>
      </c>
      <c r="D5176" s="204">
        <v>-882000</v>
      </c>
      <c r="E5176" s="201">
        <v>45717</v>
      </c>
      <c r="F5176" s="200" t="s">
        <v>296</v>
      </c>
      <c r="G5176" s="200" t="s">
        <v>337</v>
      </c>
      <c r="H5176" s="200" t="s">
        <v>421</v>
      </c>
    </row>
    <row r="5177" spans="1:8" ht="15" customHeight="1">
      <c r="A5177" s="199">
        <v>45744</v>
      </c>
      <c r="B5177" s="202" t="s">
        <v>4143</v>
      </c>
      <c r="C5177" s="200" t="s">
        <v>204</v>
      </c>
      <c r="D5177" s="204">
        <v>-754810</v>
      </c>
      <c r="E5177" s="201">
        <v>45717</v>
      </c>
      <c r="F5177" s="200" t="s">
        <v>256</v>
      </c>
      <c r="G5177" s="200" t="s">
        <v>107</v>
      </c>
      <c r="H5177" s="200" t="s">
        <v>121</v>
      </c>
    </row>
    <row r="5178" spans="1:8" ht="15" customHeight="1">
      <c r="A5178" s="199">
        <v>45744</v>
      </c>
      <c r="B5178" s="202" t="s">
        <v>4144</v>
      </c>
      <c r="C5178" s="200" t="s">
        <v>204</v>
      </c>
      <c r="D5178" s="204">
        <v>-754810</v>
      </c>
      <c r="E5178" s="201">
        <v>45717</v>
      </c>
      <c r="F5178" s="200" t="s">
        <v>296</v>
      </c>
      <c r="G5178" s="200" t="s">
        <v>337</v>
      </c>
      <c r="H5178" s="200" t="s">
        <v>421</v>
      </c>
    </row>
    <row r="5179" spans="1:8" ht="15" customHeight="1">
      <c r="A5179" s="199">
        <v>45744</v>
      </c>
      <c r="B5179" s="202" t="s">
        <v>4145</v>
      </c>
      <c r="C5179" s="200" t="s">
        <v>204</v>
      </c>
      <c r="D5179" s="204">
        <v>-761928</v>
      </c>
      <c r="E5179" s="201">
        <v>45717</v>
      </c>
      <c r="F5179" s="200" t="s">
        <v>296</v>
      </c>
      <c r="G5179" s="200" t="s">
        <v>337</v>
      </c>
      <c r="H5179" s="200" t="s">
        <v>421</v>
      </c>
    </row>
    <row r="5180" spans="1:8" ht="15" customHeight="1">
      <c r="A5180" s="199">
        <v>45744</v>
      </c>
      <c r="B5180" s="202" t="s">
        <v>4146</v>
      </c>
      <c r="C5180" s="200" t="s">
        <v>204</v>
      </c>
      <c r="D5180" s="204">
        <v>-761928</v>
      </c>
      <c r="E5180" s="201">
        <v>45717</v>
      </c>
      <c r="F5180" s="200" t="s">
        <v>296</v>
      </c>
      <c r="G5180" s="200" t="s">
        <v>337</v>
      </c>
      <c r="H5180" s="200" t="s">
        <v>421</v>
      </c>
    </row>
    <row r="5181" spans="1:8" ht="15" customHeight="1">
      <c r="A5181" s="199">
        <v>45744</v>
      </c>
      <c r="B5181" s="202" t="s">
        <v>4147</v>
      </c>
      <c r="C5181" s="200" t="s">
        <v>204</v>
      </c>
      <c r="D5181" s="204">
        <v>-2760000</v>
      </c>
      <c r="E5181" s="201">
        <v>45717</v>
      </c>
      <c r="F5181" s="200" t="s">
        <v>296</v>
      </c>
      <c r="G5181" s="200" t="s">
        <v>337</v>
      </c>
      <c r="H5181" s="655" t="s">
        <v>338</v>
      </c>
    </row>
    <row r="5182" spans="1:8" ht="15" customHeight="1">
      <c r="A5182" s="199">
        <v>45744</v>
      </c>
      <c r="B5182" s="202" t="s">
        <v>4148</v>
      </c>
      <c r="C5182" s="200" t="s">
        <v>204</v>
      </c>
      <c r="D5182" s="204">
        <v>-754810</v>
      </c>
      <c r="E5182" s="201">
        <v>45717</v>
      </c>
      <c r="F5182" s="200" t="s">
        <v>296</v>
      </c>
      <c r="G5182" s="200" t="s">
        <v>522</v>
      </c>
      <c r="H5182" s="200" t="s">
        <v>429</v>
      </c>
    </row>
    <row r="5183" spans="1:8" ht="15" customHeight="1">
      <c r="A5183" s="199">
        <v>45744</v>
      </c>
      <c r="B5183" s="202" t="s">
        <v>4149</v>
      </c>
      <c r="C5183" s="200" t="s">
        <v>204</v>
      </c>
      <c r="D5183" s="204">
        <v>-761928</v>
      </c>
      <c r="E5183" s="201">
        <v>45717</v>
      </c>
      <c r="F5183" s="200" t="s">
        <v>296</v>
      </c>
      <c r="G5183" s="200" t="s">
        <v>522</v>
      </c>
      <c r="H5183" s="200" t="s">
        <v>429</v>
      </c>
    </row>
    <row r="5184" spans="1:8" ht="15" customHeight="1">
      <c r="A5184" s="199">
        <v>45744</v>
      </c>
      <c r="B5184" s="202" t="s">
        <v>4150</v>
      </c>
      <c r="C5184" s="200" t="s">
        <v>204</v>
      </c>
      <c r="D5184" s="204">
        <v>-761928</v>
      </c>
      <c r="E5184" s="201">
        <v>45717</v>
      </c>
      <c r="F5184" s="200" t="s">
        <v>296</v>
      </c>
      <c r="G5184" s="200" t="s">
        <v>522</v>
      </c>
      <c r="H5184" s="200" t="s">
        <v>429</v>
      </c>
    </row>
    <row r="5185" spans="1:8" ht="15" customHeight="1">
      <c r="A5185" s="199">
        <v>45744</v>
      </c>
      <c r="B5185" s="202" t="s">
        <v>4151</v>
      </c>
      <c r="C5185" s="200" t="s">
        <v>204</v>
      </c>
      <c r="D5185" s="204">
        <v>-654810</v>
      </c>
      <c r="E5185" s="201">
        <v>45717</v>
      </c>
      <c r="F5185" s="200" t="s">
        <v>296</v>
      </c>
      <c r="G5185" s="200" t="s">
        <v>522</v>
      </c>
      <c r="H5185" s="200" t="s">
        <v>429</v>
      </c>
    </row>
    <row r="5186" spans="1:8" ht="15" customHeight="1">
      <c r="A5186" s="199">
        <v>45744</v>
      </c>
      <c r="B5186" s="202" t="s">
        <v>4152</v>
      </c>
      <c r="C5186" s="200" t="s">
        <v>204</v>
      </c>
      <c r="D5186" s="204">
        <v>-754810</v>
      </c>
      <c r="E5186" s="201">
        <v>45717</v>
      </c>
      <c r="F5186" s="200" t="s">
        <v>296</v>
      </c>
      <c r="G5186" s="200" t="s">
        <v>522</v>
      </c>
      <c r="H5186" s="200" t="s">
        <v>429</v>
      </c>
    </row>
    <row r="5187" spans="1:8" ht="15" customHeight="1">
      <c r="A5187" s="199">
        <v>45744</v>
      </c>
      <c r="B5187" s="202" t="s">
        <v>4153</v>
      </c>
      <c r="C5187" s="200" t="s">
        <v>204</v>
      </c>
      <c r="D5187" s="204">
        <v>-754810</v>
      </c>
      <c r="E5187" s="201">
        <v>45717</v>
      </c>
      <c r="F5187" s="200" t="s">
        <v>296</v>
      </c>
      <c r="G5187" s="200" t="s">
        <v>522</v>
      </c>
      <c r="H5187" s="200" t="s">
        <v>429</v>
      </c>
    </row>
    <row r="5188" spans="1:8" ht="15" customHeight="1">
      <c r="A5188" s="199">
        <v>45744</v>
      </c>
      <c r="B5188" s="202" t="s">
        <v>4154</v>
      </c>
      <c r="C5188" s="200" t="s">
        <v>204</v>
      </c>
      <c r="D5188" s="204">
        <v>-754810</v>
      </c>
      <c r="E5188" s="201">
        <v>45717</v>
      </c>
      <c r="F5188" s="200" t="s">
        <v>296</v>
      </c>
      <c r="G5188" s="200" t="s">
        <v>522</v>
      </c>
      <c r="H5188" s="200" t="s">
        <v>429</v>
      </c>
    </row>
    <row r="5189" spans="1:8" ht="15" customHeight="1">
      <c r="A5189" s="199">
        <v>45744</v>
      </c>
      <c r="B5189" s="202" t="s">
        <v>4155</v>
      </c>
      <c r="C5189" s="200" t="s">
        <v>204</v>
      </c>
      <c r="D5189" s="204">
        <v>-754810</v>
      </c>
      <c r="E5189" s="201">
        <v>45717</v>
      </c>
      <c r="F5189" s="200" t="s">
        <v>296</v>
      </c>
      <c r="G5189" s="200" t="s">
        <v>522</v>
      </c>
      <c r="H5189" s="200" t="s">
        <v>429</v>
      </c>
    </row>
    <row r="5190" spans="1:8" ht="15" customHeight="1">
      <c r="A5190" s="199">
        <v>45744</v>
      </c>
      <c r="B5190" s="202" t="s">
        <v>4156</v>
      </c>
      <c r="C5190" s="200" t="s">
        <v>204</v>
      </c>
      <c r="D5190" s="204">
        <v>-754810</v>
      </c>
      <c r="E5190" s="201">
        <v>45717</v>
      </c>
      <c r="F5190" s="200" t="s">
        <v>296</v>
      </c>
      <c r="G5190" s="200" t="s">
        <v>522</v>
      </c>
      <c r="H5190" s="200" t="s">
        <v>429</v>
      </c>
    </row>
    <row r="5191" spans="1:8" ht="15" customHeight="1">
      <c r="A5191" s="199">
        <v>45744</v>
      </c>
      <c r="B5191" s="202" t="s">
        <v>4157</v>
      </c>
      <c r="C5191" s="200" t="s">
        <v>204</v>
      </c>
      <c r="D5191" s="204">
        <v>-761928</v>
      </c>
      <c r="E5191" s="201">
        <v>45717</v>
      </c>
      <c r="F5191" s="200" t="s">
        <v>296</v>
      </c>
      <c r="G5191" s="200" t="s">
        <v>522</v>
      </c>
      <c r="H5191" s="200" t="s">
        <v>429</v>
      </c>
    </row>
    <row r="5192" spans="1:8" ht="15" customHeight="1">
      <c r="A5192" s="199">
        <v>45744</v>
      </c>
      <c r="B5192" s="202" t="s">
        <v>4158</v>
      </c>
      <c r="C5192" s="200" t="s">
        <v>204</v>
      </c>
      <c r="D5192" s="204">
        <v>-2760000</v>
      </c>
      <c r="E5192" s="201">
        <v>45717</v>
      </c>
      <c r="F5192" s="200" t="s">
        <v>296</v>
      </c>
      <c r="G5192" s="200" t="s">
        <v>522</v>
      </c>
      <c r="H5192" s="200" t="s">
        <v>338</v>
      </c>
    </row>
    <row r="5193" spans="1:8" ht="15" customHeight="1">
      <c r="A5193" s="199">
        <v>45744</v>
      </c>
      <c r="B5193" s="202" t="s">
        <v>4159</v>
      </c>
      <c r="C5193" s="200" t="s">
        <v>204</v>
      </c>
      <c r="D5193" s="204">
        <v>-1115140</v>
      </c>
      <c r="E5193" s="201">
        <v>45717</v>
      </c>
      <c r="F5193" s="200" t="s">
        <v>297</v>
      </c>
      <c r="G5193" s="200" t="s">
        <v>1578</v>
      </c>
      <c r="H5193" s="200" t="s">
        <v>342</v>
      </c>
    </row>
    <row r="5194" spans="1:8" ht="15" customHeight="1">
      <c r="A5194" s="199">
        <v>45744</v>
      </c>
      <c r="B5194" s="202" t="s">
        <v>4160</v>
      </c>
      <c r="C5194" s="200" t="s">
        <v>204</v>
      </c>
      <c r="D5194" s="204">
        <v>-754810</v>
      </c>
      <c r="E5194" s="201">
        <v>45717</v>
      </c>
      <c r="F5194" s="200" t="s">
        <v>297</v>
      </c>
      <c r="G5194" s="200" t="s">
        <v>1578</v>
      </c>
      <c r="H5194" s="200" t="s">
        <v>342</v>
      </c>
    </row>
    <row r="5195" spans="1:8" ht="15" customHeight="1">
      <c r="A5195" s="199">
        <v>45744</v>
      </c>
      <c r="B5195" s="202" t="s">
        <v>4161</v>
      </c>
      <c r="C5195" s="200" t="s">
        <v>204</v>
      </c>
      <c r="D5195" s="204">
        <v>-754810</v>
      </c>
      <c r="E5195" s="201">
        <v>45717</v>
      </c>
      <c r="F5195" s="200" t="s">
        <v>297</v>
      </c>
      <c r="G5195" s="200" t="s">
        <v>1578</v>
      </c>
      <c r="H5195" s="200" t="s">
        <v>342</v>
      </c>
    </row>
    <row r="5196" spans="1:8" ht="15" customHeight="1">
      <c r="A5196" s="199">
        <v>45744</v>
      </c>
      <c r="B5196" s="202" t="s">
        <v>4162</v>
      </c>
      <c r="C5196" s="200" t="s">
        <v>204</v>
      </c>
      <c r="D5196" s="204">
        <v>-754810</v>
      </c>
      <c r="E5196" s="201">
        <v>45717</v>
      </c>
      <c r="F5196" s="200" t="s">
        <v>297</v>
      </c>
      <c r="G5196" s="200" t="s">
        <v>1578</v>
      </c>
      <c r="H5196" s="200" t="s">
        <v>342</v>
      </c>
    </row>
    <row r="5197" spans="1:8" ht="15" customHeight="1">
      <c r="A5197" s="199">
        <v>45744</v>
      </c>
      <c r="B5197" s="202" t="s">
        <v>4163</v>
      </c>
      <c r="C5197" s="200" t="s">
        <v>204</v>
      </c>
      <c r="D5197" s="204">
        <v>-1214367</v>
      </c>
      <c r="E5197" s="201">
        <v>45717</v>
      </c>
      <c r="F5197" s="200" t="s">
        <v>297</v>
      </c>
      <c r="G5197" s="200" t="s">
        <v>1313</v>
      </c>
      <c r="H5197" s="200" t="s">
        <v>342</v>
      </c>
    </row>
    <row r="5198" spans="1:8" ht="15" customHeight="1">
      <c r="A5198" s="199">
        <v>45744</v>
      </c>
      <c r="B5198" s="202" t="s">
        <v>4164</v>
      </c>
      <c r="C5198" s="200" t="s">
        <v>204</v>
      </c>
      <c r="D5198" s="204">
        <v>-836000</v>
      </c>
      <c r="E5198" s="201">
        <v>45717</v>
      </c>
      <c r="F5198" s="200" t="s">
        <v>297</v>
      </c>
      <c r="G5198" s="200" t="s">
        <v>1313</v>
      </c>
      <c r="H5198" s="200" t="s">
        <v>342</v>
      </c>
    </row>
    <row r="5199" spans="1:8" ht="15" customHeight="1">
      <c r="A5199" s="199">
        <v>45744</v>
      </c>
      <c r="B5199" s="202" t="s">
        <v>4165</v>
      </c>
      <c r="C5199" s="200" t="s">
        <v>204</v>
      </c>
      <c r="D5199" s="204">
        <v>-731510</v>
      </c>
      <c r="E5199" s="201">
        <v>45717</v>
      </c>
      <c r="F5199" s="200" t="s">
        <v>297</v>
      </c>
      <c r="G5199" s="200" t="s">
        <v>1313</v>
      </c>
      <c r="H5199" s="200" t="s">
        <v>342</v>
      </c>
    </row>
    <row r="5200" spans="1:8" ht="15" customHeight="1">
      <c r="A5200" s="199">
        <v>45744</v>
      </c>
      <c r="B5200" s="202" t="s">
        <v>4166</v>
      </c>
      <c r="C5200" s="200" t="s">
        <v>204</v>
      </c>
      <c r="D5200" s="204">
        <v>-754810</v>
      </c>
      <c r="E5200" s="201">
        <v>45717</v>
      </c>
      <c r="F5200" s="200" t="s">
        <v>297</v>
      </c>
      <c r="G5200" s="200" t="s">
        <v>1313</v>
      </c>
      <c r="H5200" s="200" t="s">
        <v>342</v>
      </c>
    </row>
    <row r="5201" spans="1:10" ht="15" customHeight="1">
      <c r="A5201" s="199">
        <v>45744</v>
      </c>
      <c r="B5201" s="202" t="s">
        <v>4167</v>
      </c>
      <c r="C5201" s="200" t="s">
        <v>204</v>
      </c>
      <c r="D5201" s="204">
        <v>-731510</v>
      </c>
      <c r="E5201" s="201">
        <v>45717</v>
      </c>
      <c r="F5201" s="200" t="s">
        <v>297</v>
      </c>
      <c r="G5201" s="200" t="s">
        <v>1313</v>
      </c>
      <c r="H5201" s="200" t="s">
        <v>342</v>
      </c>
    </row>
    <row r="5202" spans="1:10" ht="15" customHeight="1">
      <c r="A5202" s="199">
        <v>45744</v>
      </c>
      <c r="B5202" s="202" t="s">
        <v>4168</v>
      </c>
      <c r="C5202" s="200" t="s">
        <v>204</v>
      </c>
      <c r="D5202" s="204">
        <v>-754810</v>
      </c>
      <c r="E5202" s="201">
        <v>45717</v>
      </c>
      <c r="F5202" s="200" t="s">
        <v>297</v>
      </c>
      <c r="G5202" s="200" t="s">
        <v>1313</v>
      </c>
      <c r="H5202" s="200" t="s">
        <v>342</v>
      </c>
    </row>
    <row r="5203" spans="1:10" ht="15" customHeight="1">
      <c r="A5203" s="199">
        <v>45744</v>
      </c>
      <c r="B5203" s="202" t="s">
        <v>4169</v>
      </c>
      <c r="C5203" s="200" t="s">
        <v>204</v>
      </c>
      <c r="D5203" s="204">
        <v>-499080</v>
      </c>
      <c r="E5203" s="201">
        <v>45717</v>
      </c>
      <c r="F5203" s="200" t="s">
        <v>395</v>
      </c>
      <c r="G5203" s="531" t="s">
        <v>395</v>
      </c>
      <c r="H5203" s="200" t="s">
        <v>342</v>
      </c>
      <c r="I5203" s="673"/>
    </row>
    <row r="5204" spans="1:10" ht="15" customHeight="1">
      <c r="A5204" s="199">
        <v>45744</v>
      </c>
      <c r="B5204" s="202" t="s">
        <v>4169</v>
      </c>
      <c r="C5204" s="200" t="s">
        <v>204</v>
      </c>
      <c r="D5204" s="204">
        <v>-748620</v>
      </c>
      <c r="E5204" s="201">
        <v>45717</v>
      </c>
      <c r="F5204" s="200" t="s">
        <v>395</v>
      </c>
      <c r="G5204" s="531" t="s">
        <v>395</v>
      </c>
      <c r="H5204" s="200" t="s">
        <v>342</v>
      </c>
    </row>
    <row r="5205" spans="1:10" ht="15" customHeight="1">
      <c r="A5205" s="199">
        <v>45744</v>
      </c>
      <c r="B5205" s="202" t="s">
        <v>4170</v>
      </c>
      <c r="C5205" s="200" t="s">
        <v>204</v>
      </c>
      <c r="D5205" s="204">
        <v>-292604</v>
      </c>
      <c r="E5205" s="201">
        <v>45717</v>
      </c>
      <c r="F5205" s="200" t="s">
        <v>395</v>
      </c>
      <c r="G5205" s="531" t="s">
        <v>395</v>
      </c>
      <c r="H5205" s="200" t="s">
        <v>342</v>
      </c>
      <c r="I5205" s="673"/>
    </row>
    <row r="5206" spans="1:10" ht="15" customHeight="1">
      <c r="A5206" s="199">
        <v>45744</v>
      </c>
      <c r="B5206" s="202" t="s">
        <v>4170</v>
      </c>
      <c r="C5206" s="200" t="s">
        <v>204</v>
      </c>
      <c r="D5206" s="204">
        <v>-438906</v>
      </c>
      <c r="E5206" s="201">
        <v>45717</v>
      </c>
      <c r="F5206" s="200" t="s">
        <v>395</v>
      </c>
      <c r="G5206" s="531" t="s">
        <v>395</v>
      </c>
      <c r="H5206" s="200" t="s">
        <v>342</v>
      </c>
    </row>
    <row r="5207" spans="1:10" ht="15" customHeight="1">
      <c r="A5207" s="199">
        <v>45744</v>
      </c>
      <c r="B5207" s="202" t="s">
        <v>4171</v>
      </c>
      <c r="C5207" s="200" t="s">
        <v>204</v>
      </c>
      <c r="D5207" s="204">
        <v>-301924</v>
      </c>
      <c r="E5207" s="201">
        <v>45717</v>
      </c>
      <c r="F5207" s="200" t="s">
        <v>395</v>
      </c>
      <c r="G5207" s="531" t="s">
        <v>395</v>
      </c>
      <c r="H5207" s="200" t="s">
        <v>342</v>
      </c>
      <c r="I5207" s="673"/>
    </row>
    <row r="5208" spans="1:10" ht="15" customHeight="1">
      <c r="A5208" s="199">
        <v>45744</v>
      </c>
      <c r="B5208" s="202" t="s">
        <v>4171</v>
      </c>
      <c r="C5208" s="200" t="s">
        <v>204</v>
      </c>
      <c r="D5208" s="204">
        <v>-452886</v>
      </c>
      <c r="E5208" s="201">
        <v>45717</v>
      </c>
      <c r="F5208" s="200" t="s">
        <v>395</v>
      </c>
      <c r="G5208" s="531" t="s">
        <v>395</v>
      </c>
      <c r="H5208" s="200" t="s">
        <v>342</v>
      </c>
    </row>
    <row r="5209" spans="1:10" ht="15" customHeight="1">
      <c r="A5209" s="199">
        <v>45744</v>
      </c>
      <c r="B5209" s="202" t="s">
        <v>4172</v>
      </c>
      <c r="C5209" s="200" t="s">
        <v>204</v>
      </c>
      <c r="D5209" s="204">
        <v>-301924</v>
      </c>
      <c r="E5209" s="201">
        <v>45717</v>
      </c>
      <c r="F5209" s="200" t="s">
        <v>395</v>
      </c>
      <c r="G5209" s="531" t="s">
        <v>395</v>
      </c>
      <c r="H5209" s="200" t="s">
        <v>342</v>
      </c>
      <c r="I5209" s="673"/>
    </row>
    <row r="5210" spans="1:10" ht="15" customHeight="1">
      <c r="A5210" s="199">
        <v>45744</v>
      </c>
      <c r="B5210" s="202" t="s">
        <v>4172</v>
      </c>
      <c r="C5210" s="200" t="s">
        <v>204</v>
      </c>
      <c r="D5210" s="204">
        <v>-452886</v>
      </c>
      <c r="E5210" s="201">
        <v>45717</v>
      </c>
      <c r="F5210" s="200" t="s">
        <v>395</v>
      </c>
      <c r="G5210" s="531" t="s">
        <v>395</v>
      </c>
      <c r="H5210" s="200" t="s">
        <v>342</v>
      </c>
      <c r="J5210" s="664" t="s">
        <v>329</v>
      </c>
    </row>
    <row r="5211" spans="1:10" ht="15" customHeight="1">
      <c r="A5211" s="199">
        <v>45744</v>
      </c>
      <c r="B5211" s="202" t="s">
        <v>4173</v>
      </c>
      <c r="C5211" s="200" t="s">
        <v>204</v>
      </c>
      <c r="D5211" s="204">
        <v>-3436000</v>
      </c>
      <c r="E5211" s="201">
        <v>45717</v>
      </c>
      <c r="F5211" s="200" t="s">
        <v>256</v>
      </c>
      <c r="G5211" s="200" t="s">
        <v>107</v>
      </c>
      <c r="H5211" s="200" t="s">
        <v>121</v>
      </c>
    </row>
    <row r="5212" spans="1:10" ht="15" customHeight="1">
      <c r="A5212" s="199">
        <v>45744</v>
      </c>
      <c r="B5212" s="202" t="s">
        <v>4174</v>
      </c>
      <c r="C5212" s="200" t="s">
        <v>204</v>
      </c>
      <c r="D5212" s="204">
        <v>-1214400</v>
      </c>
      <c r="E5212" s="201">
        <v>45717</v>
      </c>
      <c r="F5212" s="200" t="s">
        <v>296</v>
      </c>
      <c r="G5212" s="200" t="s">
        <v>3360</v>
      </c>
      <c r="H5212" s="200" t="s">
        <v>567</v>
      </c>
    </row>
    <row r="5213" spans="1:10" ht="15" customHeight="1">
      <c r="A5213" s="199">
        <v>45744</v>
      </c>
      <c r="B5213" s="202" t="s">
        <v>4174</v>
      </c>
      <c r="C5213" s="200" t="s">
        <v>204</v>
      </c>
      <c r="D5213" s="204">
        <v>-303600</v>
      </c>
      <c r="E5213" s="201">
        <v>45717</v>
      </c>
      <c r="F5213" s="200" t="s">
        <v>297</v>
      </c>
      <c r="G5213" s="200" t="s">
        <v>3892</v>
      </c>
      <c r="H5213" s="200" t="s">
        <v>567</v>
      </c>
    </row>
    <row r="5214" spans="1:10" ht="15" customHeight="1">
      <c r="A5214" s="199">
        <v>45744</v>
      </c>
      <c r="B5214" s="202" t="s">
        <v>4174</v>
      </c>
      <c r="C5214" s="200" t="s">
        <v>204</v>
      </c>
      <c r="D5214" s="204">
        <v>-1518000</v>
      </c>
      <c r="E5214" s="201">
        <v>45717</v>
      </c>
      <c r="F5214" s="200" t="s">
        <v>296</v>
      </c>
      <c r="G5214" s="200" t="s">
        <v>1124</v>
      </c>
      <c r="H5214" s="200" t="s">
        <v>567</v>
      </c>
    </row>
    <row r="5215" spans="1:10" ht="15" customHeight="1">
      <c r="A5215" s="199">
        <v>45744</v>
      </c>
      <c r="B5215" s="202" t="s">
        <v>4175</v>
      </c>
      <c r="C5215" s="200" t="s">
        <v>204</v>
      </c>
      <c r="D5215" s="204">
        <v>-1380000</v>
      </c>
      <c r="E5215" s="201">
        <v>45717</v>
      </c>
      <c r="F5215" s="200" t="s">
        <v>296</v>
      </c>
      <c r="G5215" s="200" t="s">
        <v>1362</v>
      </c>
      <c r="H5215" s="200" t="s">
        <v>567</v>
      </c>
    </row>
    <row r="5216" spans="1:10" ht="15" customHeight="1">
      <c r="A5216" s="199">
        <v>45744</v>
      </c>
      <c r="B5216" s="202" t="s">
        <v>4175</v>
      </c>
      <c r="C5216" s="200" t="s">
        <v>204</v>
      </c>
      <c r="D5216" s="204">
        <v>-1380000</v>
      </c>
      <c r="E5216" s="201">
        <v>45717</v>
      </c>
      <c r="F5216" s="200" t="s">
        <v>296</v>
      </c>
      <c r="G5216" s="200" t="s">
        <v>1735</v>
      </c>
      <c r="H5216" s="200" t="s">
        <v>567</v>
      </c>
    </row>
    <row r="5217" spans="1:9" ht="15" customHeight="1">
      <c r="A5217" s="199">
        <v>45744</v>
      </c>
      <c r="B5217" s="202" t="s">
        <v>4176</v>
      </c>
      <c r="C5217" s="200" t="s">
        <v>204</v>
      </c>
      <c r="D5217" s="204">
        <v>-1380000</v>
      </c>
      <c r="E5217" s="201">
        <v>45717</v>
      </c>
      <c r="F5217" s="200" t="s">
        <v>296</v>
      </c>
      <c r="G5217" s="200" t="s">
        <v>1362</v>
      </c>
      <c r="H5217" s="200" t="s">
        <v>567</v>
      </c>
    </row>
    <row r="5218" spans="1:9" ht="15" customHeight="1">
      <c r="A5218" s="199">
        <v>45744</v>
      </c>
      <c r="B5218" s="202" t="s">
        <v>4176</v>
      </c>
      <c r="C5218" s="200" t="s">
        <v>204</v>
      </c>
      <c r="D5218" s="204">
        <v>-1380000</v>
      </c>
      <c r="E5218" s="201">
        <v>45717</v>
      </c>
      <c r="F5218" s="200" t="s">
        <v>296</v>
      </c>
      <c r="G5218" s="200" t="s">
        <v>1735</v>
      </c>
      <c r="H5218" s="200" t="s">
        <v>567</v>
      </c>
    </row>
    <row r="5219" spans="1:9" ht="15" customHeight="1">
      <c r="A5219" s="199">
        <v>45744</v>
      </c>
      <c r="B5219" s="202" t="s">
        <v>4177</v>
      </c>
      <c r="C5219" s="200" t="s">
        <v>204</v>
      </c>
      <c r="D5219" s="204">
        <v>-1104000</v>
      </c>
      <c r="E5219" s="201">
        <v>45717</v>
      </c>
      <c r="F5219" s="200" t="s">
        <v>296</v>
      </c>
      <c r="G5219" s="200" t="s">
        <v>3360</v>
      </c>
      <c r="H5219" s="200" t="s">
        <v>567</v>
      </c>
    </row>
    <row r="5220" spans="1:9" ht="15" customHeight="1">
      <c r="A5220" s="199">
        <v>45744</v>
      </c>
      <c r="B5220" s="202" t="s">
        <v>4177</v>
      </c>
      <c r="C5220" s="200" t="s">
        <v>204</v>
      </c>
      <c r="D5220" s="204">
        <v>-276000</v>
      </c>
      <c r="E5220" s="201">
        <v>45717</v>
      </c>
      <c r="F5220" s="200" t="s">
        <v>297</v>
      </c>
      <c r="G5220" s="200" t="s">
        <v>3892</v>
      </c>
      <c r="H5220" s="200" t="s">
        <v>567</v>
      </c>
      <c r="I5220" s="648" t="s">
        <v>329</v>
      </c>
    </row>
    <row r="5221" spans="1:9" ht="15" customHeight="1">
      <c r="A5221" s="199">
        <v>45744</v>
      </c>
      <c r="B5221" s="202" t="s">
        <v>4177</v>
      </c>
      <c r="C5221" s="200" t="s">
        <v>204</v>
      </c>
      <c r="D5221" s="204">
        <v>-1380000</v>
      </c>
      <c r="E5221" s="201">
        <v>45717</v>
      </c>
      <c r="F5221" s="200" t="s">
        <v>296</v>
      </c>
      <c r="G5221" s="200" t="s">
        <v>1124</v>
      </c>
      <c r="H5221" s="200" t="s">
        <v>567</v>
      </c>
    </row>
    <row r="5222" spans="1:9" ht="15" customHeight="1">
      <c r="A5222" s="199">
        <v>45744</v>
      </c>
      <c r="B5222" s="202" t="s">
        <v>4178</v>
      </c>
      <c r="C5222" s="200" t="s">
        <v>204</v>
      </c>
      <c r="D5222" s="204">
        <v>-1728775</v>
      </c>
      <c r="E5222" s="201">
        <v>45717</v>
      </c>
      <c r="F5222" s="200" t="s">
        <v>296</v>
      </c>
      <c r="G5222" s="200" t="s">
        <v>1362</v>
      </c>
      <c r="H5222" s="200" t="s">
        <v>567</v>
      </c>
      <c r="I5222" s="648" t="s">
        <v>329</v>
      </c>
    </row>
    <row r="5223" spans="1:9" ht="15" customHeight="1">
      <c r="A5223" s="199">
        <v>45744</v>
      </c>
      <c r="B5223" s="202" t="s">
        <v>4178</v>
      </c>
      <c r="C5223" s="200" t="s">
        <v>204</v>
      </c>
      <c r="D5223" s="204">
        <v>-1728775</v>
      </c>
      <c r="E5223" s="201">
        <v>45717</v>
      </c>
      <c r="F5223" s="200" t="s">
        <v>296</v>
      </c>
      <c r="G5223" s="200" t="s">
        <v>1124</v>
      </c>
      <c r="H5223" s="200" t="s">
        <v>567</v>
      </c>
      <c r="I5223" s="648" t="s">
        <v>329</v>
      </c>
    </row>
    <row r="5224" spans="1:9" ht="15" customHeight="1">
      <c r="A5224" s="199">
        <v>45744</v>
      </c>
      <c r="B5224" s="202" t="s">
        <v>4178</v>
      </c>
      <c r="C5224" s="200" t="s">
        <v>204</v>
      </c>
      <c r="D5224" s="204">
        <v>-1728775</v>
      </c>
      <c r="E5224" s="201">
        <v>45717</v>
      </c>
      <c r="F5224" s="200" t="s">
        <v>296</v>
      </c>
      <c r="G5224" s="200" t="s">
        <v>44</v>
      </c>
      <c r="H5224" s="200" t="s">
        <v>338</v>
      </c>
    </row>
    <row r="5225" spans="1:9" ht="15" customHeight="1">
      <c r="A5225" s="199">
        <v>45744</v>
      </c>
      <c r="B5225" s="202" t="s">
        <v>4178</v>
      </c>
      <c r="C5225" s="200" t="s">
        <v>204</v>
      </c>
      <c r="D5225" s="204">
        <v>-1728775</v>
      </c>
      <c r="E5225" s="201">
        <v>45717</v>
      </c>
      <c r="F5225" s="200" t="s">
        <v>297</v>
      </c>
      <c r="G5225" s="200" t="s">
        <v>1313</v>
      </c>
      <c r="H5225" s="200" t="s">
        <v>567</v>
      </c>
    </row>
    <row r="5226" spans="1:9" ht="15" customHeight="1">
      <c r="A5226" s="199">
        <v>45744</v>
      </c>
      <c r="B5226" s="202" t="s">
        <v>4179</v>
      </c>
      <c r="C5226" s="200" t="s">
        <v>204</v>
      </c>
      <c r="D5226" s="204">
        <v>-802666.6666</v>
      </c>
      <c r="E5226" s="201">
        <v>45717</v>
      </c>
      <c r="F5226" s="200" t="s">
        <v>296</v>
      </c>
      <c r="G5226" s="200" t="s">
        <v>337</v>
      </c>
      <c r="H5226" s="200" t="s">
        <v>338</v>
      </c>
      <c r="I5226" s="648" t="s">
        <v>329</v>
      </c>
    </row>
    <row r="5227" spans="1:9" ht="15" customHeight="1">
      <c r="A5227" s="199">
        <v>45744</v>
      </c>
      <c r="B5227" s="202" t="s">
        <v>4179</v>
      </c>
      <c r="C5227" s="200" t="s">
        <v>204</v>
      </c>
      <c r="D5227" s="204">
        <v>-802666.6666</v>
      </c>
      <c r="E5227" s="201">
        <v>45717</v>
      </c>
      <c r="F5227" s="200" t="s">
        <v>296</v>
      </c>
      <c r="G5227" s="200" t="s">
        <v>44</v>
      </c>
      <c r="H5227" s="200" t="s">
        <v>338</v>
      </c>
      <c r="I5227" s="648" t="s">
        <v>329</v>
      </c>
    </row>
    <row r="5228" spans="1:9" ht="15" customHeight="1">
      <c r="A5228" s="199">
        <v>45744</v>
      </c>
      <c r="B5228" s="202" t="s">
        <v>4179</v>
      </c>
      <c r="C5228" s="200" t="s">
        <v>204</v>
      </c>
      <c r="D5228" s="204">
        <v>-802666.6666</v>
      </c>
      <c r="E5228" s="201">
        <v>45717</v>
      </c>
      <c r="F5228" s="200" t="s">
        <v>296</v>
      </c>
      <c r="G5228" s="200" t="s">
        <v>522</v>
      </c>
      <c r="H5228" s="200" t="s">
        <v>338</v>
      </c>
    </row>
    <row r="5229" spans="1:9" ht="15" customHeight="1">
      <c r="A5229" s="199">
        <v>45744</v>
      </c>
      <c r="B5229" s="202" t="s">
        <v>4180</v>
      </c>
      <c r="C5229" s="200" t="s">
        <v>204</v>
      </c>
      <c r="D5229" s="204">
        <v>-480200</v>
      </c>
      <c r="E5229" s="201">
        <v>45717</v>
      </c>
      <c r="F5229" s="200" t="s">
        <v>296</v>
      </c>
      <c r="G5229" s="200" t="s">
        <v>2994</v>
      </c>
      <c r="H5229" s="200" t="s">
        <v>567</v>
      </c>
    </row>
    <row r="5230" spans="1:9" ht="15" customHeight="1">
      <c r="A5230" s="199">
        <v>45744</v>
      </c>
      <c r="B5230" s="202" t="s">
        <v>4180</v>
      </c>
      <c r="C5230" s="200" t="s">
        <v>204</v>
      </c>
      <c r="D5230" s="204">
        <v>-480200</v>
      </c>
      <c r="E5230" s="201">
        <v>45717</v>
      </c>
      <c r="F5230" s="200" t="s">
        <v>297</v>
      </c>
      <c r="G5230" s="200" t="s">
        <v>1313</v>
      </c>
      <c r="H5230" s="200" t="s">
        <v>567</v>
      </c>
    </row>
    <row r="5231" spans="1:9" ht="15" customHeight="1">
      <c r="A5231" s="199">
        <v>45744</v>
      </c>
      <c r="B5231" s="202" t="s">
        <v>4181</v>
      </c>
      <c r="C5231" s="200" t="s">
        <v>204</v>
      </c>
      <c r="D5231" s="204">
        <v>-3320000</v>
      </c>
      <c r="E5231" s="201">
        <v>45717</v>
      </c>
      <c r="F5231" s="200" t="s">
        <v>297</v>
      </c>
      <c r="G5231" s="200" t="s">
        <v>1578</v>
      </c>
      <c r="H5231" s="200" t="s">
        <v>567</v>
      </c>
    </row>
    <row r="5232" spans="1:9" ht="15" customHeight="1">
      <c r="A5232" s="199">
        <v>45744</v>
      </c>
      <c r="B5232" s="202" t="s">
        <v>4182</v>
      </c>
      <c r="C5232" s="200" t="s">
        <v>204</v>
      </c>
      <c r="D5232" s="204">
        <v>-1223333.3333000001</v>
      </c>
      <c r="E5232" s="201">
        <v>45717</v>
      </c>
      <c r="F5232" s="200" t="s">
        <v>296</v>
      </c>
      <c r="G5232" s="200" t="s">
        <v>2994</v>
      </c>
      <c r="H5232" s="200" t="s">
        <v>567</v>
      </c>
    </row>
    <row r="5233" spans="1:9" ht="15" customHeight="1">
      <c r="A5233" s="199">
        <v>45744</v>
      </c>
      <c r="B5233" s="202" t="s">
        <v>4182</v>
      </c>
      <c r="C5233" s="200" t="s">
        <v>204</v>
      </c>
      <c r="D5233" s="204">
        <v>-1223333.3333000001</v>
      </c>
      <c r="E5233" s="201">
        <v>45717</v>
      </c>
      <c r="F5233" s="200" t="s">
        <v>296</v>
      </c>
      <c r="G5233" s="200" t="s">
        <v>328</v>
      </c>
      <c r="H5233" s="200" t="s">
        <v>567</v>
      </c>
    </row>
    <row r="5234" spans="1:9" ht="15" customHeight="1">
      <c r="A5234" s="199">
        <v>45744</v>
      </c>
      <c r="B5234" s="202" t="s">
        <v>4182</v>
      </c>
      <c r="C5234" s="200" t="s">
        <v>204</v>
      </c>
      <c r="D5234" s="204">
        <v>-1223333.3333000001</v>
      </c>
      <c r="E5234" s="201">
        <v>45717</v>
      </c>
      <c r="F5234" s="200" t="s">
        <v>297</v>
      </c>
      <c r="G5234" s="200" t="s">
        <v>1313</v>
      </c>
      <c r="H5234" s="200" t="s">
        <v>567</v>
      </c>
    </row>
    <row r="5235" spans="1:9" ht="15" customHeight="1">
      <c r="A5235" s="199">
        <v>45744</v>
      </c>
      <c r="B5235" s="202" t="s">
        <v>4183</v>
      </c>
      <c r="C5235" s="200" t="s">
        <v>204</v>
      </c>
      <c r="D5235" s="204">
        <v>-731893.33299999998</v>
      </c>
      <c r="E5235" s="201">
        <v>45717</v>
      </c>
      <c r="F5235" s="200" t="s">
        <v>296</v>
      </c>
      <c r="G5235" s="200" t="s">
        <v>390</v>
      </c>
      <c r="H5235" s="200" t="s">
        <v>567</v>
      </c>
      <c r="I5235" s="648" t="s">
        <v>329</v>
      </c>
    </row>
    <row r="5236" spans="1:9" ht="15" customHeight="1">
      <c r="A5236" s="199">
        <v>45744</v>
      </c>
      <c r="B5236" s="202" t="s">
        <v>4183</v>
      </c>
      <c r="C5236" s="200" t="s">
        <v>204</v>
      </c>
      <c r="D5236" s="204">
        <v>-731893.33299999998</v>
      </c>
      <c r="E5236" s="201">
        <v>45717</v>
      </c>
      <c r="F5236" s="200" t="s">
        <v>296</v>
      </c>
      <c r="G5236" s="200" t="s">
        <v>392</v>
      </c>
      <c r="H5236" s="200" t="s">
        <v>567</v>
      </c>
      <c r="I5236" s="648" t="s">
        <v>329</v>
      </c>
    </row>
    <row r="5237" spans="1:9" ht="15" customHeight="1">
      <c r="A5237" s="199">
        <v>45744</v>
      </c>
      <c r="B5237" s="202" t="s">
        <v>4183</v>
      </c>
      <c r="C5237" s="200" t="s">
        <v>204</v>
      </c>
      <c r="D5237" s="204">
        <v>-731893.33299999998</v>
      </c>
      <c r="E5237" s="201">
        <v>45717</v>
      </c>
      <c r="F5237" s="200" t="s">
        <v>297</v>
      </c>
      <c r="G5237" s="200" t="s">
        <v>1313</v>
      </c>
      <c r="H5237" s="200" t="s">
        <v>567</v>
      </c>
    </row>
    <row r="5238" spans="1:9" ht="15" customHeight="1">
      <c r="A5238" s="199">
        <v>45744</v>
      </c>
      <c r="B5238" s="202" t="s">
        <v>4184</v>
      </c>
      <c r="C5238" s="200" t="s">
        <v>204</v>
      </c>
      <c r="D5238" s="204">
        <v>-1004810</v>
      </c>
      <c r="E5238" s="201">
        <v>45717</v>
      </c>
      <c r="F5238" s="200" t="s">
        <v>256</v>
      </c>
      <c r="G5238" s="200" t="s">
        <v>256</v>
      </c>
      <c r="H5238" s="200" t="s">
        <v>121</v>
      </c>
    </row>
    <row r="5239" spans="1:9" ht="15" customHeight="1">
      <c r="A5239" s="199">
        <v>45744</v>
      </c>
      <c r="B5239" s="202" t="s">
        <v>4185</v>
      </c>
      <c r="C5239" s="200" t="s">
        <v>204</v>
      </c>
      <c r="D5239" s="204">
        <v>-1359800</v>
      </c>
      <c r="E5239" s="201">
        <v>45717</v>
      </c>
      <c r="F5239" s="200" t="s">
        <v>296</v>
      </c>
      <c r="G5239" s="200" t="s">
        <v>2994</v>
      </c>
      <c r="H5239" s="200" t="s">
        <v>567</v>
      </c>
      <c r="I5239" s="648" t="s">
        <v>329</v>
      </c>
    </row>
    <row r="5240" spans="1:9" ht="15" customHeight="1">
      <c r="A5240" s="199">
        <v>45744</v>
      </c>
      <c r="B5240" s="202" t="s">
        <v>4185</v>
      </c>
      <c r="C5240" s="200" t="s">
        <v>204</v>
      </c>
      <c r="D5240" s="204">
        <v>-1359800</v>
      </c>
      <c r="E5240" s="201">
        <v>45717</v>
      </c>
      <c r="F5240" s="200" t="s">
        <v>297</v>
      </c>
      <c r="G5240" s="200" t="s">
        <v>1313</v>
      </c>
      <c r="H5240" s="200" t="s">
        <v>567</v>
      </c>
      <c r="I5240" s="648" t="s">
        <v>329</v>
      </c>
    </row>
    <row r="5241" spans="1:9" ht="15" customHeight="1">
      <c r="A5241" s="199">
        <v>45744</v>
      </c>
      <c r="B5241" s="202" t="s">
        <v>4186</v>
      </c>
      <c r="C5241" s="200" t="s">
        <v>204</v>
      </c>
      <c r="D5241" s="204">
        <v>-2934000</v>
      </c>
      <c r="E5241" s="201">
        <v>45717</v>
      </c>
      <c r="F5241" s="200" t="s">
        <v>297</v>
      </c>
      <c r="G5241" s="200" t="s">
        <v>1578</v>
      </c>
      <c r="H5241" s="200" t="s">
        <v>567</v>
      </c>
      <c r="I5241" s="648" t="s">
        <v>329</v>
      </c>
    </row>
    <row r="5242" spans="1:9" ht="15" customHeight="1">
      <c r="A5242" s="199">
        <v>45741</v>
      </c>
      <c r="B5242" s="202" t="s">
        <v>4187</v>
      </c>
      <c r="C5242" s="200" t="s">
        <v>204</v>
      </c>
      <c r="D5242" s="645">
        <v>18450512</v>
      </c>
      <c r="E5242" s="201">
        <v>45717</v>
      </c>
      <c r="F5242" s="200" t="s">
        <v>296</v>
      </c>
      <c r="G5242" s="200" t="s">
        <v>522</v>
      </c>
      <c r="H5242" s="200" t="s">
        <v>370</v>
      </c>
    </row>
    <row r="5243" spans="1:9" ht="15" customHeight="1">
      <c r="A5243" s="199">
        <v>45743</v>
      </c>
      <c r="B5243" s="202" t="s">
        <v>3843</v>
      </c>
      <c r="C5243" s="200" t="s">
        <v>204</v>
      </c>
      <c r="D5243" s="645">
        <v>350000000</v>
      </c>
      <c r="E5243" s="201">
        <v>45717</v>
      </c>
      <c r="F5243" s="200" t="s">
        <v>652</v>
      </c>
      <c r="G5243" s="200" t="s">
        <v>1980</v>
      </c>
    </row>
    <row r="5244" spans="1:9" ht="15" customHeight="1">
      <c r="A5244" s="199">
        <v>45743</v>
      </c>
      <c r="B5244" s="202" t="s">
        <v>3844</v>
      </c>
      <c r="C5244" s="200" t="s">
        <v>204</v>
      </c>
      <c r="D5244" s="645">
        <v>50000000</v>
      </c>
      <c r="E5244" s="201">
        <v>45717</v>
      </c>
      <c r="F5244" s="200" t="s">
        <v>652</v>
      </c>
      <c r="G5244" s="200" t="s">
        <v>807</v>
      </c>
    </row>
    <row r="5245" spans="1:9" ht="15" customHeight="1">
      <c r="A5245" s="199">
        <v>45743</v>
      </c>
      <c r="B5245" s="202" t="s">
        <v>1974</v>
      </c>
      <c r="C5245" s="200" t="s">
        <v>204</v>
      </c>
      <c r="D5245" s="645">
        <v>100000000</v>
      </c>
      <c r="E5245" s="201">
        <v>45717</v>
      </c>
      <c r="F5245" s="200" t="s">
        <v>652</v>
      </c>
      <c r="G5245" s="200" t="s">
        <v>522</v>
      </c>
    </row>
    <row r="5246" spans="1:9" ht="15" customHeight="1">
      <c r="A5246" s="199">
        <v>45737</v>
      </c>
      <c r="B5246" s="202" t="s">
        <v>4188</v>
      </c>
      <c r="C5246" s="200" t="s">
        <v>136</v>
      </c>
      <c r="D5246" s="204">
        <v>3931389</v>
      </c>
      <c r="E5246" s="201">
        <v>45717</v>
      </c>
      <c r="F5246" s="200" t="s">
        <v>295</v>
      </c>
    </row>
    <row r="5247" spans="1:9" ht="15" customHeight="1">
      <c r="A5247" s="199">
        <v>45737</v>
      </c>
      <c r="B5247" s="202" t="s">
        <v>4189</v>
      </c>
      <c r="C5247" s="200" t="s">
        <v>136</v>
      </c>
      <c r="D5247" s="204">
        <v>2379286</v>
      </c>
      <c r="E5247" s="201">
        <v>45717</v>
      </c>
      <c r="F5247" s="200" t="s">
        <v>295</v>
      </c>
    </row>
    <row r="5248" spans="1:9" ht="15" customHeight="1">
      <c r="A5248" s="199">
        <v>45741</v>
      </c>
      <c r="B5248" s="202" t="s">
        <v>4190</v>
      </c>
      <c r="C5248" s="202" t="s">
        <v>136</v>
      </c>
      <c r="D5248" s="204">
        <v>128245</v>
      </c>
      <c r="E5248" s="662">
        <v>45717</v>
      </c>
      <c r="F5248" s="202" t="s">
        <v>296</v>
      </c>
      <c r="G5248" s="202" t="s">
        <v>328</v>
      </c>
      <c r="H5248" s="202" t="s">
        <v>375</v>
      </c>
      <c r="I5248" s="648" t="s">
        <v>329</v>
      </c>
    </row>
    <row r="5249" spans="1:9" ht="15" customHeight="1">
      <c r="A5249" s="199">
        <v>45742</v>
      </c>
      <c r="B5249" s="732" t="s">
        <v>4191</v>
      </c>
      <c r="C5249" s="732" t="s">
        <v>136</v>
      </c>
      <c r="D5249" s="733">
        <v>165622</v>
      </c>
      <c r="E5249" s="734">
        <v>45717</v>
      </c>
      <c r="F5249" s="732" t="s">
        <v>296</v>
      </c>
      <c r="G5249" s="732" t="s">
        <v>337</v>
      </c>
      <c r="H5249" s="732" t="s">
        <v>421</v>
      </c>
      <c r="I5249" s="648" t="s">
        <v>329</v>
      </c>
    </row>
    <row r="5250" spans="1:9" ht="15" customHeight="1">
      <c r="A5250" s="199">
        <v>45735</v>
      </c>
      <c r="B5250" s="202" t="s">
        <v>4192</v>
      </c>
      <c r="C5250" s="200" t="s">
        <v>314</v>
      </c>
      <c r="D5250" s="645">
        <v>6020625</v>
      </c>
      <c r="E5250" s="734">
        <v>45717</v>
      </c>
      <c r="F5250" s="732" t="s">
        <v>256</v>
      </c>
      <c r="G5250" s="732" t="s">
        <v>256</v>
      </c>
      <c r="H5250" s="732"/>
    </row>
    <row r="5251" spans="1:9" ht="15" customHeight="1">
      <c r="A5251" s="199">
        <v>45737</v>
      </c>
      <c r="B5251" s="202" t="s">
        <v>4193</v>
      </c>
      <c r="C5251" s="200" t="s">
        <v>314</v>
      </c>
      <c r="D5251" s="645">
        <v>5786387</v>
      </c>
      <c r="E5251" s="734">
        <v>45717</v>
      </c>
      <c r="F5251" s="732" t="s">
        <v>297</v>
      </c>
      <c r="G5251" s="732" t="s">
        <v>69</v>
      </c>
    </row>
    <row r="5252" spans="1:9" ht="15" customHeight="1">
      <c r="A5252" s="199">
        <v>45743</v>
      </c>
      <c r="B5252" s="202" t="s">
        <v>4194</v>
      </c>
      <c r="C5252" s="200" t="s">
        <v>314</v>
      </c>
      <c r="D5252" s="645">
        <v>6361.78</v>
      </c>
      <c r="E5252" s="662">
        <v>45717</v>
      </c>
      <c r="F5252" s="200" t="s">
        <v>295</v>
      </c>
    </row>
    <row r="5253" spans="1:9" ht="15" customHeight="1">
      <c r="A5253" s="199">
        <v>45737</v>
      </c>
      <c r="B5253" s="202" t="s">
        <v>4195</v>
      </c>
      <c r="C5253" s="200" t="s">
        <v>398</v>
      </c>
      <c r="D5253" s="658">
        <v>-629868</v>
      </c>
      <c r="E5253" s="201">
        <v>45717</v>
      </c>
      <c r="F5253" s="200" t="s">
        <v>256</v>
      </c>
      <c r="G5253" s="200" t="s">
        <v>256</v>
      </c>
      <c r="H5253" s="200" t="s">
        <v>9</v>
      </c>
    </row>
    <row r="5254" spans="1:9" ht="15" customHeight="1">
      <c r="A5254" s="199">
        <v>45738</v>
      </c>
      <c r="B5254" s="202" t="s">
        <v>4196</v>
      </c>
      <c r="C5254" s="200" t="s">
        <v>398</v>
      </c>
      <c r="D5254" s="658">
        <v>-40800</v>
      </c>
      <c r="E5254" s="201">
        <v>45717</v>
      </c>
      <c r="F5254" s="200" t="s">
        <v>256</v>
      </c>
      <c r="G5254" s="200" t="s">
        <v>107</v>
      </c>
      <c r="H5254" s="200" t="s">
        <v>277</v>
      </c>
    </row>
    <row r="5255" spans="1:9" ht="15" customHeight="1">
      <c r="A5255" s="199">
        <v>45739</v>
      </c>
      <c r="B5255" s="202" t="s">
        <v>4196</v>
      </c>
      <c r="C5255" s="200" t="s">
        <v>398</v>
      </c>
      <c r="D5255" s="658">
        <v>-31500</v>
      </c>
      <c r="E5255" s="201">
        <v>45717</v>
      </c>
      <c r="F5255" s="200" t="s">
        <v>256</v>
      </c>
      <c r="G5255" s="200" t="s">
        <v>107</v>
      </c>
      <c r="H5255" s="200" t="s">
        <v>277</v>
      </c>
    </row>
    <row r="5256" spans="1:9" ht="15" customHeight="1">
      <c r="A5256" s="199">
        <v>45738</v>
      </c>
      <c r="B5256" s="202" t="s">
        <v>4196</v>
      </c>
      <c r="C5256" s="200" t="s">
        <v>398</v>
      </c>
      <c r="D5256" s="658">
        <v>-12900</v>
      </c>
      <c r="E5256" s="201">
        <v>45717</v>
      </c>
      <c r="F5256" s="200" t="s">
        <v>256</v>
      </c>
      <c r="G5256" s="200" t="s">
        <v>107</v>
      </c>
      <c r="H5256" s="200" t="s">
        <v>277</v>
      </c>
    </row>
    <row r="5257" spans="1:9" ht="14.1">
      <c r="A5257" s="199">
        <v>45740</v>
      </c>
      <c r="B5257" s="202" t="s">
        <v>4197</v>
      </c>
      <c r="C5257" s="200" t="s">
        <v>398</v>
      </c>
      <c r="D5257" s="658">
        <v>-28322</v>
      </c>
      <c r="E5257" s="201">
        <v>45717</v>
      </c>
      <c r="F5257" s="200" t="s">
        <v>256</v>
      </c>
      <c r="G5257" s="200" t="s">
        <v>107</v>
      </c>
      <c r="H5257" s="200" t="s">
        <v>277</v>
      </c>
    </row>
    <row r="5258" spans="1:9" ht="15" customHeight="1">
      <c r="A5258" s="199">
        <v>45738</v>
      </c>
      <c r="B5258" s="202" t="s">
        <v>4198</v>
      </c>
      <c r="C5258" s="200" t="s">
        <v>398</v>
      </c>
      <c r="D5258" s="658">
        <v>-33000</v>
      </c>
      <c r="E5258" s="201">
        <v>45717</v>
      </c>
      <c r="F5258" s="200" t="s">
        <v>256</v>
      </c>
      <c r="G5258" s="200" t="s">
        <v>107</v>
      </c>
      <c r="H5258" s="200" t="s">
        <v>277</v>
      </c>
    </row>
    <row r="5259" spans="1:9" ht="15" customHeight="1">
      <c r="A5259" s="199">
        <v>45740</v>
      </c>
      <c r="B5259" s="202" t="s">
        <v>4199</v>
      </c>
      <c r="C5259" s="200" t="s">
        <v>398</v>
      </c>
      <c r="D5259" s="658">
        <v>-8004.13</v>
      </c>
      <c r="E5259" s="201">
        <v>45717</v>
      </c>
      <c r="F5259" s="200" t="s">
        <v>256</v>
      </c>
      <c r="G5259" s="200" t="s">
        <v>107</v>
      </c>
      <c r="H5259" s="200" t="s">
        <v>277</v>
      </c>
    </row>
    <row r="5260" spans="1:9" ht="15" customHeight="1">
      <c r="A5260" s="199">
        <v>45740</v>
      </c>
      <c r="B5260" s="202" t="s">
        <v>4200</v>
      </c>
      <c r="C5260" s="200" t="s">
        <v>398</v>
      </c>
      <c r="D5260" s="658">
        <v>-250000</v>
      </c>
      <c r="E5260" s="201">
        <v>45717</v>
      </c>
      <c r="F5260" s="200" t="s">
        <v>256</v>
      </c>
      <c r="G5260" s="200" t="s">
        <v>107</v>
      </c>
      <c r="H5260" s="200" t="s">
        <v>277</v>
      </c>
    </row>
    <row r="5261" spans="1:9" ht="15" customHeight="1">
      <c r="A5261" s="199">
        <v>45740</v>
      </c>
      <c r="B5261" s="202" t="s">
        <v>4201</v>
      </c>
      <c r="C5261" s="200" t="s">
        <v>398</v>
      </c>
      <c r="D5261" s="658">
        <v>-108000</v>
      </c>
      <c r="E5261" s="201">
        <v>45717</v>
      </c>
      <c r="F5261" s="200" t="s">
        <v>256</v>
      </c>
      <c r="G5261" s="200" t="s">
        <v>107</v>
      </c>
      <c r="H5261" s="200" t="s">
        <v>277</v>
      </c>
    </row>
    <row r="5262" spans="1:9" ht="15" customHeight="1">
      <c r="A5262" s="199">
        <v>45741</v>
      </c>
      <c r="B5262" s="202" t="s">
        <v>4202</v>
      </c>
      <c r="C5262" s="200" t="s">
        <v>398</v>
      </c>
      <c r="D5262" s="658">
        <v>-7300</v>
      </c>
      <c r="E5262" s="201">
        <v>45717</v>
      </c>
      <c r="F5262" s="200" t="s">
        <v>256</v>
      </c>
      <c r="G5262" s="200" t="s">
        <v>107</v>
      </c>
      <c r="H5262" s="200" t="s">
        <v>277</v>
      </c>
    </row>
    <row r="5263" spans="1:9" ht="15" customHeight="1">
      <c r="A5263" s="199">
        <v>45741</v>
      </c>
      <c r="B5263" s="202" t="s">
        <v>4202</v>
      </c>
      <c r="C5263" s="200" t="s">
        <v>398</v>
      </c>
      <c r="D5263" s="658">
        <v>-36600</v>
      </c>
      <c r="E5263" s="201">
        <v>45717</v>
      </c>
      <c r="F5263" s="200" t="s">
        <v>256</v>
      </c>
      <c r="G5263" s="200" t="s">
        <v>107</v>
      </c>
      <c r="H5263" s="200" t="s">
        <v>277</v>
      </c>
    </row>
    <row r="5264" spans="1:9" ht="15" customHeight="1">
      <c r="A5264" s="199">
        <v>45741</v>
      </c>
      <c r="B5264" s="202" t="s">
        <v>4203</v>
      </c>
      <c r="C5264" s="200" t="s">
        <v>398</v>
      </c>
      <c r="D5264" s="658">
        <v>-413558</v>
      </c>
      <c r="E5264" s="201">
        <v>45717</v>
      </c>
      <c r="F5264" s="200" t="s">
        <v>256</v>
      </c>
      <c r="G5264" s="200" t="s">
        <v>107</v>
      </c>
      <c r="H5264" s="200" t="s">
        <v>277</v>
      </c>
    </row>
    <row r="5265" spans="1:8" ht="15" customHeight="1">
      <c r="A5265" s="199">
        <v>45741</v>
      </c>
      <c r="B5265" s="202" t="s">
        <v>4204</v>
      </c>
      <c r="C5265" s="200" t="s">
        <v>398</v>
      </c>
      <c r="D5265" s="658">
        <v>-275705</v>
      </c>
      <c r="E5265" s="201">
        <v>45717</v>
      </c>
      <c r="F5265" s="200" t="s">
        <v>296</v>
      </c>
      <c r="G5265" s="200" t="s">
        <v>453</v>
      </c>
      <c r="H5265" s="200" t="s">
        <v>97</v>
      </c>
    </row>
    <row r="5266" spans="1:8" ht="15" customHeight="1">
      <c r="A5266" s="199">
        <v>45741</v>
      </c>
      <c r="B5266" s="202" t="s">
        <v>4202</v>
      </c>
      <c r="C5266" s="200" t="s">
        <v>398</v>
      </c>
      <c r="D5266" s="658">
        <v>-31000</v>
      </c>
      <c r="E5266" s="201">
        <v>45717</v>
      </c>
      <c r="F5266" s="200" t="s">
        <v>256</v>
      </c>
      <c r="G5266" s="200" t="s">
        <v>107</v>
      </c>
      <c r="H5266" s="200" t="s">
        <v>277</v>
      </c>
    </row>
    <row r="5267" spans="1:8" ht="15" customHeight="1">
      <c r="A5267" s="199">
        <v>45742</v>
      </c>
      <c r="B5267" s="202" t="s">
        <v>4205</v>
      </c>
      <c r="C5267" s="200" t="s">
        <v>398</v>
      </c>
      <c r="D5267" s="658">
        <v>-26089</v>
      </c>
      <c r="E5267" s="201">
        <v>45717</v>
      </c>
      <c r="F5267" s="200" t="s">
        <v>256</v>
      </c>
      <c r="G5267" s="200" t="s">
        <v>107</v>
      </c>
      <c r="H5267" s="200" t="s">
        <v>277</v>
      </c>
    </row>
    <row r="5268" spans="1:8" ht="15" customHeight="1">
      <c r="A5268" s="199">
        <v>45743</v>
      </c>
      <c r="B5268" s="202" t="s">
        <v>4205</v>
      </c>
      <c r="C5268" s="200" t="s">
        <v>398</v>
      </c>
      <c r="D5268" s="658">
        <v>-14161</v>
      </c>
      <c r="E5268" s="201">
        <v>45717</v>
      </c>
      <c r="F5268" s="200" t="s">
        <v>256</v>
      </c>
      <c r="G5268" s="200" t="s">
        <v>107</v>
      </c>
      <c r="H5268" s="200" t="s">
        <v>277</v>
      </c>
    </row>
    <row r="5269" spans="1:8" ht="15" customHeight="1">
      <c r="A5269" s="199">
        <v>45744</v>
      </c>
      <c r="B5269" s="202" t="s">
        <v>4202</v>
      </c>
      <c r="C5269" s="200" t="s">
        <v>398</v>
      </c>
      <c r="D5269" s="658">
        <v>-23300</v>
      </c>
      <c r="E5269" s="201">
        <v>45717</v>
      </c>
      <c r="F5269" s="200" t="s">
        <v>256</v>
      </c>
      <c r="G5269" s="200" t="s">
        <v>107</v>
      </c>
      <c r="H5269" s="200" t="s">
        <v>277</v>
      </c>
    </row>
    <row r="5270" spans="1:8" ht="15" customHeight="1">
      <c r="A5270" s="199">
        <v>45742</v>
      </c>
      <c r="B5270" s="202" t="s">
        <v>4206</v>
      </c>
      <c r="C5270" s="200" t="s">
        <v>398</v>
      </c>
      <c r="D5270" s="204">
        <v>-30000</v>
      </c>
      <c r="E5270" s="201">
        <v>45717</v>
      </c>
      <c r="F5270" s="200" t="s">
        <v>256</v>
      </c>
      <c r="G5270" s="200" t="s">
        <v>107</v>
      </c>
      <c r="H5270" s="200" t="s">
        <v>277</v>
      </c>
    </row>
    <row r="5271" spans="1:8" ht="15" customHeight="1">
      <c r="A5271" s="199">
        <v>45742</v>
      </c>
      <c r="B5271" s="202" t="s">
        <v>4206</v>
      </c>
      <c r="C5271" s="200" t="s">
        <v>398</v>
      </c>
      <c r="D5271" s="204">
        <v>-12900</v>
      </c>
      <c r="E5271" s="201">
        <v>45717</v>
      </c>
      <c r="F5271" s="200" t="s">
        <v>256</v>
      </c>
      <c r="G5271" s="200" t="s">
        <v>107</v>
      </c>
      <c r="H5271" s="200" t="s">
        <v>277</v>
      </c>
    </row>
    <row r="5272" spans="1:8" ht="15" customHeight="1">
      <c r="A5272" s="199">
        <v>45742</v>
      </c>
      <c r="B5272" s="202" t="s">
        <v>4207</v>
      </c>
      <c r="C5272" s="200" t="s">
        <v>398</v>
      </c>
      <c r="D5272" s="204">
        <v>-50000</v>
      </c>
      <c r="E5272" s="201">
        <v>45717</v>
      </c>
      <c r="F5272" s="200" t="s">
        <v>256</v>
      </c>
      <c r="G5272" s="200" t="s">
        <v>107</v>
      </c>
      <c r="H5272" s="200" t="s">
        <v>277</v>
      </c>
    </row>
    <row r="5273" spans="1:8" ht="15" customHeight="1">
      <c r="A5273" s="199">
        <v>45742</v>
      </c>
      <c r="B5273" s="202" t="s">
        <v>4208</v>
      </c>
      <c r="C5273" s="200" t="s">
        <v>398</v>
      </c>
      <c r="D5273" s="204">
        <v>-63800</v>
      </c>
      <c r="E5273" s="201">
        <v>45717</v>
      </c>
      <c r="F5273" s="200" t="s">
        <v>256</v>
      </c>
      <c r="G5273" s="200" t="s">
        <v>107</v>
      </c>
      <c r="H5273" s="200" t="s">
        <v>277</v>
      </c>
    </row>
    <row r="5274" spans="1:8" ht="15" customHeight="1">
      <c r="A5274" s="199">
        <v>45707</v>
      </c>
      <c r="B5274" s="202" t="s">
        <v>4209</v>
      </c>
      <c r="C5274" s="200" t="s">
        <v>307</v>
      </c>
      <c r="D5274" s="204">
        <v>-16000</v>
      </c>
      <c r="E5274" s="201">
        <v>45717</v>
      </c>
      <c r="F5274" s="200" t="s">
        <v>256</v>
      </c>
      <c r="G5274" s="200" t="s">
        <v>107</v>
      </c>
      <c r="H5274" s="200" t="s">
        <v>275</v>
      </c>
    </row>
    <row r="5275" spans="1:8" ht="15" customHeight="1">
      <c r="A5275" s="199">
        <v>45707</v>
      </c>
      <c r="B5275" s="202" t="s">
        <v>4210</v>
      </c>
      <c r="C5275" s="200" t="s">
        <v>307</v>
      </c>
      <c r="D5275" s="204">
        <v>-40000</v>
      </c>
      <c r="E5275" s="201">
        <v>45717</v>
      </c>
      <c r="F5275" s="200" t="s">
        <v>256</v>
      </c>
      <c r="G5275" s="200" t="s">
        <v>107</v>
      </c>
      <c r="H5275" s="200" t="s">
        <v>275</v>
      </c>
    </row>
    <row r="5276" spans="1:8" ht="15" customHeight="1">
      <c r="A5276" s="199">
        <v>45715</v>
      </c>
      <c r="B5276" s="202" t="s">
        <v>4211</v>
      </c>
      <c r="C5276" s="200" t="s">
        <v>307</v>
      </c>
      <c r="D5276" s="204">
        <v>-16000</v>
      </c>
      <c r="E5276" s="201">
        <v>45717</v>
      </c>
      <c r="F5276" s="200" t="s">
        <v>256</v>
      </c>
      <c r="G5276" s="200" t="s">
        <v>107</v>
      </c>
      <c r="H5276" s="200" t="s">
        <v>275</v>
      </c>
    </row>
    <row r="5277" spans="1:8" ht="15" customHeight="1">
      <c r="A5277" s="199">
        <v>45715</v>
      </c>
      <c r="B5277" s="202" t="s">
        <v>4210</v>
      </c>
      <c r="C5277" s="200" t="s">
        <v>307</v>
      </c>
      <c r="D5277" s="204">
        <v>-80000</v>
      </c>
      <c r="E5277" s="201">
        <v>45717</v>
      </c>
      <c r="F5277" s="200" t="s">
        <v>256</v>
      </c>
      <c r="G5277" s="200" t="s">
        <v>107</v>
      </c>
      <c r="H5277" s="200" t="s">
        <v>275</v>
      </c>
    </row>
    <row r="5278" spans="1:8" ht="15" customHeight="1">
      <c r="A5278" s="199">
        <v>45715</v>
      </c>
      <c r="B5278" s="202" t="s">
        <v>4210</v>
      </c>
      <c r="C5278" s="200" t="s">
        <v>307</v>
      </c>
      <c r="D5278" s="204">
        <v>-20000</v>
      </c>
      <c r="E5278" s="201">
        <v>45717</v>
      </c>
      <c r="F5278" s="200" t="s">
        <v>256</v>
      </c>
      <c r="G5278" s="200" t="s">
        <v>107</v>
      </c>
      <c r="H5278" s="200" t="s">
        <v>275</v>
      </c>
    </row>
    <row r="5279" spans="1:8" ht="15" customHeight="1">
      <c r="A5279" s="199">
        <v>45715</v>
      </c>
      <c r="B5279" s="202" t="s">
        <v>4212</v>
      </c>
      <c r="C5279" s="200" t="s">
        <v>307</v>
      </c>
      <c r="D5279" s="204">
        <v>-21500</v>
      </c>
      <c r="E5279" s="201">
        <v>45717</v>
      </c>
      <c r="F5279" s="200" t="s">
        <v>256</v>
      </c>
      <c r="G5279" s="200" t="s">
        <v>107</v>
      </c>
      <c r="H5279" s="200" t="s">
        <v>275</v>
      </c>
    </row>
    <row r="5280" spans="1:8" ht="15" customHeight="1">
      <c r="A5280" s="199">
        <v>45715</v>
      </c>
      <c r="B5280" s="202" t="s">
        <v>4211</v>
      </c>
      <c r="C5280" s="200" t="s">
        <v>307</v>
      </c>
      <c r="D5280" s="204">
        <v>-16000</v>
      </c>
      <c r="E5280" s="201">
        <v>45717</v>
      </c>
      <c r="F5280" s="200" t="s">
        <v>256</v>
      </c>
      <c r="G5280" s="200" t="s">
        <v>107</v>
      </c>
      <c r="H5280" s="200" t="s">
        <v>275</v>
      </c>
    </row>
    <row r="5281" spans="1:9" ht="15" customHeight="1">
      <c r="A5281" s="199">
        <v>45712</v>
      </c>
      <c r="B5281" s="202" t="s">
        <v>4210</v>
      </c>
      <c r="C5281" s="200" t="s">
        <v>307</v>
      </c>
      <c r="D5281" s="204">
        <v>-50000</v>
      </c>
      <c r="E5281" s="201">
        <v>45717</v>
      </c>
      <c r="F5281" s="200" t="s">
        <v>256</v>
      </c>
      <c r="G5281" s="200" t="s">
        <v>107</v>
      </c>
      <c r="H5281" s="200" t="s">
        <v>275</v>
      </c>
    </row>
    <row r="5282" spans="1:9" s="700" customFormat="1" ht="15" customHeight="1">
      <c r="A5282" s="698">
        <v>45742</v>
      </c>
      <c r="B5282" s="699" t="s">
        <v>4213</v>
      </c>
      <c r="C5282" s="699" t="s">
        <v>307</v>
      </c>
      <c r="D5282" s="728">
        <v>-38000</v>
      </c>
      <c r="E5282" s="701">
        <v>45717</v>
      </c>
      <c r="F5282" s="699" t="s">
        <v>296</v>
      </c>
      <c r="G5282" s="699" t="s">
        <v>522</v>
      </c>
      <c r="H5282" s="699" t="s">
        <v>429</v>
      </c>
      <c r="I5282" s="699" t="s">
        <v>2982</v>
      </c>
    </row>
    <row r="5283" spans="1:9" ht="15" customHeight="1">
      <c r="A5283" s="199">
        <v>45742</v>
      </c>
      <c r="B5283" s="202" t="s">
        <v>4214</v>
      </c>
      <c r="C5283" s="200" t="s">
        <v>307</v>
      </c>
      <c r="D5283" s="204">
        <v>-30000</v>
      </c>
      <c r="E5283" s="201">
        <v>45717</v>
      </c>
      <c r="F5283" s="200" t="s">
        <v>296</v>
      </c>
      <c r="G5283" s="200" t="s">
        <v>522</v>
      </c>
      <c r="H5283" s="200" t="s">
        <v>442</v>
      </c>
      <c r="I5283" s="200" t="s">
        <v>2982</v>
      </c>
    </row>
    <row r="5284" spans="1:9" ht="15" customHeight="1">
      <c r="A5284" s="199">
        <v>45742</v>
      </c>
      <c r="B5284" s="202" t="s">
        <v>4215</v>
      </c>
      <c r="C5284" s="200" t="s">
        <v>307</v>
      </c>
      <c r="D5284" s="204">
        <v>-31600</v>
      </c>
      <c r="E5284" s="201">
        <v>45717</v>
      </c>
      <c r="F5284" s="200" t="s">
        <v>296</v>
      </c>
      <c r="G5284" s="200" t="s">
        <v>337</v>
      </c>
      <c r="H5284" s="200" t="s">
        <v>366</v>
      </c>
      <c r="I5284" s="200" t="s">
        <v>2982</v>
      </c>
    </row>
    <row r="5285" spans="1:9" ht="15" customHeight="1">
      <c r="A5285" s="199">
        <v>45743</v>
      </c>
      <c r="B5285" s="202" t="s">
        <v>4216</v>
      </c>
      <c r="C5285" s="200" t="s">
        <v>307</v>
      </c>
      <c r="D5285" s="204">
        <v>-153300</v>
      </c>
      <c r="E5285" s="201">
        <v>45717</v>
      </c>
      <c r="F5285" s="200" t="s">
        <v>296</v>
      </c>
      <c r="G5285" s="200" t="s">
        <v>44</v>
      </c>
      <c r="H5285" s="200" t="s">
        <v>421</v>
      </c>
      <c r="I5285" s="200" t="s">
        <v>2982</v>
      </c>
    </row>
    <row r="5286" spans="1:9" ht="15" customHeight="1">
      <c r="A5286" s="199">
        <v>45743</v>
      </c>
      <c r="B5286" s="202" t="s">
        <v>4217</v>
      </c>
      <c r="C5286" s="200" t="s">
        <v>307</v>
      </c>
      <c r="D5286" s="204">
        <v>-140000</v>
      </c>
      <c r="E5286" s="201">
        <v>45717</v>
      </c>
      <c r="F5286" s="200" t="s">
        <v>296</v>
      </c>
      <c r="G5286" s="200" t="s">
        <v>44</v>
      </c>
      <c r="H5286" s="200" t="s">
        <v>421</v>
      </c>
      <c r="I5286" s="200" t="s">
        <v>2982</v>
      </c>
    </row>
    <row r="5287" spans="1:9" ht="15" customHeight="1">
      <c r="A5287" s="199">
        <v>45743</v>
      </c>
      <c r="B5287" s="202" t="s">
        <v>4218</v>
      </c>
      <c r="C5287" s="200" t="s">
        <v>307</v>
      </c>
      <c r="D5287" s="204">
        <v>-5000</v>
      </c>
      <c r="E5287" s="201">
        <v>45717</v>
      </c>
      <c r="F5287" s="200" t="s">
        <v>296</v>
      </c>
      <c r="G5287" s="200" t="s">
        <v>337</v>
      </c>
      <c r="H5287" s="200" t="s">
        <v>326</v>
      </c>
      <c r="I5287" s="200" t="s">
        <v>2982</v>
      </c>
    </row>
    <row r="5288" spans="1:9" ht="15" customHeight="1">
      <c r="A5288" s="199">
        <v>45743</v>
      </c>
      <c r="B5288" s="202" t="s">
        <v>4219</v>
      </c>
      <c r="C5288" s="200" t="s">
        <v>307</v>
      </c>
      <c r="D5288" s="204">
        <v>-50000</v>
      </c>
      <c r="E5288" s="201">
        <v>45717</v>
      </c>
      <c r="F5288" s="200" t="s">
        <v>296</v>
      </c>
      <c r="G5288" s="200" t="s">
        <v>44</v>
      </c>
      <c r="H5288" s="200" t="s">
        <v>442</v>
      </c>
      <c r="I5288" s="200" t="s">
        <v>2982</v>
      </c>
    </row>
    <row r="5289" spans="1:9" ht="15" customHeight="1">
      <c r="A5289" s="199">
        <v>45743</v>
      </c>
      <c r="B5289" s="202" t="s">
        <v>4220</v>
      </c>
      <c r="C5289" s="200" t="s">
        <v>307</v>
      </c>
      <c r="D5289" s="204">
        <v>-41275</v>
      </c>
      <c r="E5289" s="201">
        <v>45717</v>
      </c>
      <c r="F5289" s="200" t="s">
        <v>296</v>
      </c>
      <c r="G5289" s="200" t="s">
        <v>44</v>
      </c>
      <c r="H5289" s="200" t="s">
        <v>421</v>
      </c>
      <c r="I5289" s="200" t="s">
        <v>2982</v>
      </c>
    </row>
    <row r="5290" spans="1:9" ht="15" customHeight="1">
      <c r="A5290" s="199">
        <v>45742</v>
      </c>
      <c r="B5290" s="202" t="s">
        <v>4221</v>
      </c>
      <c r="C5290" s="200" t="s">
        <v>307</v>
      </c>
      <c r="D5290" s="204">
        <v>-28300.409999999996</v>
      </c>
      <c r="E5290" s="201">
        <v>45717</v>
      </c>
      <c r="F5290" s="200" t="s">
        <v>296</v>
      </c>
      <c r="G5290" s="200" t="s">
        <v>2994</v>
      </c>
      <c r="H5290" s="200" t="s">
        <v>379</v>
      </c>
      <c r="I5290" s="200" t="s">
        <v>2982</v>
      </c>
    </row>
    <row r="5291" spans="1:9" ht="15" customHeight="1">
      <c r="A5291" s="199">
        <v>45742</v>
      </c>
      <c r="B5291" s="202" t="s">
        <v>4222</v>
      </c>
      <c r="C5291" s="200" t="s">
        <v>307</v>
      </c>
      <c r="D5291" s="204">
        <v>-10000</v>
      </c>
      <c r="E5291" s="201">
        <v>45717</v>
      </c>
      <c r="F5291" s="200" t="s">
        <v>297</v>
      </c>
      <c r="G5291" s="200" t="s">
        <v>1578</v>
      </c>
      <c r="H5291" s="200" t="s">
        <v>4223</v>
      </c>
      <c r="I5291" s="200" t="s">
        <v>2982</v>
      </c>
    </row>
    <row r="5292" spans="1:9" ht="15" customHeight="1">
      <c r="A5292" s="199">
        <v>45742</v>
      </c>
      <c r="B5292" s="202" t="s">
        <v>4224</v>
      </c>
      <c r="C5292" s="200" t="s">
        <v>307</v>
      </c>
      <c r="D5292" s="204">
        <v>-61200</v>
      </c>
      <c r="E5292" s="201">
        <v>45717</v>
      </c>
      <c r="F5292" s="200" t="s">
        <v>297</v>
      </c>
      <c r="G5292" s="200" t="s">
        <v>1313</v>
      </c>
      <c r="H5292" s="200" t="s">
        <v>4225</v>
      </c>
      <c r="I5292" s="200" t="s">
        <v>2982</v>
      </c>
    </row>
    <row r="5293" spans="1:9" ht="15" customHeight="1">
      <c r="A5293" s="199">
        <v>45743</v>
      </c>
      <c r="B5293" s="202" t="s">
        <v>4226</v>
      </c>
      <c r="C5293" s="200" t="s">
        <v>307</v>
      </c>
      <c r="D5293" s="204">
        <v>-3168</v>
      </c>
      <c r="E5293" s="201">
        <v>45717</v>
      </c>
      <c r="F5293" s="200" t="s">
        <v>296</v>
      </c>
      <c r="G5293" s="200" t="s">
        <v>2994</v>
      </c>
      <c r="H5293" s="200" t="s">
        <v>4225</v>
      </c>
      <c r="I5293" s="200" t="s">
        <v>2982</v>
      </c>
    </row>
    <row r="5294" spans="1:9" ht="15" customHeight="1">
      <c r="A5294" s="199">
        <v>45743</v>
      </c>
      <c r="B5294" s="202" t="s">
        <v>4227</v>
      </c>
      <c r="C5294" s="200" t="s">
        <v>307</v>
      </c>
      <c r="D5294" s="204">
        <v>-6900</v>
      </c>
      <c r="E5294" s="201">
        <v>45717</v>
      </c>
      <c r="F5294" s="200" t="s">
        <v>395</v>
      </c>
      <c r="G5294" s="531" t="s">
        <v>395</v>
      </c>
      <c r="H5294" s="200" t="s">
        <v>350</v>
      </c>
      <c r="I5294" s="673"/>
    </row>
    <row r="5295" spans="1:9" ht="15" customHeight="1">
      <c r="A5295" s="199">
        <v>45743</v>
      </c>
      <c r="B5295" s="202" t="s">
        <v>4228</v>
      </c>
      <c r="C5295" s="200" t="s">
        <v>307</v>
      </c>
      <c r="D5295" s="204">
        <v>-30000</v>
      </c>
      <c r="E5295" s="201">
        <v>45717</v>
      </c>
      <c r="F5295" s="200" t="s">
        <v>296</v>
      </c>
      <c r="G5295" s="200" t="s">
        <v>2994</v>
      </c>
      <c r="H5295" s="200" t="s">
        <v>350</v>
      </c>
      <c r="I5295" s="200" t="s">
        <v>2982</v>
      </c>
    </row>
    <row r="5296" spans="1:9" ht="15" customHeight="1">
      <c r="A5296" s="199">
        <v>45743</v>
      </c>
      <c r="B5296" s="202" t="s">
        <v>4229</v>
      </c>
      <c r="C5296" s="200" t="s">
        <v>307</v>
      </c>
      <c r="D5296" s="204">
        <v>-50000</v>
      </c>
      <c r="E5296" s="201">
        <v>45717</v>
      </c>
      <c r="F5296" s="200" t="s">
        <v>296</v>
      </c>
      <c r="G5296" s="200" t="s">
        <v>1735</v>
      </c>
      <c r="H5296" s="200" t="s">
        <v>4225</v>
      </c>
      <c r="I5296" s="200" t="s">
        <v>2982</v>
      </c>
    </row>
    <row r="5297" spans="1:9" ht="15" customHeight="1">
      <c r="A5297" s="199">
        <v>45743</v>
      </c>
      <c r="B5297" s="202" t="s">
        <v>4230</v>
      </c>
      <c r="C5297" s="200" t="s">
        <v>307</v>
      </c>
      <c r="D5297" s="204">
        <v>-7944</v>
      </c>
      <c r="E5297" s="201">
        <v>45717</v>
      </c>
      <c r="F5297" s="200" t="s">
        <v>296</v>
      </c>
      <c r="G5297" s="200" t="s">
        <v>1735</v>
      </c>
      <c r="H5297" s="200" t="s">
        <v>4225</v>
      </c>
      <c r="I5297" s="200" t="s">
        <v>2982</v>
      </c>
    </row>
    <row r="5298" spans="1:9" ht="15" customHeight="1">
      <c r="A5298" s="199">
        <v>45743</v>
      </c>
      <c r="B5298" s="202" t="s">
        <v>4231</v>
      </c>
      <c r="C5298" s="200" t="s">
        <v>307</v>
      </c>
      <c r="D5298" s="204">
        <v>-69303</v>
      </c>
      <c r="E5298" s="201">
        <v>45717</v>
      </c>
      <c r="F5298" s="200" t="s">
        <v>296</v>
      </c>
      <c r="G5298" s="200" t="s">
        <v>2994</v>
      </c>
      <c r="H5298" s="200" t="s">
        <v>4225</v>
      </c>
      <c r="I5298" s="200" t="s">
        <v>2982</v>
      </c>
    </row>
    <row r="5299" spans="1:9" ht="15" customHeight="1">
      <c r="A5299" s="199">
        <v>45743</v>
      </c>
      <c r="B5299" s="202" t="s">
        <v>4232</v>
      </c>
      <c r="C5299" s="200" t="s">
        <v>307</v>
      </c>
      <c r="D5299" s="204">
        <v>-33800</v>
      </c>
      <c r="E5299" s="201">
        <v>45717</v>
      </c>
      <c r="F5299" s="200" t="s">
        <v>395</v>
      </c>
      <c r="G5299" s="531" t="s">
        <v>395</v>
      </c>
      <c r="H5299" s="200" t="s">
        <v>350</v>
      </c>
      <c r="I5299" s="673"/>
    </row>
    <row r="5300" spans="1:9" ht="15" customHeight="1">
      <c r="A5300" s="199">
        <v>45744</v>
      </c>
      <c r="B5300" s="202" t="s">
        <v>4233</v>
      </c>
      <c r="C5300" s="200" t="s">
        <v>307</v>
      </c>
      <c r="D5300" s="204">
        <v>-15000</v>
      </c>
      <c r="E5300" s="201">
        <v>45717</v>
      </c>
      <c r="F5300" s="200" t="s">
        <v>296</v>
      </c>
      <c r="G5300" s="200" t="s">
        <v>2994</v>
      </c>
      <c r="H5300" s="200" t="s">
        <v>4223</v>
      </c>
      <c r="I5300" s="200" t="s">
        <v>2982</v>
      </c>
    </row>
    <row r="5301" spans="1:9" ht="15" customHeight="1">
      <c r="A5301" s="199">
        <v>45744</v>
      </c>
      <c r="B5301" s="202" t="s">
        <v>4234</v>
      </c>
      <c r="C5301" s="200" t="s">
        <v>307</v>
      </c>
      <c r="D5301" s="204">
        <v>-30000</v>
      </c>
      <c r="E5301" s="201">
        <v>45717</v>
      </c>
      <c r="F5301" s="200" t="s">
        <v>395</v>
      </c>
      <c r="G5301" s="531" t="s">
        <v>395</v>
      </c>
      <c r="H5301" s="200" t="s">
        <v>4223</v>
      </c>
      <c r="I5301" s="673"/>
    </row>
    <row r="5302" spans="1:9" ht="15" customHeight="1">
      <c r="A5302" s="199">
        <v>45744</v>
      </c>
      <c r="B5302" s="202" t="s">
        <v>4235</v>
      </c>
      <c r="C5302" s="200" t="s">
        <v>307</v>
      </c>
      <c r="D5302" s="204">
        <v>-60000</v>
      </c>
      <c r="E5302" s="201">
        <v>45717</v>
      </c>
      <c r="F5302" s="200" t="s">
        <v>395</v>
      </c>
      <c r="G5302" s="531" t="s">
        <v>395</v>
      </c>
      <c r="H5302" s="200" t="s">
        <v>4223</v>
      </c>
      <c r="I5302" s="673"/>
    </row>
    <row r="5303" spans="1:9" ht="15" customHeight="1">
      <c r="A5303" s="199">
        <v>45744</v>
      </c>
      <c r="B5303" s="202" t="s">
        <v>4236</v>
      </c>
      <c r="C5303" s="200" t="s">
        <v>307</v>
      </c>
      <c r="D5303" s="204">
        <v>-17600</v>
      </c>
      <c r="E5303" s="201">
        <v>45717</v>
      </c>
      <c r="F5303" s="200" t="s">
        <v>296</v>
      </c>
      <c r="G5303" s="200" t="s">
        <v>1735</v>
      </c>
      <c r="H5303" s="200" t="s">
        <v>350</v>
      </c>
      <c r="I5303" s="200" t="s">
        <v>2982</v>
      </c>
    </row>
    <row r="5304" spans="1:9" ht="15" customHeight="1">
      <c r="A5304" s="199">
        <v>45744</v>
      </c>
      <c r="B5304" s="202" t="s">
        <v>4237</v>
      </c>
      <c r="C5304" s="200" t="s">
        <v>307</v>
      </c>
      <c r="D5304" s="204">
        <v>-85000</v>
      </c>
      <c r="E5304" s="201">
        <v>45717</v>
      </c>
      <c r="F5304" s="200" t="s">
        <v>395</v>
      </c>
      <c r="G5304" s="531" t="s">
        <v>395</v>
      </c>
      <c r="H5304" s="200" t="s">
        <v>350</v>
      </c>
      <c r="I5304" s="673"/>
    </row>
    <row r="5305" spans="1:9" ht="15" customHeight="1">
      <c r="A5305" s="199">
        <v>45747</v>
      </c>
      <c r="B5305" s="202" t="s">
        <v>4238</v>
      </c>
      <c r="C5305" s="200" t="s">
        <v>307</v>
      </c>
      <c r="D5305" s="204">
        <v>-63070</v>
      </c>
      <c r="E5305" s="201">
        <v>45717</v>
      </c>
      <c r="F5305" s="200" t="s">
        <v>298</v>
      </c>
    </row>
    <row r="5306" spans="1:9" ht="15" customHeight="1">
      <c r="A5306" s="199">
        <v>45744</v>
      </c>
      <c r="B5306" s="202" t="s">
        <v>4239</v>
      </c>
      <c r="C5306" s="200" t="s">
        <v>204</v>
      </c>
      <c r="D5306" s="204">
        <v>-754810</v>
      </c>
      <c r="E5306" s="201">
        <v>45717</v>
      </c>
      <c r="F5306" s="200" t="s">
        <v>296</v>
      </c>
      <c r="G5306" s="200" t="s">
        <v>337</v>
      </c>
      <c r="H5306" s="200" t="s">
        <v>421</v>
      </c>
    </row>
    <row r="5307" spans="1:9" ht="15" customHeight="1">
      <c r="A5307" s="199">
        <v>45744</v>
      </c>
      <c r="B5307" s="202" t="s">
        <v>4240</v>
      </c>
      <c r="C5307" s="200" t="s">
        <v>204</v>
      </c>
      <c r="D5307" s="204">
        <v>-761928</v>
      </c>
      <c r="E5307" s="201">
        <v>45717</v>
      </c>
      <c r="F5307" s="200" t="s">
        <v>296</v>
      </c>
      <c r="G5307" s="200" t="s">
        <v>44</v>
      </c>
      <c r="H5307" s="200" t="s">
        <v>421</v>
      </c>
    </row>
    <row r="5308" spans="1:9" ht="15" customHeight="1">
      <c r="A5308" s="199">
        <v>45744</v>
      </c>
      <c r="B5308" s="202" t="s">
        <v>4241</v>
      </c>
      <c r="C5308" s="200" t="s">
        <v>204</v>
      </c>
      <c r="D5308" s="204">
        <v>-754810</v>
      </c>
      <c r="E5308" s="201">
        <v>45717</v>
      </c>
      <c r="F5308" s="200" t="s">
        <v>296</v>
      </c>
      <c r="G5308" s="200" t="s">
        <v>522</v>
      </c>
      <c r="H5308" s="200" t="s">
        <v>429</v>
      </c>
    </row>
    <row r="5309" spans="1:9" ht="15" customHeight="1">
      <c r="A5309" s="199">
        <v>45744</v>
      </c>
      <c r="B5309" s="202" t="s">
        <v>4242</v>
      </c>
      <c r="C5309" s="200" t="s">
        <v>204</v>
      </c>
      <c r="D5309" s="204">
        <v>-2569003</v>
      </c>
      <c r="E5309" s="201">
        <v>45717</v>
      </c>
      <c r="F5309" s="200" t="s">
        <v>296</v>
      </c>
      <c r="G5309" s="200" t="s">
        <v>1735</v>
      </c>
      <c r="H5309" s="200" t="s">
        <v>4225</v>
      </c>
    </row>
    <row r="5310" spans="1:9" ht="15" customHeight="1">
      <c r="A5310" s="199">
        <v>45744</v>
      </c>
      <c r="B5310" s="202" t="s">
        <v>4243</v>
      </c>
      <c r="C5310" s="200" t="s">
        <v>204</v>
      </c>
      <c r="D5310" s="204">
        <v>-1128700</v>
      </c>
      <c r="E5310" s="201">
        <v>45717</v>
      </c>
      <c r="F5310" s="200" t="s">
        <v>256</v>
      </c>
      <c r="G5310" s="200" t="s">
        <v>256</v>
      </c>
      <c r="H5310" s="200" t="s">
        <v>9</v>
      </c>
    </row>
    <row r="5311" spans="1:9" ht="15" customHeight="1">
      <c r="A5311" s="199">
        <v>45744</v>
      </c>
      <c r="B5311" s="202" t="s">
        <v>4244</v>
      </c>
      <c r="C5311" s="200" t="s">
        <v>204</v>
      </c>
      <c r="D5311" s="204">
        <v>-36900</v>
      </c>
      <c r="E5311" s="201">
        <v>45717</v>
      </c>
      <c r="F5311" s="200" t="s">
        <v>256</v>
      </c>
      <c r="G5311" s="200" t="s">
        <v>256</v>
      </c>
      <c r="H5311" s="200" t="s">
        <v>9</v>
      </c>
    </row>
    <row r="5312" spans="1:9" ht="15" customHeight="1">
      <c r="A5312" s="199">
        <v>45744</v>
      </c>
      <c r="B5312" s="202" t="s">
        <v>4245</v>
      </c>
      <c r="C5312" s="200" t="s">
        <v>204</v>
      </c>
      <c r="D5312" s="204">
        <v>-35200</v>
      </c>
      <c r="E5312" s="201">
        <v>45717</v>
      </c>
      <c r="F5312" s="200" t="s">
        <v>256</v>
      </c>
      <c r="G5312" s="200" t="s">
        <v>256</v>
      </c>
      <c r="H5312" s="200" t="s">
        <v>9</v>
      </c>
    </row>
    <row r="5313" spans="1:9" ht="15" customHeight="1">
      <c r="A5313" s="199">
        <v>45744</v>
      </c>
      <c r="B5313" s="202" t="s">
        <v>4246</v>
      </c>
      <c r="C5313" s="200" t="s">
        <v>204</v>
      </c>
      <c r="D5313" s="204">
        <v>-39300</v>
      </c>
      <c r="E5313" s="201">
        <v>45717</v>
      </c>
      <c r="F5313" s="200" t="s">
        <v>256</v>
      </c>
      <c r="G5313" s="200" t="s">
        <v>256</v>
      </c>
      <c r="H5313" s="200" t="s">
        <v>9</v>
      </c>
    </row>
    <row r="5314" spans="1:9" ht="15" customHeight="1">
      <c r="A5314" s="199">
        <v>45744</v>
      </c>
      <c r="B5314" s="202" t="s">
        <v>4247</v>
      </c>
      <c r="C5314" s="200" t="s">
        <v>204</v>
      </c>
      <c r="D5314" s="204">
        <v>-35200</v>
      </c>
      <c r="E5314" s="201">
        <v>45717</v>
      </c>
      <c r="F5314" s="200" t="s">
        <v>256</v>
      </c>
      <c r="G5314" s="200" t="s">
        <v>256</v>
      </c>
      <c r="H5314" s="200" t="s">
        <v>9</v>
      </c>
    </row>
    <row r="5315" spans="1:9" ht="15" customHeight="1">
      <c r="A5315" s="199">
        <v>45744</v>
      </c>
      <c r="B5315" s="202" t="s">
        <v>4248</v>
      </c>
      <c r="C5315" s="200" t="s">
        <v>204</v>
      </c>
      <c r="D5315" s="204">
        <v>-35200</v>
      </c>
      <c r="E5315" s="201">
        <v>45717</v>
      </c>
      <c r="F5315" s="200" t="s">
        <v>256</v>
      </c>
      <c r="G5315" s="200" t="s">
        <v>256</v>
      </c>
      <c r="H5315" s="200" t="s">
        <v>9</v>
      </c>
    </row>
    <row r="5316" spans="1:9" ht="15" customHeight="1">
      <c r="A5316" s="199">
        <v>45744</v>
      </c>
      <c r="B5316" s="202" t="s">
        <v>4249</v>
      </c>
      <c r="C5316" s="200" t="s">
        <v>204</v>
      </c>
      <c r="D5316" s="204">
        <v>-39300</v>
      </c>
      <c r="E5316" s="201">
        <v>45717</v>
      </c>
      <c r="F5316" s="200" t="s">
        <v>256</v>
      </c>
      <c r="G5316" s="200" t="s">
        <v>256</v>
      </c>
      <c r="H5316" s="200" t="s">
        <v>9</v>
      </c>
    </row>
    <row r="5317" spans="1:9" ht="15" customHeight="1">
      <c r="A5317" s="808">
        <v>45744</v>
      </c>
      <c r="B5317" s="809" t="s">
        <v>4250</v>
      </c>
      <c r="C5317" s="809" t="s">
        <v>204</v>
      </c>
      <c r="D5317" s="775">
        <v>-2599756.2000000002</v>
      </c>
      <c r="E5317" s="811">
        <v>45717</v>
      </c>
      <c r="F5317" s="809" t="s">
        <v>296</v>
      </c>
      <c r="G5317" s="809" t="s">
        <v>3167</v>
      </c>
      <c r="H5317" s="809" t="s">
        <v>3205</v>
      </c>
      <c r="I5317" s="809"/>
    </row>
    <row r="5318" spans="1:9" ht="15" customHeight="1">
      <c r="A5318" s="199">
        <v>45744</v>
      </c>
      <c r="B5318" s="202" t="s">
        <v>4251</v>
      </c>
      <c r="C5318" s="200" t="s">
        <v>204</v>
      </c>
      <c r="D5318" s="204">
        <v>-1300000</v>
      </c>
      <c r="E5318" s="201">
        <v>45717</v>
      </c>
      <c r="F5318" s="200" t="s">
        <v>256</v>
      </c>
      <c r="G5318" s="200" t="s">
        <v>107</v>
      </c>
      <c r="H5318" s="200" t="s">
        <v>777</v>
      </c>
    </row>
    <row r="5319" spans="1:9" ht="15" customHeight="1">
      <c r="A5319" s="199">
        <v>45747</v>
      </c>
      <c r="B5319" s="202" t="s">
        <v>4252</v>
      </c>
      <c r="C5319" s="200" t="s">
        <v>204</v>
      </c>
      <c r="D5319" s="204">
        <v>-3733623</v>
      </c>
      <c r="E5319" s="201">
        <v>45717</v>
      </c>
      <c r="F5319" s="200" t="s">
        <v>298</v>
      </c>
    </row>
    <row r="5320" spans="1:9" ht="15" customHeight="1">
      <c r="A5320" s="199">
        <v>45747</v>
      </c>
      <c r="B5320" s="202" t="s">
        <v>4252</v>
      </c>
      <c r="C5320" s="200" t="s">
        <v>204</v>
      </c>
      <c r="D5320" s="204">
        <v>-1264313</v>
      </c>
      <c r="E5320" s="201">
        <v>45717</v>
      </c>
      <c r="F5320" s="200" t="s">
        <v>315</v>
      </c>
    </row>
    <row r="5321" spans="1:9" ht="15" customHeight="1">
      <c r="A5321" s="199">
        <v>45744</v>
      </c>
      <c r="B5321" s="202" t="s">
        <v>4253</v>
      </c>
      <c r="C5321" s="200" t="s">
        <v>204</v>
      </c>
      <c r="D5321" s="645">
        <v>564256</v>
      </c>
      <c r="E5321" s="201">
        <v>45717</v>
      </c>
      <c r="F5321" s="200" t="s">
        <v>395</v>
      </c>
      <c r="G5321" s="531" t="s">
        <v>395</v>
      </c>
      <c r="I5321" s="673"/>
    </row>
    <row r="5322" spans="1:9" ht="15" customHeight="1">
      <c r="A5322" s="199">
        <v>45747</v>
      </c>
      <c r="B5322" s="202" t="s">
        <v>1203</v>
      </c>
      <c r="C5322" s="200" t="s">
        <v>136</v>
      </c>
      <c r="D5322" s="204">
        <v>-1097885</v>
      </c>
      <c r="E5322" s="201">
        <v>45717</v>
      </c>
      <c r="F5322" s="200" t="s">
        <v>315</v>
      </c>
    </row>
    <row r="5323" spans="1:9" ht="15" customHeight="1">
      <c r="A5323" s="199">
        <v>45747</v>
      </c>
      <c r="B5323" s="202" t="s">
        <v>1203</v>
      </c>
      <c r="C5323" s="200" t="s">
        <v>136</v>
      </c>
      <c r="D5323" s="204">
        <v>-527171</v>
      </c>
      <c r="E5323" s="201">
        <v>45717</v>
      </c>
      <c r="F5323" s="200" t="s">
        <v>315</v>
      </c>
    </row>
    <row r="5324" spans="1:9" ht="15" customHeight="1">
      <c r="A5324" s="199">
        <v>45747</v>
      </c>
      <c r="B5324" s="202" t="s">
        <v>4254</v>
      </c>
      <c r="C5324" s="200" t="s">
        <v>136</v>
      </c>
      <c r="D5324" s="204">
        <v>-1963888</v>
      </c>
      <c r="E5324" s="201">
        <v>45717</v>
      </c>
      <c r="F5324" s="200" t="s">
        <v>315</v>
      </c>
    </row>
    <row r="5325" spans="1:9" ht="15" customHeight="1">
      <c r="A5325" s="199">
        <v>45744</v>
      </c>
      <c r="B5325" s="202" t="s">
        <v>4255</v>
      </c>
      <c r="C5325" s="202" t="s">
        <v>136</v>
      </c>
      <c r="D5325" s="204">
        <v>640249.87</v>
      </c>
      <c r="E5325" s="662">
        <v>45717</v>
      </c>
      <c r="F5325" s="200" t="s">
        <v>295</v>
      </c>
    </row>
    <row r="5326" spans="1:9" ht="15" customHeight="1">
      <c r="A5326" s="199">
        <v>45744</v>
      </c>
      <c r="B5326" s="202" t="s">
        <v>4256</v>
      </c>
      <c r="C5326" s="202" t="s">
        <v>136</v>
      </c>
      <c r="D5326" s="204">
        <v>2509435</v>
      </c>
      <c r="E5326" s="662">
        <v>45717</v>
      </c>
      <c r="F5326" s="200" t="s">
        <v>295</v>
      </c>
    </row>
    <row r="5327" spans="1:9" ht="15" customHeight="1">
      <c r="A5327" s="199">
        <v>45744</v>
      </c>
      <c r="B5327" s="202" t="s">
        <v>4257</v>
      </c>
      <c r="C5327" s="202" t="s">
        <v>136</v>
      </c>
      <c r="D5327" s="204">
        <v>5000000</v>
      </c>
      <c r="E5327" s="662">
        <v>45717</v>
      </c>
      <c r="F5327" s="200" t="s">
        <v>983</v>
      </c>
      <c r="G5327" s="200" t="s">
        <v>482</v>
      </c>
    </row>
    <row r="5328" spans="1:9" ht="15" customHeight="1">
      <c r="A5328" s="199">
        <v>45747</v>
      </c>
      <c r="B5328" s="202" t="s">
        <v>4257</v>
      </c>
      <c r="C5328" s="202" t="s">
        <v>136</v>
      </c>
      <c r="D5328" s="204">
        <v>15000000</v>
      </c>
      <c r="E5328" s="662">
        <v>45717</v>
      </c>
      <c r="F5328" s="200" t="s">
        <v>983</v>
      </c>
      <c r="G5328" s="200" t="s">
        <v>482</v>
      </c>
    </row>
    <row r="5329" spans="1:8" ht="15" customHeight="1">
      <c r="A5329" s="199">
        <v>45744</v>
      </c>
      <c r="B5329" s="202" t="s">
        <v>4258</v>
      </c>
      <c r="C5329" s="200" t="s">
        <v>314</v>
      </c>
      <c r="D5329" s="204">
        <v>-396000</v>
      </c>
      <c r="E5329" s="201">
        <v>45717</v>
      </c>
      <c r="F5329" s="200" t="s">
        <v>296</v>
      </c>
      <c r="G5329" s="200" t="s">
        <v>1980</v>
      </c>
      <c r="H5329" s="200" t="s">
        <v>442</v>
      </c>
    </row>
    <row r="5330" spans="1:8" ht="15" customHeight="1">
      <c r="A5330" s="199">
        <v>45744</v>
      </c>
      <c r="B5330" s="202" t="s">
        <v>4259</v>
      </c>
      <c r="C5330" s="200" t="s">
        <v>372</v>
      </c>
      <c r="D5330" s="204">
        <v>-4000</v>
      </c>
      <c r="E5330" s="201">
        <v>45717</v>
      </c>
      <c r="F5330" s="200" t="s">
        <v>296</v>
      </c>
      <c r="G5330" s="200" t="s">
        <v>1980</v>
      </c>
      <c r="H5330" s="200" t="s">
        <v>442</v>
      </c>
    </row>
    <row r="5331" spans="1:8" ht="15" customHeight="1">
      <c r="A5331" s="199">
        <v>45744</v>
      </c>
      <c r="B5331" s="202" t="s">
        <v>4260</v>
      </c>
      <c r="C5331" s="200" t="s">
        <v>314</v>
      </c>
      <c r="D5331" s="204">
        <v>-34051</v>
      </c>
      <c r="E5331" s="201">
        <v>45717</v>
      </c>
      <c r="F5331" s="200" t="s">
        <v>296</v>
      </c>
      <c r="G5331" s="200" t="s">
        <v>522</v>
      </c>
      <c r="H5331" s="200" t="s">
        <v>488</v>
      </c>
    </row>
    <row r="5332" spans="1:8" ht="15" customHeight="1">
      <c r="A5332" s="199">
        <v>45744</v>
      </c>
      <c r="B5332" s="202" t="s">
        <v>4261</v>
      </c>
      <c r="C5332" s="200" t="s">
        <v>314</v>
      </c>
      <c r="D5332" s="204">
        <v>-750000</v>
      </c>
      <c r="E5332" s="201">
        <v>45717</v>
      </c>
      <c r="F5332" s="200" t="s">
        <v>2714</v>
      </c>
      <c r="G5332" s="200" t="s">
        <v>513</v>
      </c>
      <c r="H5332" s="200" t="s">
        <v>322</v>
      </c>
    </row>
    <row r="5333" spans="1:8" ht="15" customHeight="1">
      <c r="A5333" s="199">
        <v>45744</v>
      </c>
      <c r="B5333" s="202" t="s">
        <v>4262</v>
      </c>
      <c r="C5333" s="200" t="s">
        <v>314</v>
      </c>
      <c r="D5333" s="204">
        <v>-750000</v>
      </c>
      <c r="E5333" s="201">
        <v>45717</v>
      </c>
      <c r="F5333" s="200" t="s">
        <v>296</v>
      </c>
      <c r="G5333" s="200" t="s">
        <v>44</v>
      </c>
      <c r="H5333" s="200" t="s">
        <v>322</v>
      </c>
    </row>
    <row r="5334" spans="1:8" ht="15" customHeight="1">
      <c r="A5334" s="199">
        <v>45744</v>
      </c>
      <c r="B5334" s="202" t="s">
        <v>4263</v>
      </c>
      <c r="C5334" s="200" t="s">
        <v>314</v>
      </c>
      <c r="D5334" s="204">
        <v>-750000</v>
      </c>
      <c r="E5334" s="201">
        <v>45717</v>
      </c>
      <c r="F5334" s="200" t="s">
        <v>296</v>
      </c>
      <c r="G5334" s="200" t="s">
        <v>4264</v>
      </c>
      <c r="H5334" s="200" t="s">
        <v>322</v>
      </c>
    </row>
    <row r="5335" spans="1:8" ht="15" customHeight="1">
      <c r="A5335" s="199">
        <v>45744</v>
      </c>
      <c r="B5335" s="202" t="s">
        <v>4265</v>
      </c>
      <c r="C5335" s="200" t="s">
        <v>314</v>
      </c>
      <c r="D5335" s="204">
        <v>-750000</v>
      </c>
      <c r="E5335" s="201">
        <v>45717</v>
      </c>
      <c r="F5335" s="200" t="s">
        <v>296</v>
      </c>
      <c r="G5335" s="200" t="s">
        <v>1980</v>
      </c>
      <c r="H5335" s="200" t="s">
        <v>322</v>
      </c>
    </row>
    <row r="5336" spans="1:8" ht="15" customHeight="1">
      <c r="A5336" s="199">
        <v>45744</v>
      </c>
      <c r="B5336" s="202" t="s">
        <v>4266</v>
      </c>
      <c r="C5336" s="200" t="s">
        <v>314</v>
      </c>
      <c r="D5336" s="204">
        <v>-1426800</v>
      </c>
      <c r="E5336" s="201">
        <v>45717</v>
      </c>
      <c r="F5336" s="200" t="s">
        <v>296</v>
      </c>
      <c r="G5336" s="200" t="s">
        <v>522</v>
      </c>
      <c r="H5336" s="200" t="s">
        <v>811</v>
      </c>
    </row>
    <row r="5337" spans="1:8" ht="15" customHeight="1">
      <c r="A5337" s="199">
        <v>45744</v>
      </c>
      <c r="B5337" s="202" t="s">
        <v>4267</v>
      </c>
      <c r="C5337" s="200" t="s">
        <v>372</v>
      </c>
      <c r="D5337" s="204">
        <v>-14500</v>
      </c>
      <c r="E5337" s="201">
        <v>45717</v>
      </c>
      <c r="F5337" s="200" t="s">
        <v>296</v>
      </c>
      <c r="G5337" s="200" t="s">
        <v>522</v>
      </c>
      <c r="H5337" s="200" t="s">
        <v>811</v>
      </c>
    </row>
    <row r="5338" spans="1:8" ht="15" customHeight="1">
      <c r="A5338" s="199">
        <v>45744</v>
      </c>
      <c r="B5338" s="202" t="s">
        <v>4268</v>
      </c>
      <c r="C5338" s="200" t="s">
        <v>372</v>
      </c>
      <c r="D5338" s="204">
        <v>-8700</v>
      </c>
      <c r="E5338" s="201">
        <v>45717</v>
      </c>
      <c r="F5338" s="200" t="s">
        <v>296</v>
      </c>
      <c r="G5338" s="200" t="s">
        <v>522</v>
      </c>
      <c r="H5338" s="200" t="s">
        <v>811</v>
      </c>
    </row>
    <row r="5339" spans="1:8" ht="15" customHeight="1">
      <c r="A5339" s="199">
        <v>45744</v>
      </c>
      <c r="B5339" s="202" t="s">
        <v>4269</v>
      </c>
      <c r="C5339" s="200" t="s">
        <v>314</v>
      </c>
      <c r="D5339" s="204">
        <v>-3876960</v>
      </c>
      <c r="E5339" s="201">
        <v>45717</v>
      </c>
      <c r="F5339" s="200" t="s">
        <v>296</v>
      </c>
      <c r="G5339" s="200" t="s">
        <v>1825</v>
      </c>
      <c r="H5339" s="200" t="s">
        <v>488</v>
      </c>
    </row>
    <row r="5340" spans="1:8" ht="15" customHeight="1">
      <c r="A5340" s="199">
        <v>45744</v>
      </c>
      <c r="B5340" s="202" t="s">
        <v>4267</v>
      </c>
      <c r="C5340" s="200" t="s">
        <v>372</v>
      </c>
      <c r="D5340" s="204">
        <v>-39400</v>
      </c>
      <c r="E5340" s="201">
        <v>45717</v>
      </c>
      <c r="F5340" s="200" t="s">
        <v>296</v>
      </c>
      <c r="G5340" s="200" t="s">
        <v>1825</v>
      </c>
      <c r="H5340" s="200" t="s">
        <v>488</v>
      </c>
    </row>
    <row r="5341" spans="1:8" ht="15" customHeight="1">
      <c r="A5341" s="199">
        <v>45744</v>
      </c>
      <c r="B5341" s="202" t="s">
        <v>4268</v>
      </c>
      <c r="C5341" s="200" t="s">
        <v>372</v>
      </c>
      <c r="D5341" s="204">
        <v>-23640</v>
      </c>
      <c r="E5341" s="201">
        <v>45717</v>
      </c>
      <c r="F5341" s="200" t="s">
        <v>296</v>
      </c>
      <c r="G5341" s="200" t="s">
        <v>1825</v>
      </c>
      <c r="H5341" s="200" t="s">
        <v>488</v>
      </c>
    </row>
    <row r="5342" spans="1:8" ht="15" customHeight="1">
      <c r="A5342" s="199">
        <v>45747</v>
      </c>
      <c r="B5342" s="202" t="s">
        <v>3970</v>
      </c>
      <c r="C5342" s="200" t="s">
        <v>314</v>
      </c>
      <c r="D5342" s="204">
        <v>-292800</v>
      </c>
      <c r="E5342" s="201">
        <v>45717</v>
      </c>
      <c r="F5342" s="200" t="s">
        <v>256</v>
      </c>
      <c r="G5342" s="200" t="s">
        <v>256</v>
      </c>
      <c r="H5342" s="200" t="s">
        <v>263</v>
      </c>
    </row>
    <row r="5343" spans="1:8" ht="15" customHeight="1">
      <c r="A5343" s="199">
        <v>45747</v>
      </c>
      <c r="B5343" s="202" t="s">
        <v>4270</v>
      </c>
      <c r="C5343" s="200" t="s">
        <v>314</v>
      </c>
      <c r="D5343" s="645">
        <v>95933163</v>
      </c>
      <c r="E5343" s="662">
        <v>45717</v>
      </c>
      <c r="F5343" s="200" t="s">
        <v>983</v>
      </c>
      <c r="G5343" s="200" t="s">
        <v>415</v>
      </c>
    </row>
    <row r="5344" spans="1:8" ht="15" customHeight="1">
      <c r="A5344" s="199">
        <v>45733</v>
      </c>
      <c r="B5344" s="202" t="s">
        <v>4271</v>
      </c>
      <c r="C5344" s="200" t="s">
        <v>307</v>
      </c>
      <c r="D5344" s="204">
        <v>-35009</v>
      </c>
      <c r="E5344" s="201">
        <v>45717</v>
      </c>
      <c r="F5344" s="200" t="s">
        <v>296</v>
      </c>
      <c r="G5344" s="200" t="s">
        <v>337</v>
      </c>
      <c r="H5344" s="200" t="s">
        <v>421</v>
      </c>
    </row>
    <row r="5345" spans="1:9" ht="15" customHeight="1">
      <c r="A5345" s="199">
        <v>45735</v>
      </c>
      <c r="B5345" s="202" t="s">
        <v>2954</v>
      </c>
      <c r="C5345" s="200" t="s">
        <v>307</v>
      </c>
      <c r="D5345" s="204">
        <v>-10000</v>
      </c>
      <c r="E5345" s="201">
        <v>45717</v>
      </c>
      <c r="F5345" s="200" t="s">
        <v>296</v>
      </c>
      <c r="G5345" s="200" t="s">
        <v>337</v>
      </c>
      <c r="H5345" s="200" t="s">
        <v>326</v>
      </c>
      <c r="I5345" s="200" t="s">
        <v>2951</v>
      </c>
    </row>
    <row r="5346" spans="1:9" ht="15" customHeight="1">
      <c r="A5346" s="199">
        <v>45735</v>
      </c>
      <c r="B5346" s="202" t="s">
        <v>4272</v>
      </c>
      <c r="C5346" s="200" t="s">
        <v>307</v>
      </c>
      <c r="D5346" s="204">
        <v>-10000</v>
      </c>
      <c r="E5346" s="201">
        <v>45717</v>
      </c>
      <c r="F5346" s="200" t="s">
        <v>296</v>
      </c>
      <c r="G5346" s="200" t="s">
        <v>337</v>
      </c>
      <c r="H5346" s="200" t="s">
        <v>326</v>
      </c>
      <c r="I5346" s="200" t="s">
        <v>2951</v>
      </c>
    </row>
    <row r="5347" spans="1:9" ht="15" customHeight="1">
      <c r="A5347" s="199">
        <v>45735</v>
      </c>
      <c r="B5347" s="202" t="s">
        <v>4273</v>
      </c>
      <c r="C5347" s="200" t="s">
        <v>307</v>
      </c>
      <c r="D5347" s="204">
        <v>-20000</v>
      </c>
      <c r="E5347" s="201">
        <v>45717</v>
      </c>
      <c r="F5347" s="200" t="s">
        <v>296</v>
      </c>
      <c r="G5347" s="200" t="s">
        <v>337</v>
      </c>
      <c r="H5347" s="200" t="s">
        <v>326</v>
      </c>
      <c r="I5347" s="200" t="s">
        <v>2951</v>
      </c>
    </row>
    <row r="5348" spans="1:9" ht="15" customHeight="1">
      <c r="A5348" s="199">
        <v>45736</v>
      </c>
      <c r="B5348" s="202" t="s">
        <v>2954</v>
      </c>
      <c r="C5348" s="200" t="s">
        <v>307</v>
      </c>
      <c r="D5348" s="204">
        <v>-20000</v>
      </c>
      <c r="E5348" s="201">
        <v>45717</v>
      </c>
      <c r="F5348" s="200" t="s">
        <v>296</v>
      </c>
      <c r="G5348" s="200" t="s">
        <v>337</v>
      </c>
      <c r="H5348" s="200" t="s">
        <v>326</v>
      </c>
      <c r="I5348" s="200" t="s">
        <v>2951</v>
      </c>
    </row>
    <row r="5349" spans="1:9" ht="15" customHeight="1">
      <c r="A5349" s="199">
        <v>45736</v>
      </c>
      <c r="B5349" s="202" t="s">
        <v>2950</v>
      </c>
      <c r="C5349" s="200" t="s">
        <v>307</v>
      </c>
      <c r="D5349" s="204">
        <v>-150001</v>
      </c>
      <c r="E5349" s="201">
        <v>45717</v>
      </c>
      <c r="F5349" s="200" t="s">
        <v>296</v>
      </c>
      <c r="G5349" s="200" t="s">
        <v>337</v>
      </c>
      <c r="H5349" s="200" t="s">
        <v>326</v>
      </c>
      <c r="I5349" s="200" t="s">
        <v>2951</v>
      </c>
    </row>
    <row r="5350" spans="1:9" ht="15" customHeight="1">
      <c r="A5350" s="199">
        <v>45737</v>
      </c>
      <c r="B5350" s="202" t="s">
        <v>4274</v>
      </c>
      <c r="C5350" s="200" t="s">
        <v>307</v>
      </c>
      <c r="D5350" s="204">
        <v>-435500</v>
      </c>
      <c r="E5350" s="201">
        <v>45717</v>
      </c>
      <c r="F5350" s="200" t="s">
        <v>296</v>
      </c>
      <c r="G5350" s="200" t="s">
        <v>337</v>
      </c>
      <c r="H5350" s="200" t="s">
        <v>322</v>
      </c>
      <c r="I5350" s="200" t="s">
        <v>2951</v>
      </c>
    </row>
    <row r="5351" spans="1:9" ht="15" customHeight="1">
      <c r="A5351" s="199">
        <v>45737</v>
      </c>
      <c r="B5351" s="202" t="s">
        <v>2954</v>
      </c>
      <c r="C5351" s="200" t="s">
        <v>307</v>
      </c>
      <c r="D5351" s="204">
        <v>-20000</v>
      </c>
      <c r="E5351" s="201">
        <v>45717</v>
      </c>
      <c r="F5351" s="200" t="s">
        <v>296</v>
      </c>
      <c r="G5351" s="200" t="s">
        <v>337</v>
      </c>
      <c r="H5351" s="200" t="s">
        <v>326</v>
      </c>
      <c r="I5351" s="200" t="s">
        <v>2951</v>
      </c>
    </row>
    <row r="5352" spans="1:9" ht="15" customHeight="1">
      <c r="A5352" s="199">
        <v>45737</v>
      </c>
      <c r="B5352" s="202" t="s">
        <v>4275</v>
      </c>
      <c r="C5352" s="200" t="s">
        <v>307</v>
      </c>
      <c r="D5352" s="204">
        <v>-20000</v>
      </c>
      <c r="E5352" s="201">
        <v>45717</v>
      </c>
      <c r="F5352" s="200" t="s">
        <v>296</v>
      </c>
      <c r="G5352" s="200" t="s">
        <v>337</v>
      </c>
      <c r="H5352" s="200" t="s">
        <v>326</v>
      </c>
      <c r="I5352" s="200" t="s">
        <v>2951</v>
      </c>
    </row>
    <row r="5353" spans="1:9" ht="15" customHeight="1">
      <c r="A5353" s="199">
        <v>45737</v>
      </c>
      <c r="B5353" s="202" t="s">
        <v>4276</v>
      </c>
      <c r="C5353" s="200" t="s">
        <v>307</v>
      </c>
      <c r="D5353" s="204">
        <v>-30000</v>
      </c>
      <c r="E5353" s="201">
        <v>45717</v>
      </c>
      <c r="F5353" s="200" t="s">
        <v>296</v>
      </c>
      <c r="G5353" s="200" t="s">
        <v>337</v>
      </c>
      <c r="H5353" s="200" t="s">
        <v>326</v>
      </c>
      <c r="I5353" s="200" t="s">
        <v>2951</v>
      </c>
    </row>
    <row r="5354" spans="1:9" ht="15" customHeight="1">
      <c r="A5354" s="199">
        <v>45738</v>
      </c>
      <c r="B5354" s="202" t="s">
        <v>4277</v>
      </c>
      <c r="C5354" s="200" t="s">
        <v>307</v>
      </c>
      <c r="D5354" s="204">
        <v>-128000</v>
      </c>
      <c r="E5354" s="201">
        <v>45717</v>
      </c>
      <c r="F5354" s="200" t="s">
        <v>296</v>
      </c>
      <c r="G5354" s="200" t="s">
        <v>337</v>
      </c>
      <c r="H5354" s="200" t="s">
        <v>2715</v>
      </c>
      <c r="I5354" s="200" t="s">
        <v>2951</v>
      </c>
    </row>
    <row r="5355" spans="1:9" ht="15" customHeight="1">
      <c r="A5355" s="199">
        <v>45733</v>
      </c>
      <c r="B5355" s="202" t="s">
        <v>4278</v>
      </c>
      <c r="C5355" s="200" t="s">
        <v>307</v>
      </c>
      <c r="D5355" s="204">
        <v>-13500</v>
      </c>
      <c r="E5355" s="201">
        <v>45717</v>
      </c>
      <c r="F5355" s="200" t="s">
        <v>296</v>
      </c>
      <c r="G5355" s="200" t="s">
        <v>44</v>
      </c>
      <c r="H5355" s="200" t="s">
        <v>488</v>
      </c>
      <c r="I5355" s="200" t="s">
        <v>3500</v>
      </c>
    </row>
    <row r="5356" spans="1:9" ht="15" customHeight="1">
      <c r="A5356" s="199">
        <v>45733</v>
      </c>
      <c r="B5356" s="202" t="s">
        <v>4279</v>
      </c>
      <c r="C5356" s="200" t="s">
        <v>307</v>
      </c>
      <c r="D5356" s="204">
        <v>-40000</v>
      </c>
      <c r="E5356" s="201">
        <v>45717</v>
      </c>
      <c r="F5356" s="200" t="s">
        <v>296</v>
      </c>
      <c r="G5356" s="200" t="s">
        <v>44</v>
      </c>
      <c r="H5356" s="200" t="s">
        <v>326</v>
      </c>
      <c r="I5356" s="200" t="s">
        <v>3500</v>
      </c>
    </row>
    <row r="5357" spans="1:9" ht="15" customHeight="1">
      <c r="A5357" s="199">
        <v>45736</v>
      </c>
      <c r="B5357" s="202" t="s">
        <v>4280</v>
      </c>
      <c r="C5357" s="200" t="s">
        <v>307</v>
      </c>
      <c r="D5357" s="204">
        <v>-533000</v>
      </c>
      <c r="E5357" s="201">
        <v>45717</v>
      </c>
      <c r="F5357" s="200" t="s">
        <v>296</v>
      </c>
      <c r="G5357" s="200" t="s">
        <v>44</v>
      </c>
      <c r="H5357" s="200" t="s">
        <v>1079</v>
      </c>
      <c r="I5357" s="200" t="s">
        <v>3500</v>
      </c>
    </row>
    <row r="5358" spans="1:9" ht="15" customHeight="1">
      <c r="A5358" s="199">
        <v>45736</v>
      </c>
      <c r="B5358" s="202" t="s">
        <v>4281</v>
      </c>
      <c r="C5358" s="200" t="s">
        <v>307</v>
      </c>
      <c r="D5358" s="204">
        <v>-20003</v>
      </c>
      <c r="E5358" s="201">
        <v>45717</v>
      </c>
      <c r="F5358" s="200" t="s">
        <v>296</v>
      </c>
      <c r="G5358" s="200" t="s">
        <v>1825</v>
      </c>
      <c r="H5358" s="200" t="s">
        <v>421</v>
      </c>
      <c r="I5358" s="200" t="s">
        <v>3500</v>
      </c>
    </row>
    <row r="5359" spans="1:9" ht="15" customHeight="1">
      <c r="A5359" s="199">
        <v>45736</v>
      </c>
      <c r="B5359" s="202" t="s">
        <v>4282</v>
      </c>
      <c r="C5359" s="200" t="s">
        <v>307</v>
      </c>
      <c r="D5359" s="204">
        <v>-50000</v>
      </c>
      <c r="E5359" s="201">
        <v>45717</v>
      </c>
      <c r="F5359" s="200" t="s">
        <v>296</v>
      </c>
      <c r="G5359" s="200" t="s">
        <v>44</v>
      </c>
      <c r="H5359" s="200" t="s">
        <v>326</v>
      </c>
      <c r="I5359" s="200" t="s">
        <v>3500</v>
      </c>
    </row>
    <row r="5360" spans="1:9" ht="15" customHeight="1">
      <c r="A5360" s="199">
        <v>45741</v>
      </c>
      <c r="B5360" s="202" t="s">
        <v>4283</v>
      </c>
      <c r="C5360" s="200" t="s">
        <v>307</v>
      </c>
      <c r="D5360" s="204">
        <v>-13000</v>
      </c>
      <c r="E5360" s="201">
        <v>45717</v>
      </c>
      <c r="F5360" s="200" t="s">
        <v>296</v>
      </c>
      <c r="G5360" s="200" t="s">
        <v>1825</v>
      </c>
      <c r="H5360" s="200" t="s">
        <v>488</v>
      </c>
      <c r="I5360" s="200" t="s">
        <v>3500</v>
      </c>
    </row>
    <row r="5361" spans="1:10" ht="15" customHeight="1">
      <c r="A5361" s="199">
        <v>45742</v>
      </c>
      <c r="B5361" s="202" t="s">
        <v>4284</v>
      </c>
      <c r="C5361" s="200" t="s">
        <v>307</v>
      </c>
      <c r="D5361" s="204">
        <v>-18000</v>
      </c>
      <c r="E5361" s="201">
        <v>45717</v>
      </c>
      <c r="F5361" s="200" t="s">
        <v>296</v>
      </c>
      <c r="G5361" s="200" t="s">
        <v>1825</v>
      </c>
      <c r="H5361" s="200" t="s">
        <v>322</v>
      </c>
      <c r="I5361" s="200" t="s">
        <v>3500</v>
      </c>
    </row>
    <row r="5362" spans="1:10" ht="15" customHeight="1">
      <c r="A5362" s="199">
        <v>45742</v>
      </c>
      <c r="B5362" s="202" t="s">
        <v>4285</v>
      </c>
      <c r="C5362" s="200" t="s">
        <v>307</v>
      </c>
      <c r="D5362" s="204">
        <v>-280600</v>
      </c>
      <c r="E5362" s="201">
        <v>45717</v>
      </c>
      <c r="F5362" s="200" t="s">
        <v>296</v>
      </c>
      <c r="G5362" s="200" t="s">
        <v>1825</v>
      </c>
      <c r="H5362" s="200" t="s">
        <v>1079</v>
      </c>
      <c r="I5362" s="200" t="s">
        <v>3500</v>
      </c>
    </row>
    <row r="5363" spans="1:10" ht="15" customHeight="1">
      <c r="A5363" s="199">
        <v>45742</v>
      </c>
      <c r="B5363" s="202" t="s">
        <v>4282</v>
      </c>
      <c r="C5363" s="200" t="s">
        <v>307</v>
      </c>
      <c r="D5363" s="204">
        <v>-150011</v>
      </c>
      <c r="E5363" s="201">
        <v>45717</v>
      </c>
      <c r="F5363" s="200" t="s">
        <v>296</v>
      </c>
      <c r="G5363" s="200" t="s">
        <v>44</v>
      </c>
      <c r="H5363" s="200" t="s">
        <v>326</v>
      </c>
      <c r="I5363" s="200" t="s">
        <v>3500</v>
      </c>
    </row>
    <row r="5364" spans="1:10" ht="15" customHeight="1">
      <c r="A5364" s="199">
        <v>45743</v>
      </c>
      <c r="B5364" s="202" t="s">
        <v>4286</v>
      </c>
      <c r="C5364" s="200" t="s">
        <v>307</v>
      </c>
      <c r="D5364" s="204">
        <v>-10000</v>
      </c>
      <c r="E5364" s="201">
        <v>45717</v>
      </c>
      <c r="F5364" s="200" t="s">
        <v>296</v>
      </c>
      <c r="G5364" s="200" t="s">
        <v>44</v>
      </c>
      <c r="H5364" s="200" t="s">
        <v>326</v>
      </c>
      <c r="I5364" s="200" t="s">
        <v>3500</v>
      </c>
    </row>
    <row r="5365" spans="1:10" ht="15" customHeight="1">
      <c r="A5365" s="199">
        <v>45743</v>
      </c>
      <c r="B5365" s="202" t="s">
        <v>4287</v>
      </c>
      <c r="C5365" s="200" t="s">
        <v>307</v>
      </c>
      <c r="D5365" s="204">
        <v>-27100</v>
      </c>
      <c r="E5365" s="201">
        <v>45717</v>
      </c>
      <c r="F5365" s="200" t="s">
        <v>296</v>
      </c>
      <c r="G5365" s="200" t="s">
        <v>44</v>
      </c>
      <c r="H5365" s="200" t="s">
        <v>811</v>
      </c>
      <c r="I5365" s="200" t="s">
        <v>3500</v>
      </c>
    </row>
    <row r="5366" spans="1:10" ht="15" customHeight="1">
      <c r="A5366" s="199">
        <v>45744</v>
      </c>
      <c r="B5366" s="202" t="s">
        <v>4288</v>
      </c>
      <c r="C5366" s="200" t="s">
        <v>307</v>
      </c>
      <c r="D5366" s="204">
        <v>-40000</v>
      </c>
      <c r="E5366" s="201">
        <v>45717</v>
      </c>
      <c r="F5366" s="200" t="s">
        <v>296</v>
      </c>
      <c r="G5366" s="200" t="s">
        <v>44</v>
      </c>
      <c r="H5366" s="200" t="s">
        <v>326</v>
      </c>
      <c r="I5366" s="648" t="s">
        <v>329</v>
      </c>
      <c r="J5366" s="184" t="s">
        <v>4289</v>
      </c>
    </row>
    <row r="5367" spans="1:10" ht="15" customHeight="1">
      <c r="A5367" s="199">
        <v>45724</v>
      </c>
      <c r="B5367" s="202" t="s">
        <v>4290</v>
      </c>
      <c r="C5367" s="200" t="s">
        <v>307</v>
      </c>
      <c r="D5367" s="204">
        <v>-20000</v>
      </c>
      <c r="E5367" s="201">
        <v>45717</v>
      </c>
      <c r="F5367" s="200" t="s">
        <v>296</v>
      </c>
      <c r="G5367" s="200" t="s">
        <v>522</v>
      </c>
      <c r="H5367" s="200" t="s">
        <v>326</v>
      </c>
      <c r="I5367" s="200" t="s">
        <v>2962</v>
      </c>
    </row>
    <row r="5368" spans="1:10" ht="15" customHeight="1">
      <c r="A5368" s="199">
        <v>45724</v>
      </c>
      <c r="B5368" s="202" t="s">
        <v>4291</v>
      </c>
      <c r="C5368" s="200" t="s">
        <v>307</v>
      </c>
      <c r="D5368" s="204">
        <v>-20000</v>
      </c>
      <c r="E5368" s="201">
        <v>45717</v>
      </c>
      <c r="F5368" s="200" t="s">
        <v>296</v>
      </c>
      <c r="G5368" s="200" t="s">
        <v>522</v>
      </c>
      <c r="H5368" s="200" t="s">
        <v>326</v>
      </c>
      <c r="I5368" s="200" t="s">
        <v>2962</v>
      </c>
    </row>
    <row r="5369" spans="1:10" ht="15" customHeight="1">
      <c r="A5369" s="199">
        <v>45726</v>
      </c>
      <c r="B5369" s="202" t="s">
        <v>1709</v>
      </c>
      <c r="C5369" s="200" t="s">
        <v>307</v>
      </c>
      <c r="D5369" s="204">
        <v>-70003</v>
      </c>
      <c r="E5369" s="201">
        <v>45717</v>
      </c>
      <c r="F5369" s="200" t="s">
        <v>296</v>
      </c>
      <c r="G5369" s="200" t="s">
        <v>522</v>
      </c>
      <c r="H5369" s="200" t="s">
        <v>429</v>
      </c>
      <c r="I5369" s="200" t="s">
        <v>2962</v>
      </c>
    </row>
    <row r="5370" spans="1:10" ht="15" customHeight="1">
      <c r="A5370" s="199">
        <v>45726</v>
      </c>
      <c r="B5370" s="202" t="s">
        <v>4292</v>
      </c>
      <c r="C5370" s="200" t="s">
        <v>307</v>
      </c>
      <c r="D5370" s="204">
        <v>-40029</v>
      </c>
      <c r="E5370" s="201">
        <v>45717</v>
      </c>
      <c r="F5370" s="200" t="s">
        <v>296</v>
      </c>
      <c r="G5370" s="200" t="s">
        <v>522</v>
      </c>
      <c r="H5370" s="200" t="s">
        <v>429</v>
      </c>
      <c r="I5370" s="200" t="s">
        <v>2962</v>
      </c>
    </row>
    <row r="5371" spans="1:10" ht="15" customHeight="1">
      <c r="A5371" s="199">
        <v>45727</v>
      </c>
      <c r="B5371" s="202" t="s">
        <v>2637</v>
      </c>
      <c r="C5371" s="200" t="s">
        <v>307</v>
      </c>
      <c r="D5371" s="204">
        <v>-30000</v>
      </c>
      <c r="E5371" s="201">
        <v>45717</v>
      </c>
      <c r="F5371" s="200" t="s">
        <v>296</v>
      </c>
      <c r="G5371" s="200" t="s">
        <v>522</v>
      </c>
      <c r="H5371" s="200" t="s">
        <v>326</v>
      </c>
      <c r="I5371" s="200" t="s">
        <v>2962</v>
      </c>
    </row>
    <row r="5372" spans="1:10" ht="15" customHeight="1">
      <c r="A5372" s="199">
        <v>45730</v>
      </c>
      <c r="B5372" s="202" t="s">
        <v>4293</v>
      </c>
      <c r="C5372" s="200" t="s">
        <v>307</v>
      </c>
      <c r="D5372" s="204">
        <v>-1262500</v>
      </c>
      <c r="E5372" s="201">
        <v>45717</v>
      </c>
      <c r="F5372" s="200" t="s">
        <v>296</v>
      </c>
      <c r="G5372" s="200" t="s">
        <v>522</v>
      </c>
      <c r="H5372" s="200" t="s">
        <v>488</v>
      </c>
      <c r="I5372" s="200" t="s">
        <v>2962</v>
      </c>
    </row>
    <row r="5373" spans="1:10" ht="15" customHeight="1">
      <c r="A5373" s="199">
        <v>45730</v>
      </c>
      <c r="B5373" s="202" t="s">
        <v>4294</v>
      </c>
      <c r="C5373" s="200" t="s">
        <v>307</v>
      </c>
      <c r="D5373" s="204">
        <v>-148062</v>
      </c>
      <c r="E5373" s="201">
        <v>45717</v>
      </c>
      <c r="F5373" s="200" t="s">
        <v>296</v>
      </c>
      <c r="G5373" s="200" t="s">
        <v>522</v>
      </c>
      <c r="H5373" s="200" t="s">
        <v>326</v>
      </c>
      <c r="I5373" s="200" t="s">
        <v>2962</v>
      </c>
    </row>
    <row r="5374" spans="1:10" ht="15" customHeight="1">
      <c r="A5374" s="199">
        <v>45733</v>
      </c>
      <c r="B5374" s="202" t="s">
        <v>4295</v>
      </c>
      <c r="C5374" s="200" t="s">
        <v>307</v>
      </c>
      <c r="D5374" s="204">
        <v>-15000</v>
      </c>
      <c r="E5374" s="201">
        <v>45717</v>
      </c>
      <c r="F5374" s="200" t="s">
        <v>296</v>
      </c>
      <c r="G5374" s="200" t="s">
        <v>807</v>
      </c>
      <c r="H5374" s="200" t="s">
        <v>490</v>
      </c>
      <c r="I5374" s="200" t="s">
        <v>2962</v>
      </c>
    </row>
    <row r="5375" spans="1:10" ht="15" customHeight="1">
      <c r="A5375" s="199">
        <v>45733</v>
      </c>
      <c r="B5375" s="202" t="s">
        <v>2637</v>
      </c>
      <c r="C5375" s="200" t="s">
        <v>307</v>
      </c>
      <c r="D5375" s="204">
        <v>-40000</v>
      </c>
      <c r="E5375" s="201">
        <v>45717</v>
      </c>
      <c r="F5375" s="200" t="s">
        <v>296</v>
      </c>
      <c r="G5375" s="200" t="s">
        <v>522</v>
      </c>
      <c r="H5375" s="200" t="s">
        <v>326</v>
      </c>
      <c r="I5375" s="200" t="s">
        <v>2962</v>
      </c>
    </row>
    <row r="5376" spans="1:10" ht="15" customHeight="1">
      <c r="A5376" s="199">
        <v>45733</v>
      </c>
      <c r="B5376" s="202" t="s">
        <v>4296</v>
      </c>
      <c r="C5376" s="200" t="s">
        <v>307</v>
      </c>
      <c r="D5376" s="204">
        <v>-170000</v>
      </c>
      <c r="E5376" s="201">
        <v>45717</v>
      </c>
      <c r="F5376" s="200" t="s">
        <v>296</v>
      </c>
      <c r="G5376" s="200" t="s">
        <v>522</v>
      </c>
      <c r="H5376" s="200" t="s">
        <v>326</v>
      </c>
      <c r="I5376" s="200" t="s">
        <v>2962</v>
      </c>
    </row>
    <row r="5377" spans="1:9" ht="15" customHeight="1">
      <c r="A5377" s="199">
        <v>45733</v>
      </c>
      <c r="B5377" s="202" t="s">
        <v>4297</v>
      </c>
      <c r="C5377" s="200" t="s">
        <v>307</v>
      </c>
      <c r="D5377" s="204">
        <v>-80000</v>
      </c>
      <c r="E5377" s="201">
        <v>45717</v>
      </c>
      <c r="F5377" s="200" t="s">
        <v>296</v>
      </c>
      <c r="G5377" s="200" t="s">
        <v>522</v>
      </c>
      <c r="H5377" s="200" t="s">
        <v>326</v>
      </c>
      <c r="I5377" s="200" t="s">
        <v>2962</v>
      </c>
    </row>
    <row r="5378" spans="1:9" ht="15" customHeight="1">
      <c r="A5378" s="199">
        <v>45734</v>
      </c>
      <c r="B5378" s="202" t="s">
        <v>4292</v>
      </c>
      <c r="C5378" s="200" t="s">
        <v>307</v>
      </c>
      <c r="D5378" s="204">
        <v>-40088</v>
      </c>
      <c r="E5378" s="201">
        <v>45717</v>
      </c>
      <c r="F5378" s="200" t="s">
        <v>296</v>
      </c>
      <c r="G5378" s="200" t="s">
        <v>807</v>
      </c>
      <c r="H5378" s="200" t="s">
        <v>490</v>
      </c>
      <c r="I5378" s="200" t="s">
        <v>2962</v>
      </c>
    </row>
    <row r="5379" spans="1:9" ht="15" customHeight="1">
      <c r="A5379" s="199">
        <v>45734</v>
      </c>
      <c r="B5379" s="202" t="s">
        <v>4294</v>
      </c>
      <c r="C5379" s="200" t="s">
        <v>307</v>
      </c>
      <c r="D5379" s="204">
        <v>-120018</v>
      </c>
      <c r="E5379" s="201">
        <v>45717</v>
      </c>
      <c r="F5379" s="200" t="s">
        <v>296</v>
      </c>
      <c r="G5379" s="200" t="s">
        <v>807</v>
      </c>
      <c r="H5379" s="200" t="s">
        <v>326</v>
      </c>
      <c r="I5379" s="200" t="s">
        <v>2962</v>
      </c>
    </row>
    <row r="5380" spans="1:9" ht="15" customHeight="1">
      <c r="A5380" s="199">
        <v>45736</v>
      </c>
      <c r="B5380" s="202" t="s">
        <v>2637</v>
      </c>
      <c r="C5380" s="200" t="s">
        <v>307</v>
      </c>
      <c r="D5380" s="204">
        <v>-23000</v>
      </c>
      <c r="E5380" s="201">
        <v>45717</v>
      </c>
      <c r="F5380" s="200" t="s">
        <v>296</v>
      </c>
      <c r="G5380" s="200" t="s">
        <v>522</v>
      </c>
      <c r="H5380" s="200" t="s">
        <v>326</v>
      </c>
      <c r="I5380" s="200" t="s">
        <v>2962</v>
      </c>
    </row>
    <row r="5381" spans="1:9" ht="15" customHeight="1">
      <c r="A5381" s="199">
        <v>45737</v>
      </c>
      <c r="B5381" s="202" t="s">
        <v>1892</v>
      </c>
      <c r="C5381" s="200" t="s">
        <v>307</v>
      </c>
      <c r="D5381" s="204">
        <v>-14500</v>
      </c>
      <c r="E5381" s="201">
        <v>45717</v>
      </c>
      <c r="F5381" s="200" t="s">
        <v>296</v>
      </c>
      <c r="G5381" s="200" t="s">
        <v>807</v>
      </c>
      <c r="H5381" s="200" t="s">
        <v>326</v>
      </c>
      <c r="I5381" s="200" t="s">
        <v>2962</v>
      </c>
    </row>
    <row r="5382" spans="1:9" ht="15" customHeight="1">
      <c r="A5382" s="199">
        <v>45737</v>
      </c>
      <c r="B5382" s="202" t="s">
        <v>4294</v>
      </c>
      <c r="C5382" s="200" t="s">
        <v>307</v>
      </c>
      <c r="D5382" s="204">
        <v>-135023</v>
      </c>
      <c r="E5382" s="201">
        <v>45717</v>
      </c>
      <c r="F5382" s="200" t="s">
        <v>296</v>
      </c>
      <c r="G5382" s="200" t="s">
        <v>807</v>
      </c>
      <c r="H5382" s="200" t="s">
        <v>326</v>
      </c>
      <c r="I5382" s="200" t="s">
        <v>2962</v>
      </c>
    </row>
    <row r="5383" spans="1:9" ht="15" customHeight="1">
      <c r="A5383" s="199">
        <v>45737</v>
      </c>
      <c r="B5383" s="202" t="s">
        <v>4298</v>
      </c>
      <c r="C5383" s="200" t="s">
        <v>307</v>
      </c>
      <c r="D5383" s="204">
        <v>-359000</v>
      </c>
      <c r="E5383" s="201">
        <v>45717</v>
      </c>
      <c r="F5383" s="200" t="s">
        <v>296</v>
      </c>
      <c r="G5383" s="200" t="s">
        <v>807</v>
      </c>
      <c r="H5383" s="200" t="s">
        <v>490</v>
      </c>
      <c r="I5383" s="200" t="s">
        <v>2962</v>
      </c>
    </row>
    <row r="5384" spans="1:9" ht="15" customHeight="1">
      <c r="A5384" s="199">
        <v>45740</v>
      </c>
      <c r="B5384" s="202" t="s">
        <v>2637</v>
      </c>
      <c r="C5384" s="200" t="s">
        <v>307</v>
      </c>
      <c r="D5384" s="204">
        <v>-30000</v>
      </c>
      <c r="E5384" s="201">
        <v>45717</v>
      </c>
      <c r="F5384" s="200" t="s">
        <v>296</v>
      </c>
      <c r="G5384" s="200" t="s">
        <v>807</v>
      </c>
      <c r="H5384" s="200" t="s">
        <v>326</v>
      </c>
      <c r="I5384" s="200" t="s">
        <v>2962</v>
      </c>
    </row>
    <row r="5385" spans="1:9" ht="15" customHeight="1">
      <c r="A5385" s="199">
        <v>45740</v>
      </c>
      <c r="B5385" s="202" t="s">
        <v>4299</v>
      </c>
      <c r="C5385" s="200" t="s">
        <v>307</v>
      </c>
      <c r="D5385" s="204">
        <v>-60000</v>
      </c>
      <c r="E5385" s="201">
        <v>45717</v>
      </c>
      <c r="F5385" s="200" t="s">
        <v>296</v>
      </c>
      <c r="G5385" s="200" t="s">
        <v>522</v>
      </c>
      <c r="H5385" s="200" t="s">
        <v>326</v>
      </c>
      <c r="I5385" s="200" t="s">
        <v>2962</v>
      </c>
    </row>
    <row r="5386" spans="1:9" ht="15" customHeight="1">
      <c r="A5386" s="199">
        <v>45742</v>
      </c>
      <c r="B5386" s="202" t="s">
        <v>4300</v>
      </c>
      <c r="C5386" s="200" t="s">
        <v>307</v>
      </c>
      <c r="D5386" s="204">
        <v>-10500</v>
      </c>
      <c r="E5386" s="201">
        <v>45717</v>
      </c>
      <c r="F5386" s="200" t="s">
        <v>296</v>
      </c>
      <c r="G5386" s="200" t="s">
        <v>522</v>
      </c>
      <c r="H5386" s="200" t="s">
        <v>429</v>
      </c>
      <c r="I5386" s="200" t="s">
        <v>2962</v>
      </c>
    </row>
    <row r="5387" spans="1:9" ht="15" customHeight="1">
      <c r="A5387" s="199">
        <v>45744</v>
      </c>
      <c r="B5387" s="202" t="s">
        <v>2637</v>
      </c>
      <c r="C5387" s="200" t="s">
        <v>307</v>
      </c>
      <c r="D5387" s="204">
        <v>-40000</v>
      </c>
      <c r="E5387" s="201">
        <v>45717</v>
      </c>
      <c r="F5387" s="200" t="s">
        <v>296</v>
      </c>
      <c r="G5387" s="200" t="s">
        <v>522</v>
      </c>
      <c r="H5387" s="200" t="s">
        <v>326</v>
      </c>
      <c r="I5387" s="200" t="s">
        <v>2962</v>
      </c>
    </row>
    <row r="5388" spans="1:9" ht="15" customHeight="1">
      <c r="A5388" s="199">
        <v>45744</v>
      </c>
      <c r="B5388" s="202" t="s">
        <v>4301</v>
      </c>
      <c r="C5388" s="200" t="s">
        <v>307</v>
      </c>
      <c r="D5388" s="204">
        <v>-187000</v>
      </c>
      <c r="E5388" s="201">
        <v>45717</v>
      </c>
      <c r="F5388" s="200" t="s">
        <v>296</v>
      </c>
      <c r="G5388" s="200" t="s">
        <v>522</v>
      </c>
      <c r="H5388" s="200" t="s">
        <v>488</v>
      </c>
      <c r="I5388" s="200" t="s">
        <v>2962</v>
      </c>
    </row>
    <row r="5389" spans="1:9" ht="15" customHeight="1">
      <c r="A5389" s="199">
        <v>45744</v>
      </c>
      <c r="B5389" s="202" t="s">
        <v>4302</v>
      </c>
      <c r="C5389" s="200" t="s">
        <v>307</v>
      </c>
      <c r="D5389" s="204">
        <v>-185000</v>
      </c>
      <c r="E5389" s="201">
        <v>45717</v>
      </c>
      <c r="F5389" s="200" t="s">
        <v>296</v>
      </c>
      <c r="G5389" s="200" t="s">
        <v>522</v>
      </c>
      <c r="H5389" s="200" t="s">
        <v>429</v>
      </c>
      <c r="I5389" s="200" t="s">
        <v>2962</v>
      </c>
    </row>
    <row r="5390" spans="1:9" ht="15" customHeight="1">
      <c r="A5390" s="199">
        <v>45744</v>
      </c>
      <c r="B5390" s="202" t="s">
        <v>4303</v>
      </c>
      <c r="C5390" s="200" t="s">
        <v>307</v>
      </c>
      <c r="D5390" s="204">
        <v>-20000</v>
      </c>
      <c r="E5390" s="201">
        <v>45717</v>
      </c>
      <c r="F5390" s="200" t="s">
        <v>296</v>
      </c>
      <c r="G5390" s="200" t="s">
        <v>807</v>
      </c>
      <c r="H5390" s="200" t="s">
        <v>326</v>
      </c>
      <c r="I5390" s="200" t="s">
        <v>2962</v>
      </c>
    </row>
    <row r="5391" spans="1:9" ht="15" customHeight="1">
      <c r="A5391" s="199">
        <v>45742</v>
      </c>
      <c r="B5391" s="202" t="s">
        <v>4304</v>
      </c>
      <c r="C5391" s="200" t="s">
        <v>307</v>
      </c>
      <c r="D5391" s="204">
        <v>-37000</v>
      </c>
      <c r="E5391" s="201">
        <v>45717</v>
      </c>
      <c r="F5391" s="200" t="s">
        <v>296</v>
      </c>
      <c r="G5391" s="200" t="s">
        <v>1980</v>
      </c>
      <c r="H5391" s="200" t="s">
        <v>326</v>
      </c>
      <c r="I5391" s="200" t="s">
        <v>2951</v>
      </c>
    </row>
    <row r="5392" spans="1:9" ht="15" customHeight="1">
      <c r="A5392" s="199">
        <v>45742</v>
      </c>
      <c r="B5392" s="202" t="s">
        <v>4305</v>
      </c>
      <c r="C5392" s="200" t="s">
        <v>307</v>
      </c>
      <c r="D5392" s="204">
        <v>-888100</v>
      </c>
      <c r="E5392" s="201">
        <v>45717</v>
      </c>
      <c r="F5392" s="200" t="s">
        <v>296</v>
      </c>
      <c r="G5392" s="200" t="s">
        <v>1980</v>
      </c>
      <c r="H5392" s="200" t="s">
        <v>1079</v>
      </c>
      <c r="I5392" s="200" t="s">
        <v>2951</v>
      </c>
    </row>
    <row r="5393" spans="1:9" ht="15" customHeight="1">
      <c r="A5393" s="199">
        <v>45742</v>
      </c>
      <c r="B5393" s="202" t="s">
        <v>4306</v>
      </c>
      <c r="C5393" s="200" t="s">
        <v>307</v>
      </c>
      <c r="D5393" s="204">
        <v>-35000</v>
      </c>
      <c r="E5393" s="201">
        <v>45717</v>
      </c>
      <c r="F5393" s="200" t="s">
        <v>296</v>
      </c>
      <c r="G5393" s="200" t="s">
        <v>1980</v>
      </c>
      <c r="H5393" s="200" t="s">
        <v>322</v>
      </c>
      <c r="I5393" s="200" t="s">
        <v>2951</v>
      </c>
    </row>
    <row r="5394" spans="1:9" ht="15" customHeight="1">
      <c r="A5394" s="199">
        <v>45742</v>
      </c>
      <c r="B5394" s="202" t="s">
        <v>4307</v>
      </c>
      <c r="C5394" s="200" t="s">
        <v>307</v>
      </c>
      <c r="D5394" s="204">
        <v>-2500</v>
      </c>
      <c r="E5394" s="201">
        <v>45717</v>
      </c>
      <c r="F5394" s="200" t="s">
        <v>296</v>
      </c>
      <c r="G5394" s="200" t="s">
        <v>1980</v>
      </c>
      <c r="H5394" s="200" t="s">
        <v>322</v>
      </c>
      <c r="I5394" s="200" t="s">
        <v>2951</v>
      </c>
    </row>
    <row r="5395" spans="1:9" ht="15" customHeight="1">
      <c r="A5395" s="199">
        <v>45742</v>
      </c>
      <c r="B5395" s="202" t="s">
        <v>4308</v>
      </c>
      <c r="C5395" s="200" t="s">
        <v>307</v>
      </c>
      <c r="D5395" s="204">
        <v>-87200</v>
      </c>
      <c r="E5395" s="201">
        <v>45717</v>
      </c>
      <c r="F5395" s="200" t="s">
        <v>296</v>
      </c>
      <c r="G5395" s="200" t="s">
        <v>1980</v>
      </c>
      <c r="H5395" s="200" t="s">
        <v>1079</v>
      </c>
      <c r="I5395" s="200" t="s">
        <v>2951</v>
      </c>
    </row>
    <row r="5396" spans="1:9" ht="15" customHeight="1">
      <c r="A5396" s="199">
        <v>45743</v>
      </c>
      <c r="B5396" s="202" t="s">
        <v>4309</v>
      </c>
      <c r="C5396" s="200" t="s">
        <v>307</v>
      </c>
      <c r="D5396" s="204">
        <v>-96500</v>
      </c>
      <c r="E5396" s="201">
        <v>45717</v>
      </c>
      <c r="F5396" s="200" t="s">
        <v>296</v>
      </c>
      <c r="G5396" s="200" t="s">
        <v>1980</v>
      </c>
      <c r="H5396" s="200" t="s">
        <v>1079</v>
      </c>
      <c r="I5396" s="200" t="s">
        <v>2951</v>
      </c>
    </row>
    <row r="5397" spans="1:9" ht="15" customHeight="1">
      <c r="A5397" s="199">
        <v>45743</v>
      </c>
      <c r="B5397" s="202" t="s">
        <v>4310</v>
      </c>
      <c r="C5397" s="200" t="s">
        <v>307</v>
      </c>
      <c r="D5397" s="204">
        <v>-100000</v>
      </c>
      <c r="E5397" s="201">
        <v>45717</v>
      </c>
      <c r="F5397" s="200" t="s">
        <v>296</v>
      </c>
      <c r="G5397" s="200" t="s">
        <v>1980</v>
      </c>
      <c r="H5397" s="200" t="s">
        <v>326</v>
      </c>
      <c r="I5397" s="200" t="s">
        <v>2951</v>
      </c>
    </row>
    <row r="5398" spans="1:9" ht="15" customHeight="1">
      <c r="A5398" s="199">
        <v>45743</v>
      </c>
      <c r="B5398" s="202" t="s">
        <v>4311</v>
      </c>
      <c r="C5398" s="200" t="s">
        <v>307</v>
      </c>
      <c r="D5398" s="204">
        <v>-4800</v>
      </c>
      <c r="E5398" s="201">
        <v>45717</v>
      </c>
      <c r="F5398" s="200" t="s">
        <v>296</v>
      </c>
      <c r="G5398" s="200" t="s">
        <v>1980</v>
      </c>
      <c r="H5398" s="200" t="s">
        <v>4312</v>
      </c>
      <c r="I5398" s="200" t="s">
        <v>2951</v>
      </c>
    </row>
    <row r="5399" spans="1:9" ht="15" customHeight="1">
      <c r="A5399" s="199">
        <v>45744</v>
      </c>
      <c r="B5399" s="202" t="s">
        <v>4313</v>
      </c>
      <c r="C5399" s="200" t="s">
        <v>307</v>
      </c>
      <c r="D5399" s="204">
        <v>-30000</v>
      </c>
      <c r="E5399" s="201">
        <v>45717</v>
      </c>
      <c r="F5399" s="200" t="s">
        <v>296</v>
      </c>
      <c r="G5399" s="200" t="s">
        <v>1980</v>
      </c>
      <c r="H5399" s="200" t="s">
        <v>326</v>
      </c>
      <c r="I5399" s="200" t="s">
        <v>2951</v>
      </c>
    </row>
    <row r="5400" spans="1:9" ht="15" customHeight="1">
      <c r="A5400" s="199">
        <v>45744</v>
      </c>
      <c r="B5400" s="202" t="s">
        <v>2955</v>
      </c>
      <c r="C5400" s="200" t="s">
        <v>307</v>
      </c>
      <c r="D5400" s="204">
        <v>-17700</v>
      </c>
      <c r="E5400" s="201">
        <v>45717</v>
      </c>
      <c r="F5400" s="200" t="s">
        <v>296</v>
      </c>
      <c r="G5400" s="200" t="s">
        <v>1980</v>
      </c>
      <c r="H5400" s="200" t="s">
        <v>322</v>
      </c>
      <c r="I5400" s="200" t="s">
        <v>2951</v>
      </c>
    </row>
    <row r="5401" spans="1:9" ht="15" customHeight="1">
      <c r="A5401" s="199">
        <v>45748</v>
      </c>
      <c r="B5401" s="202" t="s">
        <v>4314</v>
      </c>
      <c r="C5401" s="200" t="s">
        <v>136</v>
      </c>
      <c r="D5401" s="642">
        <v>-186853</v>
      </c>
      <c r="E5401" s="201">
        <v>45748</v>
      </c>
      <c r="F5401" s="200" t="s">
        <v>395</v>
      </c>
      <c r="G5401" s="531" t="s">
        <v>395</v>
      </c>
      <c r="H5401" s="200" t="s">
        <v>350</v>
      </c>
      <c r="I5401" s="673"/>
    </row>
    <row r="5402" spans="1:9" ht="15" customHeight="1">
      <c r="A5402" s="199">
        <v>45748</v>
      </c>
      <c r="B5402" s="202" t="s">
        <v>4315</v>
      </c>
      <c r="C5402" s="200" t="s">
        <v>136</v>
      </c>
      <c r="D5402" s="642">
        <v>-36773</v>
      </c>
      <c r="E5402" s="201">
        <v>45748</v>
      </c>
      <c r="F5402" s="200" t="s">
        <v>395</v>
      </c>
      <c r="G5402" s="531" t="s">
        <v>395</v>
      </c>
      <c r="H5402" s="200" t="s">
        <v>350</v>
      </c>
      <c r="I5402" s="673"/>
    </row>
    <row r="5403" spans="1:9" ht="15" customHeight="1">
      <c r="A5403" s="199">
        <v>45748</v>
      </c>
      <c r="B5403" s="202" t="s">
        <v>4315</v>
      </c>
      <c r="C5403" s="200" t="s">
        <v>136</v>
      </c>
      <c r="D5403" s="642">
        <v>-309450</v>
      </c>
      <c r="E5403" s="201">
        <v>45748</v>
      </c>
      <c r="F5403" s="200" t="s">
        <v>297</v>
      </c>
      <c r="G5403" s="200" t="s">
        <v>1313</v>
      </c>
      <c r="H5403" s="200" t="s">
        <v>350</v>
      </c>
    </row>
    <row r="5404" spans="1:9" ht="15" customHeight="1">
      <c r="A5404" s="199">
        <v>45748</v>
      </c>
      <c r="B5404" s="202" t="s">
        <v>4316</v>
      </c>
      <c r="C5404" s="200" t="s">
        <v>136</v>
      </c>
      <c r="D5404" s="642">
        <v>-213120</v>
      </c>
      <c r="E5404" s="201">
        <v>45748</v>
      </c>
      <c r="F5404" s="200" t="s">
        <v>296</v>
      </c>
      <c r="G5404" s="200" t="s">
        <v>44</v>
      </c>
      <c r="H5404" s="200" t="s">
        <v>421</v>
      </c>
    </row>
    <row r="5405" spans="1:9" ht="15" customHeight="1">
      <c r="A5405" s="199">
        <v>45750</v>
      </c>
      <c r="B5405" s="202" t="s">
        <v>4317</v>
      </c>
      <c r="C5405" s="200" t="s">
        <v>136</v>
      </c>
      <c r="D5405" s="642">
        <v>-360674</v>
      </c>
      <c r="E5405" s="201">
        <v>45748</v>
      </c>
      <c r="F5405" s="200" t="s">
        <v>256</v>
      </c>
      <c r="G5405" s="200" t="s">
        <v>107</v>
      </c>
      <c r="H5405" s="200" t="s">
        <v>277</v>
      </c>
    </row>
    <row r="5406" spans="1:9" ht="15" customHeight="1">
      <c r="A5406" s="199">
        <v>45748</v>
      </c>
      <c r="B5406" s="202" t="s">
        <v>4318</v>
      </c>
      <c r="C5406" s="200" t="s">
        <v>314</v>
      </c>
      <c r="D5406" s="658">
        <v>-1950000</v>
      </c>
      <c r="E5406" s="201">
        <v>45748</v>
      </c>
      <c r="F5406" s="200" t="s">
        <v>296</v>
      </c>
      <c r="G5406" s="200" t="s">
        <v>453</v>
      </c>
      <c r="H5406" s="200" t="s">
        <v>99</v>
      </c>
    </row>
    <row r="5407" spans="1:9" ht="15" customHeight="1">
      <c r="A5407" s="199">
        <v>45748</v>
      </c>
      <c r="B5407" s="202" t="s">
        <v>4319</v>
      </c>
      <c r="C5407" s="200" t="s">
        <v>314</v>
      </c>
      <c r="D5407" s="658">
        <v>-20000</v>
      </c>
      <c r="E5407" s="201">
        <v>45748</v>
      </c>
      <c r="F5407" s="200" t="s">
        <v>256</v>
      </c>
      <c r="G5407" s="200" t="s">
        <v>256</v>
      </c>
      <c r="H5407" s="200" t="s">
        <v>9</v>
      </c>
    </row>
    <row r="5408" spans="1:9" ht="15" customHeight="1">
      <c r="A5408" s="199">
        <v>45748</v>
      </c>
      <c r="B5408" s="202" t="s">
        <v>4320</v>
      </c>
      <c r="C5408" s="200" t="s">
        <v>314</v>
      </c>
      <c r="D5408" s="658">
        <v>-10000</v>
      </c>
      <c r="E5408" s="201">
        <v>45748</v>
      </c>
      <c r="F5408" s="200" t="s">
        <v>256</v>
      </c>
      <c r="G5408" s="200" t="s">
        <v>256</v>
      </c>
      <c r="H5408" s="200" t="s">
        <v>9</v>
      </c>
    </row>
    <row r="5409" spans="1:9" ht="15" customHeight="1">
      <c r="A5409" s="199">
        <v>45748</v>
      </c>
      <c r="B5409" s="202" t="s">
        <v>4321</v>
      </c>
      <c r="C5409" s="200" t="s">
        <v>314</v>
      </c>
      <c r="D5409" s="658">
        <v>-9005927</v>
      </c>
      <c r="E5409" s="201">
        <v>45748</v>
      </c>
      <c r="F5409" s="200" t="s">
        <v>296</v>
      </c>
      <c r="G5409" s="200" t="s">
        <v>3360</v>
      </c>
      <c r="H5409" s="200" t="s">
        <v>342</v>
      </c>
    </row>
    <row r="5410" spans="1:9" ht="15" customHeight="1">
      <c r="A5410" s="199">
        <v>45748</v>
      </c>
      <c r="B5410" s="202" t="s">
        <v>4322</v>
      </c>
      <c r="C5410" s="200" t="s">
        <v>314</v>
      </c>
      <c r="D5410" s="658">
        <v>-330000</v>
      </c>
      <c r="E5410" s="201">
        <v>45748</v>
      </c>
      <c r="F5410" s="200" t="s">
        <v>296</v>
      </c>
      <c r="G5410" s="200" t="s">
        <v>1980</v>
      </c>
      <c r="H5410" s="200" t="s">
        <v>322</v>
      </c>
    </row>
    <row r="5411" spans="1:9" ht="15" customHeight="1">
      <c r="A5411" s="199">
        <v>45748</v>
      </c>
      <c r="B5411" s="202" t="s">
        <v>4323</v>
      </c>
      <c r="C5411" s="200" t="s">
        <v>314</v>
      </c>
      <c r="D5411" s="658">
        <v>-458700</v>
      </c>
      <c r="E5411" s="201">
        <v>45748</v>
      </c>
      <c r="F5411" s="200" t="s">
        <v>297</v>
      </c>
      <c r="G5411" s="200" t="s">
        <v>1578</v>
      </c>
      <c r="H5411" s="200" t="s">
        <v>342</v>
      </c>
    </row>
    <row r="5412" spans="1:9" ht="15" customHeight="1">
      <c r="A5412" s="199">
        <v>45748</v>
      </c>
      <c r="B5412" s="202" t="s">
        <v>4324</v>
      </c>
      <c r="C5412" s="200" t="s">
        <v>372</v>
      </c>
      <c r="D5412" s="204">
        <v>-13900</v>
      </c>
      <c r="E5412" s="201">
        <v>45748</v>
      </c>
      <c r="F5412" s="200" t="s">
        <v>297</v>
      </c>
      <c r="G5412" s="200" t="s">
        <v>1578</v>
      </c>
      <c r="H5412" s="200" t="s">
        <v>342</v>
      </c>
    </row>
    <row r="5413" spans="1:9" ht="15" customHeight="1">
      <c r="A5413" s="199">
        <v>45748</v>
      </c>
      <c r="B5413" s="202" t="s">
        <v>4325</v>
      </c>
      <c r="C5413" s="200" t="s">
        <v>314</v>
      </c>
      <c r="D5413" s="658">
        <v>-138040</v>
      </c>
      <c r="E5413" s="201">
        <v>45748</v>
      </c>
      <c r="F5413" s="200" t="s">
        <v>296</v>
      </c>
      <c r="G5413" s="200" t="s">
        <v>44</v>
      </c>
      <c r="H5413" s="200" t="s">
        <v>366</v>
      </c>
    </row>
    <row r="5414" spans="1:9" s="757" customFormat="1" ht="15" customHeight="1">
      <c r="A5414" s="754">
        <v>45748</v>
      </c>
      <c r="B5414" s="745" t="s">
        <v>4326</v>
      </c>
      <c r="C5414" s="745" t="s">
        <v>314</v>
      </c>
      <c r="D5414" s="755">
        <v>-541157</v>
      </c>
      <c r="E5414" s="756">
        <v>45748</v>
      </c>
      <c r="F5414" s="745" t="s">
        <v>296</v>
      </c>
      <c r="G5414" s="745" t="s">
        <v>44</v>
      </c>
      <c r="H5414" s="745" t="s">
        <v>366</v>
      </c>
      <c r="I5414" s="745"/>
    </row>
    <row r="5415" spans="1:9" ht="15" customHeight="1">
      <c r="A5415" s="199">
        <v>45742</v>
      </c>
      <c r="B5415" s="202" t="s">
        <v>4327</v>
      </c>
      <c r="C5415" s="200" t="s">
        <v>314</v>
      </c>
      <c r="D5415" s="658">
        <v>-42000</v>
      </c>
      <c r="E5415" s="201">
        <v>45748</v>
      </c>
      <c r="F5415" s="200" t="s">
        <v>296</v>
      </c>
      <c r="G5415" s="200" t="s">
        <v>1735</v>
      </c>
      <c r="H5415" s="200" t="s">
        <v>268</v>
      </c>
    </row>
    <row r="5416" spans="1:9" ht="15" customHeight="1">
      <c r="A5416" s="199">
        <v>45742</v>
      </c>
      <c r="B5416" s="202" t="s">
        <v>4328</v>
      </c>
      <c r="C5416" s="200" t="s">
        <v>314</v>
      </c>
      <c r="D5416" s="658">
        <v>-85300</v>
      </c>
      <c r="E5416" s="201">
        <v>45748</v>
      </c>
      <c r="F5416" s="200" t="s">
        <v>296</v>
      </c>
      <c r="G5416" s="200" t="s">
        <v>1735</v>
      </c>
      <c r="H5416" s="200" t="s">
        <v>350</v>
      </c>
    </row>
    <row r="5417" spans="1:9" ht="15" customHeight="1">
      <c r="A5417" s="199">
        <v>45748</v>
      </c>
      <c r="B5417" s="202" t="s">
        <v>4329</v>
      </c>
      <c r="C5417" s="200" t="s">
        <v>314</v>
      </c>
      <c r="D5417" s="658">
        <v>-700000</v>
      </c>
      <c r="E5417" s="201">
        <v>45748</v>
      </c>
      <c r="F5417" s="200" t="s">
        <v>256</v>
      </c>
      <c r="G5417" s="200" t="s">
        <v>107</v>
      </c>
      <c r="H5417" s="200" t="s">
        <v>121</v>
      </c>
    </row>
    <row r="5418" spans="1:9" ht="15" customHeight="1">
      <c r="A5418" s="199">
        <v>45748</v>
      </c>
      <c r="B5418" s="202" t="s">
        <v>4330</v>
      </c>
      <c r="C5418" s="200" t="s">
        <v>314</v>
      </c>
      <c r="D5418" s="658">
        <v>-2200000</v>
      </c>
      <c r="E5418" s="201">
        <v>45748</v>
      </c>
      <c r="F5418" s="200" t="s">
        <v>296</v>
      </c>
      <c r="G5418" s="200" t="s">
        <v>453</v>
      </c>
      <c r="H5418" s="200" t="s">
        <v>101</v>
      </c>
    </row>
    <row r="5419" spans="1:9" ht="15" customHeight="1">
      <c r="A5419" s="199">
        <v>45748</v>
      </c>
      <c r="B5419" s="202" t="s">
        <v>4331</v>
      </c>
      <c r="C5419" s="200" t="s">
        <v>314</v>
      </c>
      <c r="D5419" s="658">
        <v>-100000</v>
      </c>
      <c r="E5419" s="201">
        <v>45748</v>
      </c>
      <c r="F5419" s="200" t="s">
        <v>256</v>
      </c>
      <c r="G5419" s="200" t="s">
        <v>256</v>
      </c>
      <c r="H5419" s="200" t="s">
        <v>267</v>
      </c>
    </row>
    <row r="5420" spans="1:9" ht="15" customHeight="1">
      <c r="A5420" s="199">
        <v>45720</v>
      </c>
      <c r="B5420" s="202" t="s">
        <v>1514</v>
      </c>
      <c r="C5420" s="200" t="s">
        <v>314</v>
      </c>
      <c r="D5420" s="658">
        <v>-12500</v>
      </c>
      <c r="E5420" s="201">
        <v>45748</v>
      </c>
      <c r="F5420" s="200" t="s">
        <v>256</v>
      </c>
      <c r="G5420" s="200" t="s">
        <v>107</v>
      </c>
      <c r="H5420" s="200" t="s">
        <v>275</v>
      </c>
    </row>
    <row r="5421" spans="1:9" ht="15" customHeight="1">
      <c r="A5421" s="199">
        <v>45720</v>
      </c>
      <c r="B5421" s="202" t="s">
        <v>2119</v>
      </c>
      <c r="C5421" s="200" t="s">
        <v>314</v>
      </c>
      <c r="D5421" s="658">
        <v>-12500</v>
      </c>
      <c r="E5421" s="201">
        <v>45748</v>
      </c>
      <c r="F5421" s="200" t="s">
        <v>256</v>
      </c>
      <c r="G5421" s="200" t="s">
        <v>107</v>
      </c>
      <c r="H5421" s="200" t="s">
        <v>275</v>
      </c>
    </row>
    <row r="5422" spans="1:9" ht="15" customHeight="1">
      <c r="A5422" s="199">
        <v>45720</v>
      </c>
      <c r="B5422" s="202" t="s">
        <v>1521</v>
      </c>
      <c r="C5422" s="200" t="s">
        <v>314</v>
      </c>
      <c r="D5422" s="658">
        <v>-33481</v>
      </c>
      <c r="E5422" s="201">
        <v>45748</v>
      </c>
      <c r="F5422" s="200" t="s">
        <v>256</v>
      </c>
      <c r="G5422" s="200" t="s">
        <v>107</v>
      </c>
      <c r="H5422" s="200" t="s">
        <v>275</v>
      </c>
    </row>
    <row r="5423" spans="1:9" ht="15" customHeight="1">
      <c r="A5423" s="199">
        <v>45748</v>
      </c>
      <c r="B5423" s="202" t="s">
        <v>4332</v>
      </c>
      <c r="C5423" s="200" t="s">
        <v>314</v>
      </c>
      <c r="D5423" s="658">
        <v>-6545000</v>
      </c>
      <c r="E5423" s="201">
        <v>45748</v>
      </c>
      <c r="F5423" s="200" t="s">
        <v>296</v>
      </c>
      <c r="G5423" s="200" t="s">
        <v>453</v>
      </c>
      <c r="H5423" s="200" t="s">
        <v>102</v>
      </c>
    </row>
    <row r="5424" spans="1:9" ht="15" customHeight="1">
      <c r="A5424" s="199">
        <v>45748</v>
      </c>
      <c r="B5424" s="202" t="s">
        <v>4333</v>
      </c>
      <c r="C5424" s="200" t="s">
        <v>314</v>
      </c>
      <c r="D5424" s="658">
        <v>-142800</v>
      </c>
      <c r="E5424" s="201">
        <v>45748</v>
      </c>
      <c r="F5424" s="200" t="s">
        <v>256</v>
      </c>
      <c r="G5424" s="200" t="s">
        <v>256</v>
      </c>
      <c r="H5424" s="200" t="s">
        <v>267</v>
      </c>
    </row>
    <row r="5425" spans="1:8" ht="15" customHeight="1">
      <c r="A5425" s="199">
        <v>45748</v>
      </c>
      <c r="B5425" s="202" t="s">
        <v>4334</v>
      </c>
      <c r="C5425" s="200" t="s">
        <v>314</v>
      </c>
      <c r="D5425" s="658">
        <v>-10073334</v>
      </c>
      <c r="E5425" s="201">
        <v>45748</v>
      </c>
      <c r="F5425" s="200" t="s">
        <v>256</v>
      </c>
      <c r="G5425" s="200" t="s">
        <v>256</v>
      </c>
      <c r="H5425" s="200" t="s">
        <v>259</v>
      </c>
    </row>
    <row r="5426" spans="1:8" ht="15" customHeight="1">
      <c r="A5426" s="199">
        <v>45748</v>
      </c>
      <c r="B5426" s="202" t="s">
        <v>4335</v>
      </c>
      <c r="C5426" s="200" t="s">
        <v>314</v>
      </c>
      <c r="D5426" s="658">
        <v>-470000</v>
      </c>
      <c r="E5426" s="201">
        <v>45748</v>
      </c>
      <c r="F5426" s="200" t="s">
        <v>296</v>
      </c>
      <c r="G5426" s="200" t="s">
        <v>337</v>
      </c>
      <c r="H5426" s="200" t="s">
        <v>446</v>
      </c>
    </row>
    <row r="5427" spans="1:8" ht="15" customHeight="1">
      <c r="A5427" s="199">
        <v>45748</v>
      </c>
      <c r="B5427" s="202" t="s">
        <v>4336</v>
      </c>
      <c r="C5427" s="200" t="s">
        <v>372</v>
      </c>
      <c r="D5427" s="204">
        <v>-17047</v>
      </c>
      <c r="E5427" s="201">
        <v>45748</v>
      </c>
      <c r="F5427" s="200" t="s">
        <v>296</v>
      </c>
      <c r="G5427" s="200" t="s">
        <v>337</v>
      </c>
      <c r="H5427" s="200" t="s">
        <v>446</v>
      </c>
    </row>
    <row r="5428" spans="1:8" ht="15" customHeight="1">
      <c r="A5428" s="199">
        <v>45748</v>
      </c>
      <c r="B5428" s="202" t="s">
        <v>4335</v>
      </c>
      <c r="C5428" s="200" t="s">
        <v>314</v>
      </c>
      <c r="D5428" s="658">
        <v>-470000</v>
      </c>
      <c r="E5428" s="201">
        <v>45748</v>
      </c>
      <c r="F5428" s="200" t="s">
        <v>296</v>
      </c>
      <c r="G5428" s="200" t="s">
        <v>522</v>
      </c>
      <c r="H5428" s="200" t="s">
        <v>326</v>
      </c>
    </row>
    <row r="5429" spans="1:8" ht="15" customHeight="1">
      <c r="A5429" s="199">
        <v>45748</v>
      </c>
      <c r="B5429" s="202" t="s">
        <v>4336</v>
      </c>
      <c r="C5429" s="200" t="s">
        <v>372</v>
      </c>
      <c r="D5429" s="204">
        <v>-17047</v>
      </c>
      <c r="E5429" s="201">
        <v>45748</v>
      </c>
      <c r="F5429" s="200" t="s">
        <v>296</v>
      </c>
      <c r="G5429" s="200" t="s">
        <v>522</v>
      </c>
      <c r="H5429" s="200" t="s">
        <v>326</v>
      </c>
    </row>
    <row r="5430" spans="1:8" ht="15" customHeight="1">
      <c r="A5430" s="199">
        <v>45748</v>
      </c>
      <c r="B5430" s="202" t="s">
        <v>4335</v>
      </c>
      <c r="C5430" s="200" t="s">
        <v>314</v>
      </c>
      <c r="D5430" s="658">
        <v>-470000</v>
      </c>
      <c r="E5430" s="201">
        <v>45748</v>
      </c>
      <c r="F5430" s="200" t="s">
        <v>296</v>
      </c>
      <c r="G5430" s="200" t="s">
        <v>44</v>
      </c>
      <c r="H5430" s="200" t="s">
        <v>326</v>
      </c>
    </row>
    <row r="5431" spans="1:8" ht="15" customHeight="1">
      <c r="A5431" s="199">
        <v>45748</v>
      </c>
      <c r="B5431" s="202" t="s">
        <v>4336</v>
      </c>
      <c r="C5431" s="200" t="s">
        <v>372</v>
      </c>
      <c r="D5431" s="204">
        <v>-17047</v>
      </c>
      <c r="E5431" s="201">
        <v>45748</v>
      </c>
      <c r="F5431" s="200" t="s">
        <v>296</v>
      </c>
      <c r="G5431" s="200" t="s">
        <v>44</v>
      </c>
      <c r="H5431" s="200" t="s">
        <v>326</v>
      </c>
    </row>
    <row r="5432" spans="1:8" ht="15" customHeight="1">
      <c r="A5432" s="199">
        <v>45748</v>
      </c>
      <c r="B5432" s="202" t="s">
        <v>4337</v>
      </c>
      <c r="C5432" s="200" t="s">
        <v>314</v>
      </c>
      <c r="D5432" s="658">
        <v>-745490</v>
      </c>
      <c r="E5432" s="201">
        <v>45748</v>
      </c>
      <c r="F5432" s="200" t="s">
        <v>296</v>
      </c>
      <c r="G5432" s="200" t="s">
        <v>1735</v>
      </c>
      <c r="H5432" s="200" t="s">
        <v>364</v>
      </c>
    </row>
    <row r="5433" spans="1:8" ht="15" customHeight="1">
      <c r="A5433" s="199">
        <v>45748</v>
      </c>
      <c r="B5433" s="202" t="s">
        <v>4338</v>
      </c>
      <c r="C5433" s="200" t="s">
        <v>314</v>
      </c>
      <c r="D5433" s="658">
        <v>-2775000</v>
      </c>
      <c r="E5433" s="201">
        <v>45748</v>
      </c>
      <c r="F5433" s="200" t="s">
        <v>256</v>
      </c>
      <c r="G5433" s="200" t="s">
        <v>256</v>
      </c>
      <c r="H5433" s="200" t="s">
        <v>9</v>
      </c>
    </row>
    <row r="5434" spans="1:8" ht="15" customHeight="1">
      <c r="A5434" s="199">
        <v>45748</v>
      </c>
      <c r="B5434" s="202" t="s">
        <v>4339</v>
      </c>
      <c r="C5434" s="200" t="s">
        <v>314</v>
      </c>
      <c r="D5434" s="658">
        <v>-275000</v>
      </c>
      <c r="E5434" s="201">
        <v>45748</v>
      </c>
      <c r="F5434" s="200" t="s">
        <v>296</v>
      </c>
      <c r="G5434" s="200" t="s">
        <v>453</v>
      </c>
      <c r="H5434" s="200" t="s">
        <v>97</v>
      </c>
    </row>
    <row r="5435" spans="1:8" ht="15" customHeight="1">
      <c r="A5435" s="199">
        <v>45748</v>
      </c>
      <c r="B5435" s="202" t="s">
        <v>4340</v>
      </c>
      <c r="C5435" s="200" t="s">
        <v>314</v>
      </c>
      <c r="D5435" s="658">
        <v>-137500</v>
      </c>
      <c r="E5435" s="201">
        <v>45748</v>
      </c>
      <c r="F5435" s="200" t="s">
        <v>296</v>
      </c>
      <c r="G5435" s="200" t="s">
        <v>44</v>
      </c>
      <c r="H5435" s="200" t="s">
        <v>326</v>
      </c>
    </row>
    <row r="5436" spans="1:8" ht="15" customHeight="1">
      <c r="A5436" s="199">
        <v>45748</v>
      </c>
      <c r="B5436" s="202" t="s">
        <v>4340</v>
      </c>
      <c r="C5436" s="200" t="s">
        <v>314</v>
      </c>
      <c r="D5436" s="658">
        <v>-137500</v>
      </c>
      <c r="E5436" s="201">
        <v>45748</v>
      </c>
      <c r="F5436" s="200" t="s">
        <v>296</v>
      </c>
      <c r="G5436" s="200" t="s">
        <v>522</v>
      </c>
      <c r="H5436" s="200" t="s">
        <v>326</v>
      </c>
    </row>
    <row r="5437" spans="1:8" ht="15" customHeight="1">
      <c r="A5437" s="199">
        <v>45748</v>
      </c>
      <c r="B5437" s="202" t="s">
        <v>4341</v>
      </c>
      <c r="C5437" s="200" t="s">
        <v>314</v>
      </c>
      <c r="D5437" s="658">
        <v>-200100</v>
      </c>
      <c r="E5437" s="201">
        <v>45748</v>
      </c>
      <c r="F5437" s="200" t="s">
        <v>256</v>
      </c>
      <c r="G5437" s="200" t="s">
        <v>256</v>
      </c>
      <c r="H5437" s="200" t="s">
        <v>121</v>
      </c>
    </row>
    <row r="5438" spans="1:8" ht="15" customHeight="1">
      <c r="A5438" s="199">
        <v>45748</v>
      </c>
      <c r="B5438" s="202" t="s">
        <v>4342</v>
      </c>
      <c r="C5438" s="200" t="s">
        <v>314</v>
      </c>
      <c r="D5438" s="658">
        <v>-420000</v>
      </c>
      <c r="E5438" s="201">
        <v>45748</v>
      </c>
      <c r="F5438" s="200" t="s">
        <v>256</v>
      </c>
      <c r="G5438" s="200" t="s">
        <v>256</v>
      </c>
      <c r="H5438" s="200" t="s">
        <v>267</v>
      </c>
    </row>
    <row r="5439" spans="1:8" ht="15" customHeight="1">
      <c r="A5439" s="199">
        <v>45750</v>
      </c>
      <c r="B5439" s="202" t="s">
        <v>4343</v>
      </c>
      <c r="C5439" s="200" t="s">
        <v>314</v>
      </c>
      <c r="D5439" s="658">
        <v>-606900</v>
      </c>
      <c r="E5439" s="201">
        <v>45748</v>
      </c>
      <c r="F5439" s="200" t="s">
        <v>296</v>
      </c>
      <c r="G5439" s="200" t="s">
        <v>2994</v>
      </c>
      <c r="H5439" s="200" t="s">
        <v>386</v>
      </c>
    </row>
    <row r="5440" spans="1:8" ht="15" customHeight="1">
      <c r="A5440" s="199">
        <v>45750</v>
      </c>
      <c r="B5440" s="202" t="s">
        <v>4344</v>
      </c>
      <c r="C5440" s="200" t="s">
        <v>314</v>
      </c>
      <c r="D5440" s="658">
        <v>-198000</v>
      </c>
      <c r="E5440" s="201">
        <v>45748</v>
      </c>
      <c r="F5440" s="200" t="s">
        <v>296</v>
      </c>
      <c r="G5440" s="200" t="s">
        <v>1735</v>
      </c>
      <c r="H5440" s="200" t="s">
        <v>342</v>
      </c>
    </row>
    <row r="5441" spans="1:8" ht="15" customHeight="1">
      <c r="A5441" s="199">
        <v>45750</v>
      </c>
      <c r="B5441" s="202" t="s">
        <v>4345</v>
      </c>
      <c r="C5441" s="200" t="s">
        <v>314</v>
      </c>
      <c r="D5441" s="658">
        <v>-24454500</v>
      </c>
      <c r="E5441" s="201">
        <v>45748</v>
      </c>
      <c r="F5441" s="200" t="s">
        <v>297</v>
      </c>
      <c r="G5441" s="200" t="s">
        <v>3892</v>
      </c>
      <c r="H5441" s="200" t="s">
        <v>375</v>
      </c>
    </row>
    <row r="5442" spans="1:8" ht="15" customHeight="1">
      <c r="A5442" s="199">
        <v>45750</v>
      </c>
      <c r="B5442" s="202" t="s">
        <v>4346</v>
      </c>
      <c r="C5442" s="200" t="s">
        <v>314</v>
      </c>
      <c r="D5442" s="658">
        <v>-932017</v>
      </c>
      <c r="E5442" s="201">
        <v>45748</v>
      </c>
      <c r="F5442" s="200" t="s">
        <v>296</v>
      </c>
      <c r="G5442" s="200" t="s">
        <v>1362</v>
      </c>
      <c r="H5442" s="200" t="s">
        <v>346</v>
      </c>
    </row>
    <row r="5443" spans="1:8" ht="15" customHeight="1">
      <c r="A5443" s="199">
        <v>45750</v>
      </c>
      <c r="B5443" s="202" t="s">
        <v>4347</v>
      </c>
      <c r="C5443" s="200" t="s">
        <v>314</v>
      </c>
      <c r="D5443" s="658">
        <v>-800950</v>
      </c>
      <c r="E5443" s="201">
        <v>45748</v>
      </c>
      <c r="F5443" s="200" t="s">
        <v>296</v>
      </c>
      <c r="G5443" s="200" t="s">
        <v>1362</v>
      </c>
      <c r="H5443" s="200" t="s">
        <v>342</v>
      </c>
    </row>
    <row r="5444" spans="1:8" ht="15" customHeight="1">
      <c r="A5444" s="199">
        <v>45750</v>
      </c>
      <c r="B5444" s="202" t="s">
        <v>4348</v>
      </c>
      <c r="C5444" s="200" t="s">
        <v>372</v>
      </c>
      <c r="D5444" s="204">
        <v>-29050</v>
      </c>
      <c r="E5444" s="201">
        <v>45748</v>
      </c>
      <c r="F5444" s="200" t="s">
        <v>296</v>
      </c>
      <c r="G5444" s="200" t="s">
        <v>1362</v>
      </c>
      <c r="H5444" s="200" t="s">
        <v>342</v>
      </c>
    </row>
    <row r="5445" spans="1:8" ht="15" customHeight="1">
      <c r="A5445" s="199">
        <v>45750</v>
      </c>
      <c r="B5445" s="202" t="s">
        <v>4349</v>
      </c>
      <c r="C5445" s="200" t="s">
        <v>314</v>
      </c>
      <c r="D5445" s="658">
        <v>-1399000</v>
      </c>
      <c r="E5445" s="201">
        <v>45748</v>
      </c>
      <c r="F5445" s="200" t="s">
        <v>296</v>
      </c>
      <c r="G5445" s="200" t="s">
        <v>1124</v>
      </c>
      <c r="H5445" s="200" t="s">
        <v>342</v>
      </c>
    </row>
    <row r="5446" spans="1:8" ht="15" customHeight="1">
      <c r="A5446" s="199">
        <v>45750</v>
      </c>
      <c r="B5446" s="202" t="s">
        <v>4350</v>
      </c>
      <c r="C5446" s="200" t="s">
        <v>314</v>
      </c>
      <c r="D5446" s="658">
        <v>-566100</v>
      </c>
      <c r="E5446" s="201">
        <v>45748</v>
      </c>
      <c r="F5446" s="200" t="s">
        <v>256</v>
      </c>
      <c r="G5446" s="200" t="s">
        <v>256</v>
      </c>
      <c r="H5446" s="200" t="s">
        <v>263</v>
      </c>
    </row>
    <row r="5447" spans="1:8" ht="15" customHeight="1">
      <c r="A5447" s="199">
        <v>45750</v>
      </c>
      <c r="B5447" s="202" t="s">
        <v>4351</v>
      </c>
      <c r="C5447" s="200" t="s">
        <v>314</v>
      </c>
      <c r="D5447" s="658">
        <v>-36305</v>
      </c>
      <c r="E5447" s="201">
        <v>45748</v>
      </c>
      <c r="F5447" s="200" t="s">
        <v>256</v>
      </c>
      <c r="G5447" s="200" t="s">
        <v>256</v>
      </c>
      <c r="H5447" s="200" t="s">
        <v>263</v>
      </c>
    </row>
    <row r="5448" spans="1:8" ht="15" customHeight="1">
      <c r="A5448" s="199">
        <v>45750</v>
      </c>
      <c r="B5448" s="202" t="s">
        <v>4352</v>
      </c>
      <c r="C5448" s="200" t="s">
        <v>314</v>
      </c>
      <c r="D5448" s="658">
        <v>-1824500</v>
      </c>
      <c r="E5448" s="201">
        <v>45748</v>
      </c>
      <c r="F5448" s="200" t="s">
        <v>297</v>
      </c>
      <c r="G5448" s="200" t="s">
        <v>1578</v>
      </c>
      <c r="H5448" s="200" t="s">
        <v>1066</v>
      </c>
    </row>
    <row r="5449" spans="1:8" ht="15" customHeight="1">
      <c r="A5449" s="199">
        <v>45750</v>
      </c>
      <c r="B5449" s="202" t="s">
        <v>4353</v>
      </c>
      <c r="C5449" s="200" t="s">
        <v>372</v>
      </c>
      <c r="D5449" s="204">
        <v>-225500</v>
      </c>
      <c r="E5449" s="201">
        <v>45748</v>
      </c>
      <c r="F5449" s="200" t="s">
        <v>297</v>
      </c>
      <c r="G5449" s="200" t="s">
        <v>1578</v>
      </c>
      <c r="H5449" s="200" t="s">
        <v>1066</v>
      </c>
    </row>
    <row r="5450" spans="1:8" ht="15" customHeight="1">
      <c r="A5450" s="199">
        <v>45750</v>
      </c>
      <c r="B5450" s="202" t="s">
        <v>4354</v>
      </c>
      <c r="C5450" s="200" t="s">
        <v>314</v>
      </c>
      <c r="D5450" s="658">
        <v>-2029200</v>
      </c>
      <c r="E5450" s="201">
        <v>45748</v>
      </c>
      <c r="F5450" s="200" t="s">
        <v>297</v>
      </c>
      <c r="G5450" s="200" t="s">
        <v>1313</v>
      </c>
      <c r="H5450" s="200" t="s">
        <v>1066</v>
      </c>
    </row>
    <row r="5451" spans="1:8" ht="15" customHeight="1">
      <c r="A5451" s="199">
        <v>45750</v>
      </c>
      <c r="B5451" s="202" t="s">
        <v>4355</v>
      </c>
      <c r="C5451" s="200" t="s">
        <v>372</v>
      </c>
      <c r="D5451" s="204">
        <v>-250800</v>
      </c>
      <c r="E5451" s="201">
        <v>45748</v>
      </c>
      <c r="F5451" s="200" t="s">
        <v>297</v>
      </c>
      <c r="G5451" s="200" t="s">
        <v>1313</v>
      </c>
      <c r="H5451" s="200" t="s">
        <v>1066</v>
      </c>
    </row>
    <row r="5452" spans="1:8" ht="15" customHeight="1">
      <c r="A5452" s="199">
        <v>45750</v>
      </c>
      <c r="B5452" s="202" t="s">
        <v>4356</v>
      </c>
      <c r="C5452" s="200" t="s">
        <v>314</v>
      </c>
      <c r="D5452" s="658">
        <v>-123440</v>
      </c>
      <c r="E5452" s="201">
        <v>45748</v>
      </c>
      <c r="F5452" s="200" t="s">
        <v>297</v>
      </c>
      <c r="G5452" s="200" t="s">
        <v>1578</v>
      </c>
      <c r="H5452" s="200" t="s">
        <v>350</v>
      </c>
    </row>
    <row r="5453" spans="1:8" ht="15" customHeight="1">
      <c r="A5453" s="199">
        <v>45750</v>
      </c>
      <c r="B5453" s="202" t="s">
        <v>4357</v>
      </c>
      <c r="C5453" s="200" t="s">
        <v>314</v>
      </c>
      <c r="D5453" s="658">
        <v>-6393036</v>
      </c>
      <c r="E5453" s="201">
        <v>45748</v>
      </c>
      <c r="F5453" s="200" t="s">
        <v>256</v>
      </c>
      <c r="G5453" s="200" t="s">
        <v>256</v>
      </c>
      <c r="H5453" s="200" t="s">
        <v>257</v>
      </c>
    </row>
    <row r="5454" spans="1:8" ht="15" customHeight="1">
      <c r="A5454" s="199">
        <v>45750</v>
      </c>
      <c r="B5454" s="202" t="s">
        <v>4358</v>
      </c>
      <c r="C5454" s="200" t="s">
        <v>372</v>
      </c>
      <c r="D5454" s="204">
        <v>-194740</v>
      </c>
      <c r="E5454" s="201">
        <v>45748</v>
      </c>
      <c r="F5454" s="200" t="s">
        <v>256</v>
      </c>
      <c r="G5454" s="200" t="s">
        <v>256</v>
      </c>
      <c r="H5454" s="200" t="s">
        <v>257</v>
      </c>
    </row>
    <row r="5455" spans="1:8" ht="15" customHeight="1">
      <c r="A5455" s="199">
        <v>45750</v>
      </c>
      <c r="B5455" s="202" t="s">
        <v>4359</v>
      </c>
      <c r="C5455" s="200" t="s">
        <v>372</v>
      </c>
      <c r="D5455" s="204">
        <v>-33384</v>
      </c>
      <c r="E5455" s="201">
        <v>45748</v>
      </c>
      <c r="F5455" s="200" t="s">
        <v>256</v>
      </c>
      <c r="G5455" s="200" t="s">
        <v>256</v>
      </c>
      <c r="H5455" s="200" t="s">
        <v>257</v>
      </c>
    </row>
    <row r="5456" spans="1:8" ht="15" customHeight="1">
      <c r="A5456" s="199">
        <v>45750</v>
      </c>
      <c r="B5456" s="202" t="s">
        <v>4360</v>
      </c>
      <c r="C5456" s="200" t="s">
        <v>314</v>
      </c>
      <c r="D5456" s="658">
        <v>-500000</v>
      </c>
      <c r="E5456" s="201">
        <v>45748</v>
      </c>
      <c r="F5456" s="200" t="s">
        <v>296</v>
      </c>
      <c r="G5456" s="200" t="s">
        <v>453</v>
      </c>
      <c r="H5456" s="200" t="s">
        <v>97</v>
      </c>
    </row>
    <row r="5457" spans="1:8" ht="15" customHeight="1">
      <c r="A5457" s="199">
        <v>45750</v>
      </c>
      <c r="B5457" s="202" t="s">
        <v>4361</v>
      </c>
      <c r="C5457" s="200" t="s">
        <v>314</v>
      </c>
      <c r="D5457" s="658">
        <v>-230000</v>
      </c>
      <c r="E5457" s="201">
        <v>45748</v>
      </c>
      <c r="F5457" s="200" t="s">
        <v>296</v>
      </c>
      <c r="G5457" s="200" t="s">
        <v>2994</v>
      </c>
      <c r="H5457" s="200" t="s">
        <v>4225</v>
      </c>
    </row>
    <row r="5458" spans="1:8" ht="15" customHeight="1">
      <c r="A5458" s="199">
        <v>45750</v>
      </c>
      <c r="B5458" s="202" t="s">
        <v>4362</v>
      </c>
      <c r="C5458" s="200" t="s">
        <v>314</v>
      </c>
      <c r="D5458" s="658">
        <v>-464100</v>
      </c>
      <c r="E5458" s="201">
        <v>45748</v>
      </c>
      <c r="F5458" s="200" t="s">
        <v>297</v>
      </c>
      <c r="G5458" s="200" t="s">
        <v>3892</v>
      </c>
      <c r="H5458" s="200" t="s">
        <v>837</v>
      </c>
    </row>
    <row r="5459" spans="1:8" ht="15" customHeight="1">
      <c r="A5459" s="199">
        <v>45750</v>
      </c>
      <c r="B5459" s="202" t="s">
        <v>4363</v>
      </c>
      <c r="C5459" s="200" t="s">
        <v>314</v>
      </c>
      <c r="D5459" s="658">
        <v>-1275130</v>
      </c>
      <c r="E5459" s="201">
        <v>45748</v>
      </c>
      <c r="F5459" s="200" t="s">
        <v>297</v>
      </c>
      <c r="G5459" s="200" t="s">
        <v>1578</v>
      </c>
      <c r="H5459" s="200" t="s">
        <v>364</v>
      </c>
    </row>
    <row r="5460" spans="1:8" ht="15" customHeight="1">
      <c r="A5460" s="199">
        <v>45750</v>
      </c>
      <c r="B5460" s="202" t="s">
        <v>4364</v>
      </c>
      <c r="C5460" s="200" t="s">
        <v>372</v>
      </c>
      <c r="D5460" s="204">
        <v>-5380</v>
      </c>
      <c r="E5460" s="201">
        <v>45748</v>
      </c>
      <c r="F5460" s="200" t="s">
        <v>297</v>
      </c>
      <c r="G5460" s="200" t="s">
        <v>1578</v>
      </c>
      <c r="H5460" s="200" t="s">
        <v>364</v>
      </c>
    </row>
    <row r="5461" spans="1:8" ht="15" customHeight="1">
      <c r="A5461" s="199">
        <v>45750</v>
      </c>
      <c r="B5461" s="202" t="s">
        <v>4365</v>
      </c>
      <c r="C5461" s="200" t="s">
        <v>314</v>
      </c>
      <c r="D5461" s="658">
        <v>-114639</v>
      </c>
      <c r="E5461" s="201">
        <v>45748</v>
      </c>
      <c r="F5461" s="200" t="s">
        <v>296</v>
      </c>
      <c r="G5461" s="200" t="s">
        <v>2994</v>
      </c>
      <c r="H5461" s="200" t="s">
        <v>350</v>
      </c>
    </row>
    <row r="5462" spans="1:8" ht="15" customHeight="1">
      <c r="A5462" s="199">
        <v>45750</v>
      </c>
      <c r="B5462" s="202" t="s">
        <v>4366</v>
      </c>
      <c r="C5462" s="200" t="s">
        <v>314</v>
      </c>
      <c r="D5462" s="658">
        <v>-235875</v>
      </c>
      <c r="E5462" s="201">
        <v>45748</v>
      </c>
      <c r="F5462" s="200" t="s">
        <v>296</v>
      </c>
      <c r="G5462" s="200" t="s">
        <v>2994</v>
      </c>
      <c r="H5462" s="200" t="s">
        <v>350</v>
      </c>
    </row>
    <row r="5463" spans="1:8" ht="15" customHeight="1">
      <c r="A5463" s="199">
        <v>45750</v>
      </c>
      <c r="B5463" s="202" t="s">
        <v>4367</v>
      </c>
      <c r="C5463" s="200" t="s">
        <v>314</v>
      </c>
      <c r="D5463" s="658">
        <v>-188100</v>
      </c>
      <c r="E5463" s="201">
        <v>45748</v>
      </c>
      <c r="F5463" s="200" t="s">
        <v>297</v>
      </c>
      <c r="G5463" s="200" t="s">
        <v>75</v>
      </c>
      <c r="H5463" s="200" t="s">
        <v>857</v>
      </c>
    </row>
    <row r="5464" spans="1:8" ht="15" customHeight="1">
      <c r="A5464" s="199">
        <v>45750</v>
      </c>
      <c r="B5464" s="202" t="s">
        <v>4368</v>
      </c>
      <c r="C5464" s="200" t="s">
        <v>314</v>
      </c>
      <c r="D5464" s="658">
        <v>-145488</v>
      </c>
      <c r="E5464" s="201">
        <v>45748</v>
      </c>
      <c r="F5464" s="200" t="s">
        <v>297</v>
      </c>
      <c r="G5464" s="200" t="s">
        <v>75</v>
      </c>
      <c r="H5464" s="200" t="s">
        <v>350</v>
      </c>
    </row>
    <row r="5465" spans="1:8" ht="15" customHeight="1">
      <c r="A5465" s="199">
        <v>45750</v>
      </c>
      <c r="B5465" s="202" t="s">
        <v>4369</v>
      </c>
      <c r="C5465" s="200" t="s">
        <v>314</v>
      </c>
      <c r="D5465" s="658">
        <v>-202825</v>
      </c>
      <c r="E5465" s="201">
        <v>45748</v>
      </c>
      <c r="F5465" s="200" t="s">
        <v>395</v>
      </c>
      <c r="G5465" s="531" t="s">
        <v>395</v>
      </c>
      <c r="H5465" s="200" t="s">
        <v>350</v>
      </c>
    </row>
    <row r="5466" spans="1:8" ht="15" customHeight="1">
      <c r="A5466" s="199">
        <v>45750</v>
      </c>
      <c r="B5466" s="202" t="s">
        <v>4370</v>
      </c>
      <c r="C5466" s="200" t="s">
        <v>314</v>
      </c>
      <c r="D5466" s="658">
        <v>-1883138</v>
      </c>
      <c r="E5466" s="201">
        <v>45748</v>
      </c>
      <c r="F5466" s="200" t="s">
        <v>296</v>
      </c>
      <c r="G5466" s="200" t="s">
        <v>3360</v>
      </c>
      <c r="H5466" s="200" t="s">
        <v>837</v>
      </c>
    </row>
    <row r="5467" spans="1:8" ht="15" customHeight="1">
      <c r="A5467" s="199">
        <v>45750</v>
      </c>
      <c r="B5467" s="202" t="s">
        <v>4371</v>
      </c>
      <c r="C5467" s="200" t="s">
        <v>314</v>
      </c>
      <c r="D5467" s="658">
        <v>-2847570</v>
      </c>
      <c r="E5467" s="201">
        <v>45748</v>
      </c>
      <c r="F5467" s="200" t="s">
        <v>296</v>
      </c>
      <c r="G5467" s="200" t="s">
        <v>522</v>
      </c>
      <c r="H5467" s="200" t="s">
        <v>4372</v>
      </c>
    </row>
    <row r="5468" spans="1:8" ht="15" customHeight="1">
      <c r="A5468" s="199">
        <v>45750</v>
      </c>
      <c r="B5468" s="202" t="s">
        <v>4373</v>
      </c>
      <c r="C5468" s="200" t="s">
        <v>314</v>
      </c>
      <c r="D5468" s="658">
        <v>-533824</v>
      </c>
      <c r="E5468" s="201">
        <v>45748</v>
      </c>
      <c r="F5468" s="200" t="s">
        <v>296</v>
      </c>
      <c r="G5468" s="200" t="s">
        <v>1124</v>
      </c>
      <c r="H5468" s="200" t="s">
        <v>342</v>
      </c>
    </row>
    <row r="5469" spans="1:8" ht="15" customHeight="1">
      <c r="A5469" s="199">
        <v>45750</v>
      </c>
      <c r="B5469" s="202" t="s">
        <v>4374</v>
      </c>
      <c r="C5469" s="200" t="s">
        <v>372</v>
      </c>
      <c r="D5469" s="204">
        <v>-16176</v>
      </c>
      <c r="E5469" s="201">
        <v>45748</v>
      </c>
      <c r="F5469" s="200" t="s">
        <v>296</v>
      </c>
      <c r="G5469" s="200" t="s">
        <v>1124</v>
      </c>
      <c r="H5469" s="200" t="s">
        <v>342</v>
      </c>
    </row>
    <row r="5470" spans="1:8" ht="15" customHeight="1">
      <c r="A5470" s="199">
        <v>45750</v>
      </c>
      <c r="B5470" s="202" t="s">
        <v>4375</v>
      </c>
      <c r="C5470" s="200" t="s">
        <v>314</v>
      </c>
      <c r="D5470" s="658">
        <v>-400000</v>
      </c>
      <c r="E5470" s="201">
        <v>45748</v>
      </c>
      <c r="F5470" s="200" t="s">
        <v>256</v>
      </c>
      <c r="G5470" s="200" t="s">
        <v>256</v>
      </c>
      <c r="H5470" s="200" t="s">
        <v>258</v>
      </c>
    </row>
    <row r="5471" spans="1:8" ht="15" customHeight="1">
      <c r="A5471" s="199">
        <v>45750</v>
      </c>
      <c r="B5471" s="202" t="s">
        <v>4376</v>
      </c>
      <c r="C5471" s="200" t="s">
        <v>314</v>
      </c>
      <c r="D5471" s="658">
        <v>-1081500</v>
      </c>
      <c r="E5471" s="201">
        <v>45748</v>
      </c>
      <c r="F5471" s="200" t="s">
        <v>296</v>
      </c>
      <c r="G5471" s="200" t="s">
        <v>1362</v>
      </c>
      <c r="H5471" s="200" t="s">
        <v>342</v>
      </c>
    </row>
    <row r="5472" spans="1:8" ht="15" customHeight="1">
      <c r="A5472" s="199">
        <v>45748</v>
      </c>
      <c r="B5472" s="202" t="s">
        <v>1925</v>
      </c>
      <c r="C5472" s="200" t="s">
        <v>314</v>
      </c>
      <c r="D5472" s="658">
        <v>-38000</v>
      </c>
      <c r="E5472" s="201">
        <v>45748</v>
      </c>
      <c r="F5472" s="200" t="s">
        <v>297</v>
      </c>
      <c r="G5472" s="200" t="s">
        <v>1578</v>
      </c>
      <c r="H5472" s="200" t="s">
        <v>268</v>
      </c>
    </row>
    <row r="5473" spans="1:9" ht="15" customHeight="1">
      <c r="A5473" s="199">
        <v>45748</v>
      </c>
      <c r="B5473" s="202" t="s">
        <v>1925</v>
      </c>
      <c r="C5473" s="200" t="s">
        <v>314</v>
      </c>
      <c r="D5473" s="658">
        <v>-78000</v>
      </c>
      <c r="E5473" s="201">
        <v>45748</v>
      </c>
      <c r="F5473" s="200" t="s">
        <v>296</v>
      </c>
      <c r="G5473" s="200" t="s">
        <v>2994</v>
      </c>
      <c r="H5473" s="200" t="s">
        <v>268</v>
      </c>
    </row>
    <row r="5474" spans="1:9" ht="15" customHeight="1">
      <c r="A5474" s="199">
        <v>45748</v>
      </c>
      <c r="B5474" s="202" t="s">
        <v>1925</v>
      </c>
      <c r="C5474" s="200" t="s">
        <v>314</v>
      </c>
      <c r="D5474" s="658">
        <v>-74000</v>
      </c>
      <c r="E5474" s="201">
        <v>45748</v>
      </c>
      <c r="F5474" s="200" t="s">
        <v>297</v>
      </c>
      <c r="G5474" s="200" t="s">
        <v>1313</v>
      </c>
      <c r="H5474" s="200" t="s">
        <v>268</v>
      </c>
    </row>
    <row r="5475" spans="1:9" ht="15" customHeight="1">
      <c r="A5475" s="199">
        <v>45748</v>
      </c>
      <c r="B5475" s="202" t="s">
        <v>1925</v>
      </c>
      <c r="C5475" s="200" t="s">
        <v>314</v>
      </c>
      <c r="D5475" s="658">
        <v>-27000</v>
      </c>
      <c r="E5475" s="201">
        <v>45748</v>
      </c>
      <c r="F5475" s="200" t="s">
        <v>395</v>
      </c>
      <c r="G5475" s="531" t="s">
        <v>395</v>
      </c>
      <c r="H5475" s="200" t="s">
        <v>268</v>
      </c>
      <c r="I5475" s="673"/>
    </row>
    <row r="5476" spans="1:9" ht="15" customHeight="1">
      <c r="A5476" s="199">
        <v>45748</v>
      </c>
      <c r="B5476" s="202" t="s">
        <v>1925</v>
      </c>
      <c r="C5476" s="200" t="s">
        <v>314</v>
      </c>
      <c r="D5476" s="658">
        <v>-46000</v>
      </c>
      <c r="E5476" s="201">
        <v>45748</v>
      </c>
      <c r="F5476" s="200" t="s">
        <v>296</v>
      </c>
      <c r="G5476" s="200" t="s">
        <v>522</v>
      </c>
      <c r="H5476" s="200" t="s">
        <v>442</v>
      </c>
    </row>
    <row r="5477" spans="1:9" ht="15" customHeight="1">
      <c r="A5477" s="199">
        <v>45748</v>
      </c>
      <c r="B5477" s="202" t="s">
        <v>1925</v>
      </c>
      <c r="C5477" s="200" t="s">
        <v>314</v>
      </c>
      <c r="D5477" s="658">
        <v>-56000</v>
      </c>
      <c r="E5477" s="201">
        <v>45748</v>
      </c>
      <c r="F5477" s="200" t="s">
        <v>395</v>
      </c>
      <c r="G5477" s="531" t="s">
        <v>395</v>
      </c>
      <c r="H5477" s="200" t="s">
        <v>268</v>
      </c>
      <c r="I5477" s="673"/>
    </row>
    <row r="5478" spans="1:9" ht="15" customHeight="1">
      <c r="A5478" s="199">
        <v>45748</v>
      </c>
      <c r="B5478" s="202" t="s">
        <v>1925</v>
      </c>
      <c r="C5478" s="200" t="s">
        <v>314</v>
      </c>
      <c r="D5478" s="658">
        <v>-76912</v>
      </c>
      <c r="E5478" s="201">
        <v>45748</v>
      </c>
      <c r="F5478" s="200" t="s">
        <v>296</v>
      </c>
      <c r="G5478" s="200" t="s">
        <v>44</v>
      </c>
      <c r="H5478" s="200" t="s">
        <v>442</v>
      </c>
    </row>
    <row r="5479" spans="1:9" ht="15" customHeight="1">
      <c r="A5479" s="199">
        <v>45748</v>
      </c>
      <c r="B5479" s="202" t="s">
        <v>1925</v>
      </c>
      <c r="C5479" s="200" t="s">
        <v>314</v>
      </c>
      <c r="D5479" s="658">
        <v>-40000</v>
      </c>
      <c r="E5479" s="201">
        <v>45748</v>
      </c>
      <c r="F5479" s="200" t="s">
        <v>296</v>
      </c>
      <c r="G5479" s="200" t="s">
        <v>1735</v>
      </c>
      <c r="H5479" s="200" t="s">
        <v>268</v>
      </c>
    </row>
    <row r="5480" spans="1:9" ht="15" customHeight="1">
      <c r="A5480" s="199">
        <v>45748</v>
      </c>
      <c r="B5480" s="202" t="s">
        <v>1926</v>
      </c>
      <c r="C5480" s="200" t="s">
        <v>372</v>
      </c>
      <c r="D5480" s="204">
        <v>-4430</v>
      </c>
      <c r="E5480" s="201">
        <v>45748</v>
      </c>
      <c r="F5480" s="200" t="s">
        <v>296</v>
      </c>
      <c r="G5480" s="200" t="s">
        <v>44</v>
      </c>
      <c r="H5480" s="200" t="s">
        <v>442</v>
      </c>
    </row>
    <row r="5481" spans="1:9" ht="15" customHeight="1">
      <c r="A5481" s="199">
        <v>45748</v>
      </c>
      <c r="B5481" s="202" t="s">
        <v>1927</v>
      </c>
      <c r="C5481" s="200" t="s">
        <v>372</v>
      </c>
      <c r="D5481" s="204">
        <v>-2658</v>
      </c>
      <c r="E5481" s="201">
        <v>45748</v>
      </c>
      <c r="F5481" s="200" t="s">
        <v>296</v>
      </c>
      <c r="G5481" s="200" t="s">
        <v>44</v>
      </c>
      <c r="H5481" s="200" t="s">
        <v>442</v>
      </c>
    </row>
    <row r="5482" spans="1:9" ht="15" customHeight="1">
      <c r="A5482" s="199">
        <v>45748</v>
      </c>
      <c r="B5482" s="202" t="s">
        <v>4377</v>
      </c>
      <c r="C5482" s="200" t="s">
        <v>204</v>
      </c>
      <c r="D5482" s="658">
        <v>-1389601</v>
      </c>
      <c r="E5482" s="201">
        <v>45748</v>
      </c>
      <c r="F5482" s="200" t="s">
        <v>296</v>
      </c>
      <c r="G5482" s="200" t="s">
        <v>1735</v>
      </c>
      <c r="H5482" s="200" t="s">
        <v>342</v>
      </c>
    </row>
    <row r="5483" spans="1:9" ht="15" customHeight="1">
      <c r="A5483" s="199">
        <v>45748</v>
      </c>
      <c r="B5483" s="202" t="s">
        <v>4378</v>
      </c>
      <c r="C5483" s="200" t="s">
        <v>372</v>
      </c>
      <c r="D5483" s="204">
        <v>-50400</v>
      </c>
      <c r="E5483" s="201">
        <v>45748</v>
      </c>
      <c r="F5483" s="200" t="s">
        <v>296</v>
      </c>
      <c r="G5483" s="200" t="s">
        <v>1735</v>
      </c>
      <c r="H5483" s="200" t="s">
        <v>342</v>
      </c>
    </row>
    <row r="5484" spans="1:9" ht="15" customHeight="1">
      <c r="A5484" s="199">
        <v>45748</v>
      </c>
      <c r="B5484" s="202" t="s">
        <v>4379</v>
      </c>
      <c r="C5484" s="200" t="s">
        <v>204</v>
      </c>
      <c r="D5484" s="658">
        <v>-50900</v>
      </c>
      <c r="E5484" s="201">
        <v>45748</v>
      </c>
      <c r="F5484" s="200" t="s">
        <v>256</v>
      </c>
      <c r="G5484" s="200" t="s">
        <v>256</v>
      </c>
      <c r="H5484" s="200" t="s">
        <v>9</v>
      </c>
    </row>
    <row r="5485" spans="1:9" ht="15" customHeight="1">
      <c r="A5485" s="199">
        <v>45748</v>
      </c>
      <c r="B5485" s="202" t="s">
        <v>4380</v>
      </c>
      <c r="C5485" s="200" t="s">
        <v>204</v>
      </c>
      <c r="D5485" s="658">
        <v>-761928</v>
      </c>
      <c r="E5485" s="201">
        <v>45748</v>
      </c>
      <c r="F5485" s="200" t="s">
        <v>296</v>
      </c>
      <c r="G5485" s="200" t="s">
        <v>44</v>
      </c>
      <c r="H5485" s="200" t="s">
        <v>421</v>
      </c>
    </row>
    <row r="5486" spans="1:9" ht="15" customHeight="1">
      <c r="A5486" s="199">
        <v>45748</v>
      </c>
      <c r="B5486" s="202" t="s">
        <v>4381</v>
      </c>
      <c r="C5486" s="200" t="s">
        <v>204</v>
      </c>
      <c r="D5486" s="658">
        <v>-761928</v>
      </c>
      <c r="E5486" s="201">
        <v>45748</v>
      </c>
      <c r="F5486" s="200" t="s">
        <v>296</v>
      </c>
      <c r="G5486" s="200" t="s">
        <v>44</v>
      </c>
      <c r="H5486" s="200" t="s">
        <v>421</v>
      </c>
    </row>
    <row r="5487" spans="1:9" ht="15" customHeight="1">
      <c r="A5487" s="199">
        <v>45748</v>
      </c>
      <c r="B5487" s="202" t="s">
        <v>4382</v>
      </c>
      <c r="C5487" s="200" t="s">
        <v>204</v>
      </c>
      <c r="D5487" s="658">
        <v>-754810</v>
      </c>
      <c r="E5487" s="201">
        <v>45748</v>
      </c>
      <c r="F5487" s="200" t="s">
        <v>296</v>
      </c>
      <c r="G5487" s="200" t="s">
        <v>337</v>
      </c>
      <c r="H5487" s="200" t="s">
        <v>421</v>
      </c>
    </row>
    <row r="5488" spans="1:9" ht="15" customHeight="1">
      <c r="A5488" s="199">
        <v>45748</v>
      </c>
      <c r="B5488" s="202" t="s">
        <v>4383</v>
      </c>
      <c r="C5488" s="200" t="s">
        <v>204</v>
      </c>
      <c r="D5488" s="658">
        <v>-882000</v>
      </c>
      <c r="E5488" s="201">
        <v>45748</v>
      </c>
      <c r="F5488" s="200" t="s">
        <v>296</v>
      </c>
      <c r="G5488" s="200" t="s">
        <v>337</v>
      </c>
      <c r="H5488" s="200" t="s">
        <v>421</v>
      </c>
    </row>
    <row r="5489" spans="1:9" ht="15" customHeight="1">
      <c r="A5489" s="199">
        <v>45748</v>
      </c>
      <c r="B5489" s="202" t="s">
        <v>4384</v>
      </c>
      <c r="C5489" s="200" t="s">
        <v>204</v>
      </c>
      <c r="D5489" s="658">
        <v>-754810</v>
      </c>
      <c r="E5489" s="201">
        <v>45748</v>
      </c>
      <c r="F5489" s="200" t="s">
        <v>296</v>
      </c>
      <c r="G5489" s="200" t="s">
        <v>337</v>
      </c>
      <c r="H5489" s="200" t="s">
        <v>421</v>
      </c>
    </row>
    <row r="5490" spans="1:9" ht="15" customHeight="1">
      <c r="A5490" s="199">
        <v>45748</v>
      </c>
      <c r="B5490" s="202" t="s">
        <v>4385</v>
      </c>
      <c r="C5490" s="200" t="s">
        <v>204</v>
      </c>
      <c r="D5490" s="658">
        <v>-714810</v>
      </c>
      <c r="E5490" s="201">
        <v>45748</v>
      </c>
      <c r="F5490" s="200" t="s">
        <v>296</v>
      </c>
      <c r="G5490" s="200" t="s">
        <v>337</v>
      </c>
      <c r="H5490" s="200" t="s">
        <v>421</v>
      </c>
    </row>
    <row r="5491" spans="1:9" ht="15" customHeight="1">
      <c r="A5491" s="199">
        <v>45749</v>
      </c>
      <c r="B5491" s="202" t="s">
        <v>4386</v>
      </c>
      <c r="C5491" s="200" t="s">
        <v>204</v>
      </c>
      <c r="D5491" s="658">
        <v>-882000</v>
      </c>
      <c r="E5491" s="201">
        <v>45748</v>
      </c>
      <c r="F5491" s="200" t="s">
        <v>296</v>
      </c>
      <c r="G5491" s="200" t="s">
        <v>522</v>
      </c>
      <c r="H5491" s="200" t="s">
        <v>429</v>
      </c>
    </row>
    <row r="5492" spans="1:9" ht="15" customHeight="1">
      <c r="A5492" s="199">
        <v>45748</v>
      </c>
      <c r="B5492" s="202" t="s">
        <v>4387</v>
      </c>
      <c r="C5492" s="200" t="s">
        <v>204</v>
      </c>
      <c r="D5492" s="658">
        <v>-761928</v>
      </c>
      <c r="E5492" s="201">
        <v>45748</v>
      </c>
      <c r="F5492" s="200" t="s">
        <v>296</v>
      </c>
      <c r="G5492" s="200" t="s">
        <v>522</v>
      </c>
      <c r="H5492" s="200" t="s">
        <v>429</v>
      </c>
    </row>
    <row r="5493" spans="1:9" ht="15" customHeight="1">
      <c r="A5493" s="199">
        <v>45748</v>
      </c>
      <c r="B5493" s="202" t="s">
        <v>4388</v>
      </c>
      <c r="C5493" s="200" t="s">
        <v>204</v>
      </c>
      <c r="D5493" s="658">
        <v>-761928</v>
      </c>
      <c r="E5493" s="201">
        <v>45748</v>
      </c>
      <c r="F5493" s="200" t="s">
        <v>296</v>
      </c>
      <c r="G5493" s="200" t="s">
        <v>522</v>
      </c>
      <c r="H5493" s="200" t="s">
        <v>429</v>
      </c>
      <c r="I5493" s="648" t="s">
        <v>329</v>
      </c>
    </row>
    <row r="5494" spans="1:9" ht="15" customHeight="1">
      <c r="A5494" s="199">
        <v>45748</v>
      </c>
      <c r="B5494" s="202" t="s">
        <v>4389</v>
      </c>
      <c r="C5494" s="200" t="s">
        <v>204</v>
      </c>
      <c r="D5494" s="658">
        <v>-11600</v>
      </c>
      <c r="E5494" s="201">
        <v>45748</v>
      </c>
      <c r="F5494" s="200" t="s">
        <v>256</v>
      </c>
      <c r="G5494" s="200" t="s">
        <v>256</v>
      </c>
      <c r="H5494" s="200" t="s">
        <v>261</v>
      </c>
    </row>
    <row r="5495" spans="1:9" ht="15" customHeight="1">
      <c r="A5495" s="199">
        <v>45748</v>
      </c>
      <c r="B5495" s="202" t="s">
        <v>4390</v>
      </c>
      <c r="C5495" s="200" t="s">
        <v>204</v>
      </c>
      <c r="D5495" s="658">
        <v>-570997</v>
      </c>
      <c r="E5495" s="201">
        <v>45748</v>
      </c>
      <c r="F5495" s="200" t="s">
        <v>296</v>
      </c>
      <c r="G5495" s="200" t="s">
        <v>44</v>
      </c>
      <c r="H5495" s="200" t="s">
        <v>421</v>
      </c>
    </row>
    <row r="5496" spans="1:9" ht="15" customHeight="1">
      <c r="A5496" s="199">
        <v>45748</v>
      </c>
      <c r="B5496" s="202" t="s">
        <v>4391</v>
      </c>
      <c r="C5496" s="200" t="s">
        <v>204</v>
      </c>
      <c r="D5496" s="658">
        <v>-159401</v>
      </c>
      <c r="E5496" s="201">
        <v>45748</v>
      </c>
      <c r="F5496" s="200" t="s">
        <v>296</v>
      </c>
      <c r="G5496" s="200" t="s">
        <v>44</v>
      </c>
      <c r="H5496" s="200" t="s">
        <v>421</v>
      </c>
    </row>
    <row r="5497" spans="1:9" ht="15" customHeight="1">
      <c r="A5497" s="199">
        <v>45750</v>
      </c>
      <c r="B5497" s="202" t="s">
        <v>4392</v>
      </c>
      <c r="C5497" s="200" t="s">
        <v>204</v>
      </c>
      <c r="D5497" s="658">
        <v>-95456029</v>
      </c>
      <c r="E5497" s="201">
        <v>45748</v>
      </c>
      <c r="F5497" s="200" t="s">
        <v>296</v>
      </c>
      <c r="G5497" s="200" t="s">
        <v>807</v>
      </c>
      <c r="H5497" s="200" t="s">
        <v>2659</v>
      </c>
      <c r="I5497" s="648" t="s">
        <v>329</v>
      </c>
    </row>
    <row r="5498" spans="1:9" ht="15" customHeight="1">
      <c r="A5498" s="199">
        <v>45750</v>
      </c>
      <c r="B5498" s="202" t="s">
        <v>4393</v>
      </c>
      <c r="C5498" s="200" t="s">
        <v>204</v>
      </c>
      <c r="D5498" s="658">
        <v>-95456029</v>
      </c>
      <c r="E5498" s="201">
        <v>45748</v>
      </c>
      <c r="F5498" s="200" t="s">
        <v>296</v>
      </c>
      <c r="G5498" s="200" t="s">
        <v>1980</v>
      </c>
      <c r="H5498" s="200" t="s">
        <v>2659</v>
      </c>
    </row>
    <row r="5499" spans="1:9" ht="15" customHeight="1">
      <c r="A5499" s="199">
        <v>45750</v>
      </c>
      <c r="B5499" s="202" t="s">
        <v>4393</v>
      </c>
      <c r="C5499" s="200" t="s">
        <v>204</v>
      </c>
      <c r="D5499" s="658">
        <v>-95456029</v>
      </c>
      <c r="E5499" s="201">
        <v>45748</v>
      </c>
      <c r="F5499" s="200" t="s">
        <v>296</v>
      </c>
      <c r="G5499" s="200" t="s">
        <v>1983</v>
      </c>
      <c r="H5499" s="200" t="s">
        <v>2659</v>
      </c>
    </row>
    <row r="5500" spans="1:9" ht="15" customHeight="1">
      <c r="A5500" s="199">
        <v>45750</v>
      </c>
      <c r="B5500" s="202" t="s">
        <v>4394</v>
      </c>
      <c r="C5500" s="200" t="s">
        <v>307</v>
      </c>
      <c r="D5500" s="204">
        <v>-28000</v>
      </c>
      <c r="E5500" s="201">
        <v>45748</v>
      </c>
      <c r="F5500" s="200" t="s">
        <v>297</v>
      </c>
      <c r="G5500" s="200" t="s">
        <v>1578</v>
      </c>
      <c r="H5500" s="200" t="s">
        <v>268</v>
      </c>
    </row>
    <row r="5501" spans="1:9" ht="15" customHeight="1">
      <c r="A5501" s="199">
        <v>45750</v>
      </c>
      <c r="B5501" s="202" t="s">
        <v>4394</v>
      </c>
      <c r="C5501" s="200" t="s">
        <v>307</v>
      </c>
      <c r="D5501" s="204">
        <v>-29000</v>
      </c>
      <c r="E5501" s="201">
        <v>45748</v>
      </c>
      <c r="F5501" s="200" t="s">
        <v>296</v>
      </c>
      <c r="G5501" s="200" t="s">
        <v>2994</v>
      </c>
      <c r="H5501" s="200" t="s">
        <v>268</v>
      </c>
    </row>
    <row r="5502" spans="1:9" ht="15" customHeight="1">
      <c r="A5502" s="199">
        <v>45750</v>
      </c>
      <c r="B5502" s="202" t="s">
        <v>4394</v>
      </c>
      <c r="C5502" s="200" t="s">
        <v>307</v>
      </c>
      <c r="D5502" s="204">
        <v>-114192</v>
      </c>
      <c r="E5502" s="201">
        <v>45748</v>
      </c>
      <c r="F5502" s="200" t="s">
        <v>395</v>
      </c>
      <c r="G5502" s="531" t="s">
        <v>395</v>
      </c>
      <c r="H5502" s="200" t="s">
        <v>268</v>
      </c>
      <c r="I5502" s="673"/>
    </row>
    <row r="5503" spans="1:9" ht="15" customHeight="1">
      <c r="A5503" s="199">
        <v>45750</v>
      </c>
      <c r="B5503" s="202" t="s">
        <v>4394</v>
      </c>
      <c r="C5503" s="200" t="s">
        <v>307</v>
      </c>
      <c r="D5503" s="204">
        <v>-14000</v>
      </c>
      <c r="E5503" s="201">
        <v>45748</v>
      </c>
      <c r="F5503" s="200" t="s">
        <v>296</v>
      </c>
      <c r="G5503" s="200" t="s">
        <v>337</v>
      </c>
      <c r="H5503" s="200" t="s">
        <v>326</v>
      </c>
      <c r="I5503" s="648" t="s">
        <v>329</v>
      </c>
    </row>
    <row r="5504" spans="1:9" ht="15" customHeight="1">
      <c r="A5504" s="199">
        <v>45750</v>
      </c>
      <c r="B5504" s="202" t="s">
        <v>4394</v>
      </c>
      <c r="C5504" s="200" t="s">
        <v>307</v>
      </c>
      <c r="D5504" s="204">
        <v>-21000</v>
      </c>
      <c r="E5504" s="201">
        <v>45748</v>
      </c>
      <c r="F5504" s="200" t="s">
        <v>296</v>
      </c>
      <c r="G5504" s="200" t="s">
        <v>44</v>
      </c>
      <c r="H5504" s="200" t="s">
        <v>442</v>
      </c>
      <c r="I5504" s="648" t="s">
        <v>329</v>
      </c>
    </row>
    <row r="5505" spans="1:9" ht="15" customHeight="1">
      <c r="A5505" s="199">
        <v>45750</v>
      </c>
      <c r="B5505" s="202" t="s">
        <v>4394</v>
      </c>
      <c r="C5505" s="200" t="s">
        <v>307</v>
      </c>
      <c r="D5505" s="204">
        <v>-14000</v>
      </c>
      <c r="E5505" s="201">
        <v>45748</v>
      </c>
      <c r="F5505" s="200" t="s">
        <v>296</v>
      </c>
      <c r="G5505" s="200" t="s">
        <v>1735</v>
      </c>
      <c r="H5505" s="200" t="s">
        <v>268</v>
      </c>
    </row>
    <row r="5506" spans="1:9" ht="15" customHeight="1">
      <c r="A5506" s="199">
        <v>45750</v>
      </c>
      <c r="B5506" s="202" t="s">
        <v>4394</v>
      </c>
      <c r="C5506" s="200" t="s">
        <v>307</v>
      </c>
      <c r="D5506" s="204">
        <v>-7000</v>
      </c>
      <c r="E5506" s="201">
        <v>45748</v>
      </c>
      <c r="F5506" s="200" t="s">
        <v>297</v>
      </c>
      <c r="G5506" s="200" t="s">
        <v>1313</v>
      </c>
      <c r="H5506" s="200" t="s">
        <v>268</v>
      </c>
      <c r="I5506" s="648" t="s">
        <v>329</v>
      </c>
    </row>
    <row r="5507" spans="1:9" ht="15" customHeight="1">
      <c r="A5507" s="199">
        <v>45750</v>
      </c>
      <c r="B5507" s="202" t="s">
        <v>4394</v>
      </c>
      <c r="C5507" s="200" t="s">
        <v>307</v>
      </c>
      <c r="D5507" s="204">
        <v>-7000</v>
      </c>
      <c r="E5507" s="201">
        <v>45748</v>
      </c>
      <c r="F5507" s="200" t="s">
        <v>297</v>
      </c>
      <c r="G5507" s="200" t="s">
        <v>75</v>
      </c>
      <c r="H5507" s="200" t="s">
        <v>268</v>
      </c>
    </row>
    <row r="5508" spans="1:9" ht="15" customHeight="1">
      <c r="A5508" s="199">
        <v>45750</v>
      </c>
      <c r="B5508" s="202" t="s">
        <v>4395</v>
      </c>
      <c r="C5508" s="200" t="s">
        <v>372</v>
      </c>
      <c r="D5508" s="204">
        <v>-2380</v>
      </c>
      <c r="E5508" s="201">
        <v>45748</v>
      </c>
      <c r="F5508" s="200" t="s">
        <v>395</v>
      </c>
      <c r="G5508" s="531" t="s">
        <v>395</v>
      </c>
      <c r="H5508" s="200" t="s">
        <v>268</v>
      </c>
      <c r="I5508" s="673"/>
    </row>
    <row r="5509" spans="1:9" ht="15" customHeight="1">
      <c r="A5509" s="199">
        <v>45750</v>
      </c>
      <c r="B5509" s="202" t="s">
        <v>4396</v>
      </c>
      <c r="C5509" s="200" t="s">
        <v>372</v>
      </c>
      <c r="D5509" s="204">
        <v>-1428</v>
      </c>
      <c r="E5509" s="201">
        <v>45748</v>
      </c>
      <c r="F5509" s="200" t="s">
        <v>395</v>
      </c>
      <c r="G5509" s="531" t="s">
        <v>395</v>
      </c>
      <c r="H5509" s="200" t="s">
        <v>268</v>
      </c>
      <c r="I5509" s="673"/>
    </row>
    <row r="5510" spans="1:9" ht="15" customHeight="1">
      <c r="A5510" s="199">
        <v>45743</v>
      </c>
      <c r="B5510" s="202" t="s">
        <v>4397</v>
      </c>
      <c r="C5510" s="200" t="s">
        <v>307</v>
      </c>
      <c r="D5510" s="204">
        <v>-40000</v>
      </c>
      <c r="E5510" s="201">
        <v>45748</v>
      </c>
      <c r="F5510" s="200" t="s">
        <v>296</v>
      </c>
      <c r="G5510" s="200" t="s">
        <v>337</v>
      </c>
      <c r="H5510" s="200" t="s">
        <v>326</v>
      </c>
      <c r="I5510" s="200" t="s">
        <v>4398</v>
      </c>
    </row>
    <row r="5511" spans="1:9" ht="15" customHeight="1">
      <c r="A5511" s="199">
        <v>45742</v>
      </c>
      <c r="B5511" s="202" t="s">
        <v>4399</v>
      </c>
      <c r="C5511" s="200" t="s">
        <v>307</v>
      </c>
      <c r="D5511" s="204">
        <v>-18000</v>
      </c>
      <c r="E5511" s="201">
        <v>45748</v>
      </c>
      <c r="F5511" s="200" t="s">
        <v>296</v>
      </c>
      <c r="G5511" s="200" t="s">
        <v>337</v>
      </c>
      <c r="H5511" s="200" t="s">
        <v>366</v>
      </c>
      <c r="I5511" s="200" t="s">
        <v>4398</v>
      </c>
    </row>
    <row r="5512" spans="1:9" ht="15" customHeight="1">
      <c r="A5512" s="199">
        <v>45742</v>
      </c>
      <c r="B5512" s="202" t="s">
        <v>4400</v>
      </c>
      <c r="C5512" s="200" t="s">
        <v>307</v>
      </c>
      <c r="D5512" s="204">
        <v>-10000</v>
      </c>
      <c r="E5512" s="201">
        <v>45748</v>
      </c>
      <c r="F5512" s="200" t="s">
        <v>296</v>
      </c>
      <c r="G5512" s="200" t="s">
        <v>337</v>
      </c>
      <c r="H5512" s="200" t="s">
        <v>326</v>
      </c>
      <c r="I5512" s="200" t="s">
        <v>4398</v>
      </c>
    </row>
    <row r="5513" spans="1:9" ht="15" customHeight="1">
      <c r="A5513" s="199">
        <v>45750</v>
      </c>
      <c r="B5513" s="202" t="s">
        <v>4401</v>
      </c>
      <c r="C5513" s="200" t="s">
        <v>307</v>
      </c>
      <c r="D5513" s="204">
        <v>-52300</v>
      </c>
      <c r="E5513" s="201">
        <v>45748</v>
      </c>
      <c r="F5513" s="200" t="s">
        <v>256</v>
      </c>
      <c r="G5513" s="200" t="s">
        <v>256</v>
      </c>
      <c r="H5513" s="200" t="s">
        <v>263</v>
      </c>
    </row>
    <row r="5514" spans="1:9" ht="15" customHeight="1">
      <c r="A5514" s="199">
        <v>45750</v>
      </c>
      <c r="B5514" s="202" t="s">
        <v>4402</v>
      </c>
      <c r="C5514" s="200" t="s">
        <v>307</v>
      </c>
      <c r="D5514" s="204">
        <v>-99300</v>
      </c>
      <c r="E5514" s="201">
        <v>45748</v>
      </c>
      <c r="F5514" s="200" t="s">
        <v>296</v>
      </c>
      <c r="G5514" s="200" t="s">
        <v>453</v>
      </c>
      <c r="H5514" s="200" t="s">
        <v>97</v>
      </c>
    </row>
    <row r="5515" spans="1:9" ht="15" customHeight="1">
      <c r="A5515" s="199">
        <v>45748</v>
      </c>
      <c r="B5515" s="202" t="s">
        <v>4403</v>
      </c>
      <c r="C5515" s="200" t="s">
        <v>307</v>
      </c>
      <c r="D5515" s="204">
        <v>-35200</v>
      </c>
      <c r="E5515" s="201">
        <v>45748</v>
      </c>
      <c r="F5515" s="200" t="s">
        <v>296</v>
      </c>
      <c r="G5515" s="200" t="s">
        <v>3360</v>
      </c>
      <c r="H5515" s="200" t="s">
        <v>346</v>
      </c>
    </row>
    <row r="5516" spans="1:9" ht="15" customHeight="1">
      <c r="A5516" s="199">
        <v>45749</v>
      </c>
      <c r="B5516" s="202" t="s">
        <v>4404</v>
      </c>
      <c r="C5516" s="200" t="s">
        <v>307</v>
      </c>
      <c r="D5516" s="204">
        <v>-120000</v>
      </c>
      <c r="E5516" s="201">
        <v>45748</v>
      </c>
      <c r="F5516" s="200" t="s">
        <v>256</v>
      </c>
      <c r="G5516" s="200" t="s">
        <v>256</v>
      </c>
      <c r="H5516" s="200" t="s">
        <v>269</v>
      </c>
      <c r="I5516" s="200" t="s">
        <v>1920</v>
      </c>
    </row>
    <row r="5517" spans="1:9" ht="15" customHeight="1">
      <c r="A5517" s="199">
        <v>45726</v>
      </c>
      <c r="B5517" s="202" t="s">
        <v>4405</v>
      </c>
      <c r="C5517" s="200" t="s">
        <v>307</v>
      </c>
      <c r="D5517" s="204">
        <v>-180000</v>
      </c>
      <c r="E5517" s="201">
        <v>45748</v>
      </c>
      <c r="F5517" s="200" t="s">
        <v>256</v>
      </c>
      <c r="G5517" s="200" t="s">
        <v>256</v>
      </c>
      <c r="H5517" s="200" t="s">
        <v>269</v>
      </c>
      <c r="I5517" s="200" t="s">
        <v>1920</v>
      </c>
    </row>
    <row r="5518" spans="1:9" ht="15" customHeight="1">
      <c r="A5518" s="199">
        <v>45729</v>
      </c>
      <c r="B5518" s="202" t="s">
        <v>4406</v>
      </c>
      <c r="C5518" s="200" t="s">
        <v>307</v>
      </c>
      <c r="D5518" s="204">
        <v>-39100</v>
      </c>
      <c r="E5518" s="201">
        <v>45748</v>
      </c>
      <c r="F5518" s="200" t="s">
        <v>256</v>
      </c>
      <c r="G5518" s="200" t="s">
        <v>256</v>
      </c>
      <c r="H5518" s="200" t="s">
        <v>269</v>
      </c>
      <c r="I5518" s="200" t="s">
        <v>1920</v>
      </c>
    </row>
    <row r="5519" spans="1:9" ht="15" customHeight="1">
      <c r="A5519" s="199">
        <v>45744</v>
      </c>
      <c r="B5519" s="202" t="s">
        <v>4407</v>
      </c>
      <c r="C5519" s="200" t="s">
        <v>307</v>
      </c>
      <c r="D5519" s="204">
        <v>-17000</v>
      </c>
      <c r="E5519" s="201">
        <v>45748</v>
      </c>
      <c r="F5519" s="200" t="s">
        <v>297</v>
      </c>
      <c r="G5519" s="200" t="s">
        <v>1578</v>
      </c>
      <c r="H5519" s="200" t="s">
        <v>268</v>
      </c>
      <c r="I5519" s="200" t="s">
        <v>3978</v>
      </c>
    </row>
    <row r="5520" spans="1:9" ht="15" customHeight="1">
      <c r="A5520" s="199">
        <v>45744</v>
      </c>
      <c r="B5520" s="202" t="s">
        <v>4408</v>
      </c>
      <c r="C5520" s="200" t="s">
        <v>307</v>
      </c>
      <c r="D5520" s="204">
        <v>-6500</v>
      </c>
      <c r="E5520" s="201">
        <v>45748</v>
      </c>
      <c r="F5520" s="200" t="s">
        <v>297</v>
      </c>
      <c r="G5520" s="200" t="s">
        <v>1578</v>
      </c>
      <c r="H5520" s="200" t="s">
        <v>268</v>
      </c>
      <c r="I5520" s="200" t="s">
        <v>3978</v>
      </c>
    </row>
    <row r="5521" spans="1:9" ht="15" customHeight="1">
      <c r="A5521" s="199">
        <v>45744</v>
      </c>
      <c r="B5521" s="202" t="s">
        <v>3980</v>
      </c>
      <c r="C5521" s="200" t="s">
        <v>307</v>
      </c>
      <c r="D5521" s="204">
        <v>-18000</v>
      </c>
      <c r="E5521" s="201">
        <v>45748</v>
      </c>
      <c r="F5521" s="200" t="s">
        <v>297</v>
      </c>
      <c r="G5521" s="200" t="s">
        <v>1578</v>
      </c>
      <c r="H5521" s="200" t="s">
        <v>268</v>
      </c>
      <c r="I5521" s="200" t="s">
        <v>3978</v>
      </c>
    </row>
    <row r="5522" spans="1:9" ht="15" customHeight="1">
      <c r="A5522" s="199">
        <v>45744</v>
      </c>
      <c r="B5522" s="202" t="s">
        <v>4409</v>
      </c>
      <c r="C5522" s="200" t="s">
        <v>307</v>
      </c>
      <c r="D5522" s="204">
        <v>-6500</v>
      </c>
      <c r="E5522" s="201">
        <v>45748</v>
      </c>
      <c r="F5522" s="200" t="s">
        <v>297</v>
      </c>
      <c r="G5522" s="200" t="s">
        <v>1578</v>
      </c>
      <c r="H5522" s="200" t="s">
        <v>268</v>
      </c>
      <c r="I5522" s="200" t="s">
        <v>3978</v>
      </c>
    </row>
    <row r="5523" spans="1:9" ht="15" customHeight="1">
      <c r="A5523" s="199">
        <v>45744</v>
      </c>
      <c r="B5523" s="202" t="s">
        <v>2270</v>
      </c>
      <c r="C5523" s="200" t="s">
        <v>307</v>
      </c>
      <c r="D5523" s="204">
        <v>-17000</v>
      </c>
      <c r="E5523" s="201">
        <v>45748</v>
      </c>
      <c r="F5523" s="200" t="s">
        <v>297</v>
      </c>
      <c r="G5523" s="200" t="s">
        <v>1578</v>
      </c>
      <c r="H5523" s="200" t="s">
        <v>268</v>
      </c>
      <c r="I5523" s="200" t="s">
        <v>3978</v>
      </c>
    </row>
    <row r="5524" spans="1:9" ht="15" customHeight="1">
      <c r="A5524" s="199">
        <v>45749</v>
      </c>
      <c r="B5524" s="202" t="s">
        <v>4410</v>
      </c>
      <c r="C5524" s="200" t="s">
        <v>307</v>
      </c>
      <c r="D5524" s="204">
        <v>-69000</v>
      </c>
      <c r="E5524" s="201">
        <v>45748</v>
      </c>
      <c r="F5524" s="202" t="s">
        <v>2714</v>
      </c>
      <c r="I5524" s="200" t="s">
        <v>2982</v>
      </c>
    </row>
    <row r="5525" spans="1:9" ht="15" customHeight="1">
      <c r="A5525" s="199">
        <v>45749</v>
      </c>
      <c r="B5525" s="202" t="s">
        <v>4411</v>
      </c>
      <c r="C5525" s="200" t="s">
        <v>307</v>
      </c>
      <c r="D5525" s="204">
        <v>-630000</v>
      </c>
      <c r="E5525" s="201">
        <v>45748</v>
      </c>
      <c r="F5525" s="202" t="s">
        <v>2714</v>
      </c>
      <c r="I5525" s="200" t="s">
        <v>2982</v>
      </c>
    </row>
    <row r="5526" spans="1:9" ht="15" customHeight="1">
      <c r="A5526" s="199">
        <v>45744</v>
      </c>
      <c r="B5526" s="202" t="s">
        <v>4412</v>
      </c>
      <c r="C5526" s="200" t="s">
        <v>307</v>
      </c>
      <c r="D5526" s="204">
        <v>-15000</v>
      </c>
      <c r="E5526" s="201">
        <v>45748</v>
      </c>
      <c r="F5526" s="200" t="s">
        <v>297</v>
      </c>
      <c r="G5526" s="200" t="s">
        <v>1578</v>
      </c>
      <c r="H5526" s="200" t="s">
        <v>346</v>
      </c>
      <c r="I5526" s="200" t="s">
        <v>2982</v>
      </c>
    </row>
    <row r="5527" spans="1:9" ht="15" customHeight="1">
      <c r="A5527" s="199">
        <v>45745</v>
      </c>
      <c r="B5527" s="202" t="s">
        <v>4413</v>
      </c>
      <c r="C5527" s="200" t="s">
        <v>307</v>
      </c>
      <c r="D5527" s="204">
        <v>-41200</v>
      </c>
      <c r="E5527" s="201">
        <v>45748</v>
      </c>
      <c r="F5527" s="200" t="s">
        <v>296</v>
      </c>
      <c r="G5527" s="200" t="s">
        <v>4414</v>
      </c>
      <c r="H5527" s="200" t="s">
        <v>4225</v>
      </c>
      <c r="I5527" s="200" t="s">
        <v>2982</v>
      </c>
    </row>
    <row r="5528" spans="1:9" ht="15" customHeight="1">
      <c r="A5528" s="199">
        <v>45745</v>
      </c>
      <c r="B5528" s="202" t="s">
        <v>4413</v>
      </c>
      <c r="C5528" s="200" t="s">
        <v>307</v>
      </c>
      <c r="D5528" s="204">
        <v>-41200</v>
      </c>
      <c r="E5528" s="201">
        <v>45748</v>
      </c>
      <c r="F5528" s="200" t="s">
        <v>297</v>
      </c>
      <c r="G5528" s="200" t="s">
        <v>1578</v>
      </c>
      <c r="H5528" s="200" t="s">
        <v>4225</v>
      </c>
      <c r="I5528" s="200" t="s">
        <v>2982</v>
      </c>
    </row>
    <row r="5529" spans="1:9" ht="15" customHeight="1">
      <c r="A5529" s="199">
        <v>45745</v>
      </c>
      <c r="B5529" s="202" t="s">
        <v>4413</v>
      </c>
      <c r="C5529" s="200" t="s">
        <v>307</v>
      </c>
      <c r="D5529" s="204">
        <v>-41200</v>
      </c>
      <c r="E5529" s="201">
        <v>45748</v>
      </c>
      <c r="F5529" s="200" t="s">
        <v>296</v>
      </c>
      <c r="G5529" s="200" t="s">
        <v>1735</v>
      </c>
      <c r="H5529" s="200" t="s">
        <v>4225</v>
      </c>
      <c r="I5529" s="200" t="s">
        <v>2982</v>
      </c>
    </row>
    <row r="5530" spans="1:9" ht="15" customHeight="1">
      <c r="A5530" s="199">
        <v>45747</v>
      </c>
      <c r="B5530" s="202" t="s">
        <v>4415</v>
      </c>
      <c r="C5530" s="200" t="s">
        <v>307</v>
      </c>
      <c r="D5530" s="204">
        <v>-7000</v>
      </c>
      <c r="E5530" s="201">
        <v>45748</v>
      </c>
      <c r="F5530" s="200" t="s">
        <v>296</v>
      </c>
      <c r="G5530" s="200" t="s">
        <v>2994</v>
      </c>
      <c r="H5530" s="200" t="s">
        <v>268</v>
      </c>
      <c r="I5530" s="200" t="s">
        <v>2982</v>
      </c>
    </row>
    <row r="5531" spans="1:9" ht="15" customHeight="1">
      <c r="A5531" s="199">
        <v>45747</v>
      </c>
      <c r="B5531" s="202" t="s">
        <v>4416</v>
      </c>
      <c r="C5531" s="200" t="s">
        <v>307</v>
      </c>
      <c r="D5531" s="204">
        <v>-25199.47</v>
      </c>
      <c r="E5531" s="201">
        <v>45748</v>
      </c>
      <c r="F5531" s="200" t="s">
        <v>297</v>
      </c>
      <c r="G5531" s="200" t="s">
        <v>1578</v>
      </c>
      <c r="H5531" s="200" t="s">
        <v>377</v>
      </c>
      <c r="I5531" s="200" t="s">
        <v>2982</v>
      </c>
    </row>
    <row r="5532" spans="1:9" ht="15" customHeight="1">
      <c r="A5532" s="199">
        <v>45748</v>
      </c>
      <c r="B5532" s="202" t="s">
        <v>4417</v>
      </c>
      <c r="C5532" s="200" t="s">
        <v>307</v>
      </c>
      <c r="D5532" s="204">
        <v>-10000</v>
      </c>
      <c r="E5532" s="201">
        <v>45748</v>
      </c>
      <c r="F5532" s="200" t="s">
        <v>297</v>
      </c>
      <c r="G5532" s="200" t="s">
        <v>1578</v>
      </c>
      <c r="H5532" s="200" t="s">
        <v>346</v>
      </c>
      <c r="I5532" s="200" t="s">
        <v>2982</v>
      </c>
    </row>
    <row r="5533" spans="1:9" ht="15" customHeight="1">
      <c r="A5533" s="199">
        <v>45748</v>
      </c>
      <c r="B5533" s="202" t="s">
        <v>431</v>
      </c>
      <c r="C5533" s="200" t="s">
        <v>307</v>
      </c>
      <c r="D5533" s="204">
        <v>-15000</v>
      </c>
      <c r="E5533" s="201">
        <v>45748</v>
      </c>
      <c r="F5533" s="200" t="s">
        <v>256</v>
      </c>
      <c r="G5533" s="200" t="s">
        <v>256</v>
      </c>
      <c r="H5533" s="200" t="s">
        <v>263</v>
      </c>
      <c r="I5533" s="200" t="s">
        <v>2982</v>
      </c>
    </row>
    <row r="5534" spans="1:9" ht="15" customHeight="1">
      <c r="A5534" s="199">
        <v>45749</v>
      </c>
      <c r="B5534" s="202" t="s">
        <v>4418</v>
      </c>
      <c r="C5534" s="200" t="s">
        <v>307</v>
      </c>
      <c r="D5534" s="204">
        <v>-13000</v>
      </c>
      <c r="E5534" s="201">
        <v>45748</v>
      </c>
      <c r="F5534" s="200" t="s">
        <v>256</v>
      </c>
      <c r="G5534" s="200" t="s">
        <v>256</v>
      </c>
      <c r="H5534" s="200" t="s">
        <v>268</v>
      </c>
      <c r="I5534" s="200" t="s">
        <v>2982</v>
      </c>
    </row>
    <row r="5535" spans="1:9" ht="15" customHeight="1">
      <c r="A5535" s="199">
        <v>45749</v>
      </c>
      <c r="B5535" s="202" t="s">
        <v>4419</v>
      </c>
      <c r="C5535" s="200" t="s">
        <v>307</v>
      </c>
      <c r="D5535" s="204">
        <v>-54719.199999999997</v>
      </c>
      <c r="E5535" s="201">
        <v>45748</v>
      </c>
      <c r="F5535" s="200" t="s">
        <v>296</v>
      </c>
      <c r="G5535" s="200" t="s">
        <v>2994</v>
      </c>
      <c r="H5535" s="200" t="s">
        <v>350</v>
      </c>
      <c r="I5535" s="200" t="s">
        <v>2982</v>
      </c>
    </row>
    <row r="5536" spans="1:9" ht="15" customHeight="1">
      <c r="A5536" s="199">
        <v>45749</v>
      </c>
      <c r="B5536" s="202" t="s">
        <v>4420</v>
      </c>
      <c r="C5536" s="200" t="s">
        <v>307</v>
      </c>
      <c r="D5536" s="204">
        <v>-22999.73</v>
      </c>
      <c r="E5536" s="201">
        <v>45748</v>
      </c>
      <c r="F5536" s="200" t="s">
        <v>297</v>
      </c>
      <c r="G5536" s="200" t="s">
        <v>75</v>
      </c>
      <c r="H5536" s="200" t="s">
        <v>350</v>
      </c>
      <c r="I5536" s="200" t="s">
        <v>2982</v>
      </c>
    </row>
    <row r="5537" spans="1:9" ht="15" customHeight="1">
      <c r="A5537" s="199">
        <v>45749</v>
      </c>
      <c r="B5537" s="202" t="s">
        <v>431</v>
      </c>
      <c r="C5537" s="200" t="s">
        <v>307</v>
      </c>
      <c r="D5537" s="204">
        <v>-15000</v>
      </c>
      <c r="E5537" s="201">
        <v>45748</v>
      </c>
      <c r="F5537" s="200" t="s">
        <v>297</v>
      </c>
      <c r="G5537" s="200" t="s">
        <v>75</v>
      </c>
      <c r="H5537" s="200" t="s">
        <v>350</v>
      </c>
      <c r="I5537" s="648" t="s">
        <v>329</v>
      </c>
    </row>
    <row r="5538" spans="1:9" ht="15" customHeight="1">
      <c r="A5538" s="199">
        <v>45749</v>
      </c>
      <c r="B5538" s="202" t="s">
        <v>4421</v>
      </c>
      <c r="C5538" s="200" t="s">
        <v>307</v>
      </c>
      <c r="D5538" s="204">
        <v>-20000</v>
      </c>
      <c r="E5538" s="201">
        <v>45748</v>
      </c>
      <c r="F5538" s="200" t="s">
        <v>296</v>
      </c>
      <c r="G5538" s="200" t="s">
        <v>2994</v>
      </c>
      <c r="H5538" s="200" t="s">
        <v>350</v>
      </c>
      <c r="I5538" s="648" t="s">
        <v>329</v>
      </c>
    </row>
    <row r="5539" spans="1:9" ht="15" customHeight="1">
      <c r="A5539" s="199">
        <v>45749</v>
      </c>
      <c r="B5539" s="202" t="s">
        <v>4422</v>
      </c>
      <c r="C5539" s="200" t="s">
        <v>307</v>
      </c>
      <c r="D5539" s="204">
        <v>-20000</v>
      </c>
      <c r="E5539" s="201">
        <v>45748</v>
      </c>
      <c r="F5539" s="200" t="s">
        <v>296</v>
      </c>
      <c r="G5539" s="200" t="s">
        <v>3360</v>
      </c>
      <c r="H5539" s="200" t="s">
        <v>346</v>
      </c>
      <c r="I5539" s="648" t="s">
        <v>329</v>
      </c>
    </row>
    <row r="5540" spans="1:9" ht="15" customHeight="1">
      <c r="A5540" s="199">
        <v>45751</v>
      </c>
      <c r="B5540" s="202" t="s">
        <v>4423</v>
      </c>
      <c r="C5540" s="200" t="s">
        <v>307</v>
      </c>
      <c r="D5540" s="204">
        <v>-65000</v>
      </c>
      <c r="E5540" s="201">
        <v>45748</v>
      </c>
      <c r="F5540" s="200" t="s">
        <v>256</v>
      </c>
      <c r="G5540" s="200" t="s">
        <v>107</v>
      </c>
      <c r="H5540" s="200" t="s">
        <v>275</v>
      </c>
    </row>
    <row r="5541" spans="1:9" ht="15" customHeight="1">
      <c r="A5541" s="199">
        <v>45751</v>
      </c>
      <c r="B5541" s="202" t="s">
        <v>4424</v>
      </c>
      <c r="C5541" s="200" t="s">
        <v>307</v>
      </c>
      <c r="D5541" s="204">
        <v>-65000</v>
      </c>
      <c r="E5541" s="201">
        <v>45748</v>
      </c>
      <c r="F5541" s="200" t="s">
        <v>256</v>
      </c>
      <c r="G5541" s="200" t="s">
        <v>256</v>
      </c>
      <c r="H5541" s="200" t="s">
        <v>269</v>
      </c>
    </row>
    <row r="5542" spans="1:9" ht="15" customHeight="1">
      <c r="A5542" s="661">
        <v>45751</v>
      </c>
      <c r="B5542" s="202" t="s">
        <v>4425</v>
      </c>
      <c r="C5542" s="202" t="s">
        <v>307</v>
      </c>
      <c r="D5542" s="204">
        <v>-103000</v>
      </c>
      <c r="E5542" s="662">
        <v>45748</v>
      </c>
      <c r="F5542" s="202" t="s">
        <v>297</v>
      </c>
      <c r="G5542" s="202" t="s">
        <v>1578</v>
      </c>
      <c r="H5542" s="202" t="s">
        <v>268</v>
      </c>
      <c r="I5542" s="200" t="s">
        <v>3034</v>
      </c>
    </row>
    <row r="5543" spans="1:9" ht="15" customHeight="1">
      <c r="A5543" s="661">
        <v>45751</v>
      </c>
      <c r="B5543" s="202" t="s">
        <v>4426</v>
      </c>
      <c r="C5543" s="202" t="s">
        <v>307</v>
      </c>
      <c r="D5543" s="204">
        <v>-126000</v>
      </c>
      <c r="E5543" s="662">
        <v>45748</v>
      </c>
      <c r="F5543" s="202" t="s">
        <v>297</v>
      </c>
      <c r="G5543" s="202" t="s">
        <v>1578</v>
      </c>
      <c r="H5543" s="202" t="s">
        <v>342</v>
      </c>
    </row>
    <row r="5544" spans="1:9" ht="15" customHeight="1">
      <c r="A5544" s="661">
        <v>45751</v>
      </c>
      <c r="B5544" s="202" t="s">
        <v>4427</v>
      </c>
      <c r="C5544" s="202" t="s">
        <v>307</v>
      </c>
      <c r="D5544" s="204">
        <v>-2000</v>
      </c>
      <c r="E5544" s="662">
        <v>45748</v>
      </c>
      <c r="F5544" s="202" t="s">
        <v>297</v>
      </c>
      <c r="G5544" s="202" t="s">
        <v>1578</v>
      </c>
      <c r="H5544" s="202" t="s">
        <v>350</v>
      </c>
      <c r="I5544" s="648" t="s">
        <v>329</v>
      </c>
    </row>
    <row r="5545" spans="1:9" ht="15" customHeight="1">
      <c r="A5545" s="199">
        <v>45748</v>
      </c>
      <c r="B5545" s="202" t="s">
        <v>4428</v>
      </c>
      <c r="C5545" s="200" t="s">
        <v>398</v>
      </c>
      <c r="D5545" s="204">
        <v>-714757</v>
      </c>
      <c r="E5545" s="201">
        <v>45748</v>
      </c>
      <c r="F5545" s="200" t="s">
        <v>256</v>
      </c>
      <c r="G5545" s="200" t="s">
        <v>107</v>
      </c>
      <c r="H5545" s="200" t="s">
        <v>777</v>
      </c>
    </row>
    <row r="5546" spans="1:9" ht="15" customHeight="1">
      <c r="A5546" s="199">
        <v>45748</v>
      </c>
      <c r="B5546" s="202" t="s">
        <v>4429</v>
      </c>
      <c r="C5546" s="200" t="s">
        <v>398</v>
      </c>
      <c r="D5546" s="204">
        <v>-20230</v>
      </c>
      <c r="E5546" s="201">
        <v>45748</v>
      </c>
      <c r="F5546" s="200" t="s">
        <v>256</v>
      </c>
      <c r="G5546" s="200" t="s">
        <v>256</v>
      </c>
      <c r="H5546" s="200" t="s">
        <v>261</v>
      </c>
    </row>
    <row r="5547" spans="1:9" ht="15" customHeight="1">
      <c r="A5547" s="199">
        <v>45750</v>
      </c>
      <c r="B5547" s="202" t="s">
        <v>4430</v>
      </c>
      <c r="C5547" s="200" t="s">
        <v>314</v>
      </c>
      <c r="D5547" s="658">
        <v>-586727.5</v>
      </c>
      <c r="E5547" s="201">
        <v>45748</v>
      </c>
      <c r="F5547" s="200" t="s">
        <v>296</v>
      </c>
      <c r="G5547" s="200" t="s">
        <v>1980</v>
      </c>
      <c r="H5547" s="200" t="s">
        <v>322</v>
      </c>
    </row>
    <row r="5548" spans="1:9" ht="15" customHeight="1">
      <c r="A5548" s="199">
        <v>45750</v>
      </c>
      <c r="B5548" s="202" t="s">
        <v>4430</v>
      </c>
      <c r="C5548" s="200" t="s">
        <v>314</v>
      </c>
      <c r="D5548" s="658">
        <v>-586727.5</v>
      </c>
      <c r="E5548" s="201">
        <v>45748</v>
      </c>
      <c r="F5548" s="200" t="s">
        <v>296</v>
      </c>
      <c r="G5548" s="200" t="s">
        <v>1983</v>
      </c>
      <c r="H5548" s="200" t="s">
        <v>322</v>
      </c>
    </row>
    <row r="5549" spans="1:9" ht="15" customHeight="1">
      <c r="A5549" s="199">
        <v>45748</v>
      </c>
      <c r="B5549" s="202" t="s">
        <v>4431</v>
      </c>
      <c r="C5549" s="200" t="s">
        <v>314</v>
      </c>
      <c r="D5549" s="658">
        <v>1661119</v>
      </c>
      <c r="E5549" s="201">
        <v>45748</v>
      </c>
      <c r="F5549" s="200" t="s">
        <v>295</v>
      </c>
    </row>
    <row r="5550" spans="1:9" ht="15" customHeight="1">
      <c r="A5550" s="199">
        <v>45748</v>
      </c>
      <c r="B5550" s="202" t="s">
        <v>4432</v>
      </c>
      <c r="C5550" s="200" t="s">
        <v>314</v>
      </c>
      <c r="D5550" s="658">
        <v>462498</v>
      </c>
      <c r="E5550" s="201">
        <v>45748</v>
      </c>
      <c r="F5550" s="200" t="s">
        <v>295</v>
      </c>
    </row>
    <row r="5551" spans="1:9" ht="15" customHeight="1">
      <c r="A5551" s="199">
        <v>45748</v>
      </c>
      <c r="B5551" s="202" t="s">
        <v>4433</v>
      </c>
      <c r="C5551" s="200" t="s">
        <v>136</v>
      </c>
      <c r="D5551" s="642">
        <v>548010.38</v>
      </c>
      <c r="E5551" s="201">
        <v>45748</v>
      </c>
      <c r="F5551" s="200" t="s">
        <v>295</v>
      </c>
    </row>
    <row r="5552" spans="1:9" ht="15" customHeight="1">
      <c r="A5552" s="199">
        <v>45750</v>
      </c>
      <c r="B5552" s="202" t="s">
        <v>4434</v>
      </c>
      <c r="C5552" s="200" t="s">
        <v>204</v>
      </c>
      <c r="D5552" s="658">
        <v>-2808000</v>
      </c>
      <c r="E5552" s="201">
        <v>45748</v>
      </c>
      <c r="F5552" s="200" t="s">
        <v>296</v>
      </c>
      <c r="G5552" s="200" t="s">
        <v>1124</v>
      </c>
      <c r="H5552" s="200" t="s">
        <v>1066</v>
      </c>
    </row>
    <row r="5553" spans="1:9" ht="15" customHeight="1">
      <c r="A5553" s="199">
        <v>45751</v>
      </c>
      <c r="B5553" s="202" t="s">
        <v>4435</v>
      </c>
      <c r="C5553" s="200" t="s">
        <v>204</v>
      </c>
      <c r="D5553" s="658">
        <v>-447000</v>
      </c>
      <c r="E5553" s="201">
        <v>45748</v>
      </c>
      <c r="F5553" s="200" t="s">
        <v>256</v>
      </c>
      <c r="G5553" s="200" t="s">
        <v>256</v>
      </c>
      <c r="H5553" s="200" t="s">
        <v>267</v>
      </c>
    </row>
    <row r="5554" spans="1:9" ht="15" customHeight="1">
      <c r="A5554" s="199">
        <v>45751</v>
      </c>
      <c r="B5554" s="202" t="s">
        <v>4436</v>
      </c>
      <c r="C5554" s="200" t="s">
        <v>204</v>
      </c>
      <c r="D5554" s="658">
        <v>-226000</v>
      </c>
      <c r="E5554" s="201">
        <v>45748</v>
      </c>
      <c r="F5554" s="200" t="s">
        <v>296</v>
      </c>
      <c r="G5554" s="200" t="s">
        <v>1362</v>
      </c>
      <c r="H5554" s="200" t="s">
        <v>350</v>
      </c>
      <c r="I5554" s="648" t="s">
        <v>329</v>
      </c>
    </row>
    <row r="5555" spans="1:9" ht="15" customHeight="1">
      <c r="A5555" s="199">
        <v>45750</v>
      </c>
      <c r="B5555" s="202" t="s">
        <v>4437</v>
      </c>
      <c r="C5555" s="200" t="s">
        <v>204</v>
      </c>
      <c r="D5555" s="658">
        <v>100000000</v>
      </c>
      <c r="E5555" s="201">
        <v>45748</v>
      </c>
      <c r="F5555" s="200" t="s">
        <v>652</v>
      </c>
      <c r="G5555" s="200" t="s">
        <v>807</v>
      </c>
    </row>
    <row r="5556" spans="1:9" ht="15" customHeight="1">
      <c r="A5556" s="199">
        <v>45750</v>
      </c>
      <c r="B5556" s="202" t="s">
        <v>2783</v>
      </c>
      <c r="C5556" s="200" t="s">
        <v>204</v>
      </c>
      <c r="D5556" s="658">
        <v>100000000</v>
      </c>
      <c r="E5556" s="201">
        <v>45748</v>
      </c>
      <c r="F5556" s="200" t="s">
        <v>652</v>
      </c>
      <c r="G5556" s="200" t="s">
        <v>1980</v>
      </c>
    </row>
    <row r="5557" spans="1:9" ht="15" customHeight="1">
      <c r="A5557" s="199">
        <v>45750</v>
      </c>
      <c r="B5557" s="202" t="s">
        <v>4438</v>
      </c>
      <c r="C5557" s="200" t="s">
        <v>204</v>
      </c>
      <c r="D5557" s="658">
        <v>100000000</v>
      </c>
      <c r="E5557" s="201">
        <v>45748</v>
      </c>
      <c r="F5557" s="200" t="s">
        <v>652</v>
      </c>
      <c r="G5557" s="200" t="s">
        <v>1983</v>
      </c>
    </row>
    <row r="5558" spans="1:9" ht="15" customHeight="1">
      <c r="A5558" s="199">
        <v>45748</v>
      </c>
      <c r="B5558" s="202" t="s">
        <v>313</v>
      </c>
      <c r="C5558" s="200" t="s">
        <v>314</v>
      </c>
      <c r="D5558" s="658">
        <v>-11111111</v>
      </c>
      <c r="E5558" s="201">
        <v>45748</v>
      </c>
      <c r="F5558" s="200" t="s">
        <v>298</v>
      </c>
    </row>
    <row r="5559" spans="1:9" ht="15" customHeight="1">
      <c r="A5559" s="199">
        <v>45748</v>
      </c>
      <c r="B5559" s="202" t="s">
        <v>313</v>
      </c>
      <c r="C5559" s="200" t="s">
        <v>314</v>
      </c>
      <c r="D5559" s="658">
        <v>-2965644</v>
      </c>
      <c r="E5559" s="201">
        <v>45748</v>
      </c>
      <c r="F5559" s="200" t="s">
        <v>315</v>
      </c>
    </row>
    <row r="5560" spans="1:9" ht="15" customHeight="1">
      <c r="A5560" s="199">
        <v>45748</v>
      </c>
      <c r="B5560" s="202" t="s">
        <v>4439</v>
      </c>
      <c r="C5560" s="200" t="s">
        <v>307</v>
      </c>
      <c r="D5560" s="204">
        <v>-6000</v>
      </c>
      <c r="E5560" s="201">
        <v>45748</v>
      </c>
      <c r="F5560" s="200" t="s">
        <v>296</v>
      </c>
      <c r="G5560" s="200" t="s">
        <v>1735</v>
      </c>
      <c r="H5560" s="200" t="s">
        <v>268</v>
      </c>
      <c r="I5560" s="200" t="s">
        <v>4440</v>
      </c>
    </row>
    <row r="5561" spans="1:9" ht="15" customHeight="1">
      <c r="A5561" s="199">
        <v>45748</v>
      </c>
      <c r="B5561" s="202" t="s">
        <v>4439</v>
      </c>
      <c r="C5561" s="200" t="s">
        <v>307</v>
      </c>
      <c r="D5561" s="204">
        <v>-6500</v>
      </c>
      <c r="E5561" s="201">
        <v>45748</v>
      </c>
      <c r="F5561" s="200" t="s">
        <v>296</v>
      </c>
      <c r="G5561" s="200" t="s">
        <v>1735</v>
      </c>
      <c r="H5561" s="200" t="s">
        <v>268</v>
      </c>
      <c r="I5561" s="200" t="s">
        <v>4440</v>
      </c>
    </row>
    <row r="5562" spans="1:9" ht="15" customHeight="1">
      <c r="A5562" s="199">
        <v>45748</v>
      </c>
      <c r="B5562" s="202" t="s">
        <v>4441</v>
      </c>
      <c r="C5562" s="200" t="s">
        <v>307</v>
      </c>
      <c r="D5562" s="204">
        <v>-387840</v>
      </c>
      <c r="E5562" s="201">
        <v>45748</v>
      </c>
      <c r="F5562" s="200" t="s">
        <v>296</v>
      </c>
      <c r="G5562" s="200" t="s">
        <v>1735</v>
      </c>
      <c r="H5562" s="200" t="s">
        <v>364</v>
      </c>
      <c r="I5562" s="200" t="s">
        <v>4440</v>
      </c>
    </row>
    <row r="5563" spans="1:9" ht="15" customHeight="1">
      <c r="A5563" s="199">
        <v>45748</v>
      </c>
      <c r="B5563" s="202" t="s">
        <v>4442</v>
      </c>
      <c r="C5563" s="200" t="s">
        <v>307</v>
      </c>
      <c r="D5563" s="204">
        <v>-70000</v>
      </c>
      <c r="E5563" s="201">
        <v>45748</v>
      </c>
      <c r="F5563" s="200" t="s">
        <v>296</v>
      </c>
      <c r="G5563" s="200" t="s">
        <v>1735</v>
      </c>
      <c r="H5563" s="200" t="s">
        <v>350</v>
      </c>
      <c r="I5563" s="200" t="s">
        <v>4440</v>
      </c>
    </row>
    <row r="5564" spans="1:9" ht="15" customHeight="1">
      <c r="A5564" s="199">
        <v>45748</v>
      </c>
      <c r="B5564" s="202" t="s">
        <v>4443</v>
      </c>
      <c r="C5564" s="200" t="s">
        <v>307</v>
      </c>
      <c r="D5564" s="204">
        <v>-16000</v>
      </c>
      <c r="E5564" s="201">
        <v>45748</v>
      </c>
      <c r="F5564" s="200" t="s">
        <v>296</v>
      </c>
      <c r="G5564" s="200" t="s">
        <v>1735</v>
      </c>
      <c r="H5564" s="200" t="s">
        <v>268</v>
      </c>
      <c r="I5564" s="200" t="s">
        <v>4440</v>
      </c>
    </row>
    <row r="5565" spans="1:9" ht="15" customHeight="1">
      <c r="A5565" s="199">
        <v>45749</v>
      </c>
      <c r="B5565" s="202" t="s">
        <v>4444</v>
      </c>
      <c r="C5565" s="200" t="s">
        <v>307</v>
      </c>
      <c r="D5565" s="204">
        <v>-57500</v>
      </c>
      <c r="E5565" s="201">
        <v>45748</v>
      </c>
      <c r="F5565" s="200" t="s">
        <v>296</v>
      </c>
      <c r="G5565" s="200" t="s">
        <v>1735</v>
      </c>
      <c r="H5565" s="200" t="s">
        <v>342</v>
      </c>
      <c r="I5565" s="200" t="s">
        <v>4440</v>
      </c>
    </row>
    <row r="5566" spans="1:9" ht="15" customHeight="1">
      <c r="A5566" s="199">
        <v>45750</v>
      </c>
      <c r="B5566" s="202" t="s">
        <v>4445</v>
      </c>
      <c r="C5566" s="200" t="s">
        <v>307</v>
      </c>
      <c r="D5566" s="204">
        <v>-11500</v>
      </c>
      <c r="E5566" s="201">
        <v>45748</v>
      </c>
      <c r="F5566" s="200" t="s">
        <v>296</v>
      </c>
      <c r="G5566" s="200" t="s">
        <v>1735</v>
      </c>
      <c r="H5566" s="200" t="s">
        <v>342</v>
      </c>
      <c r="I5566" s="200" t="s">
        <v>4440</v>
      </c>
    </row>
    <row r="5567" spans="1:9" ht="15" customHeight="1">
      <c r="A5567" s="199">
        <v>45749</v>
      </c>
      <c r="B5567" s="202" t="s">
        <v>4446</v>
      </c>
      <c r="C5567" s="200" t="s">
        <v>307</v>
      </c>
      <c r="D5567" s="204">
        <v>-14000</v>
      </c>
      <c r="E5567" s="201">
        <v>45748</v>
      </c>
      <c r="F5567" s="200" t="s">
        <v>296</v>
      </c>
      <c r="G5567" s="200" t="s">
        <v>1735</v>
      </c>
      <c r="H5567" s="200" t="s">
        <v>268</v>
      </c>
      <c r="I5567" s="200" t="s">
        <v>4440</v>
      </c>
    </row>
    <row r="5568" spans="1:9" ht="15" customHeight="1">
      <c r="A5568" s="199">
        <v>45749</v>
      </c>
      <c r="B5568" s="202" t="s">
        <v>4447</v>
      </c>
      <c r="C5568" s="200" t="s">
        <v>307</v>
      </c>
      <c r="D5568" s="204">
        <v>-60000</v>
      </c>
      <c r="E5568" s="201">
        <v>45748</v>
      </c>
      <c r="F5568" s="200" t="s">
        <v>296</v>
      </c>
      <c r="G5568" s="200" t="s">
        <v>1735</v>
      </c>
      <c r="H5568" s="200" t="s">
        <v>379</v>
      </c>
      <c r="I5568" s="200" t="s">
        <v>4440</v>
      </c>
    </row>
    <row r="5569" spans="1:9" ht="15" customHeight="1">
      <c r="A5569" s="199">
        <v>45749</v>
      </c>
      <c r="B5569" s="202" t="s">
        <v>4448</v>
      </c>
      <c r="C5569" s="200" t="s">
        <v>307</v>
      </c>
      <c r="D5569" s="204">
        <v>-243000</v>
      </c>
      <c r="E5569" s="201">
        <v>45748</v>
      </c>
      <c r="F5569" s="200" t="s">
        <v>296</v>
      </c>
      <c r="G5569" s="200" t="s">
        <v>1735</v>
      </c>
      <c r="H5569" s="200" t="s">
        <v>379</v>
      </c>
      <c r="I5569" s="200" t="s">
        <v>4440</v>
      </c>
    </row>
    <row r="5570" spans="1:9" ht="15" customHeight="1">
      <c r="A5570" s="199">
        <v>45749</v>
      </c>
      <c r="B5570" s="202" t="s">
        <v>4449</v>
      </c>
      <c r="C5570" s="200" t="s">
        <v>307</v>
      </c>
      <c r="D5570" s="204">
        <v>-35000</v>
      </c>
      <c r="E5570" s="201">
        <v>45748</v>
      </c>
      <c r="F5570" s="200" t="s">
        <v>296</v>
      </c>
      <c r="G5570" s="200" t="s">
        <v>1735</v>
      </c>
      <c r="H5570" s="200" t="s">
        <v>379</v>
      </c>
      <c r="I5570" s="200" t="s">
        <v>4440</v>
      </c>
    </row>
    <row r="5571" spans="1:9" ht="15" customHeight="1">
      <c r="A5571" s="199">
        <v>45749</v>
      </c>
      <c r="B5571" s="202" t="s">
        <v>4450</v>
      </c>
      <c r="C5571" s="200" t="s">
        <v>307</v>
      </c>
      <c r="D5571" s="204">
        <v>-12000</v>
      </c>
      <c r="E5571" s="201">
        <v>45748</v>
      </c>
      <c r="F5571" s="200" t="s">
        <v>296</v>
      </c>
      <c r="G5571" s="200" t="s">
        <v>1735</v>
      </c>
      <c r="H5571" s="200" t="s">
        <v>268</v>
      </c>
      <c r="I5571" s="200" t="s">
        <v>4440</v>
      </c>
    </row>
    <row r="5572" spans="1:9" ht="15" customHeight="1">
      <c r="A5572" s="199">
        <v>45750</v>
      </c>
      <c r="B5572" s="202" t="s">
        <v>4451</v>
      </c>
      <c r="C5572" s="200" t="s">
        <v>307</v>
      </c>
      <c r="D5572" s="204">
        <v>-69000</v>
      </c>
      <c r="E5572" s="201">
        <v>45748</v>
      </c>
      <c r="F5572" s="200" t="s">
        <v>296</v>
      </c>
      <c r="G5572" s="200" t="s">
        <v>1735</v>
      </c>
      <c r="H5572" s="200" t="s">
        <v>342</v>
      </c>
      <c r="I5572" s="200" t="s">
        <v>4440</v>
      </c>
    </row>
    <row r="5573" spans="1:9" ht="15" customHeight="1">
      <c r="A5573" s="199">
        <v>45750</v>
      </c>
      <c r="B5573" s="202" t="s">
        <v>4452</v>
      </c>
      <c r="C5573" s="200" t="s">
        <v>307</v>
      </c>
      <c r="D5573" s="204">
        <v>-12000</v>
      </c>
      <c r="E5573" s="201">
        <v>45748</v>
      </c>
      <c r="F5573" s="200" t="s">
        <v>296</v>
      </c>
      <c r="G5573" s="200" t="s">
        <v>1735</v>
      </c>
      <c r="H5573" s="200" t="s">
        <v>268</v>
      </c>
      <c r="I5573" s="200" t="s">
        <v>4440</v>
      </c>
    </row>
    <row r="5574" spans="1:9" ht="15" customHeight="1">
      <c r="A5574" s="199">
        <v>45750</v>
      </c>
      <c r="B5574" s="202" t="s">
        <v>4453</v>
      </c>
      <c r="C5574" s="200" t="s">
        <v>307</v>
      </c>
      <c r="D5574" s="204">
        <v>-6000</v>
      </c>
      <c r="E5574" s="201">
        <v>45748</v>
      </c>
      <c r="F5574" s="200" t="s">
        <v>296</v>
      </c>
      <c r="G5574" s="200" t="s">
        <v>1735</v>
      </c>
      <c r="H5574" s="200" t="s">
        <v>268</v>
      </c>
      <c r="I5574" s="200" t="s">
        <v>4440</v>
      </c>
    </row>
    <row r="5575" spans="1:9" ht="15" customHeight="1">
      <c r="A5575" s="199">
        <v>45750</v>
      </c>
      <c r="B5575" s="202" t="s">
        <v>4454</v>
      </c>
      <c r="C5575" s="200" t="s">
        <v>307</v>
      </c>
      <c r="D5575" s="204">
        <v>-28266</v>
      </c>
      <c r="E5575" s="201">
        <v>45748</v>
      </c>
      <c r="F5575" s="200" t="s">
        <v>296</v>
      </c>
      <c r="G5575" s="200" t="s">
        <v>1735</v>
      </c>
      <c r="H5575" s="200" t="s">
        <v>364</v>
      </c>
      <c r="I5575" s="200" t="s">
        <v>4440</v>
      </c>
    </row>
    <row r="5576" spans="1:9" ht="15" customHeight="1">
      <c r="A5576" s="199">
        <v>45750</v>
      </c>
      <c r="B5576" s="202" t="s">
        <v>4455</v>
      </c>
      <c r="C5576" s="200" t="s">
        <v>307</v>
      </c>
      <c r="D5576" s="204">
        <v>-12288</v>
      </c>
      <c r="E5576" s="201">
        <v>45748</v>
      </c>
      <c r="F5576" s="200" t="s">
        <v>296</v>
      </c>
      <c r="G5576" s="200" t="s">
        <v>1735</v>
      </c>
      <c r="H5576" s="200" t="s">
        <v>364</v>
      </c>
      <c r="I5576" s="200" t="s">
        <v>4440</v>
      </c>
    </row>
    <row r="5577" spans="1:9" ht="15" customHeight="1">
      <c r="A5577" s="199">
        <v>45750</v>
      </c>
      <c r="B5577" s="202" t="s">
        <v>4456</v>
      </c>
      <c r="C5577" s="200" t="s">
        <v>307</v>
      </c>
      <c r="D5577" s="204">
        <v>-15600</v>
      </c>
      <c r="E5577" s="201">
        <v>45748</v>
      </c>
      <c r="F5577" s="200" t="s">
        <v>296</v>
      </c>
      <c r="G5577" s="200" t="s">
        <v>1735</v>
      </c>
      <c r="H5577" s="200" t="s">
        <v>379</v>
      </c>
      <c r="I5577" s="200" t="s">
        <v>4440</v>
      </c>
    </row>
    <row r="5578" spans="1:9" ht="15" customHeight="1">
      <c r="A5578" s="199">
        <v>45750</v>
      </c>
      <c r="B5578" s="202" t="s">
        <v>4457</v>
      </c>
      <c r="C5578" s="200" t="s">
        <v>307</v>
      </c>
      <c r="D5578" s="204">
        <v>-108000</v>
      </c>
      <c r="E5578" s="201">
        <v>45748</v>
      </c>
      <c r="F5578" s="200" t="s">
        <v>296</v>
      </c>
      <c r="G5578" s="200" t="s">
        <v>1735</v>
      </c>
      <c r="H5578" s="200" t="s">
        <v>379</v>
      </c>
      <c r="I5578" s="200" t="s">
        <v>4440</v>
      </c>
    </row>
    <row r="5579" spans="1:9" ht="15" customHeight="1">
      <c r="A5579" s="199">
        <v>45750</v>
      </c>
      <c r="B5579" s="202" t="s">
        <v>4458</v>
      </c>
      <c r="C5579" s="200" t="s">
        <v>307</v>
      </c>
      <c r="D5579" s="204">
        <v>-9850</v>
      </c>
      <c r="E5579" s="201">
        <v>45748</v>
      </c>
      <c r="F5579" s="200" t="s">
        <v>296</v>
      </c>
      <c r="G5579" s="200" t="s">
        <v>1735</v>
      </c>
      <c r="H5579" s="200" t="s">
        <v>268</v>
      </c>
      <c r="I5579" s="200" t="s">
        <v>4440</v>
      </c>
    </row>
    <row r="5580" spans="1:9" ht="15" customHeight="1">
      <c r="A5580" s="199">
        <v>45750</v>
      </c>
      <c r="B5580" s="202" t="s">
        <v>4459</v>
      </c>
      <c r="C5580" s="200" t="s">
        <v>307</v>
      </c>
      <c r="D5580" s="204">
        <v>-40000</v>
      </c>
      <c r="E5580" s="201">
        <v>45748</v>
      </c>
      <c r="F5580" s="200" t="s">
        <v>296</v>
      </c>
      <c r="G5580" s="200" t="s">
        <v>1735</v>
      </c>
      <c r="H5580" s="200" t="s">
        <v>346</v>
      </c>
      <c r="I5580" s="200" t="s">
        <v>4440</v>
      </c>
    </row>
    <row r="5581" spans="1:9" ht="15" customHeight="1">
      <c r="A5581" s="199">
        <v>45750</v>
      </c>
      <c r="B5581" s="202" t="s">
        <v>4460</v>
      </c>
      <c r="C5581" s="200" t="s">
        <v>307</v>
      </c>
      <c r="D5581" s="204">
        <v>-133812</v>
      </c>
      <c r="E5581" s="201">
        <v>45748</v>
      </c>
      <c r="F5581" s="200" t="s">
        <v>296</v>
      </c>
      <c r="G5581" s="200" t="s">
        <v>1735</v>
      </c>
      <c r="H5581" s="200" t="s">
        <v>364</v>
      </c>
      <c r="I5581" s="200" t="s">
        <v>4440</v>
      </c>
    </row>
    <row r="5582" spans="1:9" ht="15" customHeight="1">
      <c r="A5582" s="199">
        <v>45750</v>
      </c>
      <c r="B5582" s="202" t="s">
        <v>4461</v>
      </c>
      <c r="C5582" s="200" t="s">
        <v>307</v>
      </c>
      <c r="D5582" s="204">
        <v>-8000</v>
      </c>
      <c r="E5582" s="201">
        <v>45748</v>
      </c>
      <c r="F5582" s="200" t="s">
        <v>296</v>
      </c>
      <c r="G5582" s="200" t="s">
        <v>1735</v>
      </c>
      <c r="H5582" s="200" t="s">
        <v>364</v>
      </c>
      <c r="I5582" s="200" t="s">
        <v>4440</v>
      </c>
    </row>
    <row r="5583" spans="1:9" ht="15" customHeight="1">
      <c r="A5583" s="199">
        <v>45750</v>
      </c>
      <c r="B5583" s="202" t="s">
        <v>4462</v>
      </c>
      <c r="C5583" s="200" t="s">
        <v>307</v>
      </c>
      <c r="D5583" s="204">
        <v>-10000</v>
      </c>
      <c r="E5583" s="201">
        <v>45748</v>
      </c>
      <c r="F5583" s="200" t="s">
        <v>296</v>
      </c>
      <c r="G5583" s="200" t="s">
        <v>1735</v>
      </c>
      <c r="H5583" s="200" t="s">
        <v>268</v>
      </c>
      <c r="I5583" s="200" t="s">
        <v>4440</v>
      </c>
    </row>
    <row r="5584" spans="1:9" ht="15" customHeight="1">
      <c r="A5584" s="199">
        <v>45746</v>
      </c>
      <c r="B5584" s="202" t="s">
        <v>4463</v>
      </c>
      <c r="C5584" s="200" t="s">
        <v>307</v>
      </c>
      <c r="D5584" s="204">
        <v>-300000</v>
      </c>
      <c r="E5584" s="201">
        <v>45748</v>
      </c>
      <c r="F5584" s="200" t="s">
        <v>296</v>
      </c>
      <c r="G5584" s="200" t="s">
        <v>1735</v>
      </c>
      <c r="H5584" s="200" t="s">
        <v>268</v>
      </c>
      <c r="I5584" s="200" t="s">
        <v>4440</v>
      </c>
    </row>
    <row r="5585" spans="1:9" ht="15" customHeight="1">
      <c r="A5585" s="199">
        <v>45746</v>
      </c>
      <c r="B5585" s="202" t="s">
        <v>4464</v>
      </c>
      <c r="C5585" s="200" t="s">
        <v>307</v>
      </c>
      <c r="D5585" s="204">
        <v>-6800</v>
      </c>
      <c r="E5585" s="201">
        <v>45748</v>
      </c>
      <c r="F5585" s="200" t="s">
        <v>296</v>
      </c>
      <c r="G5585" s="200" t="s">
        <v>1735</v>
      </c>
      <c r="H5585" s="200" t="s">
        <v>268</v>
      </c>
      <c r="I5585" s="200" t="s">
        <v>4440</v>
      </c>
    </row>
    <row r="5586" spans="1:9" ht="15" customHeight="1">
      <c r="A5586" s="199">
        <v>45746</v>
      </c>
      <c r="B5586" s="202" t="s">
        <v>4464</v>
      </c>
      <c r="C5586" s="200" t="s">
        <v>307</v>
      </c>
      <c r="D5586" s="204">
        <v>-6800</v>
      </c>
      <c r="E5586" s="201">
        <v>45748</v>
      </c>
      <c r="F5586" s="200" t="s">
        <v>296</v>
      </c>
      <c r="G5586" s="200" t="s">
        <v>1735</v>
      </c>
      <c r="H5586" s="200" t="s">
        <v>268</v>
      </c>
      <c r="I5586" s="200" t="s">
        <v>4440</v>
      </c>
    </row>
    <row r="5587" spans="1:9" ht="15" customHeight="1">
      <c r="A5587" s="199">
        <v>45746</v>
      </c>
      <c r="B5587" s="202" t="s">
        <v>4465</v>
      </c>
      <c r="C5587" s="200" t="s">
        <v>307</v>
      </c>
      <c r="D5587" s="204">
        <v>-81200</v>
      </c>
      <c r="E5587" s="201">
        <v>45748</v>
      </c>
      <c r="F5587" s="200" t="s">
        <v>296</v>
      </c>
      <c r="G5587" s="200" t="s">
        <v>1735</v>
      </c>
      <c r="H5587" s="200" t="s">
        <v>342</v>
      </c>
      <c r="I5587" s="200" t="s">
        <v>4440</v>
      </c>
    </row>
    <row r="5588" spans="1:9" ht="15" customHeight="1">
      <c r="A5588" s="199">
        <v>45747</v>
      </c>
      <c r="B5588" s="202" t="s">
        <v>4466</v>
      </c>
      <c r="C5588" s="200" t="s">
        <v>307</v>
      </c>
      <c r="D5588" s="204">
        <v>-69000</v>
      </c>
      <c r="E5588" s="201">
        <v>45748</v>
      </c>
      <c r="F5588" s="200" t="s">
        <v>296</v>
      </c>
      <c r="G5588" s="200" t="s">
        <v>1735</v>
      </c>
      <c r="H5588" s="200" t="s">
        <v>342</v>
      </c>
      <c r="I5588" s="200" t="s">
        <v>4440</v>
      </c>
    </row>
    <row r="5589" spans="1:9" ht="15" customHeight="1">
      <c r="A5589" s="199">
        <v>45747</v>
      </c>
      <c r="B5589" s="202" t="s">
        <v>4467</v>
      </c>
      <c r="C5589" s="200" t="s">
        <v>307</v>
      </c>
      <c r="D5589" s="204">
        <v>-15000</v>
      </c>
      <c r="E5589" s="201">
        <v>45748</v>
      </c>
      <c r="F5589" s="200" t="s">
        <v>296</v>
      </c>
      <c r="G5589" s="200" t="s">
        <v>1735</v>
      </c>
      <c r="H5589" s="200" t="s">
        <v>268</v>
      </c>
      <c r="I5589" s="200" t="s">
        <v>4440</v>
      </c>
    </row>
    <row r="5590" spans="1:9" ht="15" customHeight="1">
      <c r="A5590" s="199">
        <v>45747</v>
      </c>
      <c r="B5590" s="202" t="s">
        <v>4467</v>
      </c>
      <c r="C5590" s="200" t="s">
        <v>307</v>
      </c>
      <c r="D5590" s="204">
        <v>-15000</v>
      </c>
      <c r="E5590" s="201">
        <v>45748</v>
      </c>
      <c r="F5590" s="200" t="s">
        <v>296</v>
      </c>
      <c r="G5590" s="200" t="s">
        <v>1735</v>
      </c>
      <c r="H5590" s="200" t="s">
        <v>268</v>
      </c>
      <c r="I5590" s="200" t="s">
        <v>4440</v>
      </c>
    </row>
    <row r="5591" spans="1:9" ht="15" customHeight="1">
      <c r="A5591" s="199">
        <v>45747</v>
      </c>
      <c r="B5591" s="202" t="s">
        <v>4468</v>
      </c>
      <c r="C5591" s="200" t="s">
        <v>307</v>
      </c>
      <c r="D5591" s="204">
        <v>-16000</v>
      </c>
      <c r="E5591" s="201">
        <v>45748</v>
      </c>
      <c r="F5591" s="200" t="s">
        <v>296</v>
      </c>
      <c r="G5591" s="200" t="s">
        <v>1735</v>
      </c>
      <c r="H5591" s="200" t="s">
        <v>268</v>
      </c>
      <c r="I5591" s="200" t="s">
        <v>4440</v>
      </c>
    </row>
    <row r="5592" spans="1:9" ht="15" customHeight="1">
      <c r="A5592" s="199">
        <v>45747</v>
      </c>
      <c r="B5592" s="202" t="s">
        <v>4469</v>
      </c>
      <c r="C5592" s="200" t="s">
        <v>307</v>
      </c>
      <c r="D5592" s="204">
        <v>-16000</v>
      </c>
      <c r="E5592" s="201">
        <v>45748</v>
      </c>
      <c r="F5592" s="200" t="s">
        <v>296</v>
      </c>
      <c r="G5592" s="200" t="s">
        <v>1735</v>
      </c>
      <c r="H5592" s="200" t="s">
        <v>268</v>
      </c>
      <c r="I5592" s="200" t="s">
        <v>4440</v>
      </c>
    </row>
    <row r="5593" spans="1:9" ht="15" customHeight="1">
      <c r="A5593" s="199">
        <v>45747</v>
      </c>
      <c r="B5593" s="202" t="s">
        <v>4470</v>
      </c>
      <c r="C5593" s="200" t="s">
        <v>307</v>
      </c>
      <c r="D5593" s="204">
        <v>-500922</v>
      </c>
      <c r="E5593" s="201">
        <v>45748</v>
      </c>
      <c r="F5593" s="200" t="s">
        <v>296</v>
      </c>
      <c r="G5593" s="200" t="s">
        <v>1735</v>
      </c>
      <c r="H5593" s="200" t="s">
        <v>364</v>
      </c>
      <c r="I5593" s="200" t="s">
        <v>4440</v>
      </c>
    </row>
    <row r="5594" spans="1:9" ht="15" customHeight="1">
      <c r="A5594" s="199">
        <v>45747</v>
      </c>
      <c r="B5594" s="202" t="s">
        <v>4471</v>
      </c>
      <c r="C5594" s="200" t="s">
        <v>307</v>
      </c>
      <c r="D5594" s="204">
        <v>-198250</v>
      </c>
      <c r="E5594" s="201">
        <v>45748</v>
      </c>
      <c r="F5594" s="200" t="s">
        <v>296</v>
      </c>
      <c r="G5594" s="200" t="s">
        <v>1735</v>
      </c>
      <c r="H5594" s="200" t="s">
        <v>857</v>
      </c>
      <c r="I5594" s="200" t="s">
        <v>4440</v>
      </c>
    </row>
    <row r="5595" spans="1:9" ht="15" customHeight="1">
      <c r="A5595" s="199">
        <v>45747</v>
      </c>
      <c r="B5595" s="202" t="s">
        <v>4472</v>
      </c>
      <c r="C5595" s="200" t="s">
        <v>307</v>
      </c>
      <c r="D5595" s="204">
        <v>-300000</v>
      </c>
      <c r="E5595" s="201">
        <v>45748</v>
      </c>
      <c r="F5595" s="200" t="s">
        <v>296</v>
      </c>
      <c r="G5595" s="200" t="s">
        <v>1735</v>
      </c>
      <c r="H5595" s="200" t="s">
        <v>379</v>
      </c>
      <c r="I5595" s="200" t="s">
        <v>4440</v>
      </c>
    </row>
    <row r="5596" spans="1:9" ht="15" customHeight="1">
      <c r="A5596" s="199">
        <v>45748</v>
      </c>
      <c r="B5596" s="202" t="s">
        <v>4473</v>
      </c>
      <c r="C5596" s="200" t="s">
        <v>307</v>
      </c>
      <c r="D5596" s="204">
        <v>-23000</v>
      </c>
      <c r="E5596" s="201">
        <v>45748</v>
      </c>
      <c r="F5596" s="200" t="s">
        <v>296</v>
      </c>
      <c r="G5596" s="200" t="s">
        <v>1735</v>
      </c>
      <c r="H5596" s="200" t="s">
        <v>342</v>
      </c>
      <c r="I5596" s="200" t="s">
        <v>4440</v>
      </c>
    </row>
    <row r="5597" spans="1:9" ht="15" customHeight="1">
      <c r="A5597" s="199">
        <v>45748</v>
      </c>
      <c r="B5597" s="202" t="s">
        <v>4474</v>
      </c>
      <c r="C5597" s="200" t="s">
        <v>307</v>
      </c>
      <c r="D5597" s="204">
        <v>-46000</v>
      </c>
      <c r="E5597" s="201">
        <v>45748</v>
      </c>
      <c r="F5597" s="200" t="s">
        <v>296</v>
      </c>
      <c r="G5597" s="200" t="s">
        <v>1735</v>
      </c>
      <c r="H5597" s="200" t="s">
        <v>342</v>
      </c>
      <c r="I5597" s="648" t="s">
        <v>329</v>
      </c>
    </row>
    <row r="5598" spans="1:9" ht="15" customHeight="1">
      <c r="A5598" s="199">
        <v>45750</v>
      </c>
      <c r="B5598" s="202" t="s">
        <v>4475</v>
      </c>
      <c r="C5598" s="200" t="s">
        <v>307</v>
      </c>
      <c r="D5598" s="204">
        <v>-180037</v>
      </c>
      <c r="E5598" s="201">
        <v>45748</v>
      </c>
      <c r="F5598" s="200" t="s">
        <v>256</v>
      </c>
      <c r="G5598" s="200" t="s">
        <v>256</v>
      </c>
      <c r="H5598" s="200" t="s">
        <v>269</v>
      </c>
    </row>
    <row r="5599" spans="1:9" ht="15" customHeight="1">
      <c r="A5599" s="199">
        <v>45750</v>
      </c>
      <c r="B5599" s="202" t="s">
        <v>4476</v>
      </c>
      <c r="C5599" s="200" t="s">
        <v>307</v>
      </c>
      <c r="D5599" s="204">
        <v>-14800</v>
      </c>
      <c r="E5599" s="201">
        <v>45748</v>
      </c>
      <c r="F5599" s="200" t="s">
        <v>256</v>
      </c>
      <c r="G5599" s="200" t="s">
        <v>256</v>
      </c>
      <c r="H5599" s="200" t="s">
        <v>269</v>
      </c>
      <c r="I5599" s="648" t="s">
        <v>329</v>
      </c>
    </row>
    <row r="5600" spans="1:9" ht="15" customHeight="1">
      <c r="A5600" s="199">
        <v>45733</v>
      </c>
      <c r="B5600" s="202" t="s">
        <v>1419</v>
      </c>
      <c r="C5600" s="200" t="s">
        <v>307</v>
      </c>
      <c r="D5600" s="204">
        <v>-108000</v>
      </c>
      <c r="E5600" s="201">
        <v>45748</v>
      </c>
      <c r="F5600" s="200" t="s">
        <v>256</v>
      </c>
      <c r="G5600" s="200" t="s">
        <v>107</v>
      </c>
      <c r="H5600" s="200" t="s">
        <v>277</v>
      </c>
      <c r="I5600" s="200" t="s">
        <v>4477</v>
      </c>
    </row>
    <row r="5601" spans="1:9" ht="15" customHeight="1">
      <c r="A5601" s="199">
        <v>45733</v>
      </c>
      <c r="B5601" s="202" t="s">
        <v>4478</v>
      </c>
      <c r="C5601" s="200" t="s">
        <v>307</v>
      </c>
      <c r="D5601" s="204">
        <v>-50000</v>
      </c>
      <c r="E5601" s="201">
        <v>45748</v>
      </c>
      <c r="F5601" s="200" t="s">
        <v>256</v>
      </c>
      <c r="G5601" s="200" t="s">
        <v>107</v>
      </c>
      <c r="H5601" s="200" t="s">
        <v>277</v>
      </c>
      <c r="I5601" s="200" t="s">
        <v>4477</v>
      </c>
    </row>
    <row r="5602" spans="1:9" ht="15" customHeight="1">
      <c r="A5602" s="199">
        <v>45707</v>
      </c>
      <c r="B5602" s="202" t="s">
        <v>1743</v>
      </c>
      <c r="C5602" s="200" t="s">
        <v>307</v>
      </c>
      <c r="D5602" s="204">
        <v>-31000</v>
      </c>
      <c r="E5602" s="201">
        <v>45748</v>
      </c>
      <c r="F5602" s="200" t="s">
        <v>256</v>
      </c>
      <c r="G5602" s="200" t="s">
        <v>107</v>
      </c>
      <c r="H5602" s="200" t="s">
        <v>277</v>
      </c>
      <c r="I5602" s="200" t="s">
        <v>4477</v>
      </c>
    </row>
    <row r="5603" spans="1:9" ht="15" customHeight="1">
      <c r="A5603" s="199">
        <v>45738</v>
      </c>
      <c r="B5603" s="202" t="s">
        <v>2805</v>
      </c>
      <c r="C5603" s="200" t="s">
        <v>307</v>
      </c>
      <c r="D5603" s="204">
        <v>-60000</v>
      </c>
      <c r="E5603" s="201">
        <v>45748</v>
      </c>
      <c r="F5603" s="200" t="s">
        <v>256</v>
      </c>
      <c r="G5603" s="200" t="s">
        <v>107</v>
      </c>
      <c r="H5603" s="200" t="s">
        <v>277</v>
      </c>
      <c r="I5603" s="200" t="s">
        <v>4477</v>
      </c>
    </row>
    <row r="5604" spans="1:9" ht="15" customHeight="1">
      <c r="A5604" s="199">
        <v>45739</v>
      </c>
      <c r="B5604" s="202" t="s">
        <v>1419</v>
      </c>
      <c r="C5604" s="200" t="s">
        <v>307</v>
      </c>
      <c r="D5604" s="204">
        <v>-120000</v>
      </c>
      <c r="E5604" s="201">
        <v>45748</v>
      </c>
      <c r="F5604" s="200" t="s">
        <v>256</v>
      </c>
      <c r="G5604" s="200" t="s">
        <v>107</v>
      </c>
      <c r="H5604" s="200" t="s">
        <v>277</v>
      </c>
      <c r="I5604" s="200" t="s">
        <v>4477</v>
      </c>
    </row>
    <row r="5605" spans="1:9" ht="15" customHeight="1">
      <c r="A5605" s="199">
        <v>45741</v>
      </c>
      <c r="B5605" s="202" t="s">
        <v>2541</v>
      </c>
      <c r="C5605" s="200" t="s">
        <v>307</v>
      </c>
      <c r="D5605" s="204">
        <v>-12400</v>
      </c>
      <c r="E5605" s="201">
        <v>45748</v>
      </c>
      <c r="F5605" s="200" t="s">
        <v>256</v>
      </c>
      <c r="G5605" s="200" t="s">
        <v>107</v>
      </c>
      <c r="H5605" s="200" t="s">
        <v>277</v>
      </c>
      <c r="I5605" s="200" t="s">
        <v>4477</v>
      </c>
    </row>
    <row r="5606" spans="1:9" ht="15" customHeight="1">
      <c r="A5606" s="199">
        <v>45741</v>
      </c>
      <c r="B5606" s="202" t="s">
        <v>2541</v>
      </c>
      <c r="C5606" s="200" t="s">
        <v>307</v>
      </c>
      <c r="D5606" s="204">
        <v>-12400</v>
      </c>
      <c r="E5606" s="201">
        <v>45748</v>
      </c>
      <c r="F5606" s="200" t="s">
        <v>256</v>
      </c>
      <c r="G5606" s="200" t="s">
        <v>107</v>
      </c>
      <c r="H5606" s="200" t="s">
        <v>277</v>
      </c>
      <c r="I5606" s="200" t="s">
        <v>4477</v>
      </c>
    </row>
    <row r="5607" spans="1:9" ht="15" customHeight="1">
      <c r="A5607" s="199">
        <v>45741</v>
      </c>
      <c r="B5607" s="202" t="s">
        <v>2541</v>
      </c>
      <c r="C5607" s="200" t="s">
        <v>307</v>
      </c>
      <c r="D5607" s="204">
        <v>-12400</v>
      </c>
      <c r="E5607" s="201">
        <v>45748</v>
      </c>
      <c r="F5607" s="200" t="s">
        <v>256</v>
      </c>
      <c r="G5607" s="200" t="s">
        <v>107</v>
      </c>
      <c r="H5607" s="200" t="s">
        <v>277</v>
      </c>
      <c r="I5607" s="200" t="s">
        <v>4477</v>
      </c>
    </row>
    <row r="5608" spans="1:9" ht="15" customHeight="1">
      <c r="A5608" s="199">
        <v>45742</v>
      </c>
      <c r="B5608" s="202" t="s">
        <v>2541</v>
      </c>
      <c r="C5608" s="200" t="s">
        <v>307</v>
      </c>
      <c r="D5608" s="204">
        <v>-12400</v>
      </c>
      <c r="E5608" s="201">
        <v>45748</v>
      </c>
      <c r="F5608" s="200" t="s">
        <v>256</v>
      </c>
      <c r="G5608" s="200" t="s">
        <v>107</v>
      </c>
      <c r="H5608" s="200" t="s">
        <v>277</v>
      </c>
      <c r="I5608" s="200" t="s">
        <v>4477</v>
      </c>
    </row>
    <row r="5609" spans="1:9" ht="15" customHeight="1">
      <c r="A5609" s="199">
        <v>45742</v>
      </c>
      <c r="B5609" s="202" t="s">
        <v>2541</v>
      </c>
      <c r="C5609" s="200" t="s">
        <v>307</v>
      </c>
      <c r="D5609" s="204">
        <v>-12400</v>
      </c>
      <c r="E5609" s="201">
        <v>45748</v>
      </c>
      <c r="F5609" s="200" t="s">
        <v>256</v>
      </c>
      <c r="G5609" s="200" t="s">
        <v>107</v>
      </c>
      <c r="H5609" s="200" t="s">
        <v>277</v>
      </c>
      <c r="I5609" s="200" t="s">
        <v>4477</v>
      </c>
    </row>
    <row r="5610" spans="1:9" ht="15" customHeight="1">
      <c r="A5610" s="199">
        <v>45742</v>
      </c>
      <c r="B5610" s="202" t="s">
        <v>2541</v>
      </c>
      <c r="C5610" s="200" t="s">
        <v>307</v>
      </c>
      <c r="D5610" s="204">
        <v>-12400</v>
      </c>
      <c r="E5610" s="201">
        <v>45748</v>
      </c>
      <c r="F5610" s="200" t="s">
        <v>256</v>
      </c>
      <c r="G5610" s="200" t="s">
        <v>107</v>
      </c>
      <c r="H5610" s="200" t="s">
        <v>277</v>
      </c>
      <c r="I5610" s="200" t="s">
        <v>4477</v>
      </c>
    </row>
    <row r="5611" spans="1:9" ht="15" customHeight="1">
      <c r="A5611" s="199">
        <v>45742</v>
      </c>
      <c r="B5611" s="202" t="s">
        <v>2541</v>
      </c>
      <c r="C5611" s="200" t="s">
        <v>307</v>
      </c>
      <c r="D5611" s="204">
        <v>-12500</v>
      </c>
      <c r="E5611" s="201">
        <v>45748</v>
      </c>
      <c r="F5611" s="200" t="s">
        <v>256</v>
      </c>
      <c r="G5611" s="200" t="s">
        <v>107</v>
      </c>
      <c r="H5611" s="200" t="s">
        <v>277</v>
      </c>
      <c r="I5611" s="200" t="s">
        <v>4477</v>
      </c>
    </row>
    <row r="5612" spans="1:9" ht="15" customHeight="1">
      <c r="A5612" s="199">
        <v>45743</v>
      </c>
      <c r="B5612" s="202" t="s">
        <v>1187</v>
      </c>
      <c r="C5612" s="200" t="s">
        <v>307</v>
      </c>
      <c r="D5612" s="204">
        <v>-20000</v>
      </c>
      <c r="E5612" s="201">
        <v>45748</v>
      </c>
      <c r="F5612" s="200" t="s">
        <v>256</v>
      </c>
      <c r="G5612" s="200" t="s">
        <v>107</v>
      </c>
      <c r="H5612" s="200" t="s">
        <v>277</v>
      </c>
      <c r="I5612" s="200" t="s">
        <v>4477</v>
      </c>
    </row>
    <row r="5613" spans="1:9" ht="15" customHeight="1">
      <c r="A5613" s="199">
        <v>45743</v>
      </c>
      <c r="B5613" s="202" t="s">
        <v>4479</v>
      </c>
      <c r="C5613" s="200" t="s">
        <v>307</v>
      </c>
      <c r="D5613" s="204">
        <v>-276644</v>
      </c>
      <c r="E5613" s="201">
        <v>45748</v>
      </c>
      <c r="F5613" s="200" t="s">
        <v>256</v>
      </c>
      <c r="G5613" s="200" t="s">
        <v>107</v>
      </c>
      <c r="H5613" s="200" t="s">
        <v>9</v>
      </c>
      <c r="I5613" s="200" t="s">
        <v>4477</v>
      </c>
    </row>
    <row r="5614" spans="1:9" ht="15" customHeight="1">
      <c r="A5614" s="199">
        <v>45744</v>
      </c>
      <c r="B5614" s="202" t="s">
        <v>1419</v>
      </c>
      <c r="C5614" s="200" t="s">
        <v>307</v>
      </c>
      <c r="D5614" s="204">
        <v>-60000</v>
      </c>
      <c r="E5614" s="201">
        <v>45748</v>
      </c>
      <c r="F5614" s="200" t="s">
        <v>256</v>
      </c>
      <c r="G5614" s="200" t="s">
        <v>107</v>
      </c>
      <c r="H5614" s="200" t="s">
        <v>277</v>
      </c>
      <c r="I5614" s="200" t="s">
        <v>4477</v>
      </c>
    </row>
    <row r="5615" spans="1:9" ht="15" customHeight="1">
      <c r="A5615" s="199">
        <v>45733</v>
      </c>
      <c r="B5615" s="202" t="s">
        <v>4480</v>
      </c>
      <c r="C5615" s="200" t="s">
        <v>307</v>
      </c>
      <c r="D5615" s="204">
        <v>-10036</v>
      </c>
      <c r="E5615" s="201">
        <v>45748</v>
      </c>
      <c r="F5615" s="200" t="s">
        <v>296</v>
      </c>
      <c r="G5615" s="200" t="s">
        <v>1124</v>
      </c>
      <c r="H5615" s="200" t="s">
        <v>268</v>
      </c>
      <c r="I5615" s="200" t="s">
        <v>4481</v>
      </c>
    </row>
    <row r="5616" spans="1:9" ht="15" customHeight="1">
      <c r="A5616" s="199">
        <v>45734</v>
      </c>
      <c r="B5616" s="202" t="s">
        <v>4482</v>
      </c>
      <c r="C5616" s="200" t="s">
        <v>307</v>
      </c>
      <c r="D5616" s="204">
        <v>-20000</v>
      </c>
      <c r="E5616" s="201">
        <v>45748</v>
      </c>
      <c r="F5616" s="200" t="s">
        <v>296</v>
      </c>
      <c r="G5616" s="200" t="s">
        <v>1124</v>
      </c>
      <c r="H5616" s="200" t="s">
        <v>268</v>
      </c>
      <c r="I5616" s="200" t="s">
        <v>4481</v>
      </c>
    </row>
    <row r="5617" spans="1:9" ht="15" customHeight="1">
      <c r="A5617" s="199">
        <v>45734</v>
      </c>
      <c r="B5617" s="202" t="s">
        <v>4483</v>
      </c>
      <c r="C5617" s="200" t="s">
        <v>307</v>
      </c>
      <c r="D5617" s="204">
        <v>-20000</v>
      </c>
      <c r="E5617" s="201">
        <v>45748</v>
      </c>
      <c r="F5617" s="200" t="s">
        <v>296</v>
      </c>
      <c r="G5617" s="200" t="s">
        <v>1124</v>
      </c>
      <c r="H5617" s="200" t="s">
        <v>268</v>
      </c>
      <c r="I5617" s="200" t="s">
        <v>4481</v>
      </c>
    </row>
    <row r="5618" spans="1:9" ht="15" customHeight="1">
      <c r="A5618" s="199">
        <v>45734</v>
      </c>
      <c r="B5618" s="202" t="s">
        <v>4484</v>
      </c>
      <c r="C5618" s="200" t="s">
        <v>307</v>
      </c>
      <c r="D5618" s="204">
        <v>-25000</v>
      </c>
      <c r="E5618" s="201">
        <v>45748</v>
      </c>
      <c r="F5618" s="200" t="s">
        <v>296</v>
      </c>
      <c r="G5618" s="200" t="s">
        <v>1124</v>
      </c>
      <c r="H5618" s="200" t="s">
        <v>268</v>
      </c>
      <c r="I5618" s="200" t="s">
        <v>4481</v>
      </c>
    </row>
    <row r="5619" spans="1:9" ht="15" customHeight="1">
      <c r="A5619" s="199">
        <v>45734</v>
      </c>
      <c r="B5619" s="202" t="s">
        <v>498</v>
      </c>
      <c r="C5619" s="200" t="s">
        <v>307</v>
      </c>
      <c r="D5619" s="204">
        <v>-30400</v>
      </c>
      <c r="E5619" s="201">
        <v>45748</v>
      </c>
      <c r="F5619" s="200" t="s">
        <v>296</v>
      </c>
      <c r="G5619" s="200" t="s">
        <v>1124</v>
      </c>
      <c r="H5619" s="200" t="s">
        <v>342</v>
      </c>
      <c r="I5619" s="200" t="s">
        <v>4481</v>
      </c>
    </row>
    <row r="5620" spans="1:9" ht="15" customHeight="1">
      <c r="A5620" s="199">
        <v>45735</v>
      </c>
      <c r="B5620" s="202" t="s">
        <v>498</v>
      </c>
      <c r="C5620" s="200" t="s">
        <v>307</v>
      </c>
      <c r="D5620" s="204">
        <v>-18000</v>
      </c>
      <c r="E5620" s="201">
        <v>45748</v>
      </c>
      <c r="F5620" s="200" t="s">
        <v>296</v>
      </c>
      <c r="G5620" s="200" t="s">
        <v>1124</v>
      </c>
      <c r="H5620" s="200" t="s">
        <v>342</v>
      </c>
      <c r="I5620" s="200" t="s">
        <v>4481</v>
      </c>
    </row>
    <row r="5621" spans="1:9" ht="15" customHeight="1">
      <c r="A5621" s="199">
        <v>45735</v>
      </c>
      <c r="B5621" s="202" t="s">
        <v>3102</v>
      </c>
      <c r="C5621" s="200" t="s">
        <v>307</v>
      </c>
      <c r="D5621" s="204">
        <v>-31960</v>
      </c>
      <c r="E5621" s="201">
        <v>45748</v>
      </c>
      <c r="F5621" s="200" t="s">
        <v>296</v>
      </c>
      <c r="G5621" s="200" t="s">
        <v>1124</v>
      </c>
      <c r="H5621" s="200" t="s">
        <v>268</v>
      </c>
      <c r="I5621" s="200" t="s">
        <v>4481</v>
      </c>
    </row>
    <row r="5622" spans="1:9" ht="15" customHeight="1">
      <c r="A5622" s="199">
        <v>45735</v>
      </c>
      <c r="B5622" s="202" t="s">
        <v>4485</v>
      </c>
      <c r="C5622" s="200" t="s">
        <v>307</v>
      </c>
      <c r="D5622" s="204">
        <v>-50000</v>
      </c>
      <c r="E5622" s="201">
        <v>45748</v>
      </c>
      <c r="F5622" s="200" t="s">
        <v>296</v>
      </c>
      <c r="G5622" s="200" t="s">
        <v>1124</v>
      </c>
      <c r="H5622" s="200" t="s">
        <v>350</v>
      </c>
      <c r="I5622" s="200" t="s">
        <v>4481</v>
      </c>
    </row>
    <row r="5623" spans="1:9" ht="15" customHeight="1">
      <c r="A5623" s="199">
        <v>45735</v>
      </c>
      <c r="B5623" s="202" t="s">
        <v>4486</v>
      </c>
      <c r="C5623" s="200" t="s">
        <v>307</v>
      </c>
      <c r="D5623" s="204">
        <v>-200000</v>
      </c>
      <c r="E5623" s="201">
        <v>45748</v>
      </c>
      <c r="F5623" s="200" t="s">
        <v>296</v>
      </c>
      <c r="G5623" s="200" t="s">
        <v>1124</v>
      </c>
      <c r="H5623" s="200" t="s">
        <v>342</v>
      </c>
      <c r="I5623" s="200" t="s">
        <v>4481</v>
      </c>
    </row>
    <row r="5624" spans="1:9" ht="15" customHeight="1">
      <c r="A5624" s="199">
        <v>45735</v>
      </c>
      <c r="B5624" s="202" t="s">
        <v>4487</v>
      </c>
      <c r="C5624" s="200" t="s">
        <v>307</v>
      </c>
      <c r="D5624" s="204">
        <v>-20000</v>
      </c>
      <c r="E5624" s="201">
        <v>45748</v>
      </c>
      <c r="F5624" s="200" t="s">
        <v>296</v>
      </c>
      <c r="G5624" s="200" t="s">
        <v>1124</v>
      </c>
      <c r="H5624" s="200" t="s">
        <v>268</v>
      </c>
      <c r="I5624" s="200" t="s">
        <v>4481</v>
      </c>
    </row>
    <row r="5625" spans="1:9" ht="15" customHeight="1">
      <c r="A5625" s="199">
        <v>45735</v>
      </c>
      <c r="B5625" s="202" t="s">
        <v>4488</v>
      </c>
      <c r="C5625" s="200" t="s">
        <v>307</v>
      </c>
      <c r="D5625" s="204">
        <v>-25000</v>
      </c>
      <c r="E5625" s="201">
        <v>45748</v>
      </c>
      <c r="F5625" s="200" t="s">
        <v>296</v>
      </c>
      <c r="G5625" s="200" t="s">
        <v>1124</v>
      </c>
      <c r="H5625" s="200" t="s">
        <v>268</v>
      </c>
      <c r="I5625" s="200" t="s">
        <v>4481</v>
      </c>
    </row>
    <row r="5626" spans="1:9" ht="15" customHeight="1">
      <c r="A5626" s="199">
        <v>45736</v>
      </c>
      <c r="B5626" s="202" t="s">
        <v>4489</v>
      </c>
      <c r="C5626" s="200" t="s">
        <v>307</v>
      </c>
      <c r="D5626" s="204">
        <v>-11000</v>
      </c>
      <c r="E5626" s="201">
        <v>45748</v>
      </c>
      <c r="F5626" s="200" t="s">
        <v>296</v>
      </c>
      <c r="G5626" s="200" t="s">
        <v>1124</v>
      </c>
      <c r="H5626" s="200" t="s">
        <v>350</v>
      </c>
      <c r="I5626" s="200" t="s">
        <v>4481</v>
      </c>
    </row>
    <row r="5627" spans="1:9" ht="15" customHeight="1">
      <c r="A5627" s="199">
        <v>45736</v>
      </c>
      <c r="B5627" s="202" t="s">
        <v>4490</v>
      </c>
      <c r="C5627" s="200" t="s">
        <v>307</v>
      </c>
      <c r="D5627" s="204">
        <v>-45000</v>
      </c>
      <c r="E5627" s="201">
        <v>45748</v>
      </c>
      <c r="F5627" s="200" t="s">
        <v>297</v>
      </c>
      <c r="G5627" s="200" t="s">
        <v>3892</v>
      </c>
      <c r="H5627" s="200" t="s">
        <v>268</v>
      </c>
      <c r="I5627" s="200" t="s">
        <v>4481</v>
      </c>
    </row>
    <row r="5628" spans="1:9" ht="15" customHeight="1">
      <c r="A5628" s="199">
        <v>45736</v>
      </c>
      <c r="B5628" s="202" t="s">
        <v>4491</v>
      </c>
      <c r="C5628" s="200" t="s">
        <v>307</v>
      </c>
      <c r="D5628" s="204">
        <v>-31560</v>
      </c>
      <c r="E5628" s="201">
        <v>45748</v>
      </c>
      <c r="F5628" s="200" t="s">
        <v>296</v>
      </c>
      <c r="G5628" s="200" t="s">
        <v>1124</v>
      </c>
      <c r="H5628" s="200" t="s">
        <v>268</v>
      </c>
      <c r="I5628" s="200" t="s">
        <v>4481</v>
      </c>
    </row>
    <row r="5629" spans="1:9" ht="15" customHeight="1">
      <c r="A5629" s="199">
        <v>45736</v>
      </c>
      <c r="B5629" s="202" t="s">
        <v>4492</v>
      </c>
      <c r="C5629" s="200" t="s">
        <v>307</v>
      </c>
      <c r="D5629" s="204">
        <v>-32060</v>
      </c>
      <c r="E5629" s="201">
        <v>45748</v>
      </c>
      <c r="F5629" s="200" t="s">
        <v>297</v>
      </c>
      <c r="G5629" s="200" t="s">
        <v>3892</v>
      </c>
      <c r="H5629" s="200" t="s">
        <v>268</v>
      </c>
      <c r="I5629" s="200" t="s">
        <v>4481</v>
      </c>
    </row>
    <row r="5630" spans="1:9" ht="15" customHeight="1">
      <c r="A5630" s="199">
        <v>45736</v>
      </c>
      <c r="B5630" s="202" t="s">
        <v>4493</v>
      </c>
      <c r="C5630" s="200" t="s">
        <v>307</v>
      </c>
      <c r="D5630" s="204">
        <v>-22000</v>
      </c>
      <c r="E5630" s="201">
        <v>45748</v>
      </c>
      <c r="F5630" s="200" t="s">
        <v>297</v>
      </c>
      <c r="G5630" s="200" t="s">
        <v>3892</v>
      </c>
      <c r="H5630" s="200" t="s">
        <v>268</v>
      </c>
      <c r="I5630" s="648" t="s">
        <v>329</v>
      </c>
    </row>
    <row r="5631" spans="1:9" ht="15" customHeight="1">
      <c r="A5631" s="199">
        <v>45736</v>
      </c>
      <c r="B5631" s="202" t="s">
        <v>4494</v>
      </c>
      <c r="C5631" s="200" t="s">
        <v>307</v>
      </c>
      <c r="D5631" s="204">
        <v>-200000</v>
      </c>
      <c r="E5631" s="201">
        <v>45748</v>
      </c>
      <c r="F5631" s="200" t="s">
        <v>296</v>
      </c>
      <c r="G5631" s="200" t="s">
        <v>341</v>
      </c>
      <c r="H5631" s="200" t="s">
        <v>346</v>
      </c>
      <c r="I5631" s="648" t="s">
        <v>329</v>
      </c>
    </row>
    <row r="5632" spans="1:9" ht="15" customHeight="1">
      <c r="A5632" s="199">
        <v>45738</v>
      </c>
      <c r="B5632" s="202" t="s">
        <v>4495</v>
      </c>
      <c r="C5632" s="200" t="s">
        <v>307</v>
      </c>
      <c r="D5632" s="204">
        <v>-31880</v>
      </c>
      <c r="E5632" s="201">
        <v>45748</v>
      </c>
      <c r="F5632" s="200" t="s">
        <v>296</v>
      </c>
      <c r="G5632" s="200" t="s">
        <v>1124</v>
      </c>
      <c r="H5632" s="200" t="s">
        <v>268</v>
      </c>
      <c r="I5632" s="200" t="s">
        <v>4481</v>
      </c>
    </row>
    <row r="5633" spans="1:9" ht="15" customHeight="1">
      <c r="A5633" s="199">
        <v>45739</v>
      </c>
      <c r="B5633" s="202" t="s">
        <v>4496</v>
      </c>
      <c r="C5633" s="200" t="s">
        <v>307</v>
      </c>
      <c r="D5633" s="204">
        <v>-38000</v>
      </c>
      <c r="E5633" s="201">
        <v>45748</v>
      </c>
      <c r="F5633" s="200" t="s">
        <v>296</v>
      </c>
      <c r="G5633" s="200" t="s">
        <v>1124</v>
      </c>
      <c r="H5633" s="200" t="s">
        <v>268</v>
      </c>
      <c r="I5633" s="200" t="s">
        <v>4481</v>
      </c>
    </row>
    <row r="5634" spans="1:9" ht="15" customHeight="1">
      <c r="A5634" s="199">
        <v>45741</v>
      </c>
      <c r="B5634" s="202" t="s">
        <v>4497</v>
      </c>
      <c r="C5634" s="200" t="s">
        <v>307</v>
      </c>
      <c r="D5634" s="204">
        <v>-20000</v>
      </c>
      <c r="E5634" s="201">
        <v>45748</v>
      </c>
      <c r="F5634" s="200" t="s">
        <v>296</v>
      </c>
      <c r="G5634" s="200" t="s">
        <v>1124</v>
      </c>
      <c r="H5634" s="200" t="s">
        <v>350</v>
      </c>
      <c r="I5634" s="200" t="s">
        <v>4481</v>
      </c>
    </row>
    <row r="5635" spans="1:9" ht="15" customHeight="1">
      <c r="A5635" s="199">
        <v>45741</v>
      </c>
      <c r="B5635" s="202" t="s">
        <v>4498</v>
      </c>
      <c r="C5635" s="200" t="s">
        <v>307</v>
      </c>
      <c r="D5635" s="204">
        <v>-46000</v>
      </c>
      <c r="E5635" s="201">
        <v>45748</v>
      </c>
      <c r="F5635" s="200" t="s">
        <v>296</v>
      </c>
      <c r="G5635" s="200" t="s">
        <v>1124</v>
      </c>
      <c r="H5635" s="200" t="s">
        <v>342</v>
      </c>
      <c r="I5635" s="200" t="s">
        <v>4481</v>
      </c>
    </row>
    <row r="5636" spans="1:9" ht="15" customHeight="1">
      <c r="A5636" s="199">
        <v>45742</v>
      </c>
      <c r="B5636" s="202" t="s">
        <v>4499</v>
      </c>
      <c r="C5636" s="200" t="s">
        <v>307</v>
      </c>
      <c r="D5636" s="204">
        <v>-230000</v>
      </c>
      <c r="E5636" s="201">
        <v>45748</v>
      </c>
      <c r="F5636" s="200" t="s">
        <v>296</v>
      </c>
      <c r="G5636" s="200" t="s">
        <v>1124</v>
      </c>
      <c r="H5636" s="200" t="s">
        <v>350</v>
      </c>
      <c r="I5636" s="200" t="s">
        <v>4481</v>
      </c>
    </row>
    <row r="5637" spans="1:9" ht="15" customHeight="1">
      <c r="A5637" s="199">
        <v>45742</v>
      </c>
      <c r="B5637" s="202" t="s">
        <v>4500</v>
      </c>
      <c r="C5637" s="200" t="s">
        <v>307</v>
      </c>
      <c r="D5637" s="204">
        <v>-120000</v>
      </c>
      <c r="E5637" s="201">
        <v>45748</v>
      </c>
      <c r="F5637" s="200" t="s">
        <v>296</v>
      </c>
      <c r="G5637" s="200" t="s">
        <v>1124</v>
      </c>
      <c r="H5637" s="200" t="s">
        <v>350</v>
      </c>
      <c r="I5637" s="200" t="s">
        <v>4481</v>
      </c>
    </row>
    <row r="5638" spans="1:9" ht="15" customHeight="1">
      <c r="A5638" s="199">
        <v>45743</v>
      </c>
      <c r="B5638" s="202" t="s">
        <v>498</v>
      </c>
      <c r="C5638" s="200" t="s">
        <v>307</v>
      </c>
      <c r="D5638" s="204">
        <v>-30400</v>
      </c>
      <c r="E5638" s="201">
        <v>45748</v>
      </c>
      <c r="F5638" s="200" t="s">
        <v>296</v>
      </c>
      <c r="G5638" s="200" t="s">
        <v>1124</v>
      </c>
      <c r="H5638" s="200" t="s">
        <v>342</v>
      </c>
      <c r="I5638" s="200" t="s">
        <v>4481</v>
      </c>
    </row>
    <row r="5639" spans="1:9" ht="15" customHeight="1">
      <c r="A5639" s="199">
        <v>45743</v>
      </c>
      <c r="B5639" s="202" t="s">
        <v>4501</v>
      </c>
      <c r="C5639" s="200" t="s">
        <v>307</v>
      </c>
      <c r="D5639" s="204">
        <v>-149396</v>
      </c>
      <c r="E5639" s="201">
        <v>45748</v>
      </c>
      <c r="F5639" s="200" t="s">
        <v>296</v>
      </c>
      <c r="G5639" s="200" t="s">
        <v>1124</v>
      </c>
      <c r="H5639" s="200" t="s">
        <v>350</v>
      </c>
      <c r="I5639" s="200" t="s">
        <v>4481</v>
      </c>
    </row>
    <row r="5640" spans="1:9" ht="15" customHeight="1">
      <c r="A5640" s="199">
        <v>45743</v>
      </c>
      <c r="B5640" s="202" t="s">
        <v>4502</v>
      </c>
      <c r="C5640" s="200" t="s">
        <v>307</v>
      </c>
      <c r="D5640" s="204">
        <v>-25000</v>
      </c>
      <c r="E5640" s="201">
        <v>45748</v>
      </c>
      <c r="F5640" s="200" t="s">
        <v>296</v>
      </c>
      <c r="G5640" s="200" t="s">
        <v>1124</v>
      </c>
      <c r="H5640" s="200" t="s">
        <v>379</v>
      </c>
      <c r="I5640" s="200" t="s">
        <v>4481</v>
      </c>
    </row>
    <row r="5641" spans="1:9" ht="15" customHeight="1">
      <c r="A5641" s="199">
        <v>45743</v>
      </c>
      <c r="B5641" s="202" t="s">
        <v>4502</v>
      </c>
      <c r="C5641" s="200" t="s">
        <v>307</v>
      </c>
      <c r="D5641" s="204">
        <v>-30000</v>
      </c>
      <c r="E5641" s="201">
        <v>45748</v>
      </c>
      <c r="F5641" s="200" t="s">
        <v>296</v>
      </c>
      <c r="G5641" s="200" t="s">
        <v>1124</v>
      </c>
      <c r="H5641" s="200" t="s">
        <v>379</v>
      </c>
      <c r="I5641" s="648" t="s">
        <v>329</v>
      </c>
    </row>
    <row r="5642" spans="1:9" ht="15" customHeight="1">
      <c r="A5642" s="199">
        <v>45741</v>
      </c>
      <c r="B5642" s="202" t="s">
        <v>2540</v>
      </c>
      <c r="C5642" s="200" t="s">
        <v>307</v>
      </c>
      <c r="D5642" s="204">
        <v>-29000</v>
      </c>
      <c r="E5642" s="201">
        <v>45748</v>
      </c>
      <c r="F5642" s="200" t="s">
        <v>296</v>
      </c>
      <c r="G5642" s="200" t="s">
        <v>453</v>
      </c>
      <c r="H5642" s="200" t="s">
        <v>97</v>
      </c>
      <c r="I5642" s="200" t="s">
        <v>4503</v>
      </c>
    </row>
    <row r="5643" spans="1:9" ht="15" customHeight="1">
      <c r="A5643" s="199">
        <v>45742</v>
      </c>
      <c r="B5643" s="202" t="s">
        <v>4504</v>
      </c>
      <c r="C5643" s="200" t="s">
        <v>307</v>
      </c>
      <c r="D5643" s="204">
        <v>-40000</v>
      </c>
      <c r="E5643" s="201">
        <v>45748</v>
      </c>
      <c r="F5643" s="200" t="s">
        <v>296</v>
      </c>
      <c r="G5643" s="200" t="s">
        <v>453</v>
      </c>
      <c r="H5643" s="200" t="s">
        <v>97</v>
      </c>
      <c r="I5643" s="200" t="s">
        <v>4503</v>
      </c>
    </row>
    <row r="5644" spans="1:9" ht="15" customHeight="1">
      <c r="A5644" s="199">
        <v>45742</v>
      </c>
      <c r="B5644" s="202" t="s">
        <v>4505</v>
      </c>
      <c r="C5644" s="200" t="s">
        <v>307</v>
      </c>
      <c r="D5644" s="204">
        <v>-40000</v>
      </c>
      <c r="E5644" s="201">
        <v>45748</v>
      </c>
      <c r="F5644" s="200" t="s">
        <v>296</v>
      </c>
      <c r="G5644" s="200" t="s">
        <v>453</v>
      </c>
      <c r="H5644" s="200" t="s">
        <v>97</v>
      </c>
      <c r="I5644" s="200" t="s">
        <v>4503</v>
      </c>
    </row>
    <row r="5645" spans="1:9" ht="15" customHeight="1">
      <c r="A5645" s="199">
        <v>45743</v>
      </c>
      <c r="B5645" s="202" t="s">
        <v>2540</v>
      </c>
      <c r="C5645" s="200" t="s">
        <v>307</v>
      </c>
      <c r="D5645" s="204">
        <v>-40000</v>
      </c>
      <c r="E5645" s="201">
        <v>45748</v>
      </c>
      <c r="F5645" s="200" t="s">
        <v>296</v>
      </c>
      <c r="G5645" s="200" t="s">
        <v>453</v>
      </c>
      <c r="H5645" s="200" t="s">
        <v>97</v>
      </c>
      <c r="I5645" s="200" t="s">
        <v>4503</v>
      </c>
    </row>
    <row r="5646" spans="1:9" ht="15" customHeight="1">
      <c r="A5646" s="199">
        <v>45745</v>
      </c>
      <c r="B5646" s="202" t="s">
        <v>2540</v>
      </c>
      <c r="C5646" s="200" t="s">
        <v>307</v>
      </c>
      <c r="D5646" s="204">
        <v>-25000</v>
      </c>
      <c r="E5646" s="201">
        <v>45748</v>
      </c>
      <c r="F5646" s="200" t="s">
        <v>296</v>
      </c>
      <c r="G5646" s="200" t="s">
        <v>453</v>
      </c>
      <c r="H5646" s="200" t="s">
        <v>97</v>
      </c>
      <c r="I5646" s="200" t="s">
        <v>4503</v>
      </c>
    </row>
    <row r="5647" spans="1:9" s="203" customFormat="1" ht="15" customHeight="1">
      <c r="A5647" s="661">
        <v>45746</v>
      </c>
      <c r="B5647" s="202" t="s">
        <v>4506</v>
      </c>
      <c r="C5647" s="202" t="s">
        <v>307</v>
      </c>
      <c r="D5647" s="204">
        <v>-210000</v>
      </c>
      <c r="E5647" s="662">
        <v>45748</v>
      </c>
      <c r="F5647" s="202" t="s">
        <v>296</v>
      </c>
      <c r="G5647" s="202" t="s">
        <v>453</v>
      </c>
      <c r="H5647" s="202" t="s">
        <v>97</v>
      </c>
      <c r="I5647" s="648" t="s">
        <v>329</v>
      </c>
    </row>
    <row r="5648" spans="1:9" ht="15" customHeight="1">
      <c r="A5648" s="199">
        <v>45754</v>
      </c>
      <c r="B5648" s="202" t="s">
        <v>1585</v>
      </c>
      <c r="C5648" s="200" t="s">
        <v>136</v>
      </c>
      <c r="D5648" s="642">
        <v>-6160820</v>
      </c>
      <c r="E5648" s="201">
        <v>45748</v>
      </c>
      <c r="F5648" s="200" t="s">
        <v>298</v>
      </c>
      <c r="G5648" s="202"/>
      <c r="H5648" s="202"/>
    </row>
    <row r="5649" spans="1:9" ht="15" customHeight="1">
      <c r="A5649" s="199">
        <v>45754</v>
      </c>
      <c r="B5649" s="202" t="s">
        <v>1585</v>
      </c>
      <c r="C5649" s="200" t="s">
        <v>136</v>
      </c>
      <c r="D5649" s="642">
        <v>-2234619.2799999998</v>
      </c>
      <c r="E5649" s="201">
        <v>45748</v>
      </c>
      <c r="F5649" s="200" t="s">
        <v>315</v>
      </c>
    </row>
    <row r="5650" spans="1:9" ht="15" customHeight="1">
      <c r="A5650" s="199">
        <v>45754</v>
      </c>
      <c r="B5650" s="202" t="s">
        <v>317</v>
      </c>
      <c r="C5650" s="200" t="s">
        <v>314</v>
      </c>
      <c r="D5650" s="658">
        <v>-3588000</v>
      </c>
      <c r="E5650" s="201">
        <v>45748</v>
      </c>
      <c r="F5650" s="200" t="s">
        <v>256</v>
      </c>
      <c r="G5650" s="200" t="s">
        <v>256</v>
      </c>
      <c r="H5650" s="200" t="s">
        <v>257</v>
      </c>
    </row>
    <row r="5651" spans="1:9" ht="15" customHeight="1">
      <c r="A5651" s="199">
        <v>45754</v>
      </c>
      <c r="B5651" s="202" t="s">
        <v>317</v>
      </c>
      <c r="C5651" s="200" t="s">
        <v>314</v>
      </c>
      <c r="D5651" s="658">
        <v>-1087532</v>
      </c>
      <c r="E5651" s="201">
        <v>45748</v>
      </c>
      <c r="F5651" s="200" t="s">
        <v>256</v>
      </c>
      <c r="G5651" s="200" t="s">
        <v>256</v>
      </c>
      <c r="H5651" s="200" t="s">
        <v>257</v>
      </c>
    </row>
    <row r="5652" spans="1:9" ht="15" customHeight="1">
      <c r="A5652" s="199">
        <v>45756</v>
      </c>
      <c r="B5652" s="202" t="s">
        <v>4507</v>
      </c>
      <c r="C5652" s="200" t="s">
        <v>314</v>
      </c>
      <c r="D5652" s="658">
        <v>-2599984</v>
      </c>
      <c r="E5652" s="201">
        <v>45748</v>
      </c>
      <c r="F5652" s="200" t="s">
        <v>256</v>
      </c>
      <c r="G5652" s="200" t="s">
        <v>256</v>
      </c>
      <c r="H5652" s="200" t="s">
        <v>9</v>
      </c>
    </row>
    <row r="5653" spans="1:9" ht="15" customHeight="1">
      <c r="A5653" s="199">
        <v>45756</v>
      </c>
      <c r="B5653" s="202" t="s">
        <v>4508</v>
      </c>
      <c r="C5653" s="200" t="s">
        <v>314</v>
      </c>
      <c r="D5653" s="658">
        <v>-1700000</v>
      </c>
      <c r="E5653" s="201">
        <v>45748</v>
      </c>
      <c r="F5653" s="200" t="s">
        <v>296</v>
      </c>
      <c r="G5653" s="200" t="s">
        <v>522</v>
      </c>
      <c r="H5653" s="200" t="s">
        <v>326</v>
      </c>
    </row>
    <row r="5654" spans="1:9" ht="15" customHeight="1">
      <c r="A5654" s="199">
        <v>45756</v>
      </c>
      <c r="B5654" s="202" t="s">
        <v>4509</v>
      </c>
      <c r="C5654" s="200" t="s">
        <v>372</v>
      </c>
      <c r="D5654" s="204">
        <v>-61658</v>
      </c>
      <c r="E5654" s="201">
        <v>45748</v>
      </c>
      <c r="F5654" s="200" t="s">
        <v>296</v>
      </c>
      <c r="G5654" s="200" t="s">
        <v>522</v>
      </c>
      <c r="H5654" s="200" t="s">
        <v>326</v>
      </c>
    </row>
    <row r="5655" spans="1:9" ht="15" customHeight="1">
      <c r="A5655" s="199">
        <v>45756</v>
      </c>
      <c r="B5655" s="202" t="s">
        <v>4510</v>
      </c>
      <c r="C5655" s="200" t="s">
        <v>314</v>
      </c>
      <c r="D5655" s="658">
        <v>-2288000</v>
      </c>
      <c r="E5655" s="201">
        <v>45748</v>
      </c>
      <c r="F5655" s="200" t="s">
        <v>256</v>
      </c>
      <c r="G5655" s="200" t="s">
        <v>107</v>
      </c>
      <c r="H5655" s="200" t="s">
        <v>777</v>
      </c>
    </row>
    <row r="5656" spans="1:9" ht="15" customHeight="1">
      <c r="A5656" s="199">
        <v>45757</v>
      </c>
      <c r="B5656" s="202" t="s">
        <v>4511</v>
      </c>
      <c r="C5656" s="200" t="s">
        <v>314</v>
      </c>
      <c r="D5656" s="658">
        <v>-135360</v>
      </c>
      <c r="E5656" s="201">
        <v>45748</v>
      </c>
      <c r="F5656" s="200" t="s">
        <v>256</v>
      </c>
      <c r="G5656" s="200" t="s">
        <v>107</v>
      </c>
      <c r="H5656" s="200" t="s">
        <v>115</v>
      </c>
    </row>
    <row r="5657" spans="1:9" ht="15" customHeight="1">
      <c r="A5657" s="199">
        <v>45755</v>
      </c>
      <c r="B5657" s="202" t="s">
        <v>4512</v>
      </c>
      <c r="C5657" s="200" t="s">
        <v>204</v>
      </c>
      <c r="D5657" s="774">
        <v>-66750000</v>
      </c>
      <c r="E5657" s="201">
        <v>45748</v>
      </c>
      <c r="F5657" s="200" t="s">
        <v>1980</v>
      </c>
      <c r="G5657" s="200" t="s">
        <v>1981</v>
      </c>
    </row>
    <row r="5658" spans="1:9" ht="15" customHeight="1">
      <c r="A5658" s="199">
        <v>45723</v>
      </c>
      <c r="B5658" s="722" t="s">
        <v>4513</v>
      </c>
      <c r="C5658" s="200" t="s">
        <v>204</v>
      </c>
      <c r="D5658" s="774">
        <v>-11000</v>
      </c>
      <c r="E5658" s="201">
        <v>45748</v>
      </c>
      <c r="F5658" s="200" t="s">
        <v>296</v>
      </c>
      <c r="G5658" s="200" t="s">
        <v>57</v>
      </c>
      <c r="H5658" s="200" t="s">
        <v>105</v>
      </c>
      <c r="I5658" s="200" t="s">
        <v>4514</v>
      </c>
    </row>
    <row r="5659" spans="1:9" ht="15" customHeight="1">
      <c r="A5659" s="199">
        <v>45729</v>
      </c>
      <c r="B5659" s="722" t="s">
        <v>4515</v>
      </c>
      <c r="C5659" s="200" t="s">
        <v>204</v>
      </c>
      <c r="D5659" s="774">
        <v>-40000</v>
      </c>
      <c r="E5659" s="201">
        <v>45748</v>
      </c>
      <c r="F5659" s="200" t="s">
        <v>296</v>
      </c>
      <c r="G5659" s="200" t="s">
        <v>57</v>
      </c>
      <c r="H5659" s="200" t="s">
        <v>105</v>
      </c>
      <c r="I5659" s="200" t="s">
        <v>4514</v>
      </c>
    </row>
    <row r="5660" spans="1:9" ht="15" customHeight="1">
      <c r="A5660" s="199">
        <v>45738</v>
      </c>
      <c r="B5660" s="722" t="s">
        <v>4516</v>
      </c>
      <c r="C5660" s="200" t="s">
        <v>204</v>
      </c>
      <c r="D5660" s="774">
        <v>-60725</v>
      </c>
      <c r="E5660" s="201">
        <v>45748</v>
      </c>
      <c r="F5660" s="200" t="s">
        <v>296</v>
      </c>
      <c r="G5660" s="200" t="s">
        <v>57</v>
      </c>
      <c r="H5660" s="200" t="s">
        <v>105</v>
      </c>
      <c r="I5660" s="200" t="s">
        <v>4514</v>
      </c>
    </row>
    <row r="5661" spans="1:9" ht="15" customHeight="1">
      <c r="A5661" s="199">
        <v>45755</v>
      </c>
      <c r="B5661" s="202" t="s">
        <v>4517</v>
      </c>
      <c r="C5661" s="200" t="s">
        <v>204</v>
      </c>
      <c r="D5661" s="774">
        <v>-180000</v>
      </c>
      <c r="E5661" s="201">
        <v>45748</v>
      </c>
      <c r="F5661" s="200" t="s">
        <v>256</v>
      </c>
      <c r="G5661" s="200" t="s">
        <v>256</v>
      </c>
      <c r="H5661" s="200" t="s">
        <v>267</v>
      </c>
    </row>
    <row r="5662" spans="1:9" ht="15" customHeight="1">
      <c r="A5662" s="199">
        <v>45755</v>
      </c>
      <c r="B5662" s="722" t="s">
        <v>4518</v>
      </c>
      <c r="C5662" s="200" t="s">
        <v>204</v>
      </c>
      <c r="D5662" s="774">
        <v>-14300</v>
      </c>
      <c r="E5662" s="201">
        <v>45748</v>
      </c>
      <c r="F5662" s="200" t="s">
        <v>296</v>
      </c>
      <c r="G5662" s="200" t="s">
        <v>57</v>
      </c>
      <c r="H5662" s="200" t="s">
        <v>105</v>
      </c>
    </row>
    <row r="5663" spans="1:9" ht="15" customHeight="1">
      <c r="A5663" s="199">
        <v>45755</v>
      </c>
      <c r="B5663" s="202" t="s">
        <v>4519</v>
      </c>
      <c r="C5663" s="200" t="s">
        <v>204</v>
      </c>
      <c r="D5663" s="774">
        <v>-87503521</v>
      </c>
      <c r="E5663" s="201">
        <v>45748</v>
      </c>
      <c r="F5663" s="200" t="s">
        <v>4520</v>
      </c>
      <c r="G5663" s="200" t="s">
        <v>4521</v>
      </c>
    </row>
    <row r="5664" spans="1:9" ht="15" customHeight="1">
      <c r="A5664" s="199">
        <v>45755</v>
      </c>
      <c r="B5664" s="202" t="s">
        <v>4522</v>
      </c>
      <c r="C5664" s="200" t="s">
        <v>204</v>
      </c>
      <c r="D5664" s="774">
        <v>-57600000</v>
      </c>
      <c r="E5664" s="201">
        <v>45748</v>
      </c>
      <c r="F5664" s="200" t="s">
        <v>1825</v>
      </c>
      <c r="G5664" s="200" t="s">
        <v>4523</v>
      </c>
    </row>
    <row r="5665" spans="1:9" ht="15" customHeight="1">
      <c r="A5665" s="199">
        <v>45740</v>
      </c>
      <c r="B5665" s="202" t="s">
        <v>4524</v>
      </c>
      <c r="C5665" s="200" t="s">
        <v>204</v>
      </c>
      <c r="D5665" s="774">
        <v>-438338</v>
      </c>
      <c r="E5665" s="201">
        <v>45748</v>
      </c>
      <c r="F5665" s="200" t="s">
        <v>296</v>
      </c>
      <c r="G5665" s="200" t="s">
        <v>453</v>
      </c>
      <c r="H5665" s="200" t="s">
        <v>97</v>
      </c>
      <c r="I5665" s="200" t="s">
        <v>4525</v>
      </c>
    </row>
    <row r="5666" spans="1:9" ht="15" customHeight="1">
      <c r="A5666" s="199">
        <v>45742</v>
      </c>
      <c r="B5666" s="202" t="s">
        <v>3126</v>
      </c>
      <c r="C5666" s="200" t="s">
        <v>204</v>
      </c>
      <c r="D5666" s="774">
        <v>-17800</v>
      </c>
      <c r="E5666" s="201">
        <v>45748</v>
      </c>
      <c r="F5666" s="200" t="s">
        <v>296</v>
      </c>
      <c r="G5666" s="200" t="s">
        <v>453</v>
      </c>
      <c r="H5666" s="200" t="s">
        <v>97</v>
      </c>
      <c r="I5666" s="200" t="s">
        <v>4525</v>
      </c>
    </row>
    <row r="5667" spans="1:9" ht="15" customHeight="1">
      <c r="A5667" s="199">
        <v>45742</v>
      </c>
      <c r="B5667" s="202" t="s">
        <v>4526</v>
      </c>
      <c r="C5667" s="200" t="s">
        <v>204</v>
      </c>
      <c r="D5667" s="774">
        <v>-14500</v>
      </c>
      <c r="E5667" s="201">
        <v>45748</v>
      </c>
      <c r="F5667" s="200" t="s">
        <v>296</v>
      </c>
      <c r="G5667" s="200" t="s">
        <v>453</v>
      </c>
      <c r="H5667" s="200" t="s">
        <v>97</v>
      </c>
      <c r="I5667" s="200" t="s">
        <v>4525</v>
      </c>
    </row>
    <row r="5668" spans="1:9" ht="15" customHeight="1">
      <c r="A5668" s="199">
        <v>45742</v>
      </c>
      <c r="B5668" s="202" t="s">
        <v>4527</v>
      </c>
      <c r="C5668" s="200" t="s">
        <v>204</v>
      </c>
      <c r="D5668" s="774">
        <v>-51047</v>
      </c>
      <c r="E5668" s="201">
        <v>45748</v>
      </c>
      <c r="F5668" s="200" t="s">
        <v>296</v>
      </c>
      <c r="G5668" s="200" t="s">
        <v>453</v>
      </c>
      <c r="H5668" s="200" t="s">
        <v>97</v>
      </c>
      <c r="I5668" s="200" t="s">
        <v>4525</v>
      </c>
    </row>
    <row r="5669" spans="1:9" ht="15" customHeight="1">
      <c r="A5669" s="199">
        <v>45743</v>
      </c>
      <c r="B5669" s="202" t="s">
        <v>4528</v>
      </c>
      <c r="C5669" s="200" t="s">
        <v>204</v>
      </c>
      <c r="D5669" s="774">
        <v>-12500</v>
      </c>
      <c r="E5669" s="201">
        <v>45748</v>
      </c>
      <c r="F5669" s="200" t="s">
        <v>296</v>
      </c>
      <c r="G5669" s="200" t="s">
        <v>453</v>
      </c>
      <c r="H5669" s="200" t="s">
        <v>97</v>
      </c>
      <c r="I5669" s="200" t="s">
        <v>4525</v>
      </c>
    </row>
    <row r="5670" spans="1:9" ht="15" customHeight="1">
      <c r="A5670" s="199">
        <v>45743</v>
      </c>
      <c r="B5670" s="202" t="s">
        <v>3144</v>
      </c>
      <c r="C5670" s="200" t="s">
        <v>204</v>
      </c>
      <c r="D5670" s="774">
        <v>-13400</v>
      </c>
      <c r="E5670" s="201">
        <v>45748</v>
      </c>
      <c r="F5670" s="200" t="s">
        <v>296</v>
      </c>
      <c r="G5670" s="200" t="s">
        <v>453</v>
      </c>
      <c r="H5670" s="200" t="s">
        <v>97</v>
      </c>
      <c r="I5670" s="200" t="s">
        <v>4525</v>
      </c>
    </row>
    <row r="5671" spans="1:9" ht="15" customHeight="1">
      <c r="A5671" s="199">
        <v>45743</v>
      </c>
      <c r="B5671" s="202" t="s">
        <v>4529</v>
      </c>
      <c r="C5671" s="200" t="s">
        <v>204</v>
      </c>
      <c r="D5671" s="774">
        <v>-12400</v>
      </c>
      <c r="E5671" s="201">
        <v>45748</v>
      </c>
      <c r="F5671" s="200" t="s">
        <v>296</v>
      </c>
      <c r="G5671" s="200" t="s">
        <v>453</v>
      </c>
      <c r="H5671" s="200" t="s">
        <v>97</v>
      </c>
      <c r="I5671" s="200" t="s">
        <v>4525</v>
      </c>
    </row>
    <row r="5672" spans="1:9" ht="15" customHeight="1">
      <c r="A5672" s="199">
        <v>45743</v>
      </c>
      <c r="B5672" s="202" t="s">
        <v>4530</v>
      </c>
      <c r="C5672" s="200" t="s">
        <v>204</v>
      </c>
      <c r="D5672" s="774">
        <v>-12400</v>
      </c>
      <c r="E5672" s="201">
        <v>45748</v>
      </c>
      <c r="F5672" s="200" t="s">
        <v>296</v>
      </c>
      <c r="G5672" s="200" t="s">
        <v>453</v>
      </c>
      <c r="H5672" s="200" t="s">
        <v>97</v>
      </c>
      <c r="I5672" s="200" t="s">
        <v>4525</v>
      </c>
    </row>
    <row r="5673" spans="1:9" ht="15" customHeight="1">
      <c r="A5673" s="199">
        <v>45743</v>
      </c>
      <c r="B5673" s="202" t="s">
        <v>4531</v>
      </c>
      <c r="C5673" s="200" t="s">
        <v>204</v>
      </c>
      <c r="D5673" s="774">
        <v>-12500</v>
      </c>
      <c r="E5673" s="201">
        <v>45748</v>
      </c>
      <c r="F5673" s="200" t="s">
        <v>296</v>
      </c>
      <c r="G5673" s="200" t="s">
        <v>453</v>
      </c>
      <c r="H5673" s="200" t="s">
        <v>97</v>
      </c>
      <c r="I5673" s="200" t="s">
        <v>4525</v>
      </c>
    </row>
    <row r="5674" spans="1:9" ht="15" customHeight="1">
      <c r="A5674" s="199">
        <v>45743</v>
      </c>
      <c r="B5674" s="202" t="s">
        <v>4532</v>
      </c>
      <c r="C5674" s="200" t="s">
        <v>204</v>
      </c>
      <c r="D5674" s="774">
        <v>-252000</v>
      </c>
      <c r="E5674" s="201">
        <v>45748</v>
      </c>
      <c r="F5674" s="200" t="s">
        <v>296</v>
      </c>
      <c r="G5674" s="200" t="s">
        <v>453</v>
      </c>
      <c r="H5674" s="200" t="s">
        <v>97</v>
      </c>
      <c r="I5674" s="200" t="s">
        <v>4525</v>
      </c>
    </row>
    <row r="5675" spans="1:9" ht="15" customHeight="1">
      <c r="A5675" s="199">
        <v>45743</v>
      </c>
      <c r="B5675" s="202" t="s">
        <v>4533</v>
      </c>
      <c r="C5675" s="200" t="s">
        <v>204</v>
      </c>
      <c r="D5675" s="774">
        <v>-88166</v>
      </c>
      <c r="E5675" s="201">
        <v>45748</v>
      </c>
      <c r="F5675" s="200" t="s">
        <v>296</v>
      </c>
      <c r="G5675" s="200" t="s">
        <v>453</v>
      </c>
      <c r="H5675" s="200" t="s">
        <v>97</v>
      </c>
      <c r="I5675" s="200" t="s">
        <v>4525</v>
      </c>
    </row>
    <row r="5676" spans="1:9" ht="15" customHeight="1">
      <c r="A5676" s="199">
        <v>45744</v>
      </c>
      <c r="B5676" s="202" t="s">
        <v>4534</v>
      </c>
      <c r="C5676" s="200" t="s">
        <v>204</v>
      </c>
      <c r="D5676" s="774">
        <v>-65000</v>
      </c>
      <c r="E5676" s="201">
        <v>45748</v>
      </c>
      <c r="F5676" s="200" t="s">
        <v>296</v>
      </c>
      <c r="G5676" s="200" t="s">
        <v>453</v>
      </c>
      <c r="H5676" s="200" t="s">
        <v>97</v>
      </c>
      <c r="I5676" s="200" t="s">
        <v>4525</v>
      </c>
    </row>
    <row r="5677" spans="1:9" ht="15" customHeight="1">
      <c r="A5677" s="199">
        <v>45744</v>
      </c>
      <c r="B5677" s="202" t="s">
        <v>4535</v>
      </c>
      <c r="C5677" s="200" t="s">
        <v>204</v>
      </c>
      <c r="D5677" s="774">
        <v>-80000</v>
      </c>
      <c r="E5677" s="201">
        <v>45748</v>
      </c>
      <c r="F5677" s="200" t="s">
        <v>296</v>
      </c>
      <c r="G5677" s="200" t="s">
        <v>453</v>
      </c>
      <c r="H5677" s="200" t="s">
        <v>97</v>
      </c>
      <c r="I5677" s="200" t="s">
        <v>4525</v>
      </c>
    </row>
    <row r="5678" spans="1:9" ht="15" customHeight="1">
      <c r="A5678" s="199">
        <v>45744</v>
      </c>
      <c r="B5678" s="202" t="s">
        <v>4536</v>
      </c>
      <c r="C5678" s="200" t="s">
        <v>204</v>
      </c>
      <c r="D5678" s="774">
        <v>-25000</v>
      </c>
      <c r="E5678" s="201">
        <v>45748</v>
      </c>
      <c r="F5678" s="200" t="s">
        <v>296</v>
      </c>
      <c r="G5678" s="200" t="s">
        <v>453</v>
      </c>
      <c r="H5678" s="200" t="s">
        <v>97</v>
      </c>
      <c r="I5678" s="200" t="s">
        <v>4525</v>
      </c>
    </row>
    <row r="5679" spans="1:9" ht="15" customHeight="1">
      <c r="A5679" s="199">
        <v>45736</v>
      </c>
      <c r="B5679" s="202" t="s">
        <v>4537</v>
      </c>
      <c r="C5679" s="200" t="s">
        <v>307</v>
      </c>
      <c r="D5679" s="204">
        <v>-26020</v>
      </c>
      <c r="E5679" s="201">
        <v>45748</v>
      </c>
      <c r="F5679" s="200" t="s">
        <v>296</v>
      </c>
      <c r="G5679" s="200" t="s">
        <v>1124</v>
      </c>
      <c r="H5679" s="200" t="s">
        <v>268</v>
      </c>
      <c r="I5679" s="200" t="s">
        <v>4037</v>
      </c>
    </row>
    <row r="5680" spans="1:9" ht="15" customHeight="1">
      <c r="A5680" s="199">
        <v>45755</v>
      </c>
      <c r="B5680" s="202" t="s">
        <v>4538</v>
      </c>
      <c r="C5680" s="200" t="s">
        <v>204</v>
      </c>
      <c r="D5680" s="774">
        <v>-1795771</v>
      </c>
      <c r="E5680" s="201">
        <v>45748</v>
      </c>
      <c r="F5680" s="200" t="s">
        <v>296</v>
      </c>
      <c r="G5680" s="200" t="s">
        <v>1362</v>
      </c>
      <c r="H5680" s="200" t="s">
        <v>375</v>
      </c>
    </row>
    <row r="5681" spans="1:8" ht="15" customHeight="1">
      <c r="A5681" s="199">
        <v>45755</v>
      </c>
      <c r="B5681" s="202" t="s">
        <v>4539</v>
      </c>
      <c r="C5681" s="200" t="s">
        <v>372</v>
      </c>
      <c r="D5681" s="204">
        <v>-6520</v>
      </c>
      <c r="E5681" s="201">
        <v>45748</v>
      </c>
      <c r="F5681" s="200" t="s">
        <v>296</v>
      </c>
      <c r="G5681" s="200" t="s">
        <v>1362</v>
      </c>
      <c r="H5681" s="200" t="s">
        <v>375</v>
      </c>
    </row>
    <row r="5682" spans="1:8" ht="15" customHeight="1">
      <c r="A5682" s="199">
        <v>45755</v>
      </c>
      <c r="B5682" s="202" t="s">
        <v>4540</v>
      </c>
      <c r="C5682" s="200" t="s">
        <v>204</v>
      </c>
      <c r="D5682" s="774">
        <v>-330000</v>
      </c>
      <c r="E5682" s="201">
        <v>45748</v>
      </c>
      <c r="F5682" s="648" t="s">
        <v>256</v>
      </c>
      <c r="G5682" s="648" t="s">
        <v>256</v>
      </c>
      <c r="H5682" s="648" t="s">
        <v>257</v>
      </c>
    </row>
    <row r="5683" spans="1:8" ht="15" customHeight="1">
      <c r="A5683" s="199">
        <v>45755</v>
      </c>
      <c r="B5683" s="202" t="s">
        <v>4541</v>
      </c>
      <c r="C5683" s="200" t="s">
        <v>204</v>
      </c>
      <c r="D5683" s="774">
        <v>-5628675</v>
      </c>
      <c r="E5683" s="201">
        <v>45748</v>
      </c>
      <c r="F5683" s="200" t="s">
        <v>296</v>
      </c>
      <c r="G5683" s="200" t="s">
        <v>807</v>
      </c>
      <c r="H5683" s="200" t="s">
        <v>488</v>
      </c>
    </row>
    <row r="5684" spans="1:8" ht="15" customHeight="1">
      <c r="A5684" s="199">
        <v>45755</v>
      </c>
      <c r="B5684" s="202" t="s">
        <v>4542</v>
      </c>
      <c r="C5684" s="200" t="s">
        <v>372</v>
      </c>
      <c r="D5684" s="204">
        <v>-144325</v>
      </c>
      <c r="E5684" s="201">
        <v>45748</v>
      </c>
      <c r="F5684" s="200" t="s">
        <v>296</v>
      </c>
      <c r="G5684" s="200" t="s">
        <v>807</v>
      </c>
      <c r="H5684" s="200" t="s">
        <v>488</v>
      </c>
    </row>
    <row r="5685" spans="1:8" ht="15" customHeight="1">
      <c r="A5685" s="199">
        <v>45755</v>
      </c>
      <c r="B5685" s="202" t="s">
        <v>4543</v>
      </c>
      <c r="C5685" s="200" t="s">
        <v>204</v>
      </c>
      <c r="D5685" s="774">
        <v>-54000</v>
      </c>
      <c r="E5685" s="201">
        <v>45748</v>
      </c>
      <c r="F5685" s="200" t="s">
        <v>256</v>
      </c>
      <c r="G5685" s="200" t="s">
        <v>256</v>
      </c>
      <c r="H5685" s="200" t="s">
        <v>267</v>
      </c>
    </row>
    <row r="5686" spans="1:8" ht="15" customHeight="1">
      <c r="A5686" s="199">
        <v>45755</v>
      </c>
      <c r="B5686" s="202" t="s">
        <v>4544</v>
      </c>
      <c r="C5686" s="200" t="s">
        <v>204</v>
      </c>
      <c r="D5686" s="774">
        <v>-100000</v>
      </c>
      <c r="E5686" s="201">
        <v>45748</v>
      </c>
      <c r="F5686" s="200" t="s">
        <v>256</v>
      </c>
      <c r="G5686" s="200" t="s">
        <v>256</v>
      </c>
      <c r="H5686" s="200" t="s">
        <v>9</v>
      </c>
    </row>
    <row r="5687" spans="1:8" ht="15" customHeight="1">
      <c r="A5687" s="199">
        <v>45755</v>
      </c>
      <c r="B5687" s="202" t="s">
        <v>4545</v>
      </c>
      <c r="C5687" s="200" t="s">
        <v>204</v>
      </c>
      <c r="D5687" s="774">
        <v>-209799</v>
      </c>
      <c r="E5687" s="201">
        <v>45748</v>
      </c>
      <c r="F5687" s="200" t="s">
        <v>296</v>
      </c>
      <c r="G5687" s="200" t="s">
        <v>1980</v>
      </c>
      <c r="H5687" s="200" t="s">
        <v>322</v>
      </c>
    </row>
    <row r="5688" spans="1:8" ht="15" customHeight="1">
      <c r="A5688" s="199">
        <v>45755</v>
      </c>
      <c r="B5688" s="202" t="s">
        <v>4545</v>
      </c>
      <c r="C5688" s="200" t="s">
        <v>204</v>
      </c>
      <c r="D5688" s="774">
        <v>-209799</v>
      </c>
      <c r="E5688" s="201">
        <v>45748</v>
      </c>
      <c r="F5688" s="200" t="s">
        <v>296</v>
      </c>
      <c r="G5688" s="200" t="s">
        <v>1983</v>
      </c>
      <c r="H5688" s="200" t="s">
        <v>322</v>
      </c>
    </row>
    <row r="5689" spans="1:8" ht="15" customHeight="1">
      <c r="A5689" s="199">
        <v>45755</v>
      </c>
      <c r="B5689" s="202" t="s">
        <v>4546</v>
      </c>
      <c r="C5689" s="200" t="s">
        <v>204</v>
      </c>
      <c r="D5689" s="774">
        <v>-60800</v>
      </c>
      <c r="E5689" s="201">
        <v>45748</v>
      </c>
      <c r="F5689" s="200" t="s">
        <v>296</v>
      </c>
      <c r="G5689" s="200" t="s">
        <v>1980</v>
      </c>
      <c r="H5689" s="200" t="s">
        <v>322</v>
      </c>
    </row>
    <row r="5690" spans="1:8" ht="15" customHeight="1">
      <c r="A5690" s="199">
        <v>45755</v>
      </c>
      <c r="B5690" s="202" t="s">
        <v>4546</v>
      </c>
      <c r="C5690" s="200" t="s">
        <v>204</v>
      </c>
      <c r="D5690" s="774">
        <v>-60800</v>
      </c>
      <c r="E5690" s="201">
        <v>45748</v>
      </c>
      <c r="F5690" s="200" t="s">
        <v>296</v>
      </c>
      <c r="G5690" s="200" t="s">
        <v>1983</v>
      </c>
      <c r="H5690" s="200" t="s">
        <v>322</v>
      </c>
    </row>
    <row r="5691" spans="1:8" ht="15" customHeight="1">
      <c r="A5691" s="199">
        <v>45755</v>
      </c>
      <c r="B5691" s="202" t="s">
        <v>4547</v>
      </c>
      <c r="C5691" s="200" t="s">
        <v>204</v>
      </c>
      <c r="D5691" s="774">
        <v>-20000</v>
      </c>
      <c r="E5691" s="201">
        <v>45748</v>
      </c>
      <c r="F5691" s="200" t="s">
        <v>296</v>
      </c>
      <c r="G5691" s="200" t="s">
        <v>522</v>
      </c>
      <c r="H5691" s="200" t="s">
        <v>442</v>
      </c>
    </row>
    <row r="5692" spans="1:8" ht="15" customHeight="1">
      <c r="A5692" s="199">
        <v>45755</v>
      </c>
      <c r="B5692" s="202" t="s">
        <v>4548</v>
      </c>
      <c r="C5692" s="200" t="s">
        <v>204</v>
      </c>
      <c r="D5692" s="774">
        <v>-763917</v>
      </c>
      <c r="E5692" s="201">
        <v>45748</v>
      </c>
      <c r="F5692" s="200" t="s">
        <v>296</v>
      </c>
      <c r="G5692" s="200" t="s">
        <v>3360</v>
      </c>
      <c r="H5692" s="200" t="s">
        <v>518</v>
      </c>
    </row>
    <row r="5693" spans="1:8" ht="15" customHeight="1">
      <c r="A5693" s="199">
        <v>45755</v>
      </c>
      <c r="B5693" s="202" t="s">
        <v>4549</v>
      </c>
      <c r="C5693" s="200" t="s">
        <v>204</v>
      </c>
      <c r="D5693" s="774">
        <v>-169317</v>
      </c>
      <c r="E5693" s="201">
        <v>45748</v>
      </c>
      <c r="F5693" s="200" t="s">
        <v>296</v>
      </c>
      <c r="G5693" s="200" t="s">
        <v>1735</v>
      </c>
      <c r="H5693" s="200" t="s">
        <v>518</v>
      </c>
    </row>
    <row r="5694" spans="1:8" ht="15" customHeight="1">
      <c r="A5694" s="199">
        <v>45755</v>
      </c>
      <c r="B5694" s="202" t="s">
        <v>4550</v>
      </c>
      <c r="C5694" s="200" t="s">
        <v>204</v>
      </c>
      <c r="D5694" s="774">
        <v>-965000</v>
      </c>
      <c r="E5694" s="201">
        <v>45748</v>
      </c>
      <c r="F5694" s="200" t="s">
        <v>296</v>
      </c>
      <c r="G5694" s="200" t="s">
        <v>1362</v>
      </c>
      <c r="H5694" s="200" t="s">
        <v>342</v>
      </c>
    </row>
    <row r="5695" spans="1:8" ht="15" customHeight="1">
      <c r="A5695" s="199">
        <v>45755</v>
      </c>
      <c r="B5695" s="202" t="s">
        <v>4551</v>
      </c>
      <c r="C5695" s="200" t="s">
        <v>372</v>
      </c>
      <c r="D5695" s="204">
        <v>-35000</v>
      </c>
      <c r="E5695" s="201">
        <v>45748</v>
      </c>
      <c r="F5695" s="200" t="s">
        <v>296</v>
      </c>
      <c r="G5695" s="200" t="s">
        <v>1362</v>
      </c>
      <c r="H5695" s="200" t="s">
        <v>342</v>
      </c>
    </row>
    <row r="5696" spans="1:8" ht="15" customHeight="1">
      <c r="A5696" s="199">
        <v>45755</v>
      </c>
      <c r="B5696" s="202" t="s">
        <v>4552</v>
      </c>
      <c r="C5696" s="200" t="s">
        <v>204</v>
      </c>
      <c r="D5696" s="774">
        <v>-98000</v>
      </c>
      <c r="E5696" s="201">
        <v>45748</v>
      </c>
      <c r="F5696" s="200" t="s">
        <v>296</v>
      </c>
      <c r="G5696" s="200" t="s">
        <v>1362</v>
      </c>
      <c r="H5696" s="200" t="s">
        <v>342</v>
      </c>
    </row>
    <row r="5697" spans="1:8" ht="15" customHeight="1">
      <c r="A5697" s="199">
        <v>45755</v>
      </c>
      <c r="B5697" s="202" t="s">
        <v>4553</v>
      </c>
      <c r="C5697" s="200" t="s">
        <v>204</v>
      </c>
      <c r="D5697" s="774">
        <v>-337750</v>
      </c>
      <c r="E5697" s="201">
        <v>45748</v>
      </c>
      <c r="F5697" s="200" t="s">
        <v>296</v>
      </c>
      <c r="G5697" s="200" t="s">
        <v>1362</v>
      </c>
      <c r="H5697" s="200" t="s">
        <v>342</v>
      </c>
    </row>
    <row r="5698" spans="1:8" ht="15" customHeight="1">
      <c r="A5698" s="199">
        <v>45755</v>
      </c>
      <c r="B5698" s="202" t="s">
        <v>4554</v>
      </c>
      <c r="C5698" s="200" t="s">
        <v>204</v>
      </c>
      <c r="D5698" s="774">
        <v>-8100000</v>
      </c>
      <c r="E5698" s="201">
        <v>45748</v>
      </c>
      <c r="F5698" s="200" t="s">
        <v>296</v>
      </c>
      <c r="G5698" s="200" t="s">
        <v>453</v>
      </c>
      <c r="H5698" s="200" t="s">
        <v>98</v>
      </c>
    </row>
    <row r="5699" spans="1:8" ht="15" customHeight="1">
      <c r="A5699" s="199">
        <v>45755</v>
      </c>
      <c r="B5699" s="202" t="s">
        <v>4555</v>
      </c>
      <c r="C5699" s="200" t="s">
        <v>372</v>
      </c>
      <c r="D5699" s="204">
        <v>-82500</v>
      </c>
      <c r="E5699" s="201">
        <v>45748</v>
      </c>
      <c r="F5699" s="200" t="s">
        <v>296</v>
      </c>
      <c r="G5699" s="200" t="s">
        <v>453</v>
      </c>
      <c r="H5699" s="200" t="s">
        <v>98</v>
      </c>
    </row>
    <row r="5700" spans="1:8" ht="15" customHeight="1">
      <c r="A5700" s="199">
        <v>45755</v>
      </c>
      <c r="B5700" s="202" t="s">
        <v>4556</v>
      </c>
      <c r="C5700" s="200" t="s">
        <v>204</v>
      </c>
      <c r="D5700" s="774">
        <v>-300000</v>
      </c>
      <c r="E5700" s="201">
        <v>45748</v>
      </c>
      <c r="F5700" s="200" t="s">
        <v>296</v>
      </c>
      <c r="G5700" s="200" t="s">
        <v>1980</v>
      </c>
      <c r="H5700" s="200" t="s">
        <v>322</v>
      </c>
    </row>
    <row r="5701" spans="1:8" ht="15" customHeight="1">
      <c r="A5701" s="199">
        <v>45755</v>
      </c>
      <c r="B5701" s="202" t="s">
        <v>4556</v>
      </c>
      <c r="C5701" s="200" t="s">
        <v>204</v>
      </c>
      <c r="D5701" s="774">
        <v>-300000</v>
      </c>
      <c r="E5701" s="201">
        <v>45748</v>
      </c>
      <c r="F5701" s="200" t="s">
        <v>296</v>
      </c>
      <c r="G5701" s="200" t="s">
        <v>1983</v>
      </c>
      <c r="H5701" s="200" t="s">
        <v>322</v>
      </c>
    </row>
    <row r="5702" spans="1:8" ht="15" customHeight="1">
      <c r="A5702" s="199">
        <v>45755</v>
      </c>
      <c r="B5702" s="202" t="s">
        <v>4557</v>
      </c>
      <c r="C5702" s="200" t="s">
        <v>204</v>
      </c>
      <c r="D5702" s="774">
        <v>-5936960</v>
      </c>
      <c r="E5702" s="201">
        <v>45748</v>
      </c>
      <c r="F5702" s="200" t="s">
        <v>296</v>
      </c>
      <c r="G5702" s="200" t="s">
        <v>1825</v>
      </c>
      <c r="H5702" s="200" t="s">
        <v>848</v>
      </c>
    </row>
    <row r="5703" spans="1:8" ht="15" customHeight="1">
      <c r="A5703" s="199">
        <v>45755</v>
      </c>
      <c r="B5703" s="202" t="s">
        <v>4557</v>
      </c>
      <c r="C5703" s="200" t="s">
        <v>204</v>
      </c>
      <c r="D5703" s="774">
        <v>-5936960</v>
      </c>
      <c r="E5703" s="201">
        <v>45748</v>
      </c>
      <c r="F5703" s="200" t="s">
        <v>296</v>
      </c>
      <c r="G5703" s="200" t="s">
        <v>522</v>
      </c>
      <c r="H5703" s="200" t="s">
        <v>848</v>
      </c>
    </row>
    <row r="5704" spans="1:8" ht="15" customHeight="1">
      <c r="A5704" s="199">
        <v>45755</v>
      </c>
      <c r="B5704" s="202" t="s">
        <v>4557</v>
      </c>
      <c r="C5704" s="200" t="s">
        <v>204</v>
      </c>
      <c r="D5704" s="774">
        <v>-5936960</v>
      </c>
      <c r="E5704" s="201">
        <v>45748</v>
      </c>
      <c r="F5704" s="200" t="s">
        <v>296</v>
      </c>
      <c r="G5704" s="200" t="s">
        <v>807</v>
      </c>
      <c r="H5704" s="200" t="s">
        <v>848</v>
      </c>
    </row>
    <row r="5705" spans="1:8" ht="15" customHeight="1">
      <c r="A5705" s="199">
        <v>45755</v>
      </c>
      <c r="B5705" s="202" t="s">
        <v>4557</v>
      </c>
      <c r="C5705" s="200" t="s">
        <v>204</v>
      </c>
      <c r="D5705" s="774">
        <v>-5936960</v>
      </c>
      <c r="E5705" s="201">
        <v>45748</v>
      </c>
      <c r="F5705" s="200" t="s">
        <v>296</v>
      </c>
      <c r="G5705" s="200" t="s">
        <v>1980</v>
      </c>
      <c r="H5705" s="200" t="s">
        <v>848</v>
      </c>
    </row>
    <row r="5706" spans="1:8" ht="15" customHeight="1">
      <c r="A5706" s="199">
        <v>45755</v>
      </c>
      <c r="B5706" s="202" t="s">
        <v>4557</v>
      </c>
      <c r="C5706" s="200" t="s">
        <v>204</v>
      </c>
      <c r="D5706" s="774">
        <v>-5936960</v>
      </c>
      <c r="E5706" s="201">
        <v>45748</v>
      </c>
      <c r="F5706" s="200" t="s">
        <v>296</v>
      </c>
      <c r="G5706" s="200" t="s">
        <v>1983</v>
      </c>
      <c r="H5706" s="200" t="s">
        <v>848</v>
      </c>
    </row>
    <row r="5707" spans="1:8" ht="15" customHeight="1">
      <c r="A5707" s="199">
        <v>45755</v>
      </c>
      <c r="B5707" s="202" t="s">
        <v>4558</v>
      </c>
      <c r="C5707" s="200" t="s">
        <v>204</v>
      </c>
      <c r="D5707" s="774">
        <v>-74185</v>
      </c>
      <c r="E5707" s="201">
        <v>45748</v>
      </c>
      <c r="F5707" s="200" t="s">
        <v>296</v>
      </c>
      <c r="G5707" s="200" t="s">
        <v>3360</v>
      </c>
      <c r="H5707" s="200" t="s">
        <v>837</v>
      </c>
    </row>
    <row r="5708" spans="1:8" ht="15" customHeight="1">
      <c r="A5708" s="199">
        <v>45755</v>
      </c>
      <c r="B5708" s="202" t="s">
        <v>4559</v>
      </c>
      <c r="C5708" s="200" t="s">
        <v>204</v>
      </c>
      <c r="D5708" s="774">
        <v>-228360</v>
      </c>
      <c r="E5708" s="201">
        <v>45748</v>
      </c>
      <c r="F5708" s="200" t="s">
        <v>296</v>
      </c>
      <c r="G5708" s="200" t="s">
        <v>2994</v>
      </c>
      <c r="H5708" s="200" t="s">
        <v>350</v>
      </c>
    </row>
    <row r="5709" spans="1:8" ht="15" customHeight="1">
      <c r="A5709" s="199">
        <v>45755</v>
      </c>
      <c r="B5709" s="202" t="s">
        <v>4560</v>
      </c>
      <c r="C5709" s="200" t="s">
        <v>204</v>
      </c>
      <c r="D5709" s="774">
        <v>-66480</v>
      </c>
      <c r="E5709" s="201">
        <v>45748</v>
      </c>
      <c r="F5709" s="200" t="s">
        <v>395</v>
      </c>
      <c r="G5709" s="531" t="s">
        <v>395</v>
      </c>
      <c r="H5709" s="200" t="s">
        <v>350</v>
      </c>
    </row>
    <row r="5710" spans="1:8" ht="15" customHeight="1">
      <c r="A5710" s="199">
        <v>45755</v>
      </c>
      <c r="B5710" s="202" t="s">
        <v>4560</v>
      </c>
      <c r="C5710" s="200" t="s">
        <v>204</v>
      </c>
      <c r="D5710" s="774">
        <v>-7200</v>
      </c>
      <c r="E5710" s="201">
        <v>45748</v>
      </c>
      <c r="F5710" s="200" t="s">
        <v>297</v>
      </c>
      <c r="G5710" s="200" t="s">
        <v>75</v>
      </c>
      <c r="H5710" s="200" t="s">
        <v>350</v>
      </c>
    </row>
    <row r="5711" spans="1:8" ht="15" customHeight="1">
      <c r="A5711" s="199">
        <v>45755</v>
      </c>
      <c r="B5711" s="202" t="s">
        <v>4561</v>
      </c>
      <c r="C5711" s="200" t="s">
        <v>204</v>
      </c>
      <c r="D5711" s="774">
        <v>-201600</v>
      </c>
      <c r="E5711" s="201">
        <v>45748</v>
      </c>
      <c r="F5711" s="200" t="s">
        <v>395</v>
      </c>
      <c r="G5711" s="531" t="s">
        <v>395</v>
      </c>
      <c r="H5711" s="200" t="s">
        <v>350</v>
      </c>
    </row>
    <row r="5712" spans="1:8" ht="15" customHeight="1">
      <c r="A5712" s="199">
        <v>45755</v>
      </c>
      <c r="B5712" s="202" t="s">
        <v>4562</v>
      </c>
      <c r="C5712" s="200" t="s">
        <v>204</v>
      </c>
      <c r="D5712" s="774">
        <v>-340000</v>
      </c>
      <c r="E5712" s="201">
        <v>45748</v>
      </c>
      <c r="F5712" s="200" t="s">
        <v>296</v>
      </c>
      <c r="G5712" s="200" t="s">
        <v>1362</v>
      </c>
      <c r="H5712" s="200" t="s">
        <v>342</v>
      </c>
    </row>
    <row r="5713" spans="1:8" ht="15" customHeight="1">
      <c r="A5713" s="199">
        <v>45755</v>
      </c>
      <c r="B5713" s="202" t="s">
        <v>4563</v>
      </c>
      <c r="C5713" s="200" t="s">
        <v>372</v>
      </c>
      <c r="D5713" s="204">
        <v>-12332</v>
      </c>
      <c r="E5713" s="201">
        <v>45748</v>
      </c>
      <c r="F5713" s="200" t="s">
        <v>296</v>
      </c>
      <c r="G5713" s="200" t="s">
        <v>1362</v>
      </c>
      <c r="H5713" s="200" t="s">
        <v>342</v>
      </c>
    </row>
    <row r="5714" spans="1:8" ht="15" customHeight="1">
      <c r="A5714" s="199">
        <v>45755</v>
      </c>
      <c r="B5714" s="202" t="s">
        <v>4564</v>
      </c>
      <c r="C5714" s="200" t="s">
        <v>204</v>
      </c>
      <c r="D5714" s="774">
        <v>-858600</v>
      </c>
      <c r="E5714" s="201">
        <v>45748</v>
      </c>
      <c r="F5714" s="200" t="s">
        <v>256</v>
      </c>
      <c r="G5714" s="200" t="s">
        <v>256</v>
      </c>
      <c r="H5714" s="200" t="s">
        <v>263</v>
      </c>
    </row>
    <row r="5715" spans="1:8" ht="15" customHeight="1">
      <c r="A5715" s="199">
        <v>45755</v>
      </c>
      <c r="B5715" s="202" t="s">
        <v>4565</v>
      </c>
      <c r="C5715" s="200" t="s">
        <v>372</v>
      </c>
      <c r="D5715" s="204">
        <v>-36000</v>
      </c>
      <c r="E5715" s="201">
        <v>45748</v>
      </c>
      <c r="F5715" s="200" t="s">
        <v>256</v>
      </c>
      <c r="G5715" s="200" t="s">
        <v>256</v>
      </c>
      <c r="H5715" s="200" t="s">
        <v>263</v>
      </c>
    </row>
    <row r="5716" spans="1:8" ht="15" customHeight="1">
      <c r="A5716" s="199">
        <v>45755</v>
      </c>
      <c r="B5716" s="202" t="s">
        <v>4566</v>
      </c>
      <c r="C5716" s="200" t="s">
        <v>372</v>
      </c>
      <c r="D5716" s="204">
        <v>-5400</v>
      </c>
      <c r="E5716" s="201">
        <v>45748</v>
      </c>
      <c r="F5716" s="200" t="s">
        <v>256</v>
      </c>
      <c r="G5716" s="200" t="s">
        <v>256</v>
      </c>
      <c r="H5716" s="200" t="s">
        <v>263</v>
      </c>
    </row>
    <row r="5717" spans="1:8" ht="15" customHeight="1">
      <c r="A5717" s="199">
        <v>45755</v>
      </c>
      <c r="B5717" s="202" t="s">
        <v>4567</v>
      </c>
      <c r="C5717" s="200" t="s">
        <v>204</v>
      </c>
      <c r="D5717" s="774">
        <v>-898292</v>
      </c>
      <c r="E5717" s="201">
        <v>45748</v>
      </c>
      <c r="F5717" s="200" t="s">
        <v>296</v>
      </c>
      <c r="G5717" s="200" t="s">
        <v>337</v>
      </c>
      <c r="H5717" s="531" t="s">
        <v>381</v>
      </c>
    </row>
    <row r="5718" spans="1:8" ht="15" customHeight="1">
      <c r="A5718" s="199">
        <v>45755</v>
      </c>
      <c r="B5718" s="202" t="s">
        <v>4568</v>
      </c>
      <c r="C5718" s="200" t="s">
        <v>204</v>
      </c>
      <c r="D5718" s="774">
        <v>-898292</v>
      </c>
      <c r="E5718" s="201">
        <v>45748</v>
      </c>
      <c r="F5718" s="200" t="s">
        <v>296</v>
      </c>
      <c r="G5718" s="200" t="s">
        <v>44</v>
      </c>
      <c r="H5718" s="531" t="s">
        <v>381</v>
      </c>
    </row>
    <row r="5719" spans="1:8" ht="15" customHeight="1">
      <c r="A5719" s="199">
        <v>45755</v>
      </c>
      <c r="B5719" s="202" t="s">
        <v>4569</v>
      </c>
      <c r="C5719" s="200" t="s">
        <v>204</v>
      </c>
      <c r="D5719" s="774">
        <v>-745920</v>
      </c>
      <c r="E5719" s="201">
        <v>45748</v>
      </c>
      <c r="F5719" s="200" t="s">
        <v>296</v>
      </c>
      <c r="G5719" s="200" t="s">
        <v>522</v>
      </c>
      <c r="H5719" s="531" t="s">
        <v>381</v>
      </c>
    </row>
    <row r="5720" spans="1:8" ht="15" customHeight="1">
      <c r="A5720" s="199">
        <v>45755</v>
      </c>
      <c r="B5720" s="202" t="s">
        <v>4570</v>
      </c>
      <c r="C5720" s="200" t="s">
        <v>204</v>
      </c>
      <c r="D5720" s="774">
        <v>-1930000</v>
      </c>
      <c r="E5720" s="201">
        <v>45748</v>
      </c>
      <c r="F5720" s="200" t="s">
        <v>256</v>
      </c>
      <c r="G5720" s="200" t="s">
        <v>256</v>
      </c>
      <c r="H5720" s="200" t="s">
        <v>257</v>
      </c>
    </row>
    <row r="5721" spans="1:8" ht="15" customHeight="1">
      <c r="A5721" s="199">
        <v>45755</v>
      </c>
      <c r="B5721" s="202" t="s">
        <v>4571</v>
      </c>
      <c r="C5721" s="200" t="s">
        <v>204</v>
      </c>
      <c r="D5721" s="774">
        <v>-3083080</v>
      </c>
      <c r="E5721" s="201">
        <v>45748</v>
      </c>
      <c r="F5721" s="200" t="s">
        <v>296</v>
      </c>
      <c r="G5721" s="200" t="s">
        <v>44</v>
      </c>
      <c r="H5721" s="200" t="s">
        <v>370</v>
      </c>
    </row>
    <row r="5722" spans="1:8" ht="15" customHeight="1">
      <c r="A5722" s="199">
        <v>45756</v>
      </c>
      <c r="B5722" s="202" t="s">
        <v>4572</v>
      </c>
      <c r="C5722" s="200" t="s">
        <v>204</v>
      </c>
      <c r="D5722" s="774">
        <v>-9527098</v>
      </c>
      <c r="E5722" s="201">
        <v>45748</v>
      </c>
      <c r="F5722" s="202" t="s">
        <v>2714</v>
      </c>
      <c r="G5722" s="200" t="s">
        <v>337</v>
      </c>
      <c r="H5722" s="200" t="s">
        <v>2715</v>
      </c>
    </row>
    <row r="5723" spans="1:8" ht="15" customHeight="1">
      <c r="A5723" s="199">
        <v>45756</v>
      </c>
      <c r="B5723" s="202" t="s">
        <v>4573</v>
      </c>
      <c r="C5723" s="200" t="s">
        <v>204</v>
      </c>
      <c r="D5723" s="774">
        <v>-5517620</v>
      </c>
      <c r="E5723" s="201">
        <v>45748</v>
      </c>
      <c r="F5723" s="648" t="s">
        <v>296</v>
      </c>
      <c r="G5723" s="648" t="s">
        <v>44</v>
      </c>
      <c r="H5723" s="648" t="s">
        <v>2715</v>
      </c>
    </row>
    <row r="5724" spans="1:8" ht="15" customHeight="1">
      <c r="A5724" s="199">
        <v>45756</v>
      </c>
      <c r="B5724" s="202" t="s">
        <v>4573</v>
      </c>
      <c r="C5724" s="200" t="s">
        <v>204</v>
      </c>
      <c r="D5724" s="774">
        <v>-5517620</v>
      </c>
      <c r="E5724" s="201">
        <v>45748</v>
      </c>
      <c r="F5724" s="648" t="s">
        <v>296</v>
      </c>
      <c r="G5724" s="648" t="s">
        <v>1825</v>
      </c>
      <c r="H5724" s="648" t="s">
        <v>2715</v>
      </c>
    </row>
    <row r="5725" spans="1:8" ht="15" customHeight="1">
      <c r="A5725" s="199">
        <v>45756</v>
      </c>
      <c r="B5725" s="202" t="s">
        <v>4574</v>
      </c>
      <c r="C5725" s="200" t="s">
        <v>204</v>
      </c>
      <c r="D5725" s="774">
        <v>-60300000</v>
      </c>
      <c r="E5725" s="201">
        <v>45748</v>
      </c>
      <c r="F5725" s="200" t="s">
        <v>807</v>
      </c>
      <c r="G5725" s="200" t="s">
        <v>4575</v>
      </c>
    </row>
    <row r="5726" spans="1:8" ht="15" customHeight="1">
      <c r="A5726" s="199">
        <v>45756</v>
      </c>
      <c r="B5726" s="202" t="s">
        <v>4576</v>
      </c>
      <c r="C5726" s="200" t="s">
        <v>204</v>
      </c>
      <c r="D5726" s="774">
        <v>-375000000</v>
      </c>
      <c r="E5726" s="201">
        <v>45748</v>
      </c>
      <c r="F5726" s="200" t="s">
        <v>4577</v>
      </c>
      <c r="G5726" s="200" t="s">
        <v>4578</v>
      </c>
    </row>
    <row r="5727" spans="1:8" ht="15" customHeight="1">
      <c r="A5727" s="199">
        <v>45756</v>
      </c>
      <c r="B5727" s="202" t="s">
        <v>4579</v>
      </c>
      <c r="C5727" s="200" t="s">
        <v>204</v>
      </c>
      <c r="D5727" s="774">
        <v>-5950000</v>
      </c>
      <c r="E5727" s="201">
        <v>45748</v>
      </c>
      <c r="F5727" s="200" t="s">
        <v>296</v>
      </c>
      <c r="G5727" s="200" t="s">
        <v>1825</v>
      </c>
      <c r="H5727" s="200" t="s">
        <v>488</v>
      </c>
    </row>
    <row r="5728" spans="1:8" ht="15" customHeight="1">
      <c r="A5728" s="199">
        <v>45756</v>
      </c>
      <c r="B5728" s="202" t="s">
        <v>4579</v>
      </c>
      <c r="C5728" s="200" t="s">
        <v>204</v>
      </c>
      <c r="D5728" s="774">
        <v>-5950000</v>
      </c>
      <c r="E5728" s="201">
        <v>45748</v>
      </c>
      <c r="F5728" s="200" t="s">
        <v>296</v>
      </c>
      <c r="G5728" s="200" t="s">
        <v>807</v>
      </c>
      <c r="H5728" s="200" t="s">
        <v>488</v>
      </c>
    </row>
    <row r="5729" spans="1:10" ht="15" customHeight="1">
      <c r="A5729" s="199">
        <v>45756</v>
      </c>
      <c r="B5729" s="202" t="s">
        <v>4580</v>
      </c>
      <c r="C5729" s="200" t="s">
        <v>204</v>
      </c>
      <c r="D5729" s="774">
        <v>-3377500</v>
      </c>
      <c r="E5729" s="201">
        <v>45748</v>
      </c>
      <c r="F5729" s="200" t="s">
        <v>296</v>
      </c>
      <c r="G5729" s="200" t="s">
        <v>44</v>
      </c>
      <c r="H5729" s="200" t="s">
        <v>488</v>
      </c>
    </row>
    <row r="5730" spans="1:10" ht="15" customHeight="1">
      <c r="A5730" s="199">
        <v>45756</v>
      </c>
      <c r="B5730" s="202" t="s">
        <v>4581</v>
      </c>
      <c r="C5730" s="200" t="s">
        <v>204</v>
      </c>
      <c r="D5730" s="774">
        <v>-4110000</v>
      </c>
      <c r="E5730" s="201">
        <v>45748</v>
      </c>
      <c r="F5730" s="200" t="s">
        <v>296</v>
      </c>
      <c r="G5730" s="200" t="s">
        <v>522</v>
      </c>
      <c r="H5730" s="200" t="s">
        <v>488</v>
      </c>
    </row>
    <row r="5731" spans="1:10" ht="15" customHeight="1">
      <c r="A5731" s="199">
        <v>45756</v>
      </c>
      <c r="B5731" s="202" t="s">
        <v>4582</v>
      </c>
      <c r="C5731" s="200" t="s">
        <v>204</v>
      </c>
      <c r="D5731" s="774">
        <v>-1143000</v>
      </c>
      <c r="E5731" s="201">
        <v>45748</v>
      </c>
      <c r="F5731" s="200" t="s">
        <v>296</v>
      </c>
      <c r="G5731" s="200" t="s">
        <v>1825</v>
      </c>
      <c r="H5731" s="200" t="s">
        <v>490</v>
      </c>
      <c r="I5731" s="648" t="s">
        <v>329</v>
      </c>
      <c r="J5731" s="184" t="s">
        <v>4289</v>
      </c>
    </row>
    <row r="5732" spans="1:10" ht="15" customHeight="1">
      <c r="A5732" s="199">
        <v>45756</v>
      </c>
      <c r="B5732" s="202" t="s">
        <v>4583</v>
      </c>
      <c r="C5732" s="200" t="s">
        <v>204</v>
      </c>
      <c r="D5732" s="774">
        <v>-572230</v>
      </c>
      <c r="E5732" s="201">
        <v>45748</v>
      </c>
      <c r="F5732" s="200" t="s">
        <v>296</v>
      </c>
      <c r="G5732" s="200" t="s">
        <v>453</v>
      </c>
      <c r="H5732" s="200" t="s">
        <v>97</v>
      </c>
    </row>
    <row r="5733" spans="1:10" ht="15" customHeight="1">
      <c r="A5733" s="199">
        <v>45757</v>
      </c>
      <c r="B5733" s="202" t="s">
        <v>4584</v>
      </c>
      <c r="C5733" s="200" t="s">
        <v>204</v>
      </c>
      <c r="D5733" s="774">
        <v>-915680</v>
      </c>
      <c r="E5733" s="201">
        <v>45748</v>
      </c>
      <c r="F5733" s="200" t="s">
        <v>296</v>
      </c>
      <c r="G5733" s="200" t="s">
        <v>3360</v>
      </c>
      <c r="H5733" s="200" t="s">
        <v>377</v>
      </c>
    </row>
    <row r="5734" spans="1:10" ht="15" customHeight="1">
      <c r="A5734" s="199">
        <v>45757</v>
      </c>
      <c r="B5734" s="202" t="s">
        <v>4585</v>
      </c>
      <c r="C5734" s="200" t="s">
        <v>372</v>
      </c>
      <c r="D5734" s="204">
        <v>-7760</v>
      </c>
      <c r="E5734" s="201">
        <v>45748</v>
      </c>
      <c r="F5734" s="200" t="s">
        <v>296</v>
      </c>
      <c r="G5734" s="200" t="s">
        <v>3360</v>
      </c>
      <c r="H5734" s="200" t="s">
        <v>377</v>
      </c>
    </row>
    <row r="5735" spans="1:10" ht="15" customHeight="1">
      <c r="A5735" s="199">
        <v>45757</v>
      </c>
      <c r="B5735" s="202" t="s">
        <v>4584</v>
      </c>
      <c r="C5735" s="200" t="s">
        <v>204</v>
      </c>
      <c r="D5735" s="774">
        <v>-915680</v>
      </c>
      <c r="E5735" s="201">
        <v>45748</v>
      </c>
      <c r="F5735" s="200" t="s">
        <v>296</v>
      </c>
      <c r="G5735" s="200" t="s">
        <v>1362</v>
      </c>
      <c r="H5735" s="200" t="s">
        <v>377</v>
      </c>
    </row>
    <row r="5736" spans="1:10" ht="15" customHeight="1">
      <c r="A5736" s="199">
        <v>45757</v>
      </c>
      <c r="B5736" s="202" t="s">
        <v>4585</v>
      </c>
      <c r="C5736" s="200" t="s">
        <v>372</v>
      </c>
      <c r="D5736" s="204">
        <v>-7760</v>
      </c>
      <c r="E5736" s="201">
        <v>45748</v>
      </c>
      <c r="F5736" s="200" t="s">
        <v>296</v>
      </c>
      <c r="G5736" s="200" t="s">
        <v>1362</v>
      </c>
      <c r="H5736" s="200" t="s">
        <v>377</v>
      </c>
      <c r="I5736" s="648" t="s">
        <v>329</v>
      </c>
    </row>
    <row r="5737" spans="1:10" ht="15" customHeight="1">
      <c r="A5737" s="199">
        <v>45757</v>
      </c>
      <c r="B5737" s="202" t="s">
        <v>4586</v>
      </c>
      <c r="C5737" s="200" t="s">
        <v>204</v>
      </c>
      <c r="D5737" s="774">
        <v>-32372000</v>
      </c>
      <c r="E5737" s="201">
        <v>45748</v>
      </c>
      <c r="F5737" s="200" t="s">
        <v>525</v>
      </c>
    </row>
    <row r="5738" spans="1:10" ht="15" customHeight="1">
      <c r="A5738" s="199">
        <v>45757</v>
      </c>
      <c r="B5738" s="202" t="s">
        <v>4587</v>
      </c>
      <c r="C5738" s="200" t="s">
        <v>204</v>
      </c>
      <c r="D5738" s="774">
        <v>-288000</v>
      </c>
      <c r="E5738" s="201">
        <v>45748</v>
      </c>
      <c r="F5738" s="200" t="s">
        <v>525</v>
      </c>
    </row>
    <row r="5739" spans="1:10" ht="15" customHeight="1">
      <c r="A5739" s="199">
        <v>45757</v>
      </c>
      <c r="B5739" s="202" t="s">
        <v>4588</v>
      </c>
      <c r="C5739" s="200" t="s">
        <v>204</v>
      </c>
      <c r="D5739" s="774">
        <v>-3343763</v>
      </c>
      <c r="E5739" s="201">
        <v>45748</v>
      </c>
      <c r="F5739" s="200" t="s">
        <v>296</v>
      </c>
      <c r="G5739" s="200" t="s">
        <v>1980</v>
      </c>
      <c r="H5739" s="200" t="s">
        <v>490</v>
      </c>
    </row>
    <row r="5740" spans="1:10" ht="15" customHeight="1">
      <c r="A5740" s="199">
        <v>45757</v>
      </c>
      <c r="B5740" s="202" t="s">
        <v>4589</v>
      </c>
      <c r="C5740" s="200" t="s">
        <v>372</v>
      </c>
      <c r="D5740" s="204">
        <v>-85738</v>
      </c>
      <c r="E5740" s="201">
        <v>45748</v>
      </c>
      <c r="F5740" s="200" t="s">
        <v>296</v>
      </c>
      <c r="G5740" s="200" t="s">
        <v>1980</v>
      </c>
      <c r="H5740" s="200" t="s">
        <v>490</v>
      </c>
    </row>
    <row r="5741" spans="1:10" ht="15" customHeight="1">
      <c r="A5741" s="199">
        <v>45757</v>
      </c>
      <c r="B5741" s="202" t="s">
        <v>4590</v>
      </c>
      <c r="C5741" s="200" t="s">
        <v>204</v>
      </c>
      <c r="D5741" s="774">
        <v>-83400</v>
      </c>
      <c r="E5741" s="201">
        <v>45748</v>
      </c>
      <c r="F5741" s="200" t="s">
        <v>297</v>
      </c>
      <c r="G5741" s="200" t="s">
        <v>1578</v>
      </c>
      <c r="H5741" s="200" t="s">
        <v>342</v>
      </c>
    </row>
    <row r="5742" spans="1:10" ht="15" customHeight="1">
      <c r="A5742" s="199">
        <v>45757</v>
      </c>
      <c r="B5742" s="202" t="s">
        <v>4591</v>
      </c>
      <c r="C5742" s="200" t="s">
        <v>204</v>
      </c>
      <c r="D5742" s="774">
        <v>-76652940</v>
      </c>
      <c r="E5742" s="201">
        <v>45748</v>
      </c>
      <c r="F5742" s="200" t="s">
        <v>296</v>
      </c>
      <c r="G5742" s="200" t="s">
        <v>807</v>
      </c>
      <c r="H5742" s="200" t="s">
        <v>1651</v>
      </c>
      <c r="I5742" s="648" t="s">
        <v>329</v>
      </c>
      <c r="J5742" s="184" t="s">
        <v>4289</v>
      </c>
    </row>
    <row r="5743" spans="1:10" ht="15" customHeight="1">
      <c r="A5743" s="199">
        <v>45757</v>
      </c>
      <c r="B5743" s="202" t="s">
        <v>4591</v>
      </c>
      <c r="C5743" s="200" t="s">
        <v>204</v>
      </c>
      <c r="D5743" s="774">
        <v>-76652940</v>
      </c>
      <c r="E5743" s="201">
        <v>45748</v>
      </c>
      <c r="F5743" s="200" t="s">
        <v>296</v>
      </c>
      <c r="G5743" s="200" t="s">
        <v>1980</v>
      </c>
      <c r="H5743" s="200" t="s">
        <v>1651</v>
      </c>
    </row>
    <row r="5744" spans="1:10" ht="15" customHeight="1">
      <c r="A5744" s="199">
        <v>45757</v>
      </c>
      <c r="B5744" s="202" t="s">
        <v>4591</v>
      </c>
      <c r="C5744" s="200" t="s">
        <v>204</v>
      </c>
      <c r="D5744" s="774">
        <v>-76652940</v>
      </c>
      <c r="E5744" s="201">
        <v>45748</v>
      </c>
      <c r="F5744" s="200" t="s">
        <v>296</v>
      </c>
      <c r="G5744" s="200" t="s">
        <v>1983</v>
      </c>
      <c r="H5744" s="200" t="s">
        <v>1651</v>
      </c>
    </row>
    <row r="5745" spans="1:9" ht="15" customHeight="1">
      <c r="A5745" s="199">
        <v>45757</v>
      </c>
      <c r="B5745" s="202" t="s">
        <v>4591</v>
      </c>
      <c r="C5745" s="200" t="s">
        <v>204</v>
      </c>
      <c r="D5745" s="774">
        <v>-76652940</v>
      </c>
      <c r="E5745" s="201">
        <v>45748</v>
      </c>
      <c r="F5745" s="200" t="s">
        <v>296</v>
      </c>
      <c r="G5745" s="200" t="s">
        <v>3167</v>
      </c>
      <c r="H5745" s="200" t="s">
        <v>1651</v>
      </c>
    </row>
    <row r="5746" spans="1:9" ht="15" customHeight="1">
      <c r="A5746" s="199">
        <v>45757</v>
      </c>
      <c r="B5746" s="202" t="s">
        <v>4592</v>
      </c>
      <c r="C5746" s="200" t="s">
        <v>204</v>
      </c>
      <c r="D5746" s="774">
        <v>-201000</v>
      </c>
      <c r="E5746" s="201">
        <v>45748</v>
      </c>
      <c r="F5746" s="200" t="s">
        <v>296</v>
      </c>
      <c r="G5746" s="200" t="s">
        <v>453</v>
      </c>
      <c r="H5746" s="200" t="s">
        <v>97</v>
      </c>
    </row>
    <row r="5747" spans="1:9" ht="15" customHeight="1">
      <c r="A5747" s="199">
        <v>45757</v>
      </c>
      <c r="B5747" s="202" t="s">
        <v>4593</v>
      </c>
      <c r="C5747" s="200" t="s">
        <v>204</v>
      </c>
      <c r="D5747" s="774">
        <v>-1180000</v>
      </c>
      <c r="E5747" s="201">
        <v>45748</v>
      </c>
      <c r="F5747" s="200" t="s">
        <v>256</v>
      </c>
      <c r="G5747" s="200" t="s">
        <v>256</v>
      </c>
      <c r="H5747" s="200" t="s">
        <v>267</v>
      </c>
    </row>
    <row r="5748" spans="1:9" ht="15" customHeight="1">
      <c r="A5748" s="199">
        <v>45757</v>
      </c>
      <c r="B5748" s="202" t="s">
        <v>4594</v>
      </c>
      <c r="C5748" s="200" t="s">
        <v>204</v>
      </c>
      <c r="D5748" s="774">
        <v>-589100</v>
      </c>
      <c r="E5748" s="201">
        <v>45748</v>
      </c>
      <c r="F5748" s="200" t="s">
        <v>256</v>
      </c>
      <c r="G5748" s="200" t="s">
        <v>256</v>
      </c>
      <c r="H5748" s="200" t="s">
        <v>267</v>
      </c>
    </row>
    <row r="5749" spans="1:9" ht="15" customHeight="1">
      <c r="A5749" s="199">
        <v>45757</v>
      </c>
      <c r="B5749" s="202" t="s">
        <v>4595</v>
      </c>
      <c r="C5749" s="200" t="s">
        <v>204</v>
      </c>
      <c r="D5749" s="774">
        <v>-585480</v>
      </c>
      <c r="E5749" s="201">
        <v>45748</v>
      </c>
      <c r="F5749" s="200" t="s">
        <v>256</v>
      </c>
      <c r="G5749" s="200" t="s">
        <v>256</v>
      </c>
      <c r="H5749" s="200" t="s">
        <v>267</v>
      </c>
    </row>
    <row r="5750" spans="1:9" ht="15" customHeight="1">
      <c r="A5750" s="199">
        <v>45757</v>
      </c>
      <c r="B5750" s="202" t="s">
        <v>4596</v>
      </c>
      <c r="C5750" s="200" t="s">
        <v>204</v>
      </c>
      <c r="D5750" s="774">
        <v>-1300000</v>
      </c>
      <c r="E5750" s="665">
        <v>45748</v>
      </c>
      <c r="F5750" s="648" t="s">
        <v>296</v>
      </c>
      <c r="G5750" s="648" t="s">
        <v>453</v>
      </c>
      <c r="H5750" s="648" t="s">
        <v>99</v>
      </c>
    </row>
    <row r="5751" spans="1:9" ht="15" customHeight="1">
      <c r="A5751" s="199">
        <v>45757</v>
      </c>
      <c r="B5751" s="722" t="s">
        <v>4597</v>
      </c>
      <c r="C5751" s="200" t="s">
        <v>204</v>
      </c>
      <c r="D5751" s="774">
        <v>-1423500</v>
      </c>
      <c r="E5751" s="662">
        <v>45748</v>
      </c>
      <c r="F5751" s="200" t="s">
        <v>296</v>
      </c>
      <c r="G5751" s="200" t="s">
        <v>57</v>
      </c>
      <c r="H5751" s="200" t="s">
        <v>105</v>
      </c>
    </row>
    <row r="5752" spans="1:9" ht="15" customHeight="1">
      <c r="A5752" s="199">
        <v>45757</v>
      </c>
      <c r="B5752" s="202" t="s">
        <v>4598</v>
      </c>
      <c r="C5752" s="200" t="s">
        <v>204</v>
      </c>
      <c r="D5752" s="774">
        <v>-1044317</v>
      </c>
      <c r="E5752" s="662">
        <v>45748</v>
      </c>
      <c r="F5752" s="200" t="s">
        <v>296</v>
      </c>
      <c r="G5752" s="200" t="s">
        <v>522</v>
      </c>
      <c r="H5752" s="200" t="s">
        <v>442</v>
      </c>
    </row>
    <row r="5753" spans="1:9" ht="15" customHeight="1">
      <c r="A5753" s="199">
        <v>45757</v>
      </c>
      <c r="B5753" s="202" t="s">
        <v>4599</v>
      </c>
      <c r="C5753" s="200" t="s">
        <v>204</v>
      </c>
      <c r="D5753" s="774">
        <v>-3850000</v>
      </c>
      <c r="E5753" s="662">
        <v>45748</v>
      </c>
      <c r="F5753" s="200" t="s">
        <v>296</v>
      </c>
      <c r="G5753" s="200" t="s">
        <v>1980</v>
      </c>
      <c r="H5753" s="200" t="s">
        <v>442</v>
      </c>
    </row>
    <row r="5754" spans="1:9" ht="15" customHeight="1">
      <c r="A5754" s="199">
        <v>45757</v>
      </c>
      <c r="B5754" s="202" t="s">
        <v>4600</v>
      </c>
      <c r="C5754" s="200" t="s">
        <v>204</v>
      </c>
      <c r="D5754" s="774">
        <v>-4954969</v>
      </c>
      <c r="E5754" s="662">
        <v>45748</v>
      </c>
      <c r="F5754" s="200" t="s">
        <v>296</v>
      </c>
      <c r="G5754" s="200" t="s">
        <v>44</v>
      </c>
      <c r="H5754" s="200" t="s">
        <v>442</v>
      </c>
    </row>
    <row r="5755" spans="1:9" ht="15" customHeight="1">
      <c r="A5755" s="199">
        <v>45757</v>
      </c>
      <c r="B5755" s="202" t="s">
        <v>4601</v>
      </c>
      <c r="C5755" s="200" t="s">
        <v>204</v>
      </c>
      <c r="D5755" s="774">
        <v>-1460000</v>
      </c>
      <c r="E5755" s="662">
        <v>45748</v>
      </c>
      <c r="F5755" s="200" t="s">
        <v>296</v>
      </c>
      <c r="G5755" s="200" t="s">
        <v>1980</v>
      </c>
      <c r="H5755" s="200" t="s">
        <v>326</v>
      </c>
    </row>
    <row r="5756" spans="1:9" ht="15" customHeight="1">
      <c r="A5756" s="199">
        <v>45751</v>
      </c>
      <c r="B5756" s="202" t="s">
        <v>4602</v>
      </c>
      <c r="C5756" s="200" t="s">
        <v>307</v>
      </c>
      <c r="D5756" s="204">
        <v>-17000</v>
      </c>
      <c r="E5756" s="662">
        <v>45748</v>
      </c>
      <c r="F5756" s="200" t="s">
        <v>297</v>
      </c>
      <c r="G5756" s="200" t="s">
        <v>1578</v>
      </c>
      <c r="H5756" s="200" t="s">
        <v>268</v>
      </c>
      <c r="I5756" s="200" t="s">
        <v>3978</v>
      </c>
    </row>
    <row r="5757" spans="1:9" ht="15" customHeight="1">
      <c r="A5757" s="199">
        <v>45751</v>
      </c>
      <c r="B5757" s="202" t="s">
        <v>3979</v>
      </c>
      <c r="C5757" s="200" t="s">
        <v>307</v>
      </c>
      <c r="D5757" s="204">
        <v>-6500</v>
      </c>
      <c r="E5757" s="662">
        <v>45748</v>
      </c>
      <c r="F5757" s="200" t="s">
        <v>297</v>
      </c>
      <c r="G5757" s="200" t="s">
        <v>1578</v>
      </c>
      <c r="H5757" s="200" t="s">
        <v>268</v>
      </c>
      <c r="I5757" s="200" t="s">
        <v>3978</v>
      </c>
    </row>
    <row r="5758" spans="1:9" ht="15" customHeight="1">
      <c r="A5758" s="199">
        <v>45751</v>
      </c>
      <c r="B5758" s="202" t="s">
        <v>3980</v>
      </c>
      <c r="C5758" s="200" t="s">
        <v>307</v>
      </c>
      <c r="D5758" s="204">
        <v>-10000</v>
      </c>
      <c r="E5758" s="662">
        <v>45748</v>
      </c>
      <c r="F5758" s="200" t="s">
        <v>297</v>
      </c>
      <c r="G5758" s="200" t="s">
        <v>1578</v>
      </c>
      <c r="H5758" s="200" t="s">
        <v>342</v>
      </c>
      <c r="I5758" s="200" t="s">
        <v>3978</v>
      </c>
    </row>
    <row r="5759" spans="1:9" ht="15" customHeight="1">
      <c r="A5759" s="199">
        <v>45751</v>
      </c>
      <c r="B5759" s="202" t="s">
        <v>3981</v>
      </c>
      <c r="C5759" s="200" t="s">
        <v>307</v>
      </c>
      <c r="D5759" s="204">
        <v>-6500</v>
      </c>
      <c r="E5759" s="662">
        <v>45748</v>
      </c>
      <c r="F5759" s="200" t="s">
        <v>297</v>
      </c>
      <c r="G5759" s="200" t="s">
        <v>1578</v>
      </c>
      <c r="H5759" s="200" t="s">
        <v>268</v>
      </c>
      <c r="I5759" s="200" t="s">
        <v>3978</v>
      </c>
    </row>
    <row r="5760" spans="1:9" ht="15" customHeight="1">
      <c r="A5760" s="199">
        <v>45751</v>
      </c>
      <c r="B5760" s="202" t="s">
        <v>2270</v>
      </c>
      <c r="C5760" s="200" t="s">
        <v>307</v>
      </c>
      <c r="D5760" s="204">
        <v>-17000</v>
      </c>
      <c r="E5760" s="662">
        <v>45748</v>
      </c>
      <c r="F5760" s="200" t="s">
        <v>297</v>
      </c>
      <c r="G5760" s="200" t="s">
        <v>1578</v>
      </c>
      <c r="H5760" s="200" t="s">
        <v>268</v>
      </c>
      <c r="I5760" s="200" t="s">
        <v>3978</v>
      </c>
    </row>
    <row r="5761" spans="1:9" ht="15" customHeight="1">
      <c r="A5761" s="199">
        <v>45754</v>
      </c>
      <c r="B5761" s="202" t="s">
        <v>4603</v>
      </c>
      <c r="C5761" s="200" t="s">
        <v>307</v>
      </c>
      <c r="D5761" s="204">
        <v>-416000</v>
      </c>
      <c r="E5761" s="662">
        <v>45748</v>
      </c>
      <c r="F5761" s="200" t="s">
        <v>296</v>
      </c>
      <c r="G5761" s="200" t="s">
        <v>1735</v>
      </c>
      <c r="H5761" s="200" t="s">
        <v>346</v>
      </c>
      <c r="I5761" s="648" t="s">
        <v>329</v>
      </c>
    </row>
    <row r="5762" spans="1:9" ht="15" customHeight="1">
      <c r="A5762" s="199">
        <v>45752</v>
      </c>
      <c r="B5762" s="202" t="s">
        <v>4604</v>
      </c>
      <c r="C5762" s="200" t="s">
        <v>307</v>
      </c>
      <c r="D5762" s="204">
        <v>-6500</v>
      </c>
      <c r="E5762" s="662">
        <v>45748</v>
      </c>
      <c r="F5762" s="200" t="s">
        <v>297</v>
      </c>
      <c r="G5762" s="200" t="s">
        <v>1578</v>
      </c>
      <c r="H5762" s="200" t="s">
        <v>268</v>
      </c>
      <c r="I5762" s="200" t="s">
        <v>3034</v>
      </c>
    </row>
    <row r="5763" spans="1:9" ht="15" customHeight="1">
      <c r="A5763" s="199">
        <v>45754</v>
      </c>
      <c r="B5763" s="202" t="s">
        <v>4605</v>
      </c>
      <c r="C5763" s="200" t="s">
        <v>307</v>
      </c>
      <c r="D5763" s="204">
        <v>-6500</v>
      </c>
      <c r="E5763" s="662">
        <v>45748</v>
      </c>
      <c r="F5763" s="200" t="s">
        <v>297</v>
      </c>
      <c r="G5763" s="200" t="s">
        <v>1578</v>
      </c>
      <c r="H5763" s="200" t="s">
        <v>268</v>
      </c>
      <c r="I5763" s="200" t="s">
        <v>3034</v>
      </c>
    </row>
    <row r="5764" spans="1:9" ht="15" customHeight="1">
      <c r="A5764" s="199">
        <v>45754</v>
      </c>
      <c r="B5764" s="202" t="s">
        <v>4606</v>
      </c>
      <c r="C5764" s="200" t="s">
        <v>307</v>
      </c>
      <c r="D5764" s="204">
        <v>-7000</v>
      </c>
      <c r="E5764" s="662">
        <v>45748</v>
      </c>
      <c r="F5764" s="200" t="s">
        <v>297</v>
      </c>
      <c r="G5764" s="200" t="s">
        <v>1578</v>
      </c>
      <c r="H5764" s="200" t="s">
        <v>268</v>
      </c>
      <c r="I5764" s="200" t="s">
        <v>3034</v>
      </c>
    </row>
    <row r="5765" spans="1:9" ht="15" customHeight="1">
      <c r="A5765" s="199">
        <v>45754</v>
      </c>
      <c r="B5765" s="202" t="s">
        <v>4426</v>
      </c>
      <c r="C5765" s="200" t="s">
        <v>307</v>
      </c>
      <c r="D5765" s="204">
        <v>-42000</v>
      </c>
      <c r="E5765" s="662">
        <v>45748</v>
      </c>
      <c r="F5765" s="200" t="s">
        <v>297</v>
      </c>
      <c r="G5765" s="200" t="s">
        <v>1578</v>
      </c>
      <c r="H5765" s="200" t="s">
        <v>342</v>
      </c>
      <c r="I5765" s="200" t="s">
        <v>3034</v>
      </c>
    </row>
    <row r="5766" spans="1:9" ht="15" customHeight="1">
      <c r="A5766" s="199">
        <v>45754</v>
      </c>
      <c r="B5766" s="202" t="s">
        <v>4607</v>
      </c>
      <c r="C5766" s="200" t="s">
        <v>307</v>
      </c>
      <c r="D5766" s="204">
        <v>-5000</v>
      </c>
      <c r="E5766" s="662">
        <v>45748</v>
      </c>
      <c r="F5766" s="200" t="s">
        <v>297</v>
      </c>
      <c r="G5766" s="200" t="s">
        <v>1578</v>
      </c>
      <c r="H5766" s="200" t="s">
        <v>350</v>
      </c>
      <c r="I5766" s="200" t="s">
        <v>3034</v>
      </c>
    </row>
    <row r="5767" spans="1:9" ht="15" customHeight="1">
      <c r="A5767" s="199">
        <v>45754</v>
      </c>
      <c r="B5767" s="202" t="s">
        <v>4608</v>
      </c>
      <c r="C5767" s="200" t="s">
        <v>307</v>
      </c>
      <c r="D5767" s="204">
        <v>-17000</v>
      </c>
      <c r="E5767" s="662">
        <v>45748</v>
      </c>
      <c r="F5767" s="200" t="s">
        <v>297</v>
      </c>
      <c r="G5767" s="200" t="s">
        <v>1578</v>
      </c>
      <c r="H5767" s="200" t="s">
        <v>268</v>
      </c>
      <c r="I5767" s="200" t="s">
        <v>3034</v>
      </c>
    </row>
    <row r="5768" spans="1:9" ht="15" customHeight="1">
      <c r="A5768" s="199">
        <v>45754</v>
      </c>
      <c r="B5768" s="202" t="s">
        <v>2270</v>
      </c>
      <c r="C5768" s="200" t="s">
        <v>307</v>
      </c>
      <c r="D5768" s="204">
        <v>-16000</v>
      </c>
      <c r="E5768" s="662">
        <v>45748</v>
      </c>
      <c r="F5768" s="200" t="s">
        <v>297</v>
      </c>
      <c r="G5768" s="200" t="s">
        <v>1578</v>
      </c>
      <c r="H5768" s="200" t="s">
        <v>268</v>
      </c>
      <c r="I5768" s="200" t="s">
        <v>3034</v>
      </c>
    </row>
    <row r="5769" spans="1:9" ht="15" customHeight="1">
      <c r="A5769" s="199">
        <v>45752</v>
      </c>
      <c r="B5769" s="202" t="s">
        <v>4609</v>
      </c>
      <c r="C5769" s="200" t="s">
        <v>307</v>
      </c>
      <c r="D5769" s="204">
        <v>-120032</v>
      </c>
      <c r="E5769" s="662">
        <v>45748</v>
      </c>
      <c r="F5769" s="200" t="s">
        <v>256</v>
      </c>
      <c r="G5769" s="200" t="s">
        <v>107</v>
      </c>
      <c r="H5769" s="200" t="s">
        <v>275</v>
      </c>
      <c r="I5769" s="200" t="s">
        <v>4610</v>
      </c>
    </row>
    <row r="5770" spans="1:9" ht="15" customHeight="1">
      <c r="A5770" s="199">
        <v>45743</v>
      </c>
      <c r="B5770" s="202" t="s">
        <v>4611</v>
      </c>
      <c r="C5770" s="200" t="s">
        <v>307</v>
      </c>
      <c r="D5770" s="204">
        <v>-16000</v>
      </c>
      <c r="E5770" s="662">
        <v>45748</v>
      </c>
      <c r="F5770" s="200" t="s">
        <v>256</v>
      </c>
      <c r="G5770" s="200" t="s">
        <v>256</v>
      </c>
      <c r="H5770" s="200" t="s">
        <v>268</v>
      </c>
      <c r="I5770" s="200" t="s">
        <v>4612</v>
      </c>
    </row>
    <row r="5771" spans="1:9" ht="15" customHeight="1">
      <c r="A5771" s="199">
        <v>45743</v>
      </c>
      <c r="B5771" s="202" t="s">
        <v>4611</v>
      </c>
      <c r="C5771" s="200" t="s">
        <v>307</v>
      </c>
      <c r="D5771" s="204">
        <v>-16000</v>
      </c>
      <c r="E5771" s="662">
        <v>45748</v>
      </c>
      <c r="F5771" s="200" t="s">
        <v>256</v>
      </c>
      <c r="G5771" s="200" t="s">
        <v>256</v>
      </c>
      <c r="H5771" s="200" t="s">
        <v>268</v>
      </c>
      <c r="I5771" s="200" t="s">
        <v>4612</v>
      </c>
    </row>
    <row r="5772" spans="1:9" ht="15" customHeight="1">
      <c r="A5772" s="199">
        <v>45743</v>
      </c>
      <c r="B5772" s="202" t="s">
        <v>4613</v>
      </c>
      <c r="C5772" s="200" t="s">
        <v>307</v>
      </c>
      <c r="D5772" s="204">
        <v>-46600</v>
      </c>
      <c r="E5772" s="662">
        <v>45748</v>
      </c>
      <c r="F5772" s="200" t="s">
        <v>256</v>
      </c>
      <c r="G5772" s="200" t="s">
        <v>256</v>
      </c>
      <c r="H5772" s="200" t="s">
        <v>269</v>
      </c>
      <c r="I5772" s="200" t="s">
        <v>4612</v>
      </c>
    </row>
    <row r="5773" spans="1:9" ht="15" customHeight="1">
      <c r="A5773" s="199">
        <v>45743</v>
      </c>
      <c r="B5773" s="202" t="s">
        <v>4614</v>
      </c>
      <c r="C5773" s="200" t="s">
        <v>307</v>
      </c>
      <c r="D5773" s="204">
        <v>-48000</v>
      </c>
      <c r="E5773" s="662">
        <v>45748</v>
      </c>
      <c r="F5773" s="200" t="s">
        <v>256</v>
      </c>
      <c r="G5773" s="200" t="s">
        <v>256</v>
      </c>
      <c r="H5773" s="200" t="s">
        <v>268</v>
      </c>
      <c r="I5773" s="200" t="s">
        <v>4612</v>
      </c>
    </row>
    <row r="5774" spans="1:9" ht="15" customHeight="1">
      <c r="A5774" s="199">
        <v>45747</v>
      </c>
      <c r="B5774" s="202" t="s">
        <v>3191</v>
      </c>
      <c r="C5774" s="200" t="s">
        <v>307</v>
      </c>
      <c r="D5774" s="204">
        <v>-17000</v>
      </c>
      <c r="E5774" s="662">
        <v>45748</v>
      </c>
      <c r="F5774" s="200" t="s">
        <v>297</v>
      </c>
      <c r="G5774" s="200" t="s">
        <v>1578</v>
      </c>
      <c r="H5774" s="200" t="s">
        <v>268</v>
      </c>
      <c r="I5774" s="200" t="s">
        <v>3185</v>
      </c>
    </row>
    <row r="5775" spans="1:9" ht="15" customHeight="1">
      <c r="A5775" s="199">
        <v>45747</v>
      </c>
      <c r="B5775" s="202" t="s">
        <v>4615</v>
      </c>
      <c r="C5775" s="200" t="s">
        <v>307</v>
      </c>
      <c r="D5775" s="204">
        <v>-6500</v>
      </c>
      <c r="E5775" s="662">
        <v>45748</v>
      </c>
      <c r="F5775" s="200" t="s">
        <v>297</v>
      </c>
      <c r="G5775" s="200" t="s">
        <v>1578</v>
      </c>
      <c r="H5775" s="200" t="s">
        <v>268</v>
      </c>
      <c r="I5775" s="200" t="s">
        <v>3185</v>
      </c>
    </row>
    <row r="5776" spans="1:9" ht="15" customHeight="1">
      <c r="A5776" s="199">
        <v>45747</v>
      </c>
      <c r="B5776" s="202" t="s">
        <v>4616</v>
      </c>
      <c r="C5776" s="200" t="s">
        <v>307</v>
      </c>
      <c r="D5776" s="204">
        <v>-13000</v>
      </c>
      <c r="E5776" s="662">
        <v>45748</v>
      </c>
      <c r="F5776" s="200" t="s">
        <v>297</v>
      </c>
      <c r="G5776" s="200" t="s">
        <v>1578</v>
      </c>
      <c r="H5776" s="200" t="s">
        <v>350</v>
      </c>
      <c r="I5776" s="200" t="s">
        <v>3185</v>
      </c>
    </row>
    <row r="5777" spans="1:9" ht="15" customHeight="1">
      <c r="A5777" s="199">
        <v>45750</v>
      </c>
      <c r="B5777" s="202" t="s">
        <v>4617</v>
      </c>
      <c r="C5777" s="200" t="s">
        <v>307</v>
      </c>
      <c r="D5777" s="204">
        <v>-6500</v>
      </c>
      <c r="E5777" s="662">
        <v>45748</v>
      </c>
      <c r="F5777" s="200" t="s">
        <v>297</v>
      </c>
      <c r="G5777" s="200" t="s">
        <v>1578</v>
      </c>
      <c r="H5777" s="200" t="s">
        <v>268</v>
      </c>
      <c r="I5777" s="200" t="s">
        <v>3185</v>
      </c>
    </row>
    <row r="5778" spans="1:9" ht="15" customHeight="1">
      <c r="A5778" s="199">
        <v>45750</v>
      </c>
      <c r="B5778" s="202" t="s">
        <v>4618</v>
      </c>
      <c r="C5778" s="200" t="s">
        <v>307</v>
      </c>
      <c r="D5778" s="204">
        <v>-17000</v>
      </c>
      <c r="E5778" s="662">
        <v>45748</v>
      </c>
      <c r="F5778" s="200" t="s">
        <v>297</v>
      </c>
      <c r="G5778" s="200" t="s">
        <v>1578</v>
      </c>
      <c r="H5778" s="200" t="s">
        <v>268</v>
      </c>
      <c r="I5778" s="200" t="s">
        <v>3185</v>
      </c>
    </row>
    <row r="5779" spans="1:9" ht="15" customHeight="1">
      <c r="A5779" s="199">
        <v>45750</v>
      </c>
      <c r="B5779" s="202" t="s">
        <v>4619</v>
      </c>
      <c r="C5779" s="200" t="s">
        <v>307</v>
      </c>
      <c r="D5779" s="204">
        <v>-17000</v>
      </c>
      <c r="E5779" s="662">
        <v>45748</v>
      </c>
      <c r="F5779" s="200" t="s">
        <v>297</v>
      </c>
      <c r="G5779" s="200" t="s">
        <v>1578</v>
      </c>
      <c r="H5779" s="200" t="s">
        <v>268</v>
      </c>
      <c r="I5779" s="200" t="s">
        <v>3185</v>
      </c>
    </row>
    <row r="5780" spans="1:9" ht="15" customHeight="1">
      <c r="A5780" s="199">
        <v>45750</v>
      </c>
      <c r="B5780" s="202" t="s">
        <v>1946</v>
      </c>
      <c r="C5780" s="200" t="s">
        <v>307</v>
      </c>
      <c r="D5780" s="204">
        <v>-6500</v>
      </c>
      <c r="E5780" s="662">
        <v>45748</v>
      </c>
      <c r="F5780" s="200" t="s">
        <v>297</v>
      </c>
      <c r="G5780" s="200" t="s">
        <v>1578</v>
      </c>
      <c r="H5780" s="200" t="s">
        <v>268</v>
      </c>
      <c r="I5780" s="200" t="s">
        <v>3185</v>
      </c>
    </row>
    <row r="5781" spans="1:9" ht="15" customHeight="1">
      <c r="A5781" s="199">
        <v>45751</v>
      </c>
      <c r="B5781" s="202" t="s">
        <v>4620</v>
      </c>
      <c r="C5781" s="200" t="s">
        <v>307</v>
      </c>
      <c r="D5781" s="204">
        <v>-6500</v>
      </c>
      <c r="E5781" s="662">
        <v>45748</v>
      </c>
      <c r="F5781" s="200" t="s">
        <v>296</v>
      </c>
      <c r="G5781" s="200" t="s">
        <v>415</v>
      </c>
      <c r="H5781" s="200" t="s">
        <v>268</v>
      </c>
      <c r="I5781" s="200" t="s">
        <v>3185</v>
      </c>
    </row>
    <row r="5782" spans="1:9" ht="15" customHeight="1">
      <c r="A5782" s="199">
        <v>45751</v>
      </c>
      <c r="B5782" s="202" t="s">
        <v>1745</v>
      </c>
      <c r="C5782" s="200" t="s">
        <v>307</v>
      </c>
      <c r="D5782" s="204">
        <v>-10000</v>
      </c>
      <c r="E5782" s="662">
        <v>45748</v>
      </c>
      <c r="F5782" s="200" t="s">
        <v>297</v>
      </c>
      <c r="G5782" s="200" t="s">
        <v>1578</v>
      </c>
      <c r="H5782" s="200" t="s">
        <v>342</v>
      </c>
      <c r="I5782" s="200" t="s">
        <v>3185</v>
      </c>
    </row>
    <row r="5783" spans="1:9" ht="15" customHeight="1">
      <c r="A5783" s="199">
        <v>45751</v>
      </c>
      <c r="B5783" s="202" t="s">
        <v>4621</v>
      </c>
      <c r="C5783" s="200" t="s">
        <v>307</v>
      </c>
      <c r="D5783" s="204">
        <v>-6500</v>
      </c>
      <c r="E5783" s="662">
        <v>45748</v>
      </c>
      <c r="F5783" s="200" t="s">
        <v>297</v>
      </c>
      <c r="G5783" s="200" t="s">
        <v>1578</v>
      </c>
      <c r="H5783" s="200" t="s">
        <v>268</v>
      </c>
      <c r="I5783" s="200" t="s">
        <v>3185</v>
      </c>
    </row>
    <row r="5784" spans="1:9" ht="15" customHeight="1">
      <c r="A5784" s="199">
        <v>45754</v>
      </c>
      <c r="B5784" s="202" t="s">
        <v>1949</v>
      </c>
      <c r="C5784" s="200" t="s">
        <v>307</v>
      </c>
      <c r="D5784" s="204">
        <v>-6500</v>
      </c>
      <c r="E5784" s="662">
        <v>45748</v>
      </c>
      <c r="F5784" s="200" t="s">
        <v>297</v>
      </c>
      <c r="G5784" s="200" t="s">
        <v>1578</v>
      </c>
      <c r="H5784" s="200" t="s">
        <v>268</v>
      </c>
      <c r="I5784" s="200" t="s">
        <v>3185</v>
      </c>
    </row>
    <row r="5785" spans="1:9" ht="15" customHeight="1">
      <c r="A5785" s="199">
        <v>45754</v>
      </c>
      <c r="B5785" s="202" t="s">
        <v>4618</v>
      </c>
      <c r="C5785" s="200" t="s">
        <v>307</v>
      </c>
      <c r="D5785" s="204">
        <v>-17000</v>
      </c>
      <c r="E5785" s="662">
        <v>45748</v>
      </c>
      <c r="F5785" s="200" t="s">
        <v>297</v>
      </c>
      <c r="G5785" s="200" t="s">
        <v>1578</v>
      </c>
      <c r="H5785" s="200" t="s">
        <v>268</v>
      </c>
      <c r="I5785" s="200" t="s">
        <v>3185</v>
      </c>
    </row>
    <row r="5786" spans="1:9" ht="15" customHeight="1">
      <c r="A5786" s="199">
        <v>45749</v>
      </c>
      <c r="B5786" s="202" t="s">
        <v>995</v>
      </c>
      <c r="C5786" s="200" t="s">
        <v>307</v>
      </c>
      <c r="D5786" s="204">
        <v>-10000</v>
      </c>
      <c r="E5786" s="662">
        <v>45748</v>
      </c>
      <c r="F5786" s="200" t="s">
        <v>296</v>
      </c>
      <c r="G5786" s="200" t="s">
        <v>44</v>
      </c>
      <c r="H5786" s="200" t="s">
        <v>442</v>
      </c>
      <c r="I5786" s="200" t="s">
        <v>2982</v>
      </c>
    </row>
    <row r="5787" spans="1:9" ht="15" customHeight="1">
      <c r="A5787" s="199">
        <v>45749</v>
      </c>
      <c r="B5787" s="202" t="s">
        <v>4622</v>
      </c>
      <c r="C5787" s="200" t="s">
        <v>307</v>
      </c>
      <c r="D5787" s="204">
        <v>-56000</v>
      </c>
      <c r="E5787" s="662">
        <v>45748</v>
      </c>
      <c r="F5787" s="200" t="s">
        <v>296</v>
      </c>
      <c r="G5787" s="200" t="s">
        <v>44</v>
      </c>
      <c r="H5787" s="200" t="s">
        <v>421</v>
      </c>
      <c r="I5787" s="200" t="s">
        <v>2982</v>
      </c>
    </row>
    <row r="5788" spans="1:9" ht="15" customHeight="1">
      <c r="A5788" s="199">
        <v>45749</v>
      </c>
      <c r="B5788" s="202" t="s">
        <v>4623</v>
      </c>
      <c r="C5788" s="200" t="s">
        <v>307</v>
      </c>
      <c r="D5788" s="204">
        <v>-25904</v>
      </c>
      <c r="E5788" s="662">
        <v>45748</v>
      </c>
      <c r="F5788" s="200" t="s">
        <v>296</v>
      </c>
      <c r="G5788" s="200" t="s">
        <v>44</v>
      </c>
      <c r="H5788" s="200" t="s">
        <v>421</v>
      </c>
      <c r="I5788" s="200" t="s">
        <v>2982</v>
      </c>
    </row>
    <row r="5789" spans="1:9" ht="15" customHeight="1">
      <c r="A5789" s="199">
        <v>45749</v>
      </c>
      <c r="B5789" s="202" t="s">
        <v>4624</v>
      </c>
      <c r="C5789" s="200" t="s">
        <v>307</v>
      </c>
      <c r="D5789" s="204">
        <v>-10000</v>
      </c>
      <c r="E5789" s="662">
        <v>45748</v>
      </c>
      <c r="F5789" s="200" t="s">
        <v>296</v>
      </c>
      <c r="G5789" s="200" t="s">
        <v>522</v>
      </c>
      <c r="H5789" s="200" t="s">
        <v>442</v>
      </c>
      <c r="I5789" s="200" t="s">
        <v>2982</v>
      </c>
    </row>
    <row r="5790" spans="1:9" ht="15" customHeight="1">
      <c r="A5790" s="199">
        <v>45757</v>
      </c>
      <c r="B5790" s="722" t="s">
        <v>4394</v>
      </c>
      <c r="C5790" s="200" t="s">
        <v>307</v>
      </c>
      <c r="D5790" s="204">
        <v>-56000</v>
      </c>
      <c r="E5790" s="662">
        <v>45748</v>
      </c>
      <c r="F5790" s="200" t="s">
        <v>296</v>
      </c>
      <c r="G5790" s="200" t="s">
        <v>57</v>
      </c>
      <c r="H5790" s="200" t="s">
        <v>105</v>
      </c>
    </row>
    <row r="5791" spans="1:9" ht="15" customHeight="1">
      <c r="A5791" s="199">
        <v>45757</v>
      </c>
      <c r="B5791" s="202" t="s">
        <v>4394</v>
      </c>
      <c r="C5791" s="200" t="s">
        <v>307</v>
      </c>
      <c r="D5791" s="204">
        <v>-28000</v>
      </c>
      <c r="E5791" s="662">
        <v>45748</v>
      </c>
      <c r="F5791" s="200" t="s">
        <v>296</v>
      </c>
      <c r="G5791" s="200" t="s">
        <v>2994</v>
      </c>
      <c r="H5791" s="200" t="s">
        <v>268</v>
      </c>
    </row>
    <row r="5792" spans="1:9" ht="15" customHeight="1">
      <c r="A5792" s="199">
        <v>45757</v>
      </c>
      <c r="B5792" s="202" t="s">
        <v>4394</v>
      </c>
      <c r="C5792" s="200" t="s">
        <v>307</v>
      </c>
      <c r="D5792" s="204">
        <v>-7000</v>
      </c>
      <c r="E5792" s="662">
        <v>45748</v>
      </c>
      <c r="F5792" s="200" t="s">
        <v>297</v>
      </c>
      <c r="G5792" s="200" t="s">
        <v>1578</v>
      </c>
      <c r="H5792" s="200" t="s">
        <v>268</v>
      </c>
      <c r="I5792" s="648" t="s">
        <v>329</v>
      </c>
    </row>
    <row r="5793" spans="1:10" ht="15" customHeight="1">
      <c r="A5793" s="199">
        <v>45757</v>
      </c>
      <c r="B5793" s="202" t="s">
        <v>4394</v>
      </c>
      <c r="C5793" s="200" t="s">
        <v>307</v>
      </c>
      <c r="D5793" s="204">
        <v>-21000</v>
      </c>
      <c r="E5793" s="662">
        <v>45748</v>
      </c>
      <c r="F5793" s="200" t="s">
        <v>297</v>
      </c>
      <c r="G5793" s="200" t="s">
        <v>75</v>
      </c>
      <c r="H5793" s="200" t="s">
        <v>268</v>
      </c>
    </row>
    <row r="5794" spans="1:10" ht="15" customHeight="1">
      <c r="A5794" s="199">
        <v>45757</v>
      </c>
      <c r="B5794" s="202" t="s">
        <v>4394</v>
      </c>
      <c r="C5794" s="200" t="s">
        <v>307</v>
      </c>
      <c r="D5794" s="204">
        <v>-7000</v>
      </c>
      <c r="E5794" s="662">
        <v>45748</v>
      </c>
      <c r="F5794" s="200" t="s">
        <v>296</v>
      </c>
      <c r="G5794" s="200" t="s">
        <v>3360</v>
      </c>
      <c r="H5794" s="200" t="s">
        <v>268</v>
      </c>
      <c r="I5794" s="648" t="s">
        <v>329</v>
      </c>
    </row>
    <row r="5795" spans="1:10" ht="15" customHeight="1">
      <c r="A5795" s="199">
        <v>45757</v>
      </c>
      <c r="B5795" s="202" t="s">
        <v>4394</v>
      </c>
      <c r="C5795" s="200" t="s">
        <v>307</v>
      </c>
      <c r="D5795" s="204">
        <v>-14000</v>
      </c>
      <c r="E5795" s="662">
        <v>45748</v>
      </c>
      <c r="F5795" s="200" t="s">
        <v>296</v>
      </c>
      <c r="G5795" s="200" t="s">
        <v>522</v>
      </c>
      <c r="H5795" s="200" t="s">
        <v>442</v>
      </c>
    </row>
    <row r="5796" spans="1:10" ht="15" customHeight="1">
      <c r="A5796" s="199">
        <v>45757</v>
      </c>
      <c r="B5796" s="202" t="s">
        <v>4394</v>
      </c>
      <c r="C5796" s="200" t="s">
        <v>307</v>
      </c>
      <c r="D5796" s="204">
        <v>-45000</v>
      </c>
      <c r="E5796" s="662">
        <v>45748</v>
      </c>
      <c r="F5796" s="200" t="s">
        <v>395</v>
      </c>
      <c r="G5796" s="531" t="s">
        <v>395</v>
      </c>
      <c r="H5796" s="200" t="s">
        <v>268</v>
      </c>
    </row>
    <row r="5797" spans="1:10" ht="15" customHeight="1">
      <c r="A5797" s="199">
        <v>45757</v>
      </c>
      <c r="B5797" s="202" t="s">
        <v>4394</v>
      </c>
      <c r="C5797" s="200" t="s">
        <v>307</v>
      </c>
      <c r="D5797" s="204">
        <v>-49000</v>
      </c>
      <c r="E5797" s="662">
        <v>45748</v>
      </c>
      <c r="F5797" s="200" t="s">
        <v>296</v>
      </c>
      <c r="G5797" s="200" t="s">
        <v>44</v>
      </c>
      <c r="H5797" s="200" t="s">
        <v>442</v>
      </c>
      <c r="I5797" s="202" t="s">
        <v>329</v>
      </c>
    </row>
    <row r="5798" spans="1:10" ht="15" customHeight="1">
      <c r="A5798" s="199">
        <v>45757</v>
      </c>
      <c r="B5798" s="202" t="s">
        <v>4394</v>
      </c>
      <c r="C5798" s="200" t="s">
        <v>307</v>
      </c>
      <c r="D5798" s="204">
        <v>-50112</v>
      </c>
      <c r="E5798" s="662">
        <v>45748</v>
      </c>
      <c r="F5798" s="200" t="s">
        <v>296</v>
      </c>
      <c r="G5798" s="200" t="s">
        <v>328</v>
      </c>
      <c r="H5798" s="200" t="s">
        <v>268</v>
      </c>
    </row>
    <row r="5799" spans="1:10" ht="15" customHeight="1">
      <c r="A5799" s="199">
        <v>45757</v>
      </c>
      <c r="B5799" s="202" t="s">
        <v>4394</v>
      </c>
      <c r="C5799" s="200" t="s">
        <v>307</v>
      </c>
      <c r="D5799" s="204">
        <v>-40000</v>
      </c>
      <c r="E5799" s="662">
        <v>45748</v>
      </c>
      <c r="F5799" s="200" t="s">
        <v>296</v>
      </c>
      <c r="G5799" s="200" t="s">
        <v>482</v>
      </c>
      <c r="H5799" s="200" t="s">
        <v>268</v>
      </c>
    </row>
    <row r="5800" spans="1:10" ht="15" customHeight="1">
      <c r="A5800" s="199">
        <v>45757</v>
      </c>
      <c r="B5800" s="202" t="s">
        <v>4394</v>
      </c>
      <c r="C5800" s="200" t="s">
        <v>307</v>
      </c>
      <c r="D5800" s="204">
        <v>-24000</v>
      </c>
      <c r="E5800" s="662">
        <v>45748</v>
      </c>
      <c r="F5800" s="200" t="s">
        <v>395</v>
      </c>
      <c r="G5800" s="531" t="s">
        <v>395</v>
      </c>
      <c r="H5800" s="200" t="s">
        <v>268</v>
      </c>
      <c r="I5800" s="648"/>
      <c r="J5800" s="664" t="s">
        <v>329</v>
      </c>
    </row>
    <row r="5801" spans="1:10" ht="15" customHeight="1">
      <c r="A5801" s="199">
        <v>45757</v>
      </c>
      <c r="B5801" s="202" t="s">
        <v>4394</v>
      </c>
      <c r="C5801" s="200" t="s">
        <v>307</v>
      </c>
      <c r="D5801" s="204">
        <v>-7000</v>
      </c>
      <c r="E5801" s="662">
        <v>45748</v>
      </c>
      <c r="F5801" s="200" t="s">
        <v>296</v>
      </c>
      <c r="G5801" s="200" t="s">
        <v>415</v>
      </c>
      <c r="H5801" s="200" t="s">
        <v>268</v>
      </c>
    </row>
    <row r="5802" spans="1:10" ht="15" customHeight="1">
      <c r="A5802" s="199">
        <v>45757</v>
      </c>
      <c r="B5802" s="202" t="s">
        <v>4394</v>
      </c>
      <c r="C5802" s="200" t="s">
        <v>307</v>
      </c>
      <c r="D5802" s="204">
        <v>-14000</v>
      </c>
      <c r="E5802" s="662">
        <v>45748</v>
      </c>
      <c r="F5802" s="200" t="s">
        <v>256</v>
      </c>
      <c r="G5802" s="200" t="s">
        <v>256</v>
      </c>
      <c r="H5802" s="200" t="s">
        <v>268</v>
      </c>
    </row>
    <row r="5803" spans="1:10" ht="15" customHeight="1">
      <c r="A5803" s="199">
        <v>45757</v>
      </c>
      <c r="B5803" s="202" t="s">
        <v>4395</v>
      </c>
      <c r="C5803" s="200" t="s">
        <v>372</v>
      </c>
      <c r="D5803" s="204">
        <v>-3680</v>
      </c>
      <c r="E5803" s="662">
        <v>45748</v>
      </c>
      <c r="F5803" s="200" t="s">
        <v>296</v>
      </c>
      <c r="G5803" s="200" t="s">
        <v>328</v>
      </c>
      <c r="H5803" s="200" t="s">
        <v>268</v>
      </c>
    </row>
    <row r="5804" spans="1:10" ht="15" customHeight="1">
      <c r="A5804" s="199">
        <v>45757</v>
      </c>
      <c r="B5804" s="202" t="s">
        <v>4396</v>
      </c>
      <c r="C5804" s="200" t="s">
        <v>372</v>
      </c>
      <c r="D5804" s="204">
        <v>-2208</v>
      </c>
      <c r="E5804" s="662">
        <v>45748</v>
      </c>
      <c r="F5804" s="200" t="s">
        <v>296</v>
      </c>
      <c r="G5804" s="200" t="s">
        <v>328</v>
      </c>
      <c r="H5804" s="200" t="s">
        <v>268</v>
      </c>
    </row>
    <row r="5805" spans="1:10" ht="15" customHeight="1">
      <c r="A5805" s="199">
        <v>45758</v>
      </c>
      <c r="B5805" s="202" t="s">
        <v>4625</v>
      </c>
      <c r="C5805" s="200" t="s">
        <v>204</v>
      </c>
      <c r="D5805" s="774">
        <v>-708860</v>
      </c>
      <c r="E5805" s="662">
        <v>45748</v>
      </c>
      <c r="F5805" s="200" t="s">
        <v>296</v>
      </c>
      <c r="G5805" s="200" t="s">
        <v>453</v>
      </c>
      <c r="H5805" s="200" t="s">
        <v>97</v>
      </c>
    </row>
    <row r="5806" spans="1:10" ht="15" customHeight="1">
      <c r="A5806" s="199">
        <v>45751</v>
      </c>
      <c r="B5806" s="202" t="s">
        <v>4626</v>
      </c>
      <c r="C5806" s="200" t="s">
        <v>204</v>
      </c>
      <c r="D5806" s="658">
        <v>2251587500</v>
      </c>
      <c r="E5806" s="201">
        <v>45748</v>
      </c>
      <c r="F5806" s="200" t="s">
        <v>4627</v>
      </c>
      <c r="G5806" s="200" t="s">
        <v>4628</v>
      </c>
    </row>
    <row r="5807" spans="1:10" ht="15" customHeight="1">
      <c r="A5807" s="199">
        <v>45755</v>
      </c>
      <c r="B5807" s="202" t="s">
        <v>4629</v>
      </c>
      <c r="C5807" s="200" t="s">
        <v>204</v>
      </c>
      <c r="D5807" s="649">
        <v>1328600</v>
      </c>
      <c r="E5807" s="201">
        <v>45748</v>
      </c>
      <c r="F5807" s="200" t="s">
        <v>296</v>
      </c>
      <c r="G5807" s="200" t="s">
        <v>337</v>
      </c>
      <c r="H5807" s="200" t="s">
        <v>421</v>
      </c>
    </row>
    <row r="5808" spans="1:10" ht="15" customHeight="1">
      <c r="A5808" s="199">
        <v>45755</v>
      </c>
      <c r="B5808" s="202" t="s">
        <v>4630</v>
      </c>
      <c r="C5808" s="200" t="s">
        <v>204</v>
      </c>
      <c r="D5808" s="649">
        <v>100000000</v>
      </c>
      <c r="E5808" s="201">
        <v>45748</v>
      </c>
      <c r="F5808" s="200" t="s">
        <v>652</v>
      </c>
      <c r="G5808" s="200" t="s">
        <v>807</v>
      </c>
    </row>
    <row r="5809" spans="1:10" ht="15" customHeight="1">
      <c r="A5809" s="199">
        <v>45757</v>
      </c>
      <c r="B5809" s="202" t="s">
        <v>4631</v>
      </c>
      <c r="C5809" s="200" t="s">
        <v>204</v>
      </c>
      <c r="D5809" s="649">
        <v>200000000</v>
      </c>
      <c r="E5809" s="201">
        <v>45748</v>
      </c>
      <c r="F5809" s="200" t="s">
        <v>652</v>
      </c>
      <c r="G5809" s="200" t="s">
        <v>1983</v>
      </c>
      <c r="I5809" s="648" t="s">
        <v>329</v>
      </c>
    </row>
    <row r="5810" spans="1:10" ht="15" customHeight="1">
      <c r="A5810" s="199">
        <v>45757</v>
      </c>
      <c r="B5810" s="202" t="s">
        <v>4630</v>
      </c>
      <c r="C5810" s="200" t="s">
        <v>204</v>
      </c>
      <c r="D5810" s="649">
        <v>200000000</v>
      </c>
      <c r="E5810" s="201">
        <v>45748</v>
      </c>
      <c r="F5810" s="200" t="s">
        <v>652</v>
      </c>
      <c r="G5810" s="200" t="s">
        <v>807</v>
      </c>
    </row>
    <row r="5811" spans="1:10" ht="15" customHeight="1">
      <c r="A5811" s="199">
        <v>45757</v>
      </c>
      <c r="B5811" s="202" t="s">
        <v>3492</v>
      </c>
      <c r="C5811" s="200" t="s">
        <v>204</v>
      </c>
      <c r="D5811" s="649">
        <v>100000000</v>
      </c>
      <c r="E5811" s="201">
        <v>45748</v>
      </c>
      <c r="F5811" s="200" t="s">
        <v>652</v>
      </c>
      <c r="G5811" s="200" t="s">
        <v>1980</v>
      </c>
      <c r="I5811" s="648" t="s">
        <v>329</v>
      </c>
    </row>
    <row r="5812" spans="1:10" ht="15" customHeight="1">
      <c r="A5812" s="199">
        <v>45757</v>
      </c>
      <c r="B5812" s="202" t="s">
        <v>4632</v>
      </c>
      <c r="C5812" s="200" t="s">
        <v>204</v>
      </c>
      <c r="D5812" s="649">
        <v>6196667.0475000003</v>
      </c>
      <c r="E5812" s="201">
        <v>45748</v>
      </c>
      <c r="F5812" s="200" t="s">
        <v>2786</v>
      </c>
    </row>
    <row r="5813" spans="1:10" ht="15" customHeight="1">
      <c r="A5813" s="199">
        <v>45757</v>
      </c>
      <c r="B5813" s="202" t="s">
        <v>4633</v>
      </c>
      <c r="C5813" s="200" t="s">
        <v>204</v>
      </c>
      <c r="D5813" s="649">
        <v>6196667.0475000003</v>
      </c>
      <c r="E5813" s="201">
        <v>45748</v>
      </c>
      <c r="F5813" s="200" t="s">
        <v>2786</v>
      </c>
    </row>
    <row r="5814" spans="1:10" ht="15" customHeight="1">
      <c r="A5814" s="199">
        <v>45757</v>
      </c>
      <c r="B5814" s="202" t="s">
        <v>4634</v>
      </c>
      <c r="C5814" s="200" t="s">
        <v>204</v>
      </c>
      <c r="D5814" s="649">
        <v>12393334.095000001</v>
      </c>
      <c r="E5814" s="201">
        <v>45748</v>
      </c>
      <c r="F5814" s="200" t="s">
        <v>2786</v>
      </c>
    </row>
    <row r="5815" spans="1:10" ht="15" customHeight="1">
      <c r="A5815" s="199">
        <v>45758</v>
      </c>
      <c r="B5815" s="202" t="s">
        <v>4635</v>
      </c>
      <c r="C5815" s="200" t="s">
        <v>314</v>
      </c>
      <c r="D5815" s="658">
        <v>-129411.5</v>
      </c>
      <c r="E5815" s="201">
        <v>45748</v>
      </c>
      <c r="F5815" s="200" t="s">
        <v>296</v>
      </c>
      <c r="G5815" s="200" t="s">
        <v>522</v>
      </c>
      <c r="H5815" s="200" t="s">
        <v>326</v>
      </c>
      <c r="I5815" s="648" t="s">
        <v>329</v>
      </c>
      <c r="J5815" s="184" t="s">
        <v>4636</v>
      </c>
    </row>
    <row r="5816" spans="1:10" ht="15" customHeight="1">
      <c r="A5816" s="199">
        <v>45758</v>
      </c>
      <c r="B5816" s="202" t="s">
        <v>4635</v>
      </c>
      <c r="C5816" s="200" t="s">
        <v>314</v>
      </c>
      <c r="D5816" s="658">
        <v>-129411.5</v>
      </c>
      <c r="E5816" s="201">
        <v>45748</v>
      </c>
      <c r="F5816" s="200" t="s">
        <v>296</v>
      </c>
      <c r="G5816" s="200" t="s">
        <v>44</v>
      </c>
      <c r="H5816" s="200" t="s">
        <v>326</v>
      </c>
      <c r="I5816" s="648" t="s">
        <v>329</v>
      </c>
    </row>
    <row r="5817" spans="1:10" ht="15" customHeight="1">
      <c r="A5817" s="199">
        <v>45758</v>
      </c>
      <c r="B5817" s="202" t="s">
        <v>4637</v>
      </c>
      <c r="C5817" s="200" t="s">
        <v>314</v>
      </c>
      <c r="D5817" s="658">
        <v>-258823</v>
      </c>
      <c r="E5817" s="201">
        <v>45748</v>
      </c>
      <c r="F5817" s="200" t="s">
        <v>296</v>
      </c>
      <c r="G5817" s="200" t="s">
        <v>453</v>
      </c>
      <c r="H5817" s="200" t="s">
        <v>97</v>
      </c>
      <c r="I5817" s="648" t="s">
        <v>329</v>
      </c>
    </row>
    <row r="5818" spans="1:10" ht="15" customHeight="1">
      <c r="A5818" s="199">
        <v>45748</v>
      </c>
      <c r="B5818" s="202" t="s">
        <v>4638</v>
      </c>
      <c r="C5818" s="200" t="s">
        <v>314</v>
      </c>
      <c r="D5818" s="658">
        <v>11050000</v>
      </c>
      <c r="E5818" s="201">
        <v>45748</v>
      </c>
      <c r="F5818" s="200" t="s">
        <v>983</v>
      </c>
      <c r="G5818" s="200" t="s">
        <v>482</v>
      </c>
      <c r="I5818" s="648" t="s">
        <v>329</v>
      </c>
    </row>
    <row r="5819" spans="1:10" ht="15" customHeight="1">
      <c r="A5819" s="199">
        <v>45751</v>
      </c>
      <c r="B5819" s="202" t="s">
        <v>4639</v>
      </c>
      <c r="C5819" s="200" t="s">
        <v>4640</v>
      </c>
      <c r="D5819" s="204">
        <v>-1909258</v>
      </c>
      <c r="E5819" s="201">
        <v>45748</v>
      </c>
      <c r="F5819" s="200" t="s">
        <v>296</v>
      </c>
      <c r="G5819" s="200" t="s">
        <v>1731</v>
      </c>
      <c r="H5819" s="200" t="s">
        <v>322</v>
      </c>
    </row>
    <row r="5820" spans="1:10" ht="15" customHeight="1">
      <c r="A5820" s="199">
        <v>45751</v>
      </c>
      <c r="B5820" s="202" t="s">
        <v>4639</v>
      </c>
      <c r="C5820" s="200" t="s">
        <v>4640</v>
      </c>
      <c r="D5820" s="204">
        <v>-180062</v>
      </c>
      <c r="E5820" s="201">
        <v>45748</v>
      </c>
      <c r="F5820" s="200" t="s">
        <v>296</v>
      </c>
      <c r="G5820" s="200" t="s">
        <v>1731</v>
      </c>
      <c r="H5820" s="200" t="s">
        <v>322</v>
      </c>
    </row>
    <row r="5821" spans="1:10" ht="15" customHeight="1">
      <c r="A5821" s="199">
        <v>45758</v>
      </c>
      <c r="B5821" s="202" t="s">
        <v>4639</v>
      </c>
      <c r="C5821" s="200" t="s">
        <v>4640</v>
      </c>
      <c r="D5821" s="204">
        <v>-180062</v>
      </c>
      <c r="E5821" s="201">
        <v>45748</v>
      </c>
      <c r="F5821" s="200" t="s">
        <v>296</v>
      </c>
      <c r="G5821" s="200" t="s">
        <v>337</v>
      </c>
      <c r="H5821" s="200" t="s">
        <v>322</v>
      </c>
      <c r="I5821" s="648" t="s">
        <v>329</v>
      </c>
    </row>
    <row r="5822" spans="1:10" ht="15" customHeight="1">
      <c r="A5822" s="199">
        <v>45751</v>
      </c>
      <c r="B5822" s="202" t="s">
        <v>4641</v>
      </c>
      <c r="C5822" s="200" t="s">
        <v>4640</v>
      </c>
      <c r="D5822" s="204">
        <v>-1792675.56</v>
      </c>
      <c r="E5822" s="201">
        <v>45748</v>
      </c>
      <c r="F5822" s="200" t="s">
        <v>296</v>
      </c>
      <c r="G5822" s="200" t="s">
        <v>337</v>
      </c>
      <c r="H5822" s="200" t="s">
        <v>322</v>
      </c>
    </row>
    <row r="5823" spans="1:10" ht="15" customHeight="1">
      <c r="A5823" s="199">
        <v>45751</v>
      </c>
      <c r="B5823" s="202" t="s">
        <v>4642</v>
      </c>
      <c r="C5823" s="200" t="s">
        <v>4640</v>
      </c>
      <c r="D5823" s="204">
        <v>-49900</v>
      </c>
      <c r="E5823" s="201">
        <v>45748</v>
      </c>
      <c r="F5823" s="200" t="s">
        <v>256</v>
      </c>
      <c r="G5823" s="200" t="s">
        <v>107</v>
      </c>
      <c r="H5823" s="200" t="s">
        <v>9</v>
      </c>
    </row>
    <row r="5824" spans="1:10" ht="15" customHeight="1">
      <c r="A5824" s="199">
        <v>45751</v>
      </c>
      <c r="B5824" s="727" t="s">
        <v>4643</v>
      </c>
      <c r="C5824" s="200" t="s">
        <v>4640</v>
      </c>
      <c r="D5824" s="204">
        <v>-309574</v>
      </c>
      <c r="E5824" s="201">
        <v>45748</v>
      </c>
      <c r="F5824" s="200" t="s">
        <v>256</v>
      </c>
      <c r="G5824" s="200" t="s">
        <v>256</v>
      </c>
      <c r="H5824" s="200" t="s">
        <v>266</v>
      </c>
    </row>
    <row r="5825" spans="1:9" ht="15" customHeight="1">
      <c r="A5825" s="199">
        <v>45758</v>
      </c>
      <c r="B5825" s="202" t="s">
        <v>4644</v>
      </c>
      <c r="C5825" s="200" t="s">
        <v>398</v>
      </c>
      <c r="D5825" s="204">
        <v>628868</v>
      </c>
      <c r="E5825" s="201">
        <v>45748</v>
      </c>
      <c r="F5825" s="200" t="s">
        <v>256</v>
      </c>
      <c r="G5825" s="200" t="s">
        <v>256</v>
      </c>
      <c r="H5825" s="200" t="s">
        <v>9</v>
      </c>
    </row>
    <row r="5826" spans="1:9" ht="15" customHeight="1">
      <c r="A5826" s="199">
        <v>45756</v>
      </c>
      <c r="B5826" s="202" t="s">
        <v>4645</v>
      </c>
      <c r="C5826" s="200" t="s">
        <v>398</v>
      </c>
      <c r="D5826" s="204">
        <v>-59276</v>
      </c>
      <c r="E5826" s="201">
        <v>45748</v>
      </c>
      <c r="F5826" s="200" t="s">
        <v>256</v>
      </c>
      <c r="G5826" s="200" t="s">
        <v>107</v>
      </c>
      <c r="H5826" s="200" t="s">
        <v>275</v>
      </c>
    </row>
    <row r="5827" spans="1:9" ht="15" customHeight="1">
      <c r="A5827" s="199">
        <v>45756</v>
      </c>
      <c r="B5827" s="202" t="s">
        <v>4646</v>
      </c>
      <c r="C5827" s="200" t="s">
        <v>398</v>
      </c>
      <c r="D5827" s="204">
        <v>-95520</v>
      </c>
      <c r="E5827" s="201">
        <v>45748</v>
      </c>
      <c r="F5827" s="200" t="s">
        <v>256</v>
      </c>
      <c r="G5827" s="200" t="s">
        <v>256</v>
      </c>
      <c r="H5827" s="200" t="s">
        <v>266</v>
      </c>
    </row>
    <row r="5828" spans="1:9" ht="15" customHeight="1">
      <c r="A5828" s="199">
        <v>45750</v>
      </c>
      <c r="B5828" s="202" t="s">
        <v>4647</v>
      </c>
      <c r="C5828" s="200" t="s">
        <v>307</v>
      </c>
      <c r="D5828" s="204">
        <v>-30000</v>
      </c>
      <c r="E5828" s="201">
        <v>45748</v>
      </c>
      <c r="F5828" s="200" t="s">
        <v>395</v>
      </c>
      <c r="G5828" s="531" t="s">
        <v>395</v>
      </c>
      <c r="H5828" s="200" t="s">
        <v>346</v>
      </c>
    </row>
    <row r="5829" spans="1:9" ht="15" customHeight="1">
      <c r="A5829" s="199">
        <v>45751</v>
      </c>
      <c r="B5829" s="202" t="s">
        <v>4648</v>
      </c>
      <c r="C5829" s="200" t="s">
        <v>307</v>
      </c>
      <c r="D5829" s="204">
        <v>-28500</v>
      </c>
      <c r="E5829" s="201">
        <v>45748</v>
      </c>
      <c r="F5829" s="200" t="s">
        <v>256</v>
      </c>
      <c r="G5829" s="200" t="s">
        <v>256</v>
      </c>
      <c r="H5829" s="200" t="s">
        <v>263</v>
      </c>
      <c r="I5829" s="200" t="s">
        <v>2982</v>
      </c>
    </row>
    <row r="5830" spans="1:9" ht="15" customHeight="1">
      <c r="A5830" s="199">
        <v>45751</v>
      </c>
      <c r="B5830" s="202" t="s">
        <v>4649</v>
      </c>
      <c r="C5830" s="200" t="s">
        <v>307</v>
      </c>
      <c r="D5830" s="204">
        <v>-9377</v>
      </c>
      <c r="E5830" s="201">
        <v>45748</v>
      </c>
      <c r="F5830" s="200" t="s">
        <v>296</v>
      </c>
      <c r="G5830" s="200" t="s">
        <v>2994</v>
      </c>
      <c r="H5830" s="200" t="s">
        <v>377</v>
      </c>
      <c r="I5830" s="200" t="s">
        <v>2982</v>
      </c>
    </row>
    <row r="5831" spans="1:9" ht="15" customHeight="1">
      <c r="A5831" s="199">
        <v>45754</v>
      </c>
      <c r="B5831" s="202" t="s">
        <v>4650</v>
      </c>
      <c r="C5831" s="200" t="s">
        <v>307</v>
      </c>
      <c r="D5831" s="204">
        <v>-5000</v>
      </c>
      <c r="E5831" s="201">
        <v>45748</v>
      </c>
      <c r="F5831" s="200" t="s">
        <v>296</v>
      </c>
      <c r="G5831" s="200" t="s">
        <v>2994</v>
      </c>
      <c r="H5831" s="200" t="s">
        <v>377</v>
      </c>
      <c r="I5831" s="200" t="s">
        <v>2982</v>
      </c>
    </row>
    <row r="5832" spans="1:9" ht="15" customHeight="1">
      <c r="A5832" s="199">
        <v>45754</v>
      </c>
      <c r="B5832" s="202" t="s">
        <v>4651</v>
      </c>
      <c r="C5832" s="200" t="s">
        <v>307</v>
      </c>
      <c r="D5832" s="204">
        <v>-5500</v>
      </c>
      <c r="E5832" s="201">
        <v>45748</v>
      </c>
      <c r="F5832" s="200" t="s">
        <v>395</v>
      </c>
      <c r="G5832" s="531" t="s">
        <v>395</v>
      </c>
      <c r="H5832" s="200" t="s">
        <v>350</v>
      </c>
    </row>
    <row r="5833" spans="1:9" ht="15" customHeight="1">
      <c r="A5833" s="199">
        <v>45754</v>
      </c>
      <c r="B5833" s="202" t="s">
        <v>4652</v>
      </c>
      <c r="C5833" s="200" t="s">
        <v>307</v>
      </c>
      <c r="D5833" s="204">
        <v>-9810</v>
      </c>
      <c r="E5833" s="201">
        <v>45748</v>
      </c>
      <c r="F5833" s="200" t="s">
        <v>395</v>
      </c>
      <c r="G5833" s="531" t="s">
        <v>395</v>
      </c>
      <c r="H5833" s="200" t="s">
        <v>350</v>
      </c>
    </row>
    <row r="5834" spans="1:9" ht="15" customHeight="1">
      <c r="A5834" s="199">
        <v>45755</v>
      </c>
      <c r="B5834" s="202" t="s">
        <v>4653</v>
      </c>
      <c r="C5834" s="200" t="s">
        <v>307</v>
      </c>
      <c r="D5834" s="204">
        <v>-83400</v>
      </c>
      <c r="E5834" s="201">
        <v>45748</v>
      </c>
      <c r="F5834" s="200" t="s">
        <v>256</v>
      </c>
      <c r="G5834" s="200" t="s">
        <v>256</v>
      </c>
      <c r="H5834" s="200" t="s">
        <v>263</v>
      </c>
      <c r="I5834" s="200" t="s">
        <v>2982</v>
      </c>
    </row>
    <row r="5835" spans="1:9" ht="15" customHeight="1">
      <c r="A5835" s="199">
        <v>45755</v>
      </c>
      <c r="B5835" s="202" t="s">
        <v>4654</v>
      </c>
      <c r="C5835" s="200" t="s">
        <v>307</v>
      </c>
      <c r="D5835" s="204">
        <v>-5000</v>
      </c>
      <c r="E5835" s="201">
        <v>45748</v>
      </c>
      <c r="F5835" s="200" t="s">
        <v>296</v>
      </c>
      <c r="G5835" s="200" t="s">
        <v>328</v>
      </c>
      <c r="H5835" s="200" t="s">
        <v>350</v>
      </c>
      <c r="I5835" s="200" t="s">
        <v>2982</v>
      </c>
    </row>
    <row r="5836" spans="1:9" ht="15" customHeight="1">
      <c r="A5836" s="199">
        <v>45755</v>
      </c>
      <c r="B5836" s="202" t="s">
        <v>4655</v>
      </c>
      <c r="C5836" s="200" t="s">
        <v>307</v>
      </c>
      <c r="D5836" s="204">
        <v>-70000</v>
      </c>
      <c r="E5836" s="201">
        <v>45748</v>
      </c>
      <c r="F5836" s="200" t="s">
        <v>296</v>
      </c>
      <c r="G5836" s="200" t="s">
        <v>2994</v>
      </c>
      <c r="H5836" s="200" t="s">
        <v>377</v>
      </c>
      <c r="I5836" s="648" t="s">
        <v>329</v>
      </c>
    </row>
    <row r="5837" spans="1:9" ht="15" customHeight="1">
      <c r="A5837" s="199">
        <v>45755</v>
      </c>
      <c r="B5837" s="202" t="s">
        <v>4656</v>
      </c>
      <c r="C5837" s="200" t="s">
        <v>307</v>
      </c>
      <c r="D5837" s="204">
        <v>-28590</v>
      </c>
      <c r="E5837" s="201">
        <v>45748</v>
      </c>
      <c r="F5837" s="200" t="s">
        <v>296</v>
      </c>
      <c r="G5837" s="200" t="s">
        <v>415</v>
      </c>
      <c r="H5837" s="200" t="s">
        <v>377</v>
      </c>
      <c r="I5837" s="200" t="s">
        <v>2982</v>
      </c>
    </row>
    <row r="5838" spans="1:9" ht="15" customHeight="1">
      <c r="A5838" s="199">
        <v>45755</v>
      </c>
      <c r="B5838" s="202" t="s">
        <v>4657</v>
      </c>
      <c r="C5838" s="200" t="s">
        <v>307</v>
      </c>
      <c r="D5838" s="204">
        <v>-3084</v>
      </c>
      <c r="E5838" s="201">
        <v>45748</v>
      </c>
      <c r="F5838" s="200" t="s">
        <v>296</v>
      </c>
      <c r="G5838" s="200" t="s">
        <v>415</v>
      </c>
      <c r="H5838" s="200" t="s">
        <v>377</v>
      </c>
      <c r="I5838" s="648" t="s">
        <v>329</v>
      </c>
    </row>
    <row r="5839" spans="1:9" ht="15" customHeight="1">
      <c r="A5839" s="199">
        <v>45756</v>
      </c>
      <c r="B5839" s="202" t="s">
        <v>4658</v>
      </c>
      <c r="C5839" s="200" t="s">
        <v>307</v>
      </c>
      <c r="D5839" s="204">
        <v>-60390</v>
      </c>
      <c r="E5839" s="201">
        <v>45748</v>
      </c>
      <c r="F5839" s="200" t="s">
        <v>296</v>
      </c>
      <c r="G5839" s="200" t="s">
        <v>328</v>
      </c>
      <c r="H5839" s="200" t="s">
        <v>350</v>
      </c>
      <c r="I5839" s="200" t="s">
        <v>2982</v>
      </c>
    </row>
    <row r="5840" spans="1:9" ht="15" customHeight="1">
      <c r="A5840" s="199">
        <v>45757</v>
      </c>
      <c r="B5840" s="202" t="s">
        <v>4659</v>
      </c>
      <c r="C5840" s="200" t="s">
        <v>307</v>
      </c>
      <c r="D5840" s="204">
        <v>-15570</v>
      </c>
      <c r="E5840" s="201">
        <v>45748</v>
      </c>
      <c r="F5840" s="200" t="s">
        <v>256</v>
      </c>
      <c r="G5840" s="200" t="s">
        <v>256</v>
      </c>
      <c r="H5840" s="200" t="s">
        <v>263</v>
      </c>
      <c r="I5840" s="200" t="s">
        <v>2982</v>
      </c>
    </row>
    <row r="5841" spans="1:9" ht="15" customHeight="1">
      <c r="A5841" s="199">
        <v>45757</v>
      </c>
      <c r="B5841" s="202" t="s">
        <v>4660</v>
      </c>
      <c r="C5841" s="200" t="s">
        <v>307</v>
      </c>
      <c r="D5841" s="204">
        <v>-11800</v>
      </c>
      <c r="E5841" s="201">
        <v>45748</v>
      </c>
      <c r="F5841" s="200" t="s">
        <v>256</v>
      </c>
      <c r="G5841" s="200" t="s">
        <v>256</v>
      </c>
      <c r="H5841" s="200" t="s">
        <v>263</v>
      </c>
      <c r="I5841" s="200" t="s">
        <v>2982</v>
      </c>
    </row>
    <row r="5842" spans="1:9" ht="15" customHeight="1">
      <c r="A5842" s="199">
        <v>45761</v>
      </c>
      <c r="B5842" s="722" t="s">
        <v>4394</v>
      </c>
      <c r="C5842" s="200" t="s">
        <v>307</v>
      </c>
      <c r="D5842" s="204">
        <v>-22000</v>
      </c>
      <c r="E5842" s="201">
        <v>45748</v>
      </c>
      <c r="F5842" s="200" t="s">
        <v>296</v>
      </c>
      <c r="G5842" s="200" t="s">
        <v>57</v>
      </c>
      <c r="H5842" s="200" t="s">
        <v>105</v>
      </c>
    </row>
    <row r="5843" spans="1:9" ht="15" customHeight="1">
      <c r="A5843" s="199">
        <v>45761</v>
      </c>
      <c r="B5843" s="202" t="s">
        <v>4394</v>
      </c>
      <c r="C5843" s="200" t="s">
        <v>307</v>
      </c>
      <c r="D5843" s="204">
        <v>-123464</v>
      </c>
      <c r="E5843" s="201">
        <v>45748</v>
      </c>
      <c r="F5843" s="200" t="s">
        <v>395</v>
      </c>
      <c r="G5843" s="531" t="s">
        <v>395</v>
      </c>
      <c r="H5843" s="200" t="s">
        <v>268</v>
      </c>
      <c r="I5843" s="673"/>
    </row>
    <row r="5844" spans="1:9" ht="15" customHeight="1">
      <c r="A5844" s="199">
        <v>45761</v>
      </c>
      <c r="B5844" s="202" t="s">
        <v>4394</v>
      </c>
      <c r="C5844" s="200" t="s">
        <v>307</v>
      </c>
      <c r="D5844" s="204">
        <v>-51000</v>
      </c>
      <c r="E5844" s="201">
        <v>45748</v>
      </c>
      <c r="F5844" s="200" t="s">
        <v>256</v>
      </c>
      <c r="G5844" s="200" t="s">
        <v>256</v>
      </c>
      <c r="H5844" s="200" t="s">
        <v>268</v>
      </c>
    </row>
    <row r="5845" spans="1:9" ht="15" customHeight="1">
      <c r="A5845" s="199">
        <v>45761</v>
      </c>
      <c r="B5845" s="202" t="s">
        <v>4394</v>
      </c>
      <c r="C5845" s="200" t="s">
        <v>307</v>
      </c>
      <c r="D5845" s="204">
        <v>-14000</v>
      </c>
      <c r="E5845" s="201">
        <v>45748</v>
      </c>
      <c r="F5845" s="200" t="s">
        <v>296</v>
      </c>
      <c r="G5845" s="200" t="s">
        <v>328</v>
      </c>
      <c r="H5845" s="200" t="s">
        <v>268</v>
      </c>
      <c r="I5845" s="648" t="s">
        <v>329</v>
      </c>
    </row>
    <row r="5846" spans="1:9" ht="15" customHeight="1">
      <c r="A5846" s="199">
        <v>45761</v>
      </c>
      <c r="B5846" s="202" t="s">
        <v>4394</v>
      </c>
      <c r="C5846" s="200" t="s">
        <v>307</v>
      </c>
      <c r="D5846" s="204">
        <v>-7000</v>
      </c>
      <c r="E5846" s="201">
        <v>45748</v>
      </c>
      <c r="F5846" s="200" t="s">
        <v>296</v>
      </c>
      <c r="G5846" s="200" t="s">
        <v>1980</v>
      </c>
      <c r="H5846" s="200" t="s">
        <v>326</v>
      </c>
    </row>
    <row r="5847" spans="1:9" ht="15" customHeight="1">
      <c r="A5847" s="199">
        <v>45761</v>
      </c>
      <c r="B5847" s="202" t="s">
        <v>4395</v>
      </c>
      <c r="C5847" s="200" t="s">
        <v>372</v>
      </c>
      <c r="D5847" s="204">
        <v>-2210</v>
      </c>
      <c r="E5847" s="201">
        <v>45748</v>
      </c>
      <c r="F5847" s="200" t="s">
        <v>395</v>
      </c>
      <c r="G5847" s="531" t="s">
        <v>395</v>
      </c>
      <c r="H5847" s="200" t="s">
        <v>268</v>
      </c>
      <c r="I5847" s="673"/>
    </row>
    <row r="5848" spans="1:9" ht="15" customHeight="1">
      <c r="A5848" s="199">
        <v>45761</v>
      </c>
      <c r="B5848" s="202" t="s">
        <v>4396</v>
      </c>
      <c r="C5848" s="200" t="s">
        <v>372</v>
      </c>
      <c r="D5848" s="204">
        <v>-1326</v>
      </c>
      <c r="E5848" s="201">
        <v>45748</v>
      </c>
      <c r="F5848" s="200" t="s">
        <v>395</v>
      </c>
      <c r="G5848" s="531" t="s">
        <v>395</v>
      </c>
      <c r="H5848" s="200" t="s">
        <v>268</v>
      </c>
      <c r="I5848" s="673"/>
    </row>
    <row r="5849" spans="1:9" ht="15" customHeight="1">
      <c r="A5849" s="199">
        <v>45761</v>
      </c>
      <c r="B5849" s="202" t="s">
        <v>4661</v>
      </c>
      <c r="C5849" s="200" t="s">
        <v>307</v>
      </c>
      <c r="D5849" s="204">
        <v>-48000</v>
      </c>
      <c r="E5849" s="201">
        <v>45748</v>
      </c>
      <c r="F5849" s="200" t="s">
        <v>395</v>
      </c>
      <c r="G5849" s="531" t="s">
        <v>395</v>
      </c>
      <c r="H5849" s="200" t="s">
        <v>342</v>
      </c>
      <c r="I5849" s="673"/>
    </row>
    <row r="5850" spans="1:9" ht="15" customHeight="1">
      <c r="A5850" s="199">
        <v>45761</v>
      </c>
      <c r="B5850" s="202" t="s">
        <v>4662</v>
      </c>
      <c r="C5850" s="200" t="s">
        <v>307</v>
      </c>
      <c r="D5850" s="204">
        <v>-68000</v>
      </c>
      <c r="E5850" s="201">
        <v>45748</v>
      </c>
      <c r="F5850" s="200" t="s">
        <v>395</v>
      </c>
      <c r="G5850" s="531" t="s">
        <v>395</v>
      </c>
      <c r="H5850" s="200" t="s">
        <v>342</v>
      </c>
      <c r="I5850" s="673"/>
    </row>
    <row r="5851" spans="1:9" ht="15" customHeight="1">
      <c r="A5851" s="199">
        <v>45761</v>
      </c>
      <c r="B5851" s="202" t="s">
        <v>4663</v>
      </c>
      <c r="C5851" s="200" t="s">
        <v>307</v>
      </c>
      <c r="D5851" s="204">
        <v>-33700</v>
      </c>
      <c r="E5851" s="201">
        <v>45748</v>
      </c>
      <c r="F5851" s="200" t="s">
        <v>256</v>
      </c>
      <c r="G5851" s="200" t="s">
        <v>256</v>
      </c>
      <c r="H5851" s="200" t="s">
        <v>263</v>
      </c>
    </row>
    <row r="5852" spans="1:9" ht="15" customHeight="1">
      <c r="A5852" s="199">
        <v>45751</v>
      </c>
      <c r="B5852" s="202" t="s">
        <v>4664</v>
      </c>
      <c r="C5852" s="200" t="s">
        <v>307</v>
      </c>
      <c r="D5852" s="204">
        <v>-4999.68</v>
      </c>
      <c r="E5852" s="201">
        <v>45748</v>
      </c>
      <c r="F5852" s="200" t="s">
        <v>296</v>
      </c>
      <c r="G5852" s="200" t="s">
        <v>44</v>
      </c>
      <c r="H5852" s="200" t="s">
        <v>421</v>
      </c>
      <c r="I5852" s="200" t="s">
        <v>2982</v>
      </c>
    </row>
    <row r="5853" spans="1:9" ht="15" customHeight="1">
      <c r="A5853" s="199">
        <v>45751</v>
      </c>
      <c r="B5853" s="202" t="s">
        <v>4665</v>
      </c>
      <c r="C5853" s="200" t="s">
        <v>307</v>
      </c>
      <c r="D5853" s="204">
        <v>-20000</v>
      </c>
      <c r="E5853" s="201">
        <v>45748</v>
      </c>
      <c r="F5853" s="200" t="s">
        <v>296</v>
      </c>
      <c r="G5853" s="200" t="s">
        <v>44</v>
      </c>
      <c r="H5853" s="200" t="s">
        <v>442</v>
      </c>
      <c r="I5853" s="200" t="s">
        <v>2982</v>
      </c>
    </row>
    <row r="5854" spans="1:9" ht="15" customHeight="1">
      <c r="A5854" s="199">
        <v>45754</v>
      </c>
      <c r="B5854" s="202" t="s">
        <v>696</v>
      </c>
      <c r="C5854" s="200" t="s">
        <v>307</v>
      </c>
      <c r="D5854" s="204">
        <v>-10000</v>
      </c>
      <c r="E5854" s="201">
        <v>45748</v>
      </c>
      <c r="F5854" s="200" t="s">
        <v>296</v>
      </c>
      <c r="G5854" s="200" t="s">
        <v>1980</v>
      </c>
      <c r="H5854" s="200" t="s">
        <v>442</v>
      </c>
      <c r="I5854" s="200" t="s">
        <v>2982</v>
      </c>
    </row>
    <row r="5855" spans="1:9" ht="15" customHeight="1">
      <c r="A5855" s="199">
        <v>45755</v>
      </c>
      <c r="B5855" s="202" t="s">
        <v>4666</v>
      </c>
      <c r="C5855" s="200" t="s">
        <v>307</v>
      </c>
      <c r="D5855" s="204">
        <v>-5000</v>
      </c>
      <c r="E5855" s="201">
        <v>45748</v>
      </c>
      <c r="F5855" s="200" t="s">
        <v>296</v>
      </c>
      <c r="G5855" s="200" t="s">
        <v>44</v>
      </c>
      <c r="H5855" s="200" t="s">
        <v>442</v>
      </c>
      <c r="I5855" s="200" t="s">
        <v>2982</v>
      </c>
    </row>
    <row r="5856" spans="1:9" ht="15" customHeight="1">
      <c r="A5856" s="199">
        <v>45755</v>
      </c>
      <c r="B5856" s="202" t="s">
        <v>4667</v>
      </c>
      <c r="C5856" s="200" t="s">
        <v>307</v>
      </c>
      <c r="D5856" s="204">
        <v>-10000</v>
      </c>
      <c r="E5856" s="201">
        <v>45748</v>
      </c>
      <c r="F5856" s="200" t="s">
        <v>296</v>
      </c>
      <c r="G5856" s="200" t="s">
        <v>513</v>
      </c>
      <c r="H5856" s="200" t="s">
        <v>442</v>
      </c>
      <c r="I5856" s="200" t="s">
        <v>2982</v>
      </c>
    </row>
    <row r="5857" spans="1:9" ht="15" customHeight="1">
      <c r="A5857" s="199">
        <v>45755</v>
      </c>
      <c r="B5857" s="202" t="s">
        <v>4668</v>
      </c>
      <c r="C5857" s="200" t="s">
        <v>307</v>
      </c>
      <c r="D5857" s="204">
        <v>-18000</v>
      </c>
      <c r="E5857" s="201">
        <v>45748</v>
      </c>
      <c r="F5857" s="200" t="s">
        <v>296</v>
      </c>
      <c r="G5857" s="200" t="s">
        <v>513</v>
      </c>
      <c r="H5857" s="200" t="s">
        <v>442</v>
      </c>
      <c r="I5857" s="200" t="s">
        <v>2982</v>
      </c>
    </row>
    <row r="5858" spans="1:9" ht="15" customHeight="1">
      <c r="A5858" s="199">
        <v>45755</v>
      </c>
      <c r="B5858" s="202" t="s">
        <v>4654</v>
      </c>
      <c r="C5858" s="200" t="s">
        <v>307</v>
      </c>
      <c r="D5858" s="204">
        <v>-4400</v>
      </c>
      <c r="E5858" s="201">
        <v>45748</v>
      </c>
      <c r="F5858" s="200" t="s">
        <v>296</v>
      </c>
      <c r="G5858" s="200" t="s">
        <v>44</v>
      </c>
      <c r="H5858" s="200" t="s">
        <v>421</v>
      </c>
      <c r="I5858" s="200" t="s">
        <v>2982</v>
      </c>
    </row>
    <row r="5859" spans="1:9" ht="15" customHeight="1">
      <c r="A5859" s="199">
        <v>45756</v>
      </c>
      <c r="B5859" s="202" t="s">
        <v>4669</v>
      </c>
      <c r="C5859" s="200" t="s">
        <v>307</v>
      </c>
      <c r="D5859" s="204">
        <v>-15000</v>
      </c>
      <c r="E5859" s="201">
        <v>45748</v>
      </c>
      <c r="F5859" s="200" t="s">
        <v>296</v>
      </c>
      <c r="G5859" s="200" t="s">
        <v>513</v>
      </c>
      <c r="H5859" s="200" t="s">
        <v>442</v>
      </c>
      <c r="I5859" s="200" t="s">
        <v>2982</v>
      </c>
    </row>
    <row r="5860" spans="1:9" ht="15" customHeight="1">
      <c r="A5860" s="199">
        <v>45757</v>
      </c>
      <c r="B5860" s="202" t="s">
        <v>4670</v>
      </c>
      <c r="C5860" s="200" t="s">
        <v>307</v>
      </c>
      <c r="D5860" s="204">
        <v>-24800</v>
      </c>
      <c r="E5860" s="201">
        <v>45748</v>
      </c>
      <c r="F5860" s="200" t="s">
        <v>296</v>
      </c>
      <c r="G5860" s="200" t="s">
        <v>522</v>
      </c>
      <c r="H5860" s="200" t="s">
        <v>322</v>
      </c>
      <c r="I5860" s="200" t="s">
        <v>2982</v>
      </c>
    </row>
    <row r="5861" spans="1:9" ht="15" customHeight="1">
      <c r="A5861" s="199">
        <v>45757</v>
      </c>
      <c r="B5861" s="202" t="s">
        <v>4671</v>
      </c>
      <c r="C5861" s="200" t="s">
        <v>307</v>
      </c>
      <c r="D5861" s="204">
        <v>-14000</v>
      </c>
      <c r="E5861" s="201">
        <v>45748</v>
      </c>
      <c r="F5861" s="200" t="s">
        <v>296</v>
      </c>
      <c r="G5861" s="200" t="s">
        <v>513</v>
      </c>
      <c r="H5861" s="200" t="s">
        <v>442</v>
      </c>
      <c r="I5861" s="200" t="s">
        <v>2982</v>
      </c>
    </row>
    <row r="5862" spans="1:9" ht="15" customHeight="1">
      <c r="A5862" s="199">
        <v>45757</v>
      </c>
      <c r="B5862" s="202" t="s">
        <v>4672</v>
      </c>
      <c r="C5862" s="200" t="s">
        <v>307</v>
      </c>
      <c r="D5862" s="204">
        <v>-11000</v>
      </c>
      <c r="E5862" s="201">
        <v>45748</v>
      </c>
      <c r="F5862" s="200" t="s">
        <v>296</v>
      </c>
      <c r="G5862" s="200" t="s">
        <v>44</v>
      </c>
      <c r="H5862" s="200" t="s">
        <v>421</v>
      </c>
      <c r="I5862" s="200" t="s">
        <v>2982</v>
      </c>
    </row>
    <row r="5863" spans="1:9" ht="15" customHeight="1">
      <c r="A5863" s="199">
        <v>45763</v>
      </c>
      <c r="B5863" s="202" t="s">
        <v>4673</v>
      </c>
      <c r="C5863" s="200" t="s">
        <v>307</v>
      </c>
      <c r="D5863" s="204">
        <v>-63000</v>
      </c>
      <c r="E5863" s="201">
        <v>45748</v>
      </c>
      <c r="F5863" s="200" t="s">
        <v>256</v>
      </c>
      <c r="G5863" s="200" t="s">
        <v>256</v>
      </c>
      <c r="H5863" s="200" t="s">
        <v>9</v>
      </c>
    </row>
    <row r="5864" spans="1:9" ht="15" customHeight="1">
      <c r="A5864" s="199">
        <v>45763</v>
      </c>
      <c r="B5864" s="202" t="s">
        <v>4674</v>
      </c>
      <c r="C5864" s="200" t="s">
        <v>307</v>
      </c>
      <c r="D5864" s="204">
        <v>-45300</v>
      </c>
      <c r="E5864" s="201">
        <v>45748</v>
      </c>
      <c r="F5864" s="200" t="s">
        <v>296</v>
      </c>
      <c r="G5864" s="200" t="s">
        <v>482</v>
      </c>
      <c r="I5864" s="648" t="s">
        <v>329</v>
      </c>
    </row>
    <row r="5865" spans="1:9" ht="15" customHeight="1">
      <c r="A5865" s="199">
        <v>45758</v>
      </c>
      <c r="B5865" s="202" t="s">
        <v>4675</v>
      </c>
      <c r="C5865" s="200" t="s">
        <v>136</v>
      </c>
      <c r="D5865" s="642">
        <v>-124410</v>
      </c>
      <c r="E5865" s="201">
        <v>45748</v>
      </c>
      <c r="F5865" s="200" t="s">
        <v>256</v>
      </c>
      <c r="G5865" s="200" t="s">
        <v>256</v>
      </c>
      <c r="H5865" s="200" t="s">
        <v>265</v>
      </c>
    </row>
    <row r="5866" spans="1:9" ht="15" customHeight="1">
      <c r="A5866" s="199">
        <v>45758</v>
      </c>
      <c r="B5866" s="202" t="s">
        <v>4676</v>
      </c>
      <c r="C5866" s="200" t="s">
        <v>136</v>
      </c>
      <c r="D5866" s="642">
        <v>-281720</v>
      </c>
      <c r="E5866" s="201">
        <v>45748</v>
      </c>
      <c r="F5866" s="200" t="s">
        <v>256</v>
      </c>
      <c r="G5866" s="200" t="s">
        <v>256</v>
      </c>
      <c r="H5866" s="200" t="s">
        <v>265</v>
      </c>
    </row>
    <row r="5867" spans="1:9" ht="15" customHeight="1">
      <c r="A5867" s="199">
        <v>45763</v>
      </c>
      <c r="B5867" s="202" t="s">
        <v>4677</v>
      </c>
      <c r="C5867" s="200" t="s">
        <v>314</v>
      </c>
      <c r="D5867" s="204">
        <v>-8601527</v>
      </c>
      <c r="E5867" s="201">
        <v>45748</v>
      </c>
      <c r="F5867" s="200" t="s">
        <v>296</v>
      </c>
      <c r="G5867" s="200" t="s">
        <v>3360</v>
      </c>
      <c r="H5867" s="200" t="s">
        <v>342</v>
      </c>
    </row>
    <row r="5868" spans="1:9" ht="15" customHeight="1">
      <c r="A5868" s="199">
        <v>45758</v>
      </c>
      <c r="B5868" s="202" t="s">
        <v>4678</v>
      </c>
      <c r="C5868" s="200" t="s">
        <v>204</v>
      </c>
      <c r="D5868" s="774">
        <v>-8100000</v>
      </c>
      <c r="E5868" s="201">
        <v>45748</v>
      </c>
      <c r="F5868" s="200" t="s">
        <v>297</v>
      </c>
      <c r="G5868" s="200" t="s">
        <v>3892</v>
      </c>
      <c r="H5868" s="200" t="s">
        <v>342</v>
      </c>
    </row>
    <row r="5869" spans="1:9" ht="15" customHeight="1">
      <c r="A5869" s="199">
        <v>45758</v>
      </c>
      <c r="B5869" s="202" t="s">
        <v>4679</v>
      </c>
      <c r="C5869" s="200" t="s">
        <v>204</v>
      </c>
      <c r="D5869" s="774">
        <v>-690234</v>
      </c>
      <c r="E5869" s="201">
        <v>45748</v>
      </c>
      <c r="F5869" s="200" t="s">
        <v>296</v>
      </c>
      <c r="G5869" s="200" t="s">
        <v>522</v>
      </c>
      <c r="H5869" s="200" t="s">
        <v>1079</v>
      </c>
    </row>
    <row r="5870" spans="1:9" ht="15" customHeight="1">
      <c r="A5870" s="199">
        <v>45758</v>
      </c>
      <c r="B5870" s="202" t="s">
        <v>4680</v>
      </c>
      <c r="C5870" s="200" t="s">
        <v>372</v>
      </c>
      <c r="D5870" s="204">
        <v>-4166</v>
      </c>
      <c r="E5870" s="201">
        <v>45748</v>
      </c>
      <c r="F5870" s="200" t="s">
        <v>296</v>
      </c>
      <c r="G5870" s="200" t="s">
        <v>522</v>
      </c>
      <c r="H5870" s="200" t="s">
        <v>1079</v>
      </c>
    </row>
    <row r="5871" spans="1:9" ht="15" customHeight="1">
      <c r="A5871" s="199">
        <v>45758</v>
      </c>
      <c r="B5871" s="202" t="s">
        <v>4679</v>
      </c>
      <c r="C5871" s="200" t="s">
        <v>204</v>
      </c>
      <c r="D5871" s="774">
        <v>-1345747</v>
      </c>
      <c r="E5871" s="201">
        <v>45748</v>
      </c>
      <c r="F5871" s="200" t="s">
        <v>296</v>
      </c>
      <c r="G5871" s="200" t="s">
        <v>44</v>
      </c>
      <c r="H5871" s="200" t="s">
        <v>1079</v>
      </c>
    </row>
    <row r="5872" spans="1:9" ht="15" customHeight="1">
      <c r="A5872" s="199">
        <v>45758</v>
      </c>
      <c r="B5872" s="202" t="s">
        <v>4681</v>
      </c>
      <c r="C5872" s="200" t="s">
        <v>372</v>
      </c>
      <c r="D5872" s="204">
        <v>-34720</v>
      </c>
      <c r="E5872" s="201">
        <v>45748</v>
      </c>
      <c r="F5872" s="200" t="s">
        <v>296</v>
      </c>
      <c r="G5872" s="200" t="s">
        <v>44</v>
      </c>
      <c r="H5872" s="200" t="s">
        <v>1079</v>
      </c>
    </row>
    <row r="5873" spans="1:8" ht="15" customHeight="1">
      <c r="A5873" s="199">
        <v>45758</v>
      </c>
      <c r="B5873" s="202" t="s">
        <v>4680</v>
      </c>
      <c r="C5873" s="200" t="s">
        <v>372</v>
      </c>
      <c r="D5873" s="204">
        <v>-8333</v>
      </c>
      <c r="E5873" s="201">
        <v>45748</v>
      </c>
      <c r="F5873" s="200" t="s">
        <v>296</v>
      </c>
      <c r="G5873" s="200" t="s">
        <v>44</v>
      </c>
      <c r="H5873" s="200" t="s">
        <v>1079</v>
      </c>
    </row>
    <row r="5874" spans="1:8" ht="15" customHeight="1">
      <c r="A5874" s="199">
        <v>45758</v>
      </c>
      <c r="B5874" s="202" t="s">
        <v>4682</v>
      </c>
      <c r="C5874" s="200" t="s">
        <v>204</v>
      </c>
      <c r="D5874" s="774">
        <v>-4280400</v>
      </c>
      <c r="E5874" s="201">
        <v>45748</v>
      </c>
      <c r="F5874" s="200" t="s">
        <v>296</v>
      </c>
      <c r="G5874" s="200" t="s">
        <v>522</v>
      </c>
      <c r="H5874" s="200" t="s">
        <v>811</v>
      </c>
    </row>
    <row r="5875" spans="1:8" ht="15" customHeight="1">
      <c r="A5875" s="199">
        <v>45758</v>
      </c>
      <c r="B5875" s="202" t="s">
        <v>4683</v>
      </c>
      <c r="C5875" s="200" t="s">
        <v>372</v>
      </c>
      <c r="D5875" s="204">
        <v>-43500</v>
      </c>
      <c r="E5875" s="201">
        <v>45748</v>
      </c>
      <c r="F5875" s="200" t="s">
        <v>296</v>
      </c>
      <c r="G5875" s="200" t="s">
        <v>522</v>
      </c>
      <c r="H5875" s="200" t="s">
        <v>811</v>
      </c>
    </row>
    <row r="5876" spans="1:8" ht="15" customHeight="1">
      <c r="A5876" s="199">
        <v>45758</v>
      </c>
      <c r="B5876" s="202" t="s">
        <v>4684</v>
      </c>
      <c r="C5876" s="200" t="s">
        <v>372</v>
      </c>
      <c r="D5876" s="204">
        <v>-26100</v>
      </c>
      <c r="E5876" s="201">
        <v>45748</v>
      </c>
      <c r="F5876" s="200" t="s">
        <v>296</v>
      </c>
      <c r="G5876" s="200" t="s">
        <v>522</v>
      </c>
      <c r="H5876" s="200" t="s">
        <v>811</v>
      </c>
    </row>
    <row r="5877" spans="1:8" ht="15" customHeight="1">
      <c r="A5877" s="199">
        <v>45758</v>
      </c>
      <c r="B5877" s="202" t="s">
        <v>4685</v>
      </c>
      <c r="C5877" s="200" t="s">
        <v>204</v>
      </c>
      <c r="D5877" s="774">
        <v>-1000000</v>
      </c>
      <c r="E5877" s="201">
        <v>45748</v>
      </c>
      <c r="F5877" s="200" t="s">
        <v>296</v>
      </c>
      <c r="G5877" s="200" t="s">
        <v>453</v>
      </c>
      <c r="H5877" s="200" t="s">
        <v>100</v>
      </c>
    </row>
    <row r="5878" spans="1:8" ht="15" customHeight="1">
      <c r="A5878" s="199">
        <v>45758</v>
      </c>
      <c r="B5878" s="202" t="s">
        <v>4686</v>
      </c>
      <c r="C5878" s="200" t="s">
        <v>204</v>
      </c>
      <c r="D5878" s="774">
        <v>-972000</v>
      </c>
      <c r="E5878" s="201">
        <v>45748</v>
      </c>
      <c r="F5878" s="200" t="s">
        <v>296</v>
      </c>
      <c r="G5878" s="200" t="s">
        <v>1124</v>
      </c>
      <c r="H5878" s="200" t="s">
        <v>379</v>
      </c>
    </row>
    <row r="5879" spans="1:8" ht="15" customHeight="1">
      <c r="A5879" s="199">
        <v>45758</v>
      </c>
      <c r="B5879" s="202" t="s">
        <v>4687</v>
      </c>
      <c r="C5879" s="200" t="s">
        <v>204</v>
      </c>
      <c r="D5879" s="774">
        <v>-972000</v>
      </c>
      <c r="E5879" s="201">
        <v>45748</v>
      </c>
      <c r="F5879" s="200" t="s">
        <v>296</v>
      </c>
      <c r="G5879" s="200" t="s">
        <v>1124</v>
      </c>
      <c r="H5879" s="200" t="s">
        <v>379</v>
      </c>
    </row>
    <row r="5880" spans="1:8" ht="15" customHeight="1">
      <c r="A5880" s="199">
        <v>45758</v>
      </c>
      <c r="B5880" s="202" t="s">
        <v>4688</v>
      </c>
      <c r="C5880" s="200" t="s">
        <v>204</v>
      </c>
      <c r="D5880" s="774">
        <v>-30000</v>
      </c>
      <c r="E5880" s="201">
        <v>45748</v>
      </c>
      <c r="F5880" s="200" t="s">
        <v>395</v>
      </c>
      <c r="G5880" s="531" t="s">
        <v>395</v>
      </c>
      <c r="H5880" s="200" t="s">
        <v>379</v>
      </c>
    </row>
    <row r="5881" spans="1:8" ht="15" customHeight="1">
      <c r="A5881" s="199">
        <v>45758</v>
      </c>
      <c r="B5881" s="202" t="s">
        <v>1925</v>
      </c>
      <c r="C5881" s="200" t="s">
        <v>204</v>
      </c>
      <c r="D5881" s="774">
        <v>-102000</v>
      </c>
      <c r="E5881" s="201">
        <v>45748</v>
      </c>
      <c r="F5881" s="200" t="s">
        <v>297</v>
      </c>
      <c r="G5881" s="200" t="s">
        <v>75</v>
      </c>
      <c r="H5881" s="200" t="s">
        <v>268</v>
      </c>
    </row>
    <row r="5882" spans="1:8" ht="15" customHeight="1">
      <c r="A5882" s="199">
        <v>45758</v>
      </c>
      <c r="B5882" s="202" t="s">
        <v>1925</v>
      </c>
      <c r="C5882" s="200" t="s">
        <v>204</v>
      </c>
      <c r="D5882" s="774">
        <v>-177104</v>
      </c>
      <c r="E5882" s="201">
        <v>45748</v>
      </c>
      <c r="F5882" s="200" t="s">
        <v>296</v>
      </c>
      <c r="G5882" s="200" t="s">
        <v>2994</v>
      </c>
      <c r="H5882" s="200" t="s">
        <v>268</v>
      </c>
    </row>
    <row r="5883" spans="1:8" ht="15" customHeight="1">
      <c r="A5883" s="199">
        <v>45758</v>
      </c>
      <c r="B5883" s="202" t="s">
        <v>1925</v>
      </c>
      <c r="C5883" s="200" t="s">
        <v>204</v>
      </c>
      <c r="D5883" s="774">
        <v>-40000</v>
      </c>
      <c r="E5883" s="201">
        <v>45748</v>
      </c>
      <c r="F5883" s="200" t="s">
        <v>256</v>
      </c>
      <c r="G5883" s="200" t="s">
        <v>256</v>
      </c>
      <c r="H5883" s="200" t="s">
        <v>268</v>
      </c>
    </row>
    <row r="5884" spans="1:8" ht="15" customHeight="1">
      <c r="A5884" s="199">
        <v>45758</v>
      </c>
      <c r="B5884" s="202" t="s">
        <v>1925</v>
      </c>
      <c r="C5884" s="200" t="s">
        <v>204</v>
      </c>
      <c r="D5884" s="774">
        <v>-36000</v>
      </c>
      <c r="E5884" s="201">
        <v>45748</v>
      </c>
      <c r="F5884" s="200" t="s">
        <v>297</v>
      </c>
      <c r="G5884" s="200" t="s">
        <v>1313</v>
      </c>
      <c r="H5884" s="200" t="s">
        <v>268</v>
      </c>
    </row>
    <row r="5885" spans="1:8" ht="15" customHeight="1">
      <c r="A5885" s="199">
        <v>45758</v>
      </c>
      <c r="B5885" s="202" t="s">
        <v>1925</v>
      </c>
      <c r="C5885" s="200" t="s">
        <v>204</v>
      </c>
      <c r="D5885" s="774">
        <v>-30000</v>
      </c>
      <c r="E5885" s="201">
        <v>45748</v>
      </c>
      <c r="F5885" s="200" t="s">
        <v>296</v>
      </c>
      <c r="G5885" s="200" t="s">
        <v>44</v>
      </c>
      <c r="H5885" s="200" t="s">
        <v>442</v>
      </c>
    </row>
    <row r="5886" spans="1:8" ht="15" customHeight="1">
      <c r="A5886" s="199">
        <v>45758</v>
      </c>
      <c r="B5886" s="202" t="s">
        <v>1925</v>
      </c>
      <c r="C5886" s="200" t="s">
        <v>204</v>
      </c>
      <c r="D5886" s="774">
        <v>-155000</v>
      </c>
      <c r="E5886" s="201">
        <v>45748</v>
      </c>
      <c r="F5886" s="200" t="s">
        <v>395</v>
      </c>
      <c r="G5886" s="531" t="s">
        <v>395</v>
      </c>
      <c r="H5886" s="200" t="s">
        <v>268</v>
      </c>
    </row>
    <row r="5887" spans="1:8" ht="15" customHeight="1">
      <c r="A5887" s="199">
        <v>45758</v>
      </c>
      <c r="B5887" s="202" t="s">
        <v>1925</v>
      </c>
      <c r="C5887" s="200" t="s">
        <v>204</v>
      </c>
      <c r="D5887" s="774">
        <v>-18000</v>
      </c>
      <c r="E5887" s="201">
        <v>45748</v>
      </c>
      <c r="F5887" s="200" t="s">
        <v>296</v>
      </c>
      <c r="G5887" s="200" t="s">
        <v>337</v>
      </c>
      <c r="H5887" s="200" t="s">
        <v>326</v>
      </c>
    </row>
    <row r="5888" spans="1:8" ht="15" customHeight="1">
      <c r="A5888" s="199">
        <v>45758</v>
      </c>
      <c r="B5888" s="202" t="s">
        <v>1925</v>
      </c>
      <c r="C5888" s="200" t="s">
        <v>204</v>
      </c>
      <c r="D5888" s="774">
        <v>-10000</v>
      </c>
      <c r="E5888" s="201">
        <v>45748</v>
      </c>
      <c r="F5888" s="200" t="s">
        <v>296</v>
      </c>
      <c r="G5888" s="200" t="s">
        <v>1124</v>
      </c>
      <c r="H5888" s="200" t="s">
        <v>268</v>
      </c>
    </row>
    <row r="5889" spans="1:9" ht="15" customHeight="1">
      <c r="A5889" s="199">
        <v>45758</v>
      </c>
      <c r="B5889" s="202" t="s">
        <v>1925</v>
      </c>
      <c r="C5889" s="200" t="s">
        <v>204</v>
      </c>
      <c r="D5889" s="774">
        <v>-36000</v>
      </c>
      <c r="E5889" s="201">
        <v>45748</v>
      </c>
      <c r="F5889" s="200" t="s">
        <v>395</v>
      </c>
      <c r="G5889" s="531" t="s">
        <v>395</v>
      </c>
      <c r="H5889" s="200" t="s">
        <v>268</v>
      </c>
      <c r="I5889" s="673"/>
    </row>
    <row r="5890" spans="1:9" ht="15" customHeight="1">
      <c r="A5890" s="199">
        <v>45758</v>
      </c>
      <c r="B5890" s="202" t="s">
        <v>1925</v>
      </c>
      <c r="C5890" s="200" t="s">
        <v>204</v>
      </c>
      <c r="D5890" s="774">
        <v>-66000</v>
      </c>
      <c r="E5890" s="201">
        <v>45748</v>
      </c>
      <c r="F5890" s="200" t="s">
        <v>395</v>
      </c>
      <c r="G5890" s="531" t="s">
        <v>395</v>
      </c>
      <c r="H5890" s="200" t="s">
        <v>268</v>
      </c>
      <c r="I5890" s="673"/>
    </row>
    <row r="5891" spans="1:9" ht="15" customHeight="1">
      <c r="A5891" s="199">
        <v>45758</v>
      </c>
      <c r="B5891" s="202" t="s">
        <v>1926</v>
      </c>
      <c r="C5891" s="200" t="s">
        <v>372</v>
      </c>
      <c r="D5891" s="204">
        <v>-6810</v>
      </c>
      <c r="E5891" s="201">
        <v>45748</v>
      </c>
      <c r="F5891" s="200" t="s">
        <v>296</v>
      </c>
      <c r="G5891" s="200" t="s">
        <v>2994</v>
      </c>
      <c r="H5891" s="200" t="s">
        <v>268</v>
      </c>
    </row>
    <row r="5892" spans="1:9" ht="15" customHeight="1">
      <c r="A5892" s="199">
        <v>45758</v>
      </c>
      <c r="B5892" s="202" t="s">
        <v>1927</v>
      </c>
      <c r="C5892" s="200" t="s">
        <v>372</v>
      </c>
      <c r="D5892" s="204">
        <v>-4086</v>
      </c>
      <c r="E5892" s="201">
        <v>45748</v>
      </c>
      <c r="F5892" s="200" t="s">
        <v>296</v>
      </c>
      <c r="G5892" s="200" t="s">
        <v>2994</v>
      </c>
      <c r="H5892" s="200" t="s">
        <v>268</v>
      </c>
    </row>
    <row r="5893" spans="1:9" ht="15" customHeight="1">
      <c r="A5893" s="199">
        <v>45758</v>
      </c>
      <c r="B5893" s="202" t="s">
        <v>4689</v>
      </c>
      <c r="C5893" s="200" t="s">
        <v>204</v>
      </c>
      <c r="D5893" s="774">
        <v>-1100000</v>
      </c>
      <c r="E5893" s="201">
        <v>45748</v>
      </c>
      <c r="F5893" s="200" t="s">
        <v>296</v>
      </c>
      <c r="G5893" s="200" t="s">
        <v>1825</v>
      </c>
      <c r="H5893" s="200" t="s">
        <v>488</v>
      </c>
    </row>
    <row r="5894" spans="1:9" ht="15" customHeight="1">
      <c r="A5894" s="199">
        <v>45758</v>
      </c>
      <c r="B5894" s="202" t="s">
        <v>4689</v>
      </c>
      <c r="C5894" s="200" t="s">
        <v>204</v>
      </c>
      <c r="D5894" s="774">
        <v>-730000</v>
      </c>
      <c r="E5894" s="201">
        <v>45748</v>
      </c>
      <c r="F5894" s="200" t="s">
        <v>296</v>
      </c>
      <c r="G5894" s="200" t="s">
        <v>1825</v>
      </c>
      <c r="H5894" s="200" t="s">
        <v>488</v>
      </c>
    </row>
    <row r="5895" spans="1:9" ht="15" customHeight="1">
      <c r="A5895" s="199">
        <v>45748</v>
      </c>
      <c r="B5895" s="202" t="s">
        <v>3088</v>
      </c>
      <c r="C5895" s="200" t="s">
        <v>204</v>
      </c>
      <c r="D5895" s="774">
        <v>-20000</v>
      </c>
      <c r="E5895" s="201">
        <v>45748</v>
      </c>
      <c r="F5895" s="200" t="s">
        <v>296</v>
      </c>
      <c r="G5895" s="200" t="s">
        <v>1362</v>
      </c>
      <c r="H5895" s="200" t="s">
        <v>268</v>
      </c>
      <c r="I5895" s="200" t="s">
        <v>4690</v>
      </c>
    </row>
    <row r="5896" spans="1:9" ht="15" customHeight="1">
      <c r="A5896" s="199">
        <v>45748</v>
      </c>
      <c r="B5896" s="202" t="s">
        <v>4691</v>
      </c>
      <c r="C5896" s="200" t="s">
        <v>204</v>
      </c>
      <c r="D5896" s="774">
        <v>-20000</v>
      </c>
      <c r="E5896" s="201">
        <v>45748</v>
      </c>
      <c r="F5896" s="200" t="s">
        <v>296</v>
      </c>
      <c r="G5896" s="200" t="s">
        <v>1362</v>
      </c>
      <c r="H5896" s="200" t="s">
        <v>268</v>
      </c>
      <c r="I5896" s="200" t="s">
        <v>4690</v>
      </c>
    </row>
    <row r="5897" spans="1:9" ht="15" customHeight="1">
      <c r="A5897" s="199">
        <v>45748</v>
      </c>
      <c r="B5897" s="202" t="s">
        <v>1060</v>
      </c>
      <c r="C5897" s="200" t="s">
        <v>204</v>
      </c>
      <c r="D5897" s="774">
        <v>-6000</v>
      </c>
      <c r="E5897" s="201">
        <v>45748</v>
      </c>
      <c r="F5897" s="200" t="s">
        <v>296</v>
      </c>
      <c r="G5897" s="200" t="s">
        <v>1362</v>
      </c>
      <c r="H5897" s="200" t="s">
        <v>342</v>
      </c>
      <c r="I5897" s="200" t="s">
        <v>4690</v>
      </c>
    </row>
    <row r="5898" spans="1:9" ht="15" customHeight="1">
      <c r="A5898" s="199">
        <v>45748</v>
      </c>
      <c r="B5898" s="202" t="s">
        <v>4692</v>
      </c>
      <c r="C5898" s="200" t="s">
        <v>204</v>
      </c>
      <c r="D5898" s="774">
        <v>-7000</v>
      </c>
      <c r="E5898" s="201">
        <v>45748</v>
      </c>
      <c r="F5898" s="200" t="s">
        <v>296</v>
      </c>
      <c r="G5898" s="200" t="s">
        <v>1362</v>
      </c>
      <c r="H5898" s="200" t="s">
        <v>268</v>
      </c>
      <c r="I5898" s="200" t="s">
        <v>4690</v>
      </c>
    </row>
    <row r="5899" spans="1:9" ht="15" customHeight="1">
      <c r="A5899" s="199">
        <v>45748</v>
      </c>
      <c r="B5899" s="202" t="s">
        <v>4692</v>
      </c>
      <c r="C5899" s="200" t="s">
        <v>204</v>
      </c>
      <c r="D5899" s="774">
        <v>-7000</v>
      </c>
      <c r="E5899" s="201">
        <v>45748</v>
      </c>
      <c r="F5899" s="200" t="s">
        <v>296</v>
      </c>
      <c r="G5899" s="200" t="s">
        <v>1362</v>
      </c>
      <c r="H5899" s="200" t="s">
        <v>268</v>
      </c>
      <c r="I5899" s="200" t="s">
        <v>4690</v>
      </c>
    </row>
    <row r="5900" spans="1:9" ht="15" customHeight="1">
      <c r="A5900" s="199">
        <v>45750</v>
      </c>
      <c r="B5900" s="202" t="s">
        <v>3088</v>
      </c>
      <c r="C5900" s="200" t="s">
        <v>204</v>
      </c>
      <c r="D5900" s="774">
        <v>-20000</v>
      </c>
      <c r="E5900" s="201">
        <v>45748</v>
      </c>
      <c r="F5900" s="200" t="s">
        <v>296</v>
      </c>
      <c r="G5900" s="200" t="s">
        <v>1362</v>
      </c>
      <c r="H5900" s="200" t="s">
        <v>268</v>
      </c>
      <c r="I5900" s="200" t="s">
        <v>4690</v>
      </c>
    </row>
    <row r="5901" spans="1:9" ht="15" customHeight="1">
      <c r="A5901" s="199">
        <v>45751</v>
      </c>
      <c r="B5901" s="202" t="s">
        <v>4691</v>
      </c>
      <c r="C5901" s="200" t="s">
        <v>204</v>
      </c>
      <c r="D5901" s="774">
        <v>-20000</v>
      </c>
      <c r="E5901" s="201">
        <v>45748</v>
      </c>
      <c r="F5901" s="200" t="s">
        <v>296</v>
      </c>
      <c r="G5901" s="200" t="s">
        <v>1362</v>
      </c>
      <c r="H5901" s="200" t="s">
        <v>268</v>
      </c>
      <c r="I5901" s="200" t="s">
        <v>4690</v>
      </c>
    </row>
    <row r="5902" spans="1:9" ht="15" customHeight="1">
      <c r="A5902" s="199">
        <v>45750</v>
      </c>
      <c r="B5902" s="202" t="s">
        <v>1523</v>
      </c>
      <c r="C5902" s="200" t="s">
        <v>204</v>
      </c>
      <c r="D5902" s="774">
        <v>-9700</v>
      </c>
      <c r="E5902" s="201">
        <v>45748</v>
      </c>
      <c r="F5902" s="200" t="s">
        <v>296</v>
      </c>
      <c r="G5902" s="200" t="s">
        <v>1362</v>
      </c>
      <c r="H5902" s="200" t="s">
        <v>567</v>
      </c>
      <c r="I5902" s="200" t="s">
        <v>4690</v>
      </c>
    </row>
    <row r="5903" spans="1:9" ht="15" customHeight="1">
      <c r="A5903" s="199">
        <v>45750</v>
      </c>
      <c r="B5903" s="202" t="s">
        <v>1060</v>
      </c>
      <c r="C5903" s="200" t="s">
        <v>204</v>
      </c>
      <c r="D5903" s="774">
        <v>-4900</v>
      </c>
      <c r="E5903" s="201">
        <v>45748</v>
      </c>
      <c r="F5903" s="200" t="s">
        <v>296</v>
      </c>
      <c r="G5903" s="200" t="s">
        <v>1362</v>
      </c>
      <c r="H5903" s="200" t="s">
        <v>342</v>
      </c>
      <c r="I5903" s="200" t="s">
        <v>4690</v>
      </c>
    </row>
    <row r="5904" spans="1:9" ht="15" customHeight="1">
      <c r="A5904" s="199">
        <v>45750</v>
      </c>
      <c r="B5904" s="202" t="s">
        <v>4693</v>
      </c>
      <c r="C5904" s="200" t="s">
        <v>204</v>
      </c>
      <c r="D5904" s="774">
        <v>-7000</v>
      </c>
      <c r="E5904" s="201">
        <v>45748</v>
      </c>
      <c r="F5904" s="200" t="s">
        <v>296</v>
      </c>
      <c r="G5904" s="200" t="s">
        <v>1362</v>
      </c>
      <c r="H5904" s="200" t="s">
        <v>268</v>
      </c>
      <c r="I5904" s="200" t="s">
        <v>4690</v>
      </c>
    </row>
    <row r="5905" spans="1:9" ht="15" customHeight="1">
      <c r="A5905" s="199">
        <v>45750</v>
      </c>
      <c r="B5905" s="202" t="s">
        <v>4694</v>
      </c>
      <c r="C5905" s="200" t="s">
        <v>204</v>
      </c>
      <c r="D5905" s="774">
        <v>-70000</v>
      </c>
      <c r="E5905" s="201">
        <v>45748</v>
      </c>
      <c r="F5905" s="200" t="s">
        <v>296</v>
      </c>
      <c r="G5905" s="200" t="s">
        <v>1362</v>
      </c>
      <c r="H5905" s="200" t="s">
        <v>379</v>
      </c>
      <c r="I5905" s="200" t="s">
        <v>4690</v>
      </c>
    </row>
    <row r="5906" spans="1:9" ht="15" customHeight="1">
      <c r="A5906" s="199">
        <v>45750</v>
      </c>
      <c r="B5906" s="202" t="s">
        <v>4695</v>
      </c>
      <c r="C5906" s="200" t="s">
        <v>204</v>
      </c>
      <c r="D5906" s="774">
        <v>-252000</v>
      </c>
      <c r="E5906" s="201">
        <v>45748</v>
      </c>
      <c r="F5906" s="200" t="s">
        <v>296</v>
      </c>
      <c r="G5906" s="200" t="s">
        <v>1362</v>
      </c>
      <c r="H5906" s="200" t="s">
        <v>350</v>
      </c>
      <c r="I5906" s="200" t="s">
        <v>4690</v>
      </c>
    </row>
    <row r="5907" spans="1:9" ht="15" customHeight="1">
      <c r="A5907" s="199">
        <v>45751</v>
      </c>
      <c r="B5907" s="202" t="s">
        <v>1060</v>
      </c>
      <c r="C5907" s="200" t="s">
        <v>204</v>
      </c>
      <c r="D5907" s="774">
        <v>-30900</v>
      </c>
      <c r="E5907" s="201">
        <v>45748</v>
      </c>
      <c r="F5907" s="200" t="s">
        <v>296</v>
      </c>
      <c r="G5907" s="200" t="s">
        <v>1362</v>
      </c>
      <c r="H5907" s="200" t="s">
        <v>342</v>
      </c>
      <c r="I5907" s="200" t="s">
        <v>4690</v>
      </c>
    </row>
    <row r="5908" spans="1:9" ht="15" customHeight="1">
      <c r="A5908" s="199">
        <v>45751</v>
      </c>
      <c r="B5908" s="202" t="s">
        <v>4696</v>
      </c>
      <c r="C5908" s="200" t="s">
        <v>204</v>
      </c>
      <c r="D5908" s="774">
        <v>-48000</v>
      </c>
      <c r="E5908" s="201">
        <v>45748</v>
      </c>
      <c r="F5908" s="200" t="s">
        <v>296</v>
      </c>
      <c r="G5908" s="200" t="s">
        <v>1362</v>
      </c>
      <c r="H5908" s="200" t="s">
        <v>342</v>
      </c>
      <c r="I5908" s="200" t="s">
        <v>4690</v>
      </c>
    </row>
    <row r="5909" spans="1:9" ht="15" customHeight="1">
      <c r="A5909" s="199">
        <v>45751</v>
      </c>
      <c r="B5909" s="202" t="s">
        <v>4697</v>
      </c>
      <c r="C5909" s="200" t="s">
        <v>204</v>
      </c>
      <c r="D5909" s="774">
        <v>-15543</v>
      </c>
      <c r="E5909" s="201">
        <v>45748</v>
      </c>
      <c r="F5909" s="200" t="s">
        <v>296</v>
      </c>
      <c r="G5909" s="200" t="s">
        <v>1362</v>
      </c>
      <c r="H5909" s="200" t="s">
        <v>342</v>
      </c>
      <c r="I5909" s="200" t="s">
        <v>4690</v>
      </c>
    </row>
    <row r="5910" spans="1:9" ht="15" customHeight="1">
      <c r="A5910" s="199">
        <v>45751</v>
      </c>
      <c r="B5910" s="202" t="s">
        <v>4698</v>
      </c>
      <c r="C5910" s="200" t="s">
        <v>204</v>
      </c>
      <c r="D5910" s="774">
        <v>-3950</v>
      </c>
      <c r="E5910" s="201">
        <v>45748</v>
      </c>
      <c r="F5910" s="200" t="s">
        <v>296</v>
      </c>
      <c r="G5910" s="200" t="s">
        <v>1362</v>
      </c>
      <c r="H5910" s="200" t="s">
        <v>342</v>
      </c>
      <c r="I5910" s="200" t="s">
        <v>4690</v>
      </c>
    </row>
    <row r="5911" spans="1:9" ht="15" customHeight="1">
      <c r="A5911" s="199">
        <v>45751</v>
      </c>
      <c r="B5911" s="202" t="s">
        <v>4699</v>
      </c>
      <c r="C5911" s="200" t="s">
        <v>204</v>
      </c>
      <c r="D5911" s="774">
        <v>-6000</v>
      </c>
      <c r="E5911" s="201">
        <v>45748</v>
      </c>
      <c r="F5911" s="200" t="s">
        <v>296</v>
      </c>
      <c r="G5911" s="200" t="s">
        <v>1362</v>
      </c>
      <c r="H5911" s="200" t="s">
        <v>350</v>
      </c>
      <c r="I5911" s="200" t="s">
        <v>4690</v>
      </c>
    </row>
    <row r="5912" spans="1:9" ht="15" customHeight="1">
      <c r="A5912" s="199">
        <v>45751</v>
      </c>
      <c r="B5912" s="202" t="s">
        <v>4700</v>
      </c>
      <c r="C5912" s="200" t="s">
        <v>204</v>
      </c>
      <c r="D5912" s="774">
        <v>-12900</v>
      </c>
      <c r="E5912" s="201">
        <v>45748</v>
      </c>
      <c r="F5912" s="200" t="s">
        <v>296</v>
      </c>
      <c r="G5912" s="200" t="s">
        <v>1362</v>
      </c>
      <c r="H5912" s="200" t="s">
        <v>350</v>
      </c>
      <c r="I5912" s="200" t="s">
        <v>4690</v>
      </c>
    </row>
    <row r="5913" spans="1:9" ht="15" customHeight="1">
      <c r="A5913" s="199">
        <v>45751</v>
      </c>
      <c r="B5913" s="202" t="s">
        <v>4692</v>
      </c>
      <c r="C5913" s="200" t="s">
        <v>204</v>
      </c>
      <c r="D5913" s="774">
        <v>-7000</v>
      </c>
      <c r="E5913" s="201">
        <v>45748</v>
      </c>
      <c r="F5913" s="200" t="s">
        <v>296</v>
      </c>
      <c r="G5913" s="200" t="s">
        <v>1362</v>
      </c>
      <c r="H5913" s="200" t="s">
        <v>268</v>
      </c>
      <c r="I5913" s="200" t="s">
        <v>4690</v>
      </c>
    </row>
    <row r="5914" spans="1:9" ht="15" customHeight="1">
      <c r="A5914" s="199">
        <v>45756</v>
      </c>
      <c r="B5914" s="202" t="s">
        <v>4692</v>
      </c>
      <c r="C5914" s="200" t="s">
        <v>204</v>
      </c>
      <c r="D5914" s="774">
        <v>-7000</v>
      </c>
      <c r="E5914" s="201">
        <v>45748</v>
      </c>
      <c r="F5914" s="200" t="s">
        <v>296</v>
      </c>
      <c r="G5914" s="200" t="s">
        <v>1362</v>
      </c>
      <c r="H5914" s="200" t="s">
        <v>268</v>
      </c>
      <c r="I5914" s="200" t="s">
        <v>4690</v>
      </c>
    </row>
    <row r="5915" spans="1:9" ht="15" customHeight="1">
      <c r="A5915" s="199">
        <v>45756</v>
      </c>
      <c r="B5915" s="202" t="s">
        <v>3088</v>
      </c>
      <c r="C5915" s="200" t="s">
        <v>204</v>
      </c>
      <c r="D5915" s="774">
        <v>-20000</v>
      </c>
      <c r="E5915" s="201">
        <v>45748</v>
      </c>
      <c r="F5915" s="200" t="s">
        <v>296</v>
      </c>
      <c r="G5915" s="200" t="s">
        <v>1362</v>
      </c>
      <c r="H5915" s="200" t="s">
        <v>268</v>
      </c>
      <c r="I5915" s="200" t="s">
        <v>4690</v>
      </c>
    </row>
    <row r="5916" spans="1:9" ht="15" customHeight="1">
      <c r="A5916" s="199">
        <v>45758</v>
      </c>
      <c r="B5916" s="202" t="s">
        <v>4701</v>
      </c>
      <c r="C5916" s="200" t="s">
        <v>204</v>
      </c>
      <c r="D5916" s="774">
        <v>-80000</v>
      </c>
      <c r="E5916" s="201">
        <v>45748</v>
      </c>
      <c r="F5916" s="200" t="s">
        <v>256</v>
      </c>
      <c r="G5916" s="200" t="s">
        <v>256</v>
      </c>
      <c r="H5916" s="200" t="s">
        <v>266</v>
      </c>
    </row>
    <row r="5917" spans="1:9" ht="15" customHeight="1">
      <c r="A5917" s="199">
        <v>45758</v>
      </c>
      <c r="B5917" s="202" t="s">
        <v>4702</v>
      </c>
      <c r="C5917" s="200" t="s">
        <v>204</v>
      </c>
      <c r="D5917" s="774">
        <v>-260950</v>
      </c>
      <c r="E5917" s="201">
        <v>45748</v>
      </c>
      <c r="F5917" s="200" t="s">
        <v>296</v>
      </c>
      <c r="G5917" s="200" t="s">
        <v>807</v>
      </c>
      <c r="H5917" s="200" t="s">
        <v>1079</v>
      </c>
    </row>
    <row r="5918" spans="1:9" ht="15" customHeight="1">
      <c r="A5918" s="199">
        <v>45758</v>
      </c>
      <c r="B5918" s="202" t="s">
        <v>4703</v>
      </c>
      <c r="C5918" s="200" t="s">
        <v>204</v>
      </c>
      <c r="D5918" s="774">
        <v>-16699431</v>
      </c>
      <c r="E5918" s="201">
        <v>45748</v>
      </c>
      <c r="F5918" s="200" t="s">
        <v>297</v>
      </c>
      <c r="G5918" s="200" t="s">
        <v>3892</v>
      </c>
      <c r="H5918" s="200" t="s">
        <v>857</v>
      </c>
    </row>
    <row r="5919" spans="1:9" ht="15" customHeight="1">
      <c r="A5919" s="199">
        <v>45758</v>
      </c>
      <c r="B5919" s="202" t="s">
        <v>4704</v>
      </c>
      <c r="C5919" s="200" t="s">
        <v>204</v>
      </c>
      <c r="D5919" s="774">
        <v>-65834440</v>
      </c>
      <c r="E5919" s="201">
        <v>45748</v>
      </c>
      <c r="F5919" s="200" t="s">
        <v>296</v>
      </c>
      <c r="G5919" s="200" t="s">
        <v>1980</v>
      </c>
      <c r="H5919" s="200" t="s">
        <v>1104</v>
      </c>
    </row>
    <row r="5920" spans="1:9" ht="15" customHeight="1">
      <c r="A5920" s="199">
        <v>45758</v>
      </c>
      <c r="B5920" s="202" t="s">
        <v>4705</v>
      </c>
      <c r="C5920" s="200" t="s">
        <v>204</v>
      </c>
      <c r="D5920" s="774">
        <v>-966168</v>
      </c>
      <c r="E5920" s="201">
        <v>45748</v>
      </c>
      <c r="F5920" s="200" t="s">
        <v>296</v>
      </c>
      <c r="G5920" s="200" t="s">
        <v>415</v>
      </c>
      <c r="H5920" s="200" t="s">
        <v>377</v>
      </c>
    </row>
    <row r="5921" spans="1:8" ht="15" customHeight="1">
      <c r="A5921" s="199">
        <v>45758</v>
      </c>
      <c r="B5921" s="202" t="s">
        <v>4706</v>
      </c>
      <c r="C5921" s="200" t="s">
        <v>372</v>
      </c>
      <c r="D5921" s="204">
        <v>-5832</v>
      </c>
      <c r="E5921" s="201">
        <v>45748</v>
      </c>
      <c r="F5921" s="200" t="s">
        <v>296</v>
      </c>
      <c r="G5921" s="200" t="s">
        <v>415</v>
      </c>
      <c r="H5921" s="200" t="s">
        <v>377</v>
      </c>
    </row>
    <row r="5922" spans="1:8" ht="15" customHeight="1">
      <c r="A5922" s="199">
        <v>45758</v>
      </c>
      <c r="B5922" s="202" t="s">
        <v>4707</v>
      </c>
      <c r="C5922" s="200" t="s">
        <v>204</v>
      </c>
      <c r="D5922" s="774">
        <v>-590400</v>
      </c>
      <c r="E5922" s="201">
        <v>45748</v>
      </c>
      <c r="F5922" s="200" t="s">
        <v>296</v>
      </c>
      <c r="G5922" s="200" t="s">
        <v>513</v>
      </c>
      <c r="H5922" s="200" t="s">
        <v>442</v>
      </c>
    </row>
    <row r="5923" spans="1:8" ht="15" customHeight="1">
      <c r="A5923" s="199">
        <v>45758</v>
      </c>
      <c r="B5923" s="202" t="s">
        <v>4708</v>
      </c>
      <c r="C5923" s="200" t="s">
        <v>204</v>
      </c>
      <c r="D5923" s="774">
        <v>-6604224</v>
      </c>
      <c r="E5923" s="201">
        <v>45748</v>
      </c>
      <c r="F5923" s="200" t="s">
        <v>296</v>
      </c>
      <c r="G5923" s="200" t="s">
        <v>1362</v>
      </c>
      <c r="H5923" s="200" t="s">
        <v>377</v>
      </c>
    </row>
    <row r="5924" spans="1:8" ht="15" customHeight="1">
      <c r="A5924" s="199">
        <v>45758</v>
      </c>
      <c r="B5924" s="202" t="s">
        <v>4709</v>
      </c>
      <c r="C5924" s="200" t="s">
        <v>372</v>
      </c>
      <c r="D5924" s="204">
        <v>-289659</v>
      </c>
      <c r="E5924" s="201">
        <v>45748</v>
      </c>
      <c r="F5924" s="200" t="s">
        <v>296</v>
      </c>
      <c r="G5924" s="200" t="s">
        <v>1362</v>
      </c>
      <c r="H5924" s="200" t="s">
        <v>377</v>
      </c>
    </row>
    <row r="5925" spans="1:8" ht="15" customHeight="1">
      <c r="A5925" s="199">
        <v>45758</v>
      </c>
      <c r="B5925" s="202" t="s">
        <v>4710</v>
      </c>
      <c r="C5925" s="200" t="s">
        <v>204</v>
      </c>
      <c r="D5925" s="774">
        <v>-3894907</v>
      </c>
      <c r="E5925" s="201">
        <v>45748</v>
      </c>
      <c r="F5925" s="200" t="s">
        <v>296</v>
      </c>
      <c r="G5925" s="200" t="s">
        <v>3360</v>
      </c>
      <c r="H5925" s="200" t="s">
        <v>377</v>
      </c>
    </row>
    <row r="5926" spans="1:8" ht="15" customHeight="1">
      <c r="A5926" s="199">
        <v>45758</v>
      </c>
      <c r="B5926" s="202" t="s">
        <v>4711</v>
      </c>
      <c r="C5926" s="200" t="s">
        <v>372</v>
      </c>
      <c r="D5926" s="204">
        <v>-170829</v>
      </c>
      <c r="E5926" s="201">
        <v>45748</v>
      </c>
      <c r="F5926" s="200" t="s">
        <v>296</v>
      </c>
      <c r="G5926" s="200" t="s">
        <v>3360</v>
      </c>
      <c r="H5926" s="200" t="s">
        <v>377</v>
      </c>
    </row>
    <row r="5927" spans="1:8" ht="15" customHeight="1">
      <c r="A5927" s="199">
        <v>45758</v>
      </c>
      <c r="B5927" s="202" t="s">
        <v>4712</v>
      </c>
      <c r="C5927" s="200" t="s">
        <v>204</v>
      </c>
      <c r="D5927" s="774">
        <v>-4181400</v>
      </c>
      <c r="E5927" s="665">
        <v>45748</v>
      </c>
      <c r="F5927" s="648" t="s">
        <v>256</v>
      </c>
      <c r="G5927" s="648" t="s">
        <v>107</v>
      </c>
      <c r="H5927" s="648" t="s">
        <v>777</v>
      </c>
    </row>
    <row r="5928" spans="1:8" ht="15" customHeight="1">
      <c r="A5928" s="199">
        <v>45758</v>
      </c>
      <c r="B5928" s="202" t="s">
        <v>4713</v>
      </c>
      <c r="C5928" s="200" t="s">
        <v>372</v>
      </c>
      <c r="D5928" s="204">
        <v>-102600</v>
      </c>
      <c r="E5928" s="662">
        <v>45748</v>
      </c>
      <c r="F5928" s="200" t="s">
        <v>256</v>
      </c>
      <c r="G5928" s="200" t="s">
        <v>107</v>
      </c>
      <c r="H5928" s="200" t="s">
        <v>777</v>
      </c>
    </row>
    <row r="5929" spans="1:8" ht="15" customHeight="1">
      <c r="A5929" s="199">
        <v>45758</v>
      </c>
      <c r="B5929" s="202" t="s">
        <v>4714</v>
      </c>
      <c r="C5929" s="200" t="s">
        <v>204</v>
      </c>
      <c r="D5929" s="774">
        <v>-7800000</v>
      </c>
      <c r="E5929" s="662">
        <v>45748</v>
      </c>
      <c r="F5929" s="200" t="s">
        <v>296</v>
      </c>
      <c r="G5929" s="200" t="s">
        <v>1825</v>
      </c>
      <c r="H5929" s="200" t="s">
        <v>2659</v>
      </c>
    </row>
    <row r="5930" spans="1:8" ht="15" customHeight="1">
      <c r="A5930" s="199">
        <v>45758</v>
      </c>
      <c r="B5930" s="202" t="s">
        <v>4715</v>
      </c>
      <c r="C5930" s="200" t="s">
        <v>204</v>
      </c>
      <c r="D5930" s="774">
        <v>-800000</v>
      </c>
      <c r="E5930" s="662">
        <v>45748</v>
      </c>
      <c r="F5930" s="200" t="s">
        <v>296</v>
      </c>
      <c r="G5930" s="200" t="s">
        <v>453</v>
      </c>
      <c r="H5930" s="200" t="s">
        <v>103</v>
      </c>
    </row>
    <row r="5931" spans="1:8" ht="15" customHeight="1">
      <c r="A5931" s="199">
        <v>45758</v>
      </c>
      <c r="B5931" s="202" t="s">
        <v>4716</v>
      </c>
      <c r="C5931" s="200" t="s">
        <v>204</v>
      </c>
      <c r="D5931" s="774">
        <v>-800000</v>
      </c>
      <c r="E5931" s="662">
        <v>45748</v>
      </c>
      <c r="F5931" s="200" t="s">
        <v>296</v>
      </c>
      <c r="G5931" s="200" t="s">
        <v>453</v>
      </c>
      <c r="H5931" s="200" t="s">
        <v>103</v>
      </c>
    </row>
    <row r="5932" spans="1:8" ht="15" customHeight="1">
      <c r="A5932" s="199">
        <v>45758</v>
      </c>
      <c r="B5932" s="202" t="s">
        <v>4717</v>
      </c>
      <c r="C5932" s="200" t="s">
        <v>204</v>
      </c>
      <c r="D5932" s="774">
        <v>-800000</v>
      </c>
      <c r="E5932" s="662">
        <v>45748</v>
      </c>
      <c r="F5932" s="200" t="s">
        <v>296</v>
      </c>
      <c r="G5932" s="200" t="s">
        <v>453</v>
      </c>
      <c r="H5932" s="200" t="s">
        <v>103</v>
      </c>
    </row>
    <row r="5933" spans="1:8" ht="15" customHeight="1">
      <c r="A5933" s="199">
        <v>45758</v>
      </c>
      <c r="B5933" s="202" t="s">
        <v>4718</v>
      </c>
      <c r="C5933" s="200" t="s">
        <v>204</v>
      </c>
      <c r="D5933" s="774">
        <v>-22761375</v>
      </c>
      <c r="E5933" s="662">
        <v>45748</v>
      </c>
      <c r="F5933" s="200" t="s">
        <v>296</v>
      </c>
      <c r="G5933" s="200" t="s">
        <v>1980</v>
      </c>
      <c r="H5933" s="200" t="s">
        <v>429</v>
      </c>
    </row>
    <row r="5934" spans="1:8" ht="15" customHeight="1">
      <c r="A5934" s="199">
        <v>45758</v>
      </c>
      <c r="B5934" s="202" t="s">
        <v>4719</v>
      </c>
      <c r="C5934" s="200" t="s">
        <v>372</v>
      </c>
      <c r="D5934" s="204">
        <v>-583625</v>
      </c>
      <c r="E5934" s="662">
        <v>45748</v>
      </c>
      <c r="F5934" s="200" t="s">
        <v>296</v>
      </c>
      <c r="G5934" s="200" t="s">
        <v>1980</v>
      </c>
      <c r="H5934" s="200" t="s">
        <v>429</v>
      </c>
    </row>
    <row r="5935" spans="1:8" ht="15" customHeight="1">
      <c r="A5935" s="199">
        <v>45758</v>
      </c>
      <c r="B5935" s="202" t="s">
        <v>4720</v>
      </c>
      <c r="C5935" s="200" t="s">
        <v>204</v>
      </c>
      <c r="D5935" s="774">
        <v>-122000</v>
      </c>
      <c r="E5935" s="662">
        <v>45748</v>
      </c>
      <c r="F5935" s="200" t="s">
        <v>296</v>
      </c>
      <c r="G5935" s="200" t="s">
        <v>1124</v>
      </c>
      <c r="H5935" s="200" t="s">
        <v>350</v>
      </c>
    </row>
    <row r="5936" spans="1:8" ht="15" customHeight="1">
      <c r="A5936" s="199">
        <v>45758</v>
      </c>
      <c r="B5936" s="202" t="s">
        <v>4721</v>
      </c>
      <c r="C5936" s="200" t="s">
        <v>204</v>
      </c>
      <c r="D5936" s="774">
        <v>-77700</v>
      </c>
      <c r="E5936" s="662">
        <v>45748</v>
      </c>
      <c r="F5936" s="200" t="s">
        <v>296</v>
      </c>
      <c r="G5936" s="200" t="s">
        <v>2994</v>
      </c>
      <c r="H5936" s="200" t="s">
        <v>350</v>
      </c>
    </row>
    <row r="5937" spans="1:8" ht="15" customHeight="1">
      <c r="A5937" s="199">
        <v>45758</v>
      </c>
      <c r="B5937" s="202" t="s">
        <v>4722</v>
      </c>
      <c r="C5937" s="200" t="s">
        <v>204</v>
      </c>
      <c r="D5937" s="774">
        <v>-721159</v>
      </c>
      <c r="E5937" s="662">
        <v>45748</v>
      </c>
      <c r="F5937" s="200" t="s">
        <v>256</v>
      </c>
      <c r="G5937" s="200" t="s">
        <v>256</v>
      </c>
      <c r="H5937" s="200" t="s">
        <v>263</v>
      </c>
    </row>
    <row r="5938" spans="1:8" ht="15" customHeight="1">
      <c r="A5938" s="199">
        <v>45758</v>
      </c>
      <c r="B5938" s="202" t="s">
        <v>4723</v>
      </c>
      <c r="C5938" s="200" t="s">
        <v>204</v>
      </c>
      <c r="D5938" s="774">
        <v>-29948</v>
      </c>
      <c r="E5938" s="662">
        <v>45748</v>
      </c>
      <c r="F5938" s="200" t="s">
        <v>296</v>
      </c>
      <c r="G5938" s="200" t="s">
        <v>2994</v>
      </c>
      <c r="H5938" s="200" t="s">
        <v>350</v>
      </c>
    </row>
    <row r="5939" spans="1:8" ht="15" customHeight="1">
      <c r="A5939" s="199">
        <v>45758</v>
      </c>
      <c r="B5939" s="202" t="s">
        <v>4724</v>
      </c>
      <c r="C5939" s="200" t="s">
        <v>372</v>
      </c>
      <c r="D5939" s="204">
        <v>-152</v>
      </c>
      <c r="E5939" s="662">
        <v>45748</v>
      </c>
      <c r="F5939" s="200" t="s">
        <v>296</v>
      </c>
      <c r="G5939" s="200" t="s">
        <v>2994</v>
      </c>
      <c r="H5939" s="200" t="s">
        <v>350</v>
      </c>
    </row>
    <row r="5940" spans="1:8" ht="15" customHeight="1">
      <c r="A5940" s="199">
        <v>45758</v>
      </c>
      <c r="B5940" s="202" t="s">
        <v>4723</v>
      </c>
      <c r="C5940" s="200" t="s">
        <v>204</v>
      </c>
      <c r="D5940" s="774">
        <v>-92650</v>
      </c>
      <c r="E5940" s="662">
        <v>45748</v>
      </c>
      <c r="F5940" s="200" t="s">
        <v>296</v>
      </c>
      <c r="G5940" s="200" t="s">
        <v>328</v>
      </c>
      <c r="H5940" s="200" t="s">
        <v>350</v>
      </c>
    </row>
    <row r="5941" spans="1:8" ht="15" customHeight="1">
      <c r="A5941" s="199">
        <v>45758</v>
      </c>
      <c r="B5941" s="202" t="s">
        <v>4724</v>
      </c>
      <c r="C5941" s="200" t="s">
        <v>372</v>
      </c>
      <c r="D5941" s="204">
        <v>-470</v>
      </c>
      <c r="E5941" s="662">
        <v>45748</v>
      </c>
      <c r="F5941" s="200" t="s">
        <v>296</v>
      </c>
      <c r="G5941" s="200" t="s">
        <v>328</v>
      </c>
      <c r="H5941" s="200" t="s">
        <v>350</v>
      </c>
    </row>
    <row r="5942" spans="1:8" ht="15" customHeight="1">
      <c r="A5942" s="199">
        <v>45758</v>
      </c>
      <c r="B5942" s="202" t="s">
        <v>4725</v>
      </c>
      <c r="C5942" s="200" t="s">
        <v>204</v>
      </c>
      <c r="D5942" s="774">
        <v>-255624</v>
      </c>
      <c r="E5942" s="662">
        <v>45748</v>
      </c>
      <c r="F5942" s="200" t="s">
        <v>296</v>
      </c>
      <c r="G5942" s="200" t="s">
        <v>328</v>
      </c>
      <c r="H5942" s="200" t="s">
        <v>350</v>
      </c>
    </row>
    <row r="5943" spans="1:8" ht="15" customHeight="1">
      <c r="A5943" s="199">
        <v>45758</v>
      </c>
      <c r="B5943" s="202" t="s">
        <v>4726</v>
      </c>
      <c r="C5943" s="200" t="s">
        <v>372</v>
      </c>
      <c r="D5943" s="204">
        <v>-1295</v>
      </c>
      <c r="E5943" s="662">
        <v>45748</v>
      </c>
      <c r="F5943" s="200" t="s">
        <v>296</v>
      </c>
      <c r="G5943" s="200" t="s">
        <v>328</v>
      </c>
      <c r="H5943" s="200" t="s">
        <v>350</v>
      </c>
    </row>
    <row r="5944" spans="1:8" ht="15" customHeight="1">
      <c r="A5944" s="199">
        <v>45758</v>
      </c>
      <c r="B5944" s="202" t="s">
        <v>4727</v>
      </c>
      <c r="C5944" s="200" t="s">
        <v>204</v>
      </c>
      <c r="D5944" s="774">
        <v>-919342</v>
      </c>
      <c r="E5944" s="662">
        <v>45748</v>
      </c>
      <c r="F5944" s="200" t="s">
        <v>296</v>
      </c>
      <c r="G5944" s="200" t="s">
        <v>44</v>
      </c>
      <c r="H5944" s="200" t="s">
        <v>421</v>
      </c>
    </row>
    <row r="5945" spans="1:8" ht="15" customHeight="1">
      <c r="A5945" s="199">
        <v>45758</v>
      </c>
      <c r="B5945" s="202" t="s">
        <v>4728</v>
      </c>
      <c r="C5945" s="200" t="s">
        <v>372</v>
      </c>
      <c r="D5945" s="204">
        <v>-3209</v>
      </c>
      <c r="E5945" s="662">
        <v>45748</v>
      </c>
      <c r="F5945" s="200" t="s">
        <v>296</v>
      </c>
      <c r="G5945" s="200" t="s">
        <v>44</v>
      </c>
      <c r="H5945" s="200" t="s">
        <v>421</v>
      </c>
    </row>
    <row r="5946" spans="1:8" ht="15" customHeight="1">
      <c r="A5946" s="199">
        <v>45758</v>
      </c>
      <c r="B5946" s="202" t="s">
        <v>4729</v>
      </c>
      <c r="C5946" s="200" t="s">
        <v>204</v>
      </c>
      <c r="D5946" s="774">
        <v>-760601</v>
      </c>
      <c r="E5946" s="662">
        <v>45748</v>
      </c>
      <c r="F5946" s="200" t="s">
        <v>296</v>
      </c>
      <c r="G5946" s="200" t="s">
        <v>44</v>
      </c>
      <c r="H5946" s="200" t="s">
        <v>421</v>
      </c>
    </row>
    <row r="5947" spans="1:8" ht="15" customHeight="1">
      <c r="A5947" s="199">
        <v>45758</v>
      </c>
      <c r="B5947" s="202" t="s">
        <v>4730</v>
      </c>
      <c r="C5947" s="200" t="s">
        <v>372</v>
      </c>
      <c r="D5947" s="204">
        <v>-3209</v>
      </c>
      <c r="E5947" s="662">
        <v>45748</v>
      </c>
      <c r="F5947" s="200" t="s">
        <v>296</v>
      </c>
      <c r="G5947" s="200" t="s">
        <v>44</v>
      </c>
      <c r="H5947" s="200" t="s">
        <v>421</v>
      </c>
    </row>
    <row r="5948" spans="1:8" ht="15" customHeight="1">
      <c r="A5948" s="199">
        <v>45758</v>
      </c>
      <c r="B5948" s="202" t="s">
        <v>4731</v>
      </c>
      <c r="C5948" s="200" t="s">
        <v>204</v>
      </c>
      <c r="D5948" s="774">
        <v>-80000</v>
      </c>
      <c r="E5948" s="662">
        <v>45748</v>
      </c>
      <c r="F5948" s="200" t="s">
        <v>256</v>
      </c>
      <c r="G5948" s="200" t="s">
        <v>256</v>
      </c>
      <c r="H5948" s="200" t="s">
        <v>269</v>
      </c>
    </row>
    <row r="5949" spans="1:8" ht="15" customHeight="1">
      <c r="A5949" s="199">
        <v>45758</v>
      </c>
      <c r="B5949" s="202" t="s">
        <v>4732</v>
      </c>
      <c r="C5949" s="200" t="s">
        <v>204</v>
      </c>
      <c r="D5949" s="774">
        <v>-153440</v>
      </c>
      <c r="E5949" s="662">
        <v>45748</v>
      </c>
      <c r="F5949" s="200" t="s">
        <v>256</v>
      </c>
      <c r="G5949" s="200" t="s">
        <v>256</v>
      </c>
      <c r="H5949" s="200" t="s">
        <v>269</v>
      </c>
    </row>
    <row r="5950" spans="1:8" ht="15" customHeight="1">
      <c r="A5950" s="199">
        <v>45758</v>
      </c>
      <c r="B5950" s="202" t="s">
        <v>4733</v>
      </c>
      <c r="C5950" s="200" t="s">
        <v>204</v>
      </c>
      <c r="D5950" s="774">
        <v>-80000</v>
      </c>
      <c r="E5950" s="662">
        <v>45748</v>
      </c>
      <c r="F5950" s="200" t="s">
        <v>256</v>
      </c>
      <c r="G5950" s="200" t="s">
        <v>107</v>
      </c>
      <c r="H5950" s="200" t="s">
        <v>275</v>
      </c>
    </row>
    <row r="5951" spans="1:8" ht="15" customHeight="1">
      <c r="A5951" s="199">
        <v>45758</v>
      </c>
      <c r="B5951" s="202" t="s">
        <v>4734</v>
      </c>
      <c r="C5951" s="200" t="s">
        <v>204</v>
      </c>
      <c r="D5951" s="774">
        <v>-153440</v>
      </c>
      <c r="E5951" s="662">
        <v>45748</v>
      </c>
      <c r="F5951" s="200" t="s">
        <v>256</v>
      </c>
      <c r="G5951" s="200" t="s">
        <v>107</v>
      </c>
      <c r="H5951" s="200" t="s">
        <v>275</v>
      </c>
    </row>
    <row r="5952" spans="1:8" ht="15" customHeight="1">
      <c r="A5952" s="199">
        <v>45761</v>
      </c>
      <c r="B5952" s="202" t="s">
        <v>4735</v>
      </c>
      <c r="C5952" s="200" t="s">
        <v>204</v>
      </c>
      <c r="D5952" s="642">
        <v>-1450000</v>
      </c>
      <c r="E5952" s="662">
        <v>45748</v>
      </c>
      <c r="F5952" s="200" t="s">
        <v>296</v>
      </c>
      <c r="G5952" s="200" t="s">
        <v>453</v>
      </c>
      <c r="H5952" s="200" t="s">
        <v>97</v>
      </c>
    </row>
    <row r="5953" spans="1:8" ht="15" customHeight="1">
      <c r="A5953" s="199">
        <v>45761</v>
      </c>
      <c r="B5953" s="202" t="s">
        <v>4736</v>
      </c>
      <c r="C5953" s="200" t="s">
        <v>204</v>
      </c>
      <c r="D5953" s="642">
        <v>-114110</v>
      </c>
      <c r="E5953" s="662">
        <v>45748</v>
      </c>
      <c r="F5953" s="200" t="s">
        <v>256</v>
      </c>
      <c r="G5953" s="200" t="s">
        <v>256</v>
      </c>
      <c r="H5953" s="200" t="s">
        <v>265</v>
      </c>
    </row>
    <row r="5954" spans="1:8" ht="15" customHeight="1">
      <c r="A5954" s="199">
        <v>45761</v>
      </c>
      <c r="B5954" s="202" t="s">
        <v>4737</v>
      </c>
      <c r="C5954" s="200" t="s">
        <v>204</v>
      </c>
      <c r="D5954" s="642">
        <v>-19700</v>
      </c>
      <c r="E5954" s="662">
        <v>45748</v>
      </c>
      <c r="F5954" s="200" t="s">
        <v>256</v>
      </c>
      <c r="G5954" s="200" t="s">
        <v>256</v>
      </c>
      <c r="H5954" s="200" t="s">
        <v>265</v>
      </c>
    </row>
    <row r="5955" spans="1:8" ht="15" customHeight="1">
      <c r="A5955" s="199">
        <v>45762</v>
      </c>
      <c r="B5955" s="202" t="s">
        <v>4738</v>
      </c>
      <c r="C5955" s="200" t="s">
        <v>204</v>
      </c>
      <c r="D5955" s="642">
        <v>-115333</v>
      </c>
      <c r="E5955" s="662">
        <v>45748</v>
      </c>
      <c r="F5955" s="200" t="s">
        <v>256</v>
      </c>
      <c r="G5955" s="200" t="s">
        <v>256</v>
      </c>
      <c r="H5955" s="200" t="s">
        <v>115</v>
      </c>
    </row>
    <row r="5956" spans="1:8" ht="15" customHeight="1">
      <c r="A5956" s="199">
        <v>45762</v>
      </c>
      <c r="B5956" s="202" t="s">
        <v>4739</v>
      </c>
      <c r="C5956" s="200" t="s">
        <v>204</v>
      </c>
      <c r="D5956" s="642">
        <v>-11600</v>
      </c>
      <c r="E5956" s="662">
        <v>45748</v>
      </c>
      <c r="F5956" s="200" t="s">
        <v>296</v>
      </c>
      <c r="G5956" s="200" t="s">
        <v>807</v>
      </c>
      <c r="H5956" s="200" t="s">
        <v>322</v>
      </c>
    </row>
    <row r="5957" spans="1:8" ht="15" customHeight="1">
      <c r="A5957" s="199">
        <v>45762</v>
      </c>
      <c r="B5957" s="202" t="s">
        <v>4740</v>
      </c>
      <c r="C5957" s="200" t="s">
        <v>204</v>
      </c>
      <c r="D5957" s="642">
        <v>-932561</v>
      </c>
      <c r="E5957" s="665">
        <v>45748</v>
      </c>
      <c r="F5957" s="648" t="s">
        <v>296</v>
      </c>
      <c r="G5957" s="648" t="s">
        <v>1561</v>
      </c>
      <c r="H5957" s="648"/>
    </row>
    <row r="5958" spans="1:8" ht="15" customHeight="1">
      <c r="A5958" s="199">
        <v>45762</v>
      </c>
      <c r="B5958" s="202" t="s">
        <v>4741</v>
      </c>
      <c r="C5958" s="200" t="s">
        <v>204</v>
      </c>
      <c r="D5958" s="642">
        <v>-210000000</v>
      </c>
      <c r="E5958" s="665">
        <v>45748</v>
      </c>
      <c r="F5958" s="648" t="s">
        <v>296</v>
      </c>
      <c r="G5958" s="648" t="s">
        <v>1561</v>
      </c>
      <c r="H5958" s="648"/>
    </row>
    <row r="5959" spans="1:8" ht="15" customHeight="1">
      <c r="A5959" s="199">
        <v>45762</v>
      </c>
      <c r="B5959" s="202" t="s">
        <v>4742</v>
      </c>
      <c r="C5959" s="200" t="s">
        <v>204</v>
      </c>
      <c r="D5959" s="642">
        <v>-700000</v>
      </c>
      <c r="E5959" s="662">
        <v>45748</v>
      </c>
      <c r="F5959" s="200" t="s">
        <v>296</v>
      </c>
      <c r="G5959" s="200" t="s">
        <v>453</v>
      </c>
      <c r="H5959" s="200" t="s">
        <v>100</v>
      </c>
    </row>
    <row r="5960" spans="1:8" ht="15" customHeight="1">
      <c r="A5960" s="199">
        <v>45762</v>
      </c>
      <c r="B5960" s="202" t="s">
        <v>4743</v>
      </c>
      <c r="C5960" s="200" t="s">
        <v>204</v>
      </c>
      <c r="D5960" s="642">
        <v>-88867565</v>
      </c>
      <c r="E5960" s="662">
        <v>45748</v>
      </c>
      <c r="F5960" s="200" t="s">
        <v>296</v>
      </c>
      <c r="G5960" s="200" t="s">
        <v>522</v>
      </c>
      <c r="H5960" s="200" t="s">
        <v>1651</v>
      </c>
    </row>
    <row r="5961" spans="1:8" ht="15" customHeight="1">
      <c r="A5961" s="199">
        <v>45762</v>
      </c>
      <c r="B5961" s="202" t="s">
        <v>4744</v>
      </c>
      <c r="C5961" s="200" t="s">
        <v>372</v>
      </c>
      <c r="D5961" s="204">
        <v>-3571535</v>
      </c>
      <c r="E5961" s="662">
        <v>45748</v>
      </c>
      <c r="F5961" s="200" t="s">
        <v>296</v>
      </c>
      <c r="G5961" s="200" t="s">
        <v>522</v>
      </c>
      <c r="H5961" s="200" t="s">
        <v>1651</v>
      </c>
    </row>
    <row r="5962" spans="1:8" ht="15" customHeight="1">
      <c r="A5962" s="199">
        <v>45762</v>
      </c>
      <c r="B5962" s="202" t="s">
        <v>4745</v>
      </c>
      <c r="C5962" s="200" t="s">
        <v>204</v>
      </c>
      <c r="D5962" s="642">
        <v>-2832000</v>
      </c>
      <c r="E5962" s="662">
        <v>45748</v>
      </c>
      <c r="F5962" s="200" t="s">
        <v>296</v>
      </c>
      <c r="G5962" s="200" t="s">
        <v>522</v>
      </c>
      <c r="H5962" s="200" t="s">
        <v>442</v>
      </c>
    </row>
    <row r="5963" spans="1:8" ht="15" customHeight="1">
      <c r="A5963" s="199">
        <v>45762</v>
      </c>
      <c r="B5963" s="202" t="s">
        <v>4746</v>
      </c>
      <c r="C5963" s="200" t="s">
        <v>372</v>
      </c>
      <c r="D5963" s="204">
        <v>-24000</v>
      </c>
      <c r="E5963" s="662">
        <v>45748</v>
      </c>
      <c r="F5963" s="200" t="s">
        <v>296</v>
      </c>
      <c r="G5963" s="200" t="s">
        <v>522</v>
      </c>
      <c r="H5963" s="200" t="s">
        <v>442</v>
      </c>
    </row>
    <row r="5964" spans="1:8" ht="15" customHeight="1">
      <c r="A5964" s="199">
        <v>45762</v>
      </c>
      <c r="B5964" s="202" t="s">
        <v>4747</v>
      </c>
      <c r="C5964" s="200" t="s">
        <v>204</v>
      </c>
      <c r="D5964" s="642">
        <v>-3474000</v>
      </c>
      <c r="E5964" s="662">
        <v>45748</v>
      </c>
      <c r="F5964" s="200" t="s">
        <v>256</v>
      </c>
      <c r="G5964" s="200" t="s">
        <v>256</v>
      </c>
      <c r="H5964" s="200" t="s">
        <v>257</v>
      </c>
    </row>
    <row r="5965" spans="1:8" ht="15" customHeight="1">
      <c r="A5965" s="199">
        <v>45762</v>
      </c>
      <c r="B5965" s="202" t="s">
        <v>4748</v>
      </c>
      <c r="C5965" s="200" t="s">
        <v>372</v>
      </c>
      <c r="D5965" s="204">
        <v>-126000</v>
      </c>
      <c r="E5965" s="662">
        <v>45748</v>
      </c>
      <c r="F5965" s="200" t="s">
        <v>256</v>
      </c>
      <c r="G5965" s="200" t="s">
        <v>256</v>
      </c>
      <c r="H5965" s="200" t="s">
        <v>257</v>
      </c>
    </row>
    <row r="5966" spans="1:8" ht="15" customHeight="1">
      <c r="A5966" s="199">
        <v>45762</v>
      </c>
      <c r="B5966" s="202" t="s">
        <v>4749</v>
      </c>
      <c r="C5966" s="200" t="s">
        <v>204</v>
      </c>
      <c r="D5966" s="642">
        <v>-1173618</v>
      </c>
      <c r="E5966" s="662">
        <v>45748</v>
      </c>
      <c r="F5966" s="200" t="s">
        <v>296</v>
      </c>
      <c r="G5966" s="200" t="s">
        <v>44</v>
      </c>
      <c r="H5966" s="200" t="s">
        <v>421</v>
      </c>
    </row>
    <row r="5967" spans="1:8" ht="15" customHeight="1">
      <c r="A5967" s="199">
        <v>45762</v>
      </c>
      <c r="B5967" s="202" t="s">
        <v>4750</v>
      </c>
      <c r="C5967" s="200" t="s">
        <v>204</v>
      </c>
      <c r="D5967" s="642">
        <v>-3618900</v>
      </c>
      <c r="E5967" s="662">
        <v>45748</v>
      </c>
      <c r="F5967" s="200" t="s">
        <v>256</v>
      </c>
      <c r="G5967" s="200" t="s">
        <v>256</v>
      </c>
      <c r="H5967" s="200" t="s">
        <v>9</v>
      </c>
    </row>
    <row r="5968" spans="1:8" ht="15" customHeight="1">
      <c r="A5968" s="199">
        <v>45762</v>
      </c>
      <c r="B5968" s="202" t="s">
        <v>4751</v>
      </c>
      <c r="C5968" s="200" t="s">
        <v>204</v>
      </c>
      <c r="D5968" s="642">
        <v>-103820</v>
      </c>
      <c r="E5968" s="662">
        <v>45748</v>
      </c>
      <c r="F5968" s="200" t="s">
        <v>296</v>
      </c>
      <c r="G5968" s="200" t="s">
        <v>328</v>
      </c>
      <c r="H5968" s="200" t="s">
        <v>350</v>
      </c>
    </row>
    <row r="5969" spans="1:9" ht="15" customHeight="1">
      <c r="A5969" s="199">
        <v>45762</v>
      </c>
      <c r="B5969" s="202" t="s">
        <v>4752</v>
      </c>
      <c r="C5969" s="200" t="s">
        <v>204</v>
      </c>
      <c r="D5969" s="642">
        <v>-658000</v>
      </c>
      <c r="E5969" s="662">
        <v>45748</v>
      </c>
      <c r="F5969" s="200" t="s">
        <v>296</v>
      </c>
      <c r="G5969" s="200" t="s">
        <v>1735</v>
      </c>
      <c r="H5969" s="531" t="s">
        <v>364</v>
      </c>
    </row>
    <row r="5970" spans="1:9" ht="15" customHeight="1">
      <c r="A5970" s="199">
        <v>45762</v>
      </c>
      <c r="B5970" s="202" t="s">
        <v>4753</v>
      </c>
      <c r="C5970" s="200" t="s">
        <v>204</v>
      </c>
      <c r="D5970" s="642">
        <v>-1845360</v>
      </c>
      <c r="E5970" s="662">
        <v>45748</v>
      </c>
      <c r="F5970" s="200" t="s">
        <v>296</v>
      </c>
      <c r="G5970" s="200" t="s">
        <v>1311</v>
      </c>
      <c r="H5970" s="200" t="s">
        <v>375</v>
      </c>
    </row>
    <row r="5971" spans="1:9" ht="15" customHeight="1">
      <c r="A5971" s="199">
        <v>45762</v>
      </c>
      <c r="B5971" s="202" t="s">
        <v>4754</v>
      </c>
      <c r="C5971" s="200" t="s">
        <v>372</v>
      </c>
      <c r="D5971" s="204">
        <v>-39600</v>
      </c>
      <c r="E5971" s="662">
        <v>45748</v>
      </c>
      <c r="F5971" s="200" t="s">
        <v>296</v>
      </c>
      <c r="G5971" s="200" t="s">
        <v>1311</v>
      </c>
      <c r="H5971" s="200" t="s">
        <v>375</v>
      </c>
    </row>
    <row r="5972" spans="1:9" ht="15" customHeight="1">
      <c r="A5972" s="199">
        <v>45762</v>
      </c>
      <c r="B5972" s="202" t="s">
        <v>4755</v>
      </c>
      <c r="C5972" s="200" t="s">
        <v>204</v>
      </c>
      <c r="D5972" s="642">
        <v>-460200</v>
      </c>
      <c r="E5972" s="662">
        <v>45748</v>
      </c>
      <c r="F5972" s="200" t="s">
        <v>296</v>
      </c>
      <c r="G5972" s="200" t="s">
        <v>1311</v>
      </c>
      <c r="H5972" s="200" t="s">
        <v>375</v>
      </c>
    </row>
    <row r="5973" spans="1:9" ht="15" customHeight="1">
      <c r="A5973" s="199">
        <v>45762</v>
      </c>
      <c r="B5973" s="202" t="s">
        <v>4756</v>
      </c>
      <c r="C5973" s="200" t="s">
        <v>372</v>
      </c>
      <c r="D5973" s="204">
        <v>-3900</v>
      </c>
      <c r="E5973" s="662">
        <v>45748</v>
      </c>
      <c r="F5973" s="200" t="s">
        <v>296</v>
      </c>
      <c r="G5973" s="200" t="s">
        <v>1311</v>
      </c>
      <c r="H5973" s="200" t="s">
        <v>375</v>
      </c>
      <c r="I5973" s="648" t="s">
        <v>329</v>
      </c>
    </row>
    <row r="5974" spans="1:9" ht="15" customHeight="1">
      <c r="A5974" s="199">
        <v>45762</v>
      </c>
      <c r="B5974" s="202" t="s">
        <v>4757</v>
      </c>
      <c r="C5974" s="200" t="s">
        <v>204</v>
      </c>
      <c r="D5974" s="642">
        <v>-267036</v>
      </c>
      <c r="E5974" s="662">
        <v>45748</v>
      </c>
      <c r="F5974" s="200" t="s">
        <v>297</v>
      </c>
      <c r="G5974" s="200" t="s">
        <v>71</v>
      </c>
      <c r="H5974" s="200" t="s">
        <v>375</v>
      </c>
    </row>
    <row r="5975" spans="1:9" ht="15" customHeight="1">
      <c r="A5975" s="199">
        <v>45762</v>
      </c>
      <c r="B5975" s="202" t="s">
        <v>4757</v>
      </c>
      <c r="C5975" s="200" t="s">
        <v>204</v>
      </c>
      <c r="D5975" s="642">
        <v>-30940</v>
      </c>
      <c r="E5975" s="662">
        <v>45748</v>
      </c>
      <c r="F5975" s="200" t="s">
        <v>297</v>
      </c>
      <c r="G5975" s="200" t="s">
        <v>71</v>
      </c>
      <c r="H5975" s="200" t="s">
        <v>375</v>
      </c>
    </row>
    <row r="5976" spans="1:9" ht="15" customHeight="1">
      <c r="A5976" s="199">
        <v>45762</v>
      </c>
      <c r="B5976" s="202" t="s">
        <v>4758</v>
      </c>
      <c r="C5976" s="200" t="s">
        <v>204</v>
      </c>
      <c r="D5976" s="642">
        <v>-404400</v>
      </c>
      <c r="E5976" s="662">
        <v>45748</v>
      </c>
      <c r="F5976" s="200" t="s">
        <v>296</v>
      </c>
      <c r="G5976" s="200" t="s">
        <v>3360</v>
      </c>
      <c r="H5976" s="200" t="s">
        <v>655</v>
      </c>
    </row>
    <row r="5977" spans="1:9" ht="15" customHeight="1">
      <c r="A5977" s="199">
        <v>45762</v>
      </c>
      <c r="B5977" s="202" t="s">
        <v>4759</v>
      </c>
      <c r="C5977" s="200" t="s">
        <v>204</v>
      </c>
      <c r="D5977" s="642">
        <v>-530750</v>
      </c>
      <c r="E5977" s="662">
        <v>45748</v>
      </c>
      <c r="F5977" s="200" t="s">
        <v>296</v>
      </c>
      <c r="G5977" s="200" t="s">
        <v>1362</v>
      </c>
      <c r="H5977" s="200" t="s">
        <v>342</v>
      </c>
    </row>
    <row r="5978" spans="1:9" ht="15" customHeight="1">
      <c r="A5978" s="199">
        <v>45762</v>
      </c>
      <c r="B5978" s="202" t="s">
        <v>4760</v>
      </c>
      <c r="C5978" s="200" t="s">
        <v>372</v>
      </c>
      <c r="D5978" s="204">
        <v>-19250</v>
      </c>
      <c r="E5978" s="662">
        <v>45748</v>
      </c>
      <c r="F5978" s="200" t="s">
        <v>296</v>
      </c>
      <c r="G5978" s="200" t="s">
        <v>1362</v>
      </c>
      <c r="H5978" s="200" t="s">
        <v>342</v>
      </c>
    </row>
    <row r="5979" spans="1:9" ht="15" customHeight="1">
      <c r="A5979" s="199">
        <v>45762</v>
      </c>
      <c r="B5979" s="202" t="s">
        <v>4759</v>
      </c>
      <c r="C5979" s="200" t="s">
        <v>204</v>
      </c>
      <c r="D5979" s="642">
        <v>-270200</v>
      </c>
      <c r="E5979" s="662">
        <v>45748</v>
      </c>
      <c r="F5979" s="200" t="s">
        <v>296</v>
      </c>
      <c r="G5979" s="200" t="s">
        <v>1362</v>
      </c>
      <c r="H5979" s="200" t="s">
        <v>342</v>
      </c>
    </row>
    <row r="5980" spans="1:9" ht="15" customHeight="1">
      <c r="A5980" s="199">
        <v>45762</v>
      </c>
      <c r="B5980" s="202" t="s">
        <v>4760</v>
      </c>
      <c r="C5980" s="200" t="s">
        <v>372</v>
      </c>
      <c r="D5980" s="204">
        <v>-9800</v>
      </c>
      <c r="E5980" s="662">
        <v>45748</v>
      </c>
      <c r="F5980" s="200" t="s">
        <v>296</v>
      </c>
      <c r="G5980" s="200" t="s">
        <v>1362</v>
      </c>
      <c r="H5980" s="200" t="s">
        <v>342</v>
      </c>
    </row>
    <row r="5981" spans="1:9" ht="15" customHeight="1">
      <c r="A5981" s="199">
        <v>45762</v>
      </c>
      <c r="B5981" s="202" t="s">
        <v>4761</v>
      </c>
      <c r="C5981" s="200" t="s">
        <v>204</v>
      </c>
      <c r="D5981" s="642">
        <v>-340000</v>
      </c>
      <c r="E5981" s="662">
        <v>45748</v>
      </c>
      <c r="F5981" s="200" t="s">
        <v>296</v>
      </c>
      <c r="G5981" s="200" t="s">
        <v>1362</v>
      </c>
      <c r="H5981" s="200" t="s">
        <v>342</v>
      </c>
    </row>
    <row r="5982" spans="1:9" ht="15" customHeight="1">
      <c r="A5982" s="199">
        <v>45762</v>
      </c>
      <c r="B5982" s="202" t="s">
        <v>4762</v>
      </c>
      <c r="C5982" s="200" t="s">
        <v>372</v>
      </c>
      <c r="D5982" s="204">
        <v>-12332</v>
      </c>
      <c r="E5982" s="662">
        <v>45748</v>
      </c>
      <c r="F5982" s="200" t="s">
        <v>296</v>
      </c>
      <c r="G5982" s="200" t="s">
        <v>1362</v>
      </c>
      <c r="H5982" s="200" t="s">
        <v>342</v>
      </c>
    </row>
    <row r="5983" spans="1:9" ht="15" customHeight="1">
      <c r="A5983" s="199">
        <v>45762</v>
      </c>
      <c r="B5983" s="202" t="s">
        <v>4763</v>
      </c>
      <c r="C5983" s="200" t="s">
        <v>204</v>
      </c>
      <c r="D5983" s="642">
        <v>-8546285</v>
      </c>
      <c r="E5983" s="662">
        <v>45748</v>
      </c>
      <c r="F5983" s="200" t="s">
        <v>296</v>
      </c>
      <c r="G5983" s="200" t="s">
        <v>415</v>
      </c>
      <c r="H5983" s="200" t="s">
        <v>364</v>
      </c>
    </row>
    <row r="5984" spans="1:9" ht="15" customHeight="1">
      <c r="A5984" s="199">
        <v>45762</v>
      </c>
      <c r="B5984" s="202" t="s">
        <v>4764</v>
      </c>
      <c r="C5984" s="200" t="s">
        <v>204</v>
      </c>
      <c r="D5984" s="642">
        <v>-1737190</v>
      </c>
      <c r="E5984" s="662">
        <v>45748</v>
      </c>
      <c r="F5984" s="200" t="s">
        <v>296</v>
      </c>
      <c r="G5984" s="200" t="s">
        <v>415</v>
      </c>
      <c r="H5984" s="200" t="s">
        <v>377</v>
      </c>
    </row>
    <row r="5985" spans="1:10" ht="15" customHeight="1">
      <c r="A5985" s="199">
        <v>45762</v>
      </c>
      <c r="B5985" s="202" t="s">
        <v>4765</v>
      </c>
      <c r="C5985" s="200" t="s">
        <v>372</v>
      </c>
      <c r="D5985" s="204">
        <v>-37375</v>
      </c>
      <c r="E5985" s="662">
        <v>45748</v>
      </c>
      <c r="F5985" s="200" t="s">
        <v>296</v>
      </c>
      <c r="G5985" s="200" t="s">
        <v>415</v>
      </c>
      <c r="H5985" s="200" t="s">
        <v>377</v>
      </c>
    </row>
    <row r="5986" spans="1:10" ht="15" customHeight="1">
      <c r="A5986" s="199">
        <v>45762</v>
      </c>
      <c r="B5986" s="202" t="s">
        <v>4766</v>
      </c>
      <c r="C5986" s="200" t="s">
        <v>372</v>
      </c>
      <c r="D5986" s="204">
        <v>-4485</v>
      </c>
      <c r="E5986" s="662">
        <v>45748</v>
      </c>
      <c r="F5986" s="200" t="s">
        <v>296</v>
      </c>
      <c r="G5986" s="200" t="s">
        <v>415</v>
      </c>
      <c r="H5986" s="200" t="s">
        <v>377</v>
      </c>
    </row>
    <row r="5987" spans="1:10" ht="15" customHeight="1">
      <c r="A5987" s="199">
        <v>45762</v>
      </c>
      <c r="B5987" s="202" t="s">
        <v>4767</v>
      </c>
      <c r="C5987" s="200" t="s">
        <v>204</v>
      </c>
      <c r="D5987" s="642">
        <v>-1690000</v>
      </c>
      <c r="E5987" s="662">
        <v>45748</v>
      </c>
      <c r="F5987" s="200" t="s">
        <v>296</v>
      </c>
      <c r="G5987" s="200" t="s">
        <v>522</v>
      </c>
      <c r="H5987" s="200" t="s">
        <v>326</v>
      </c>
    </row>
    <row r="5988" spans="1:10" ht="15" customHeight="1">
      <c r="A5988" s="199">
        <v>45762</v>
      </c>
      <c r="B5988" s="202" t="s">
        <v>4768</v>
      </c>
      <c r="C5988" s="200" t="s">
        <v>372</v>
      </c>
      <c r="D5988" s="204">
        <v>-61235</v>
      </c>
      <c r="E5988" s="662">
        <v>45748</v>
      </c>
      <c r="F5988" s="200" t="s">
        <v>296</v>
      </c>
      <c r="G5988" s="200" t="s">
        <v>522</v>
      </c>
      <c r="H5988" s="200" t="s">
        <v>326</v>
      </c>
    </row>
    <row r="5989" spans="1:10" ht="15" customHeight="1">
      <c r="A5989" s="199">
        <v>45762</v>
      </c>
      <c r="B5989" s="202" t="s">
        <v>4769</v>
      </c>
      <c r="C5989" s="200" t="s">
        <v>204</v>
      </c>
      <c r="D5989" s="642">
        <v>-1955000</v>
      </c>
      <c r="E5989" s="662">
        <v>45748</v>
      </c>
      <c r="F5989" s="200" t="s">
        <v>256</v>
      </c>
      <c r="G5989" s="200" t="s">
        <v>107</v>
      </c>
      <c r="H5989" s="200" t="s">
        <v>777</v>
      </c>
    </row>
    <row r="5990" spans="1:10" ht="15" customHeight="1">
      <c r="A5990" s="199">
        <v>45762</v>
      </c>
      <c r="B5990" s="202" t="s">
        <v>4769</v>
      </c>
      <c r="C5990" s="200" t="s">
        <v>204</v>
      </c>
      <c r="D5990" s="642">
        <v>-2737000</v>
      </c>
      <c r="E5990" s="662">
        <v>45748</v>
      </c>
      <c r="F5990" s="200" t="s">
        <v>256</v>
      </c>
      <c r="G5990" s="200" t="s">
        <v>107</v>
      </c>
      <c r="H5990" s="200" t="s">
        <v>777</v>
      </c>
    </row>
    <row r="5991" spans="1:10" ht="15" customHeight="1">
      <c r="A5991" s="199">
        <v>45762</v>
      </c>
      <c r="B5991" s="202" t="s">
        <v>4770</v>
      </c>
      <c r="C5991" s="200" t="s">
        <v>204</v>
      </c>
      <c r="D5991" s="642">
        <v>-819692</v>
      </c>
      <c r="E5991" s="662">
        <v>45748</v>
      </c>
      <c r="F5991" s="200" t="s">
        <v>296</v>
      </c>
      <c r="G5991" s="200" t="s">
        <v>415</v>
      </c>
      <c r="H5991" s="200" t="s">
        <v>518</v>
      </c>
    </row>
    <row r="5992" spans="1:10" ht="15" customHeight="1">
      <c r="A5992" s="199">
        <v>45762</v>
      </c>
      <c r="B5992" s="202" t="s">
        <v>4771</v>
      </c>
      <c r="C5992" s="200" t="s">
        <v>204</v>
      </c>
      <c r="D5992" s="642">
        <v>-485700</v>
      </c>
      <c r="E5992" s="662">
        <v>45748</v>
      </c>
      <c r="F5992" s="200" t="s">
        <v>256</v>
      </c>
      <c r="G5992" s="200" t="s">
        <v>256</v>
      </c>
      <c r="H5992" s="200" t="s">
        <v>267</v>
      </c>
    </row>
    <row r="5993" spans="1:10" ht="15" customHeight="1">
      <c r="A5993" s="199">
        <v>45762</v>
      </c>
      <c r="B5993" s="202" t="s">
        <v>1925</v>
      </c>
      <c r="C5993" s="200" t="s">
        <v>204</v>
      </c>
      <c r="D5993" s="642">
        <v>-78000</v>
      </c>
      <c r="E5993" s="662">
        <v>45748</v>
      </c>
      <c r="F5993" s="200" t="s">
        <v>296</v>
      </c>
      <c r="G5993" s="200" t="s">
        <v>328</v>
      </c>
      <c r="H5993" s="200" t="s">
        <v>268</v>
      </c>
    </row>
    <row r="5994" spans="1:10" ht="15" customHeight="1">
      <c r="A5994" s="199">
        <v>45762</v>
      </c>
      <c r="B5994" s="202" t="s">
        <v>1925</v>
      </c>
      <c r="C5994" s="200" t="s">
        <v>204</v>
      </c>
      <c r="D5994" s="642">
        <v>-10000</v>
      </c>
      <c r="E5994" s="662">
        <v>45748</v>
      </c>
      <c r="F5994" s="200" t="s">
        <v>395</v>
      </c>
      <c r="G5994" s="531" t="s">
        <v>395</v>
      </c>
      <c r="H5994" s="200" t="s">
        <v>268</v>
      </c>
      <c r="J5994" s="664" t="s">
        <v>329</v>
      </c>
    </row>
    <row r="5995" spans="1:10" ht="15" customHeight="1">
      <c r="A5995" s="199">
        <v>45762</v>
      </c>
      <c r="B5995" s="202" t="s">
        <v>1925</v>
      </c>
      <c r="C5995" s="200" t="s">
        <v>204</v>
      </c>
      <c r="D5995" s="642">
        <v>-48000</v>
      </c>
      <c r="E5995" s="662">
        <v>45748</v>
      </c>
      <c r="F5995" s="200" t="s">
        <v>296</v>
      </c>
      <c r="G5995" s="200" t="s">
        <v>2994</v>
      </c>
      <c r="H5995" s="200" t="s">
        <v>268</v>
      </c>
    </row>
    <row r="5996" spans="1:10" ht="15" customHeight="1">
      <c r="A5996" s="199">
        <v>45762</v>
      </c>
      <c r="B5996" s="202" t="s">
        <v>1925</v>
      </c>
      <c r="C5996" s="200" t="s">
        <v>204</v>
      </c>
      <c r="D5996" s="642">
        <v>-10000</v>
      </c>
      <c r="E5996" s="662">
        <v>45748</v>
      </c>
      <c r="F5996" s="200" t="s">
        <v>296</v>
      </c>
      <c r="G5996" s="200" t="s">
        <v>44</v>
      </c>
      <c r="H5996" s="200" t="s">
        <v>442</v>
      </c>
    </row>
    <row r="5997" spans="1:10" ht="15" customHeight="1">
      <c r="A5997" s="199">
        <v>45762</v>
      </c>
      <c r="B5997" s="202" t="s">
        <v>1925</v>
      </c>
      <c r="C5997" s="200" t="s">
        <v>204</v>
      </c>
      <c r="D5997" s="642">
        <v>-38000</v>
      </c>
      <c r="E5997" s="662">
        <v>45748</v>
      </c>
      <c r="F5997" s="200" t="s">
        <v>296</v>
      </c>
      <c r="G5997" s="200" t="s">
        <v>415</v>
      </c>
      <c r="H5997" s="200" t="s">
        <v>268</v>
      </c>
      <c r="I5997" s="648" t="s">
        <v>329</v>
      </c>
    </row>
    <row r="5998" spans="1:10" ht="15" customHeight="1">
      <c r="A5998" s="199">
        <v>45762</v>
      </c>
      <c r="B5998" s="202" t="s">
        <v>1925</v>
      </c>
      <c r="C5998" s="200" t="s">
        <v>204</v>
      </c>
      <c r="D5998" s="642">
        <v>-20000</v>
      </c>
      <c r="E5998" s="662">
        <v>45748</v>
      </c>
      <c r="F5998" s="200" t="s">
        <v>296</v>
      </c>
      <c r="G5998" s="200" t="s">
        <v>337</v>
      </c>
      <c r="H5998" s="200" t="s">
        <v>326</v>
      </c>
      <c r="I5998" s="648" t="s">
        <v>329</v>
      </c>
    </row>
    <row r="5999" spans="1:10" ht="15" customHeight="1">
      <c r="A5999" s="199">
        <v>45762</v>
      </c>
      <c r="B5999" s="202" t="s">
        <v>1925</v>
      </c>
      <c r="C5999" s="200" t="s">
        <v>204</v>
      </c>
      <c r="D5999" s="642">
        <v>-209024</v>
      </c>
      <c r="E5999" s="662">
        <v>45748</v>
      </c>
      <c r="F5999" s="200" t="s">
        <v>297</v>
      </c>
      <c r="G5999" s="200" t="s">
        <v>1578</v>
      </c>
      <c r="H5999" s="200" t="s">
        <v>268</v>
      </c>
    </row>
    <row r="6000" spans="1:10" ht="15" customHeight="1">
      <c r="A6000" s="199">
        <v>45762</v>
      </c>
      <c r="B6000" s="722" t="s">
        <v>1925</v>
      </c>
      <c r="C6000" s="200" t="s">
        <v>204</v>
      </c>
      <c r="D6000" s="642">
        <v>-66000</v>
      </c>
      <c r="E6000" s="662">
        <v>45748</v>
      </c>
      <c r="F6000" s="200" t="s">
        <v>296</v>
      </c>
      <c r="G6000" s="200" t="s">
        <v>57</v>
      </c>
      <c r="H6000" s="200" t="s">
        <v>105</v>
      </c>
    </row>
    <row r="6001" spans="1:9" ht="15" customHeight="1">
      <c r="A6001" s="199">
        <v>45762</v>
      </c>
      <c r="B6001" s="202" t="s">
        <v>1925</v>
      </c>
      <c r="C6001" s="200" t="s">
        <v>204</v>
      </c>
      <c r="D6001" s="642">
        <v>-166000</v>
      </c>
      <c r="E6001" s="662">
        <v>45748</v>
      </c>
      <c r="F6001" s="200" t="s">
        <v>395</v>
      </c>
      <c r="G6001" s="531" t="s">
        <v>395</v>
      </c>
      <c r="H6001" s="200" t="s">
        <v>268</v>
      </c>
      <c r="I6001" s="673"/>
    </row>
    <row r="6002" spans="1:9" ht="15" customHeight="1">
      <c r="A6002" s="199">
        <v>45762</v>
      </c>
      <c r="B6002" s="202" t="s">
        <v>1925</v>
      </c>
      <c r="C6002" s="200" t="s">
        <v>204</v>
      </c>
      <c r="D6002" s="642">
        <v>-10000</v>
      </c>
      <c r="E6002" s="662">
        <v>45748</v>
      </c>
      <c r="F6002" s="200" t="s">
        <v>297</v>
      </c>
      <c r="G6002" s="200" t="s">
        <v>71</v>
      </c>
      <c r="H6002" s="200" t="s">
        <v>268</v>
      </c>
      <c r="I6002" s="673"/>
    </row>
    <row r="6003" spans="1:9" ht="15" customHeight="1">
      <c r="A6003" s="199">
        <v>45762</v>
      </c>
      <c r="B6003" s="202" t="s">
        <v>1925</v>
      </c>
      <c r="C6003" s="200" t="s">
        <v>204</v>
      </c>
      <c r="D6003" s="642">
        <v>-20000</v>
      </c>
      <c r="E6003" s="662">
        <v>45748</v>
      </c>
      <c r="F6003" s="200" t="s">
        <v>296</v>
      </c>
      <c r="G6003" s="200" t="s">
        <v>1980</v>
      </c>
      <c r="H6003" s="200" t="s">
        <v>442</v>
      </c>
      <c r="I6003" s="673"/>
    </row>
    <row r="6004" spans="1:9" ht="15" customHeight="1">
      <c r="A6004" s="199">
        <v>45762</v>
      </c>
      <c r="B6004" s="202" t="s">
        <v>1926</v>
      </c>
      <c r="C6004" s="200" t="s">
        <v>372</v>
      </c>
      <c r="D6004" s="204">
        <v>-6860</v>
      </c>
      <c r="E6004" s="662">
        <v>45748</v>
      </c>
      <c r="F6004" s="200" t="s">
        <v>297</v>
      </c>
      <c r="G6004" s="200" t="s">
        <v>1578</v>
      </c>
      <c r="H6004" s="200" t="s">
        <v>268</v>
      </c>
      <c r="I6004" s="673"/>
    </row>
    <row r="6005" spans="1:9" ht="15" customHeight="1">
      <c r="A6005" s="199">
        <v>45762</v>
      </c>
      <c r="B6005" s="202" t="s">
        <v>1927</v>
      </c>
      <c r="C6005" s="200" t="s">
        <v>372</v>
      </c>
      <c r="D6005" s="204">
        <v>-4116</v>
      </c>
      <c r="E6005" s="662">
        <v>45748</v>
      </c>
      <c r="F6005" s="200" t="s">
        <v>297</v>
      </c>
      <c r="G6005" s="200" t="s">
        <v>1578</v>
      </c>
      <c r="H6005" s="200" t="s">
        <v>268</v>
      </c>
      <c r="I6005" s="673"/>
    </row>
    <row r="6006" spans="1:9" ht="15" customHeight="1">
      <c r="A6006" s="199">
        <v>45762</v>
      </c>
      <c r="B6006" s="202" t="s">
        <v>4772</v>
      </c>
      <c r="C6006" s="200" t="s">
        <v>204</v>
      </c>
      <c r="D6006" s="642">
        <v>-7533000</v>
      </c>
      <c r="E6006" s="201">
        <v>45748</v>
      </c>
      <c r="F6006" s="200" t="s">
        <v>297</v>
      </c>
      <c r="G6006" s="200" t="s">
        <v>3892</v>
      </c>
      <c r="H6006" s="200" t="s">
        <v>342</v>
      </c>
      <c r="I6006" s="673"/>
    </row>
    <row r="6007" spans="1:9" ht="15" customHeight="1">
      <c r="A6007" s="199">
        <v>45762</v>
      </c>
      <c r="B6007" s="202" t="s">
        <v>4773</v>
      </c>
      <c r="C6007" s="200" t="s">
        <v>372</v>
      </c>
      <c r="D6007" s="204">
        <v>-567000</v>
      </c>
      <c r="E6007" s="201">
        <v>45748</v>
      </c>
      <c r="F6007" s="200" t="s">
        <v>297</v>
      </c>
      <c r="G6007" s="200" t="s">
        <v>3892</v>
      </c>
      <c r="H6007" s="200" t="s">
        <v>342</v>
      </c>
      <c r="I6007" s="673"/>
    </row>
    <row r="6008" spans="1:9" ht="15" customHeight="1">
      <c r="A6008" s="199">
        <v>45762</v>
      </c>
      <c r="B6008" s="202" t="s">
        <v>4774</v>
      </c>
      <c r="C6008" s="200" t="s">
        <v>204</v>
      </c>
      <c r="D6008" s="642">
        <v>-450000</v>
      </c>
      <c r="E6008" s="201">
        <v>45748</v>
      </c>
      <c r="F6008" s="200" t="s">
        <v>256</v>
      </c>
      <c r="G6008" s="200" t="s">
        <v>107</v>
      </c>
      <c r="H6008" s="200" t="s">
        <v>777</v>
      </c>
    </row>
    <row r="6009" spans="1:9" ht="15" customHeight="1">
      <c r="A6009" s="199">
        <v>45763</v>
      </c>
      <c r="B6009" s="202" t="s">
        <v>4775</v>
      </c>
      <c r="C6009" s="200" t="s">
        <v>204</v>
      </c>
      <c r="D6009" s="642">
        <v>-114653525</v>
      </c>
      <c r="E6009" s="201">
        <v>45748</v>
      </c>
      <c r="F6009" s="200" t="s">
        <v>296</v>
      </c>
      <c r="G6009" s="200" t="s">
        <v>1825</v>
      </c>
      <c r="H6009" s="200" t="s">
        <v>2659</v>
      </c>
    </row>
    <row r="6010" spans="1:9" ht="15" customHeight="1">
      <c r="A6010" s="199">
        <v>45757</v>
      </c>
      <c r="B6010" s="202" t="s">
        <v>4776</v>
      </c>
      <c r="C6010" s="200" t="s">
        <v>204</v>
      </c>
      <c r="D6010" s="642">
        <v>-20000</v>
      </c>
      <c r="E6010" s="201">
        <v>45748</v>
      </c>
      <c r="F6010" s="200" t="s">
        <v>296</v>
      </c>
      <c r="G6010" s="200" t="s">
        <v>1362</v>
      </c>
      <c r="H6010" s="200" t="s">
        <v>268</v>
      </c>
      <c r="I6010" s="200" t="s">
        <v>4690</v>
      </c>
    </row>
    <row r="6011" spans="1:9" ht="15" customHeight="1">
      <c r="A6011" s="199">
        <v>45757</v>
      </c>
      <c r="B6011" s="202" t="s">
        <v>4777</v>
      </c>
      <c r="C6011" s="200" t="s">
        <v>204</v>
      </c>
      <c r="D6011" s="642">
        <v>-20000</v>
      </c>
      <c r="E6011" s="201">
        <v>45748</v>
      </c>
      <c r="F6011" s="200" t="s">
        <v>296</v>
      </c>
      <c r="G6011" s="200" t="s">
        <v>1362</v>
      </c>
      <c r="H6011" s="200" t="s">
        <v>268</v>
      </c>
      <c r="I6011" s="200" t="s">
        <v>4690</v>
      </c>
    </row>
    <row r="6012" spans="1:9" ht="15" customHeight="1">
      <c r="A6012" s="199">
        <v>45757</v>
      </c>
      <c r="B6012" s="202" t="s">
        <v>4019</v>
      </c>
      <c r="C6012" s="200" t="s">
        <v>204</v>
      </c>
      <c r="D6012" s="642">
        <v>-40000</v>
      </c>
      <c r="E6012" s="201">
        <v>45748</v>
      </c>
      <c r="F6012" s="200" t="s">
        <v>296</v>
      </c>
      <c r="G6012" s="200" t="s">
        <v>1362</v>
      </c>
      <c r="H6012" s="200" t="s">
        <v>346</v>
      </c>
      <c r="I6012" s="200" t="s">
        <v>4690</v>
      </c>
    </row>
    <row r="6013" spans="1:9" ht="15" customHeight="1">
      <c r="A6013" s="199">
        <v>45757</v>
      </c>
      <c r="B6013" s="202" t="s">
        <v>4778</v>
      </c>
      <c r="C6013" s="200" t="s">
        <v>204</v>
      </c>
      <c r="D6013" s="642">
        <v>-18000</v>
      </c>
      <c r="E6013" s="201">
        <v>45748</v>
      </c>
      <c r="F6013" s="200" t="s">
        <v>296</v>
      </c>
      <c r="G6013" s="200" t="s">
        <v>1362</v>
      </c>
      <c r="H6013" s="200" t="s">
        <v>350</v>
      </c>
      <c r="I6013" s="200" t="s">
        <v>4690</v>
      </c>
    </row>
    <row r="6014" spans="1:9" ht="15" customHeight="1">
      <c r="A6014" s="199">
        <v>45757</v>
      </c>
      <c r="B6014" s="202" t="s">
        <v>4779</v>
      </c>
      <c r="C6014" s="200" t="s">
        <v>204</v>
      </c>
      <c r="D6014" s="642">
        <v>-8000</v>
      </c>
      <c r="E6014" s="201">
        <v>45748</v>
      </c>
      <c r="F6014" s="200" t="s">
        <v>296</v>
      </c>
      <c r="G6014" s="200" t="s">
        <v>1362</v>
      </c>
      <c r="H6014" s="200" t="s">
        <v>268</v>
      </c>
      <c r="I6014" s="200" t="s">
        <v>4690</v>
      </c>
    </row>
    <row r="6015" spans="1:9" ht="15" customHeight="1">
      <c r="A6015" s="199">
        <v>45761</v>
      </c>
      <c r="B6015" s="202" t="s">
        <v>4776</v>
      </c>
      <c r="C6015" s="200" t="s">
        <v>204</v>
      </c>
      <c r="D6015" s="642">
        <v>-18000</v>
      </c>
      <c r="E6015" s="201">
        <v>45748</v>
      </c>
      <c r="F6015" s="200" t="s">
        <v>296</v>
      </c>
      <c r="G6015" s="200" t="s">
        <v>1362</v>
      </c>
      <c r="H6015" s="200" t="s">
        <v>268</v>
      </c>
      <c r="I6015" s="200" t="s">
        <v>4690</v>
      </c>
    </row>
    <row r="6016" spans="1:9" ht="15" customHeight="1">
      <c r="A6016" s="199">
        <v>45761</v>
      </c>
      <c r="B6016" s="202" t="s">
        <v>3088</v>
      </c>
      <c r="C6016" s="200" t="s">
        <v>204</v>
      </c>
      <c r="D6016" s="642">
        <v>-18000</v>
      </c>
      <c r="E6016" s="201">
        <v>45748</v>
      </c>
      <c r="F6016" s="200" t="s">
        <v>296</v>
      </c>
      <c r="G6016" s="200" t="s">
        <v>1362</v>
      </c>
      <c r="H6016" s="200" t="s">
        <v>268</v>
      </c>
      <c r="I6016" s="200" t="s">
        <v>4690</v>
      </c>
    </row>
    <row r="6017" spans="1:9" ht="15" customHeight="1">
      <c r="A6017" s="199">
        <v>45761</v>
      </c>
      <c r="B6017" s="202" t="s">
        <v>4693</v>
      </c>
      <c r="C6017" s="200" t="s">
        <v>204</v>
      </c>
      <c r="D6017" s="642">
        <v>-8000</v>
      </c>
      <c r="E6017" s="201">
        <v>45748</v>
      </c>
      <c r="F6017" s="200" t="s">
        <v>296</v>
      </c>
      <c r="G6017" s="200" t="s">
        <v>1362</v>
      </c>
      <c r="H6017" s="200" t="s">
        <v>268</v>
      </c>
      <c r="I6017" s="200" t="s">
        <v>4690</v>
      </c>
    </row>
    <row r="6018" spans="1:9" ht="15" customHeight="1">
      <c r="A6018" s="199">
        <v>45761</v>
      </c>
      <c r="B6018" s="202" t="s">
        <v>1745</v>
      </c>
      <c r="C6018" s="200" t="s">
        <v>204</v>
      </c>
      <c r="D6018" s="642">
        <v>-12000</v>
      </c>
      <c r="E6018" s="201">
        <v>45748</v>
      </c>
      <c r="F6018" s="200" t="s">
        <v>296</v>
      </c>
      <c r="G6018" s="200" t="s">
        <v>1362</v>
      </c>
      <c r="H6018" s="200" t="s">
        <v>342</v>
      </c>
      <c r="I6018" s="200" t="s">
        <v>4690</v>
      </c>
    </row>
    <row r="6019" spans="1:9" ht="15" customHeight="1">
      <c r="A6019" s="199">
        <v>45752</v>
      </c>
      <c r="B6019" s="202" t="s">
        <v>4780</v>
      </c>
      <c r="C6019" s="200" t="s">
        <v>307</v>
      </c>
      <c r="D6019" s="204">
        <v>-43000</v>
      </c>
      <c r="E6019" s="201">
        <v>45748</v>
      </c>
      <c r="F6019" s="200" t="s">
        <v>296</v>
      </c>
      <c r="G6019" s="200" t="s">
        <v>1362</v>
      </c>
      <c r="H6019" s="200" t="s">
        <v>350</v>
      </c>
      <c r="I6019" s="200" t="s">
        <v>4781</v>
      </c>
    </row>
    <row r="6020" spans="1:9" ht="15" customHeight="1">
      <c r="A6020" s="199">
        <v>45752</v>
      </c>
      <c r="B6020" s="202" t="s">
        <v>4782</v>
      </c>
      <c r="C6020" s="200" t="s">
        <v>307</v>
      </c>
      <c r="D6020" s="204">
        <v>-17000</v>
      </c>
      <c r="E6020" s="201">
        <v>45748</v>
      </c>
      <c r="F6020" s="200" t="s">
        <v>296</v>
      </c>
      <c r="G6020" s="200" t="s">
        <v>1362</v>
      </c>
      <c r="H6020" s="200" t="s">
        <v>350</v>
      </c>
      <c r="I6020" s="200" t="s">
        <v>4781</v>
      </c>
    </row>
    <row r="6021" spans="1:9" ht="15" customHeight="1">
      <c r="A6021" s="199">
        <v>45754</v>
      </c>
      <c r="B6021" s="202" t="s">
        <v>4783</v>
      </c>
      <c r="C6021" s="200" t="s">
        <v>307</v>
      </c>
      <c r="D6021" s="204">
        <v>-7000</v>
      </c>
      <c r="E6021" s="201">
        <v>45748</v>
      </c>
      <c r="F6021" s="200" t="s">
        <v>296</v>
      </c>
      <c r="G6021" s="200" t="s">
        <v>1362</v>
      </c>
      <c r="H6021" s="200" t="s">
        <v>268</v>
      </c>
      <c r="I6021" s="200" t="s">
        <v>4781</v>
      </c>
    </row>
    <row r="6022" spans="1:9" ht="15" customHeight="1">
      <c r="A6022" s="199">
        <v>45754</v>
      </c>
      <c r="B6022" s="202" t="s">
        <v>4784</v>
      </c>
      <c r="C6022" s="200" t="s">
        <v>307</v>
      </c>
      <c r="D6022" s="204">
        <v>-6000</v>
      </c>
      <c r="E6022" s="201">
        <v>45748</v>
      </c>
      <c r="F6022" s="200" t="s">
        <v>296</v>
      </c>
      <c r="G6022" s="200" t="s">
        <v>1362</v>
      </c>
      <c r="H6022" s="200" t="s">
        <v>350</v>
      </c>
      <c r="I6022" s="200" t="s">
        <v>4781</v>
      </c>
    </row>
    <row r="6023" spans="1:9" ht="15" customHeight="1">
      <c r="A6023" s="199">
        <v>45754</v>
      </c>
      <c r="B6023" s="202" t="s">
        <v>4785</v>
      </c>
      <c r="C6023" s="200" t="s">
        <v>307</v>
      </c>
      <c r="D6023" s="204">
        <v>-19000</v>
      </c>
      <c r="E6023" s="201">
        <v>45748</v>
      </c>
      <c r="F6023" s="200" t="s">
        <v>296</v>
      </c>
      <c r="G6023" s="200" t="s">
        <v>1362</v>
      </c>
      <c r="H6023" s="200" t="s">
        <v>350</v>
      </c>
      <c r="I6023" s="200" t="s">
        <v>4781</v>
      </c>
    </row>
    <row r="6024" spans="1:9" ht="15" customHeight="1">
      <c r="A6024" s="199">
        <v>45754</v>
      </c>
      <c r="B6024" s="202" t="s">
        <v>4786</v>
      </c>
      <c r="C6024" s="200" t="s">
        <v>307</v>
      </c>
      <c r="D6024" s="204">
        <v>-7600</v>
      </c>
      <c r="E6024" s="201">
        <v>45748</v>
      </c>
      <c r="F6024" s="200" t="s">
        <v>296</v>
      </c>
      <c r="G6024" s="200" t="s">
        <v>1362</v>
      </c>
      <c r="H6024" s="200" t="s">
        <v>342</v>
      </c>
      <c r="I6024" s="200" t="s">
        <v>4781</v>
      </c>
    </row>
    <row r="6025" spans="1:9" ht="15" customHeight="1">
      <c r="A6025" s="199">
        <v>45754</v>
      </c>
      <c r="B6025" s="202" t="s">
        <v>4786</v>
      </c>
      <c r="C6025" s="200" t="s">
        <v>307</v>
      </c>
      <c r="D6025" s="204">
        <v>-8000</v>
      </c>
      <c r="E6025" s="201">
        <v>45748</v>
      </c>
      <c r="F6025" s="200" t="s">
        <v>296</v>
      </c>
      <c r="G6025" s="200" t="s">
        <v>1362</v>
      </c>
      <c r="H6025" s="200" t="s">
        <v>342</v>
      </c>
      <c r="I6025" s="200" t="s">
        <v>4781</v>
      </c>
    </row>
    <row r="6026" spans="1:9" ht="15" customHeight="1">
      <c r="A6026" s="199">
        <v>45754</v>
      </c>
      <c r="B6026" s="202" t="s">
        <v>4787</v>
      </c>
      <c r="C6026" s="200" t="s">
        <v>307</v>
      </c>
      <c r="D6026" s="204">
        <v>-3950</v>
      </c>
      <c r="E6026" s="201">
        <v>45748</v>
      </c>
      <c r="F6026" s="200" t="s">
        <v>296</v>
      </c>
      <c r="G6026" s="200" t="s">
        <v>1362</v>
      </c>
      <c r="H6026" s="200" t="s">
        <v>342</v>
      </c>
      <c r="I6026" s="200" t="s">
        <v>4781</v>
      </c>
    </row>
    <row r="6027" spans="1:9" ht="15" customHeight="1">
      <c r="A6027" s="199">
        <v>45754</v>
      </c>
      <c r="B6027" s="202" t="s">
        <v>4788</v>
      </c>
      <c r="C6027" s="200" t="s">
        <v>307</v>
      </c>
      <c r="D6027" s="204">
        <v>-35265</v>
      </c>
      <c r="E6027" s="201">
        <v>45748</v>
      </c>
      <c r="F6027" s="200" t="s">
        <v>296</v>
      </c>
      <c r="G6027" s="200" t="s">
        <v>1362</v>
      </c>
      <c r="H6027" s="200" t="s">
        <v>350</v>
      </c>
      <c r="I6027" s="200" t="s">
        <v>4781</v>
      </c>
    </row>
    <row r="6028" spans="1:9" ht="15" customHeight="1">
      <c r="A6028" s="199">
        <v>45754</v>
      </c>
      <c r="B6028" s="202" t="s">
        <v>4789</v>
      </c>
      <c r="C6028" s="200" t="s">
        <v>307</v>
      </c>
      <c r="D6028" s="204">
        <v>-8100</v>
      </c>
      <c r="E6028" s="201">
        <v>45748</v>
      </c>
      <c r="F6028" s="200" t="s">
        <v>296</v>
      </c>
      <c r="G6028" s="200" t="s">
        <v>1362</v>
      </c>
      <c r="H6028" s="200" t="s">
        <v>268</v>
      </c>
      <c r="I6028" s="200" t="s">
        <v>4781</v>
      </c>
    </row>
    <row r="6029" spans="1:9" ht="15" customHeight="1">
      <c r="A6029" s="199">
        <v>45754</v>
      </c>
      <c r="B6029" s="202" t="s">
        <v>4788</v>
      </c>
      <c r="C6029" s="200" t="s">
        <v>307</v>
      </c>
      <c r="D6029" s="204">
        <v>-133600</v>
      </c>
      <c r="E6029" s="201">
        <v>45748</v>
      </c>
      <c r="F6029" s="200" t="s">
        <v>296</v>
      </c>
      <c r="G6029" s="200" t="s">
        <v>1362</v>
      </c>
      <c r="H6029" s="200" t="s">
        <v>350</v>
      </c>
      <c r="I6029" s="200" t="s">
        <v>4781</v>
      </c>
    </row>
    <row r="6030" spans="1:9" ht="15" customHeight="1">
      <c r="A6030" s="199">
        <v>45754</v>
      </c>
      <c r="B6030" s="202" t="s">
        <v>4790</v>
      </c>
      <c r="C6030" s="200" t="s">
        <v>307</v>
      </c>
      <c r="D6030" s="204">
        <v>-6300</v>
      </c>
      <c r="E6030" s="201">
        <v>45748</v>
      </c>
      <c r="F6030" s="200" t="s">
        <v>296</v>
      </c>
      <c r="G6030" s="200" t="s">
        <v>1362</v>
      </c>
      <c r="H6030" s="200" t="s">
        <v>350</v>
      </c>
      <c r="I6030" s="200" t="s">
        <v>4781</v>
      </c>
    </row>
    <row r="6031" spans="1:9" ht="15" customHeight="1">
      <c r="A6031" s="199">
        <v>45754</v>
      </c>
      <c r="B6031" s="202" t="s">
        <v>4791</v>
      </c>
      <c r="C6031" s="200" t="s">
        <v>307</v>
      </c>
      <c r="D6031" s="204">
        <v>-8800</v>
      </c>
      <c r="E6031" s="201">
        <v>45748</v>
      </c>
      <c r="F6031" s="200" t="s">
        <v>296</v>
      </c>
      <c r="G6031" s="200" t="s">
        <v>1362</v>
      </c>
      <c r="H6031" s="200" t="s">
        <v>268</v>
      </c>
      <c r="I6031" s="200" t="s">
        <v>4781</v>
      </c>
    </row>
    <row r="6032" spans="1:9" ht="15" customHeight="1">
      <c r="A6032" s="199">
        <v>45755</v>
      </c>
      <c r="B6032" s="202" t="s">
        <v>4792</v>
      </c>
      <c r="C6032" s="200" t="s">
        <v>307</v>
      </c>
      <c r="D6032" s="204">
        <v>-47520</v>
      </c>
      <c r="E6032" s="201">
        <v>45748</v>
      </c>
      <c r="F6032" s="200" t="s">
        <v>296</v>
      </c>
      <c r="G6032" s="200" t="s">
        <v>1362</v>
      </c>
      <c r="H6032" s="200" t="s">
        <v>268</v>
      </c>
      <c r="I6032" s="200" t="s">
        <v>4781</v>
      </c>
    </row>
    <row r="6033" spans="1:9" ht="15" customHeight="1">
      <c r="A6033" s="199">
        <v>45755</v>
      </c>
      <c r="B6033" s="202" t="s">
        <v>4793</v>
      </c>
      <c r="C6033" s="200" t="s">
        <v>307</v>
      </c>
      <c r="D6033" s="204">
        <v>-220000</v>
      </c>
      <c r="E6033" s="201">
        <v>45748</v>
      </c>
      <c r="F6033" s="200" t="s">
        <v>296</v>
      </c>
      <c r="G6033" s="200" t="s">
        <v>1362</v>
      </c>
      <c r="H6033" s="200" t="s">
        <v>379</v>
      </c>
      <c r="I6033" s="200" t="s">
        <v>4781</v>
      </c>
    </row>
    <row r="6034" spans="1:9" ht="15" customHeight="1">
      <c r="A6034" s="199">
        <v>45755</v>
      </c>
      <c r="B6034" s="202" t="s">
        <v>4794</v>
      </c>
      <c r="C6034" s="200" t="s">
        <v>307</v>
      </c>
      <c r="D6034" s="204">
        <v>-4150</v>
      </c>
      <c r="E6034" s="201">
        <v>45748</v>
      </c>
      <c r="F6034" s="200" t="s">
        <v>296</v>
      </c>
      <c r="G6034" s="200" t="s">
        <v>1362</v>
      </c>
      <c r="H6034" s="200" t="s">
        <v>342</v>
      </c>
      <c r="I6034" s="200" t="s">
        <v>4781</v>
      </c>
    </row>
    <row r="6035" spans="1:9" ht="15" customHeight="1">
      <c r="A6035" s="199">
        <v>45755</v>
      </c>
      <c r="B6035" s="202" t="s">
        <v>4795</v>
      </c>
      <c r="C6035" s="200" t="s">
        <v>307</v>
      </c>
      <c r="D6035" s="204">
        <v>-7600</v>
      </c>
      <c r="E6035" s="201">
        <v>45748</v>
      </c>
      <c r="F6035" s="200" t="s">
        <v>296</v>
      </c>
      <c r="G6035" s="200" t="s">
        <v>1362</v>
      </c>
      <c r="H6035" s="200" t="s">
        <v>342</v>
      </c>
      <c r="I6035" s="200" t="s">
        <v>4781</v>
      </c>
    </row>
    <row r="6036" spans="1:9" ht="15" customHeight="1">
      <c r="A6036" s="199">
        <v>45755</v>
      </c>
      <c r="B6036" s="202" t="s">
        <v>4787</v>
      </c>
      <c r="C6036" s="200" t="s">
        <v>307</v>
      </c>
      <c r="D6036" s="204">
        <v>-3200</v>
      </c>
      <c r="E6036" s="201">
        <v>45748</v>
      </c>
      <c r="F6036" s="200" t="s">
        <v>296</v>
      </c>
      <c r="G6036" s="200" t="s">
        <v>1362</v>
      </c>
      <c r="H6036" s="200" t="s">
        <v>342</v>
      </c>
      <c r="I6036" s="200" t="s">
        <v>4781</v>
      </c>
    </row>
    <row r="6037" spans="1:9" ht="15" customHeight="1">
      <c r="A6037" s="199">
        <v>45755</v>
      </c>
      <c r="B6037" s="202" t="s">
        <v>4796</v>
      </c>
      <c r="C6037" s="200" t="s">
        <v>307</v>
      </c>
      <c r="D6037" s="204">
        <v>-9900</v>
      </c>
      <c r="E6037" s="201">
        <v>45748</v>
      </c>
      <c r="F6037" s="200" t="s">
        <v>296</v>
      </c>
      <c r="G6037" s="200" t="s">
        <v>1362</v>
      </c>
      <c r="H6037" s="200" t="s">
        <v>350</v>
      </c>
      <c r="I6037" s="200" t="s">
        <v>4781</v>
      </c>
    </row>
    <row r="6038" spans="1:9" ht="15" customHeight="1">
      <c r="A6038" s="199">
        <v>45755</v>
      </c>
      <c r="B6038" s="202" t="s">
        <v>4787</v>
      </c>
      <c r="C6038" s="200" t="s">
        <v>307</v>
      </c>
      <c r="D6038" s="204">
        <v>-2590</v>
      </c>
      <c r="E6038" s="201">
        <v>45748</v>
      </c>
      <c r="F6038" s="200" t="s">
        <v>296</v>
      </c>
      <c r="G6038" s="200" t="s">
        <v>1362</v>
      </c>
      <c r="H6038" s="200" t="s">
        <v>342</v>
      </c>
      <c r="I6038" s="200" t="s">
        <v>4781</v>
      </c>
    </row>
    <row r="6039" spans="1:9" ht="15" customHeight="1">
      <c r="A6039" s="199">
        <v>45755</v>
      </c>
      <c r="B6039" s="202" t="s">
        <v>4786</v>
      </c>
      <c r="C6039" s="200" t="s">
        <v>307</v>
      </c>
      <c r="D6039" s="204">
        <v>-4900</v>
      </c>
      <c r="E6039" s="201">
        <v>45748</v>
      </c>
      <c r="F6039" s="200" t="s">
        <v>296</v>
      </c>
      <c r="G6039" s="200" t="s">
        <v>1362</v>
      </c>
      <c r="H6039" s="200" t="s">
        <v>342</v>
      </c>
      <c r="I6039" s="200" t="s">
        <v>4781</v>
      </c>
    </row>
    <row r="6040" spans="1:9" ht="15" customHeight="1">
      <c r="A6040" s="199">
        <v>45755</v>
      </c>
      <c r="B6040" s="202" t="s">
        <v>4797</v>
      </c>
      <c r="C6040" s="200" t="s">
        <v>307</v>
      </c>
      <c r="D6040" s="204">
        <v>-8300</v>
      </c>
      <c r="E6040" s="201">
        <v>45748</v>
      </c>
      <c r="F6040" s="200" t="s">
        <v>296</v>
      </c>
      <c r="G6040" s="200" t="s">
        <v>1362</v>
      </c>
      <c r="H6040" s="200" t="s">
        <v>268</v>
      </c>
      <c r="I6040" s="200" t="s">
        <v>4781</v>
      </c>
    </row>
    <row r="6041" spans="1:9" ht="15" customHeight="1">
      <c r="A6041" s="199">
        <v>45755</v>
      </c>
      <c r="B6041" s="202" t="s">
        <v>4796</v>
      </c>
      <c r="C6041" s="200" t="s">
        <v>307</v>
      </c>
      <c r="D6041" s="204">
        <v>-37300</v>
      </c>
      <c r="E6041" s="201">
        <v>45748</v>
      </c>
      <c r="F6041" s="200" t="s">
        <v>296</v>
      </c>
      <c r="G6041" s="200" t="s">
        <v>1362</v>
      </c>
      <c r="H6041" s="200" t="s">
        <v>350</v>
      </c>
      <c r="I6041" s="200" t="s">
        <v>4781</v>
      </c>
    </row>
    <row r="6042" spans="1:9" ht="15" customHeight="1">
      <c r="A6042" s="199">
        <v>45755</v>
      </c>
      <c r="B6042" s="202" t="s">
        <v>4791</v>
      </c>
      <c r="C6042" s="200" t="s">
        <v>307</v>
      </c>
      <c r="D6042" s="204">
        <v>-9100</v>
      </c>
      <c r="E6042" s="201">
        <v>45748</v>
      </c>
      <c r="F6042" s="200" t="s">
        <v>296</v>
      </c>
      <c r="G6042" s="200" t="s">
        <v>1362</v>
      </c>
      <c r="H6042" s="200" t="s">
        <v>268</v>
      </c>
      <c r="I6042" s="200" t="s">
        <v>4781</v>
      </c>
    </row>
    <row r="6043" spans="1:9" ht="15" customHeight="1">
      <c r="A6043" s="199">
        <v>45756</v>
      </c>
      <c r="B6043" s="202" t="s">
        <v>4795</v>
      </c>
      <c r="C6043" s="200" t="s">
        <v>307</v>
      </c>
      <c r="D6043" s="204">
        <v>-9500</v>
      </c>
      <c r="E6043" s="201">
        <v>45748</v>
      </c>
      <c r="F6043" s="200" t="s">
        <v>296</v>
      </c>
      <c r="G6043" s="200" t="s">
        <v>1362</v>
      </c>
      <c r="H6043" s="200" t="s">
        <v>342</v>
      </c>
      <c r="I6043" s="200" t="s">
        <v>4781</v>
      </c>
    </row>
    <row r="6044" spans="1:9" ht="15" customHeight="1">
      <c r="A6044" s="199">
        <v>45756</v>
      </c>
      <c r="B6044" s="202" t="s">
        <v>4787</v>
      </c>
      <c r="C6044" s="200" t="s">
        <v>307</v>
      </c>
      <c r="D6044" s="204">
        <v>-3950</v>
      </c>
      <c r="E6044" s="201">
        <v>45748</v>
      </c>
      <c r="F6044" s="200" t="s">
        <v>296</v>
      </c>
      <c r="G6044" s="200" t="s">
        <v>1362</v>
      </c>
      <c r="H6044" s="200" t="s">
        <v>342</v>
      </c>
      <c r="I6044" s="200" t="s">
        <v>4781</v>
      </c>
    </row>
    <row r="6045" spans="1:9" ht="15" customHeight="1">
      <c r="A6045" s="199">
        <v>45756</v>
      </c>
      <c r="B6045" s="202" t="s">
        <v>4798</v>
      </c>
      <c r="C6045" s="200" t="s">
        <v>307</v>
      </c>
      <c r="D6045" s="204">
        <v>-43050</v>
      </c>
      <c r="E6045" s="201">
        <v>45748</v>
      </c>
      <c r="F6045" s="200" t="s">
        <v>296</v>
      </c>
      <c r="G6045" s="200" t="s">
        <v>1362</v>
      </c>
      <c r="H6045" s="200" t="s">
        <v>342</v>
      </c>
      <c r="I6045" s="200" t="s">
        <v>4781</v>
      </c>
    </row>
    <row r="6046" spans="1:9" ht="15" customHeight="1">
      <c r="A6046" s="199">
        <v>45756</v>
      </c>
      <c r="B6046" s="202" t="s">
        <v>4799</v>
      </c>
      <c r="C6046" s="200" t="s">
        <v>307</v>
      </c>
      <c r="D6046" s="204">
        <v>-13980</v>
      </c>
      <c r="E6046" s="201">
        <v>45748</v>
      </c>
      <c r="F6046" s="200" t="s">
        <v>296</v>
      </c>
      <c r="G6046" s="200" t="s">
        <v>1362</v>
      </c>
      <c r="H6046" s="200" t="s">
        <v>350</v>
      </c>
      <c r="I6046" s="200" t="s">
        <v>4781</v>
      </c>
    </row>
    <row r="6047" spans="1:9" ht="15" customHeight="1">
      <c r="A6047" s="199">
        <v>45756</v>
      </c>
      <c r="B6047" s="202" t="s">
        <v>4795</v>
      </c>
      <c r="C6047" s="200" t="s">
        <v>307</v>
      </c>
      <c r="D6047" s="204">
        <v>-15200</v>
      </c>
      <c r="E6047" s="201">
        <v>45748</v>
      </c>
      <c r="F6047" s="200" t="s">
        <v>296</v>
      </c>
      <c r="G6047" s="200" t="s">
        <v>1362</v>
      </c>
      <c r="H6047" s="200" t="s">
        <v>342</v>
      </c>
      <c r="I6047" s="200" t="s">
        <v>4781</v>
      </c>
    </row>
    <row r="6048" spans="1:9" ht="15" customHeight="1">
      <c r="A6048" s="199">
        <v>45756</v>
      </c>
      <c r="B6048" s="202" t="s">
        <v>4800</v>
      </c>
      <c r="C6048" s="200" t="s">
        <v>307</v>
      </c>
      <c r="D6048" s="204">
        <v>-8400</v>
      </c>
      <c r="E6048" s="201">
        <v>45748</v>
      </c>
      <c r="F6048" s="200" t="s">
        <v>296</v>
      </c>
      <c r="G6048" s="200" t="s">
        <v>1362</v>
      </c>
      <c r="H6048" s="200" t="s">
        <v>268</v>
      </c>
      <c r="I6048" s="200" t="s">
        <v>4781</v>
      </c>
    </row>
    <row r="6049" spans="1:9" ht="15" customHeight="1">
      <c r="A6049" s="199">
        <v>45756</v>
      </c>
      <c r="B6049" s="202" t="s">
        <v>4801</v>
      </c>
      <c r="C6049" s="200" t="s">
        <v>307</v>
      </c>
      <c r="D6049" s="204">
        <v>-91000</v>
      </c>
      <c r="E6049" s="201">
        <v>45748</v>
      </c>
      <c r="F6049" s="200" t="s">
        <v>296</v>
      </c>
      <c r="G6049" s="200" t="s">
        <v>1362</v>
      </c>
      <c r="H6049" s="200" t="s">
        <v>350</v>
      </c>
      <c r="I6049" s="200" t="s">
        <v>4781</v>
      </c>
    </row>
    <row r="6050" spans="1:9" ht="15" customHeight="1">
      <c r="A6050" s="199">
        <v>45756</v>
      </c>
      <c r="B6050" s="202" t="s">
        <v>4791</v>
      </c>
      <c r="C6050" s="200" t="s">
        <v>307</v>
      </c>
      <c r="D6050" s="204">
        <v>-8500</v>
      </c>
      <c r="E6050" s="201">
        <v>45748</v>
      </c>
      <c r="F6050" s="200" t="s">
        <v>296</v>
      </c>
      <c r="G6050" s="200" t="s">
        <v>1362</v>
      </c>
      <c r="H6050" s="200" t="s">
        <v>268</v>
      </c>
      <c r="I6050" s="200" t="s">
        <v>4781</v>
      </c>
    </row>
    <row r="6051" spans="1:9" ht="15" customHeight="1">
      <c r="A6051" s="199">
        <v>45757</v>
      </c>
      <c r="B6051" s="202" t="s">
        <v>4795</v>
      </c>
      <c r="C6051" s="200" t="s">
        <v>307</v>
      </c>
      <c r="D6051" s="204">
        <v>-950</v>
      </c>
      <c r="E6051" s="201">
        <v>45748</v>
      </c>
      <c r="F6051" s="200" t="s">
        <v>296</v>
      </c>
      <c r="G6051" s="200" t="s">
        <v>1362</v>
      </c>
      <c r="H6051" s="200" t="s">
        <v>342</v>
      </c>
      <c r="I6051" s="200" t="s">
        <v>4781</v>
      </c>
    </row>
    <row r="6052" spans="1:9" ht="15" customHeight="1">
      <c r="A6052" s="199">
        <v>45757</v>
      </c>
      <c r="B6052" s="202" t="s">
        <v>4787</v>
      </c>
      <c r="C6052" s="200" t="s">
        <v>307</v>
      </c>
      <c r="D6052" s="204">
        <v>-3950</v>
      </c>
      <c r="E6052" s="201">
        <v>45748</v>
      </c>
      <c r="F6052" s="200" t="s">
        <v>296</v>
      </c>
      <c r="G6052" s="200" t="s">
        <v>1362</v>
      </c>
      <c r="H6052" s="200" t="s">
        <v>342</v>
      </c>
      <c r="I6052" s="200" t="s">
        <v>4781</v>
      </c>
    </row>
    <row r="6053" spans="1:9" ht="15" customHeight="1">
      <c r="A6053" s="199">
        <v>45757</v>
      </c>
      <c r="B6053" s="202" t="s">
        <v>4802</v>
      </c>
      <c r="C6053" s="200" t="s">
        <v>307</v>
      </c>
      <c r="D6053" s="204">
        <v>-45048</v>
      </c>
      <c r="E6053" s="201">
        <v>45748</v>
      </c>
      <c r="F6053" s="200" t="s">
        <v>296</v>
      </c>
      <c r="G6053" s="200" t="s">
        <v>1362</v>
      </c>
      <c r="H6053" s="200" t="s">
        <v>268</v>
      </c>
      <c r="I6053" s="200" t="s">
        <v>4781</v>
      </c>
    </row>
    <row r="6054" spans="1:9" ht="15" customHeight="1">
      <c r="A6054" s="199">
        <v>45758</v>
      </c>
      <c r="B6054" s="202" t="s">
        <v>4787</v>
      </c>
      <c r="C6054" s="200" t="s">
        <v>307</v>
      </c>
      <c r="D6054" s="204">
        <v>-3950</v>
      </c>
      <c r="E6054" s="201">
        <v>45748</v>
      </c>
      <c r="F6054" s="200" t="s">
        <v>296</v>
      </c>
      <c r="G6054" s="200" t="s">
        <v>1362</v>
      </c>
      <c r="H6054" s="200" t="s">
        <v>342</v>
      </c>
      <c r="I6054" s="200" t="s">
        <v>4781</v>
      </c>
    </row>
    <row r="6055" spans="1:9" ht="15" customHeight="1">
      <c r="A6055" s="199">
        <v>45758</v>
      </c>
      <c r="B6055" s="202" t="s">
        <v>4803</v>
      </c>
      <c r="C6055" s="200" t="s">
        <v>307</v>
      </c>
      <c r="D6055" s="204">
        <v>-4500</v>
      </c>
      <c r="E6055" s="201">
        <v>45748</v>
      </c>
      <c r="F6055" s="200" t="s">
        <v>296</v>
      </c>
      <c r="G6055" s="200" t="s">
        <v>1362</v>
      </c>
      <c r="H6055" s="200" t="s">
        <v>342</v>
      </c>
      <c r="I6055" s="200" t="s">
        <v>4781</v>
      </c>
    </row>
    <row r="6056" spans="1:9" ht="15" customHeight="1">
      <c r="A6056" s="199">
        <v>45758</v>
      </c>
      <c r="B6056" s="202" t="s">
        <v>4804</v>
      </c>
      <c r="C6056" s="200" t="s">
        <v>307</v>
      </c>
      <c r="D6056" s="204">
        <v>-217500</v>
      </c>
      <c r="E6056" s="201">
        <v>45748</v>
      </c>
      <c r="F6056" s="200" t="s">
        <v>296</v>
      </c>
      <c r="G6056" s="200" t="s">
        <v>1362</v>
      </c>
      <c r="H6056" s="200" t="s">
        <v>379</v>
      </c>
      <c r="I6056" s="200" t="s">
        <v>4781</v>
      </c>
    </row>
    <row r="6057" spans="1:9" ht="15" customHeight="1">
      <c r="A6057" s="199">
        <v>45758</v>
      </c>
      <c r="B6057" s="202" t="s">
        <v>4805</v>
      </c>
      <c r="C6057" s="200" t="s">
        <v>307</v>
      </c>
      <c r="D6057" s="204">
        <v>-9700</v>
      </c>
      <c r="E6057" s="201">
        <v>45748</v>
      </c>
      <c r="F6057" s="200" t="s">
        <v>296</v>
      </c>
      <c r="G6057" s="200" t="s">
        <v>1362</v>
      </c>
      <c r="H6057" s="200" t="s">
        <v>268</v>
      </c>
      <c r="I6057" s="200" t="s">
        <v>4781</v>
      </c>
    </row>
    <row r="6058" spans="1:9" ht="15" customHeight="1">
      <c r="A6058" s="199">
        <v>45758</v>
      </c>
      <c r="B6058" s="202" t="s">
        <v>4806</v>
      </c>
      <c r="C6058" s="200" t="s">
        <v>307</v>
      </c>
      <c r="D6058" s="204">
        <v>-81550</v>
      </c>
      <c r="E6058" s="201">
        <v>45748</v>
      </c>
      <c r="F6058" s="200" t="s">
        <v>296</v>
      </c>
      <c r="G6058" s="200" t="s">
        <v>1362</v>
      </c>
      <c r="H6058" s="200" t="s">
        <v>350</v>
      </c>
      <c r="I6058" s="200" t="s">
        <v>4781</v>
      </c>
    </row>
    <row r="6059" spans="1:9" ht="15" customHeight="1">
      <c r="A6059" s="199">
        <v>45758</v>
      </c>
      <c r="B6059" s="202" t="s">
        <v>4807</v>
      </c>
      <c r="C6059" s="200" t="s">
        <v>307</v>
      </c>
      <c r="D6059" s="204">
        <v>-40000</v>
      </c>
      <c r="E6059" s="201">
        <v>45748</v>
      </c>
      <c r="F6059" s="200" t="s">
        <v>296</v>
      </c>
      <c r="G6059" s="200" t="s">
        <v>1362</v>
      </c>
      <c r="H6059" s="200" t="s">
        <v>268</v>
      </c>
      <c r="I6059" s="200" t="s">
        <v>4781</v>
      </c>
    </row>
    <row r="6060" spans="1:9" ht="15" customHeight="1">
      <c r="A6060" s="199">
        <v>45758</v>
      </c>
      <c r="B6060" s="202" t="s">
        <v>4808</v>
      </c>
      <c r="C6060" s="200" t="s">
        <v>307</v>
      </c>
      <c r="D6060" s="204">
        <v>-20000</v>
      </c>
      <c r="E6060" s="201">
        <v>45748</v>
      </c>
      <c r="F6060" s="200" t="s">
        <v>296</v>
      </c>
      <c r="G6060" s="200" t="s">
        <v>1362</v>
      </c>
      <c r="H6060" s="200" t="s">
        <v>268</v>
      </c>
      <c r="I6060" s="200" t="s">
        <v>4781</v>
      </c>
    </row>
    <row r="6061" spans="1:9" ht="15" customHeight="1">
      <c r="A6061" s="199">
        <v>45759</v>
      </c>
      <c r="B6061" s="202" t="s">
        <v>4809</v>
      </c>
      <c r="C6061" s="200" t="s">
        <v>307</v>
      </c>
      <c r="D6061" s="204">
        <v>-1040000</v>
      </c>
      <c r="E6061" s="201">
        <v>45748</v>
      </c>
      <c r="F6061" s="200" t="s">
        <v>296</v>
      </c>
      <c r="G6061" s="200" t="s">
        <v>1362</v>
      </c>
      <c r="H6061" s="200" t="s">
        <v>379</v>
      </c>
      <c r="I6061" s="648" t="s">
        <v>329</v>
      </c>
    </row>
    <row r="6062" spans="1:9" ht="15" customHeight="1">
      <c r="A6062" s="199">
        <v>45763</v>
      </c>
      <c r="B6062" s="202" t="s">
        <v>4810</v>
      </c>
      <c r="C6062" s="200" t="s">
        <v>307</v>
      </c>
      <c r="D6062" s="204">
        <v>-473800</v>
      </c>
      <c r="E6062" s="201">
        <v>45748</v>
      </c>
      <c r="F6062" s="200" t="s">
        <v>297</v>
      </c>
      <c r="G6062" s="200" t="s">
        <v>3892</v>
      </c>
      <c r="H6062" s="200" t="s">
        <v>346</v>
      </c>
    </row>
    <row r="6063" spans="1:9" ht="15" customHeight="1">
      <c r="A6063" s="199">
        <v>45763</v>
      </c>
      <c r="B6063" s="202" t="s">
        <v>4811</v>
      </c>
      <c r="C6063" s="200" t="s">
        <v>204</v>
      </c>
      <c r="D6063" s="642">
        <v>-74732</v>
      </c>
      <c r="E6063" s="201">
        <v>45748</v>
      </c>
      <c r="F6063" s="200" t="s">
        <v>256</v>
      </c>
      <c r="G6063" s="200" t="s">
        <v>256</v>
      </c>
      <c r="H6063" s="200" t="s">
        <v>267</v>
      </c>
    </row>
    <row r="6064" spans="1:9" ht="15" customHeight="1">
      <c r="A6064" s="199">
        <v>45763</v>
      </c>
      <c r="B6064" s="202" t="s">
        <v>4812</v>
      </c>
      <c r="C6064" s="200" t="s">
        <v>204</v>
      </c>
      <c r="D6064" s="642">
        <v>-149750</v>
      </c>
      <c r="E6064" s="201">
        <v>45748</v>
      </c>
      <c r="F6064" s="200" t="s">
        <v>296</v>
      </c>
      <c r="G6064" s="200" t="s">
        <v>1980</v>
      </c>
      <c r="H6064" s="200" t="s">
        <v>322</v>
      </c>
    </row>
    <row r="6065" spans="1:8" ht="15" customHeight="1">
      <c r="A6065" s="199">
        <v>45763</v>
      </c>
      <c r="B6065" s="202" t="s">
        <v>4812</v>
      </c>
      <c r="C6065" s="200" t="s">
        <v>204</v>
      </c>
      <c r="D6065" s="642">
        <v>-149750</v>
      </c>
      <c r="E6065" s="201">
        <v>45748</v>
      </c>
      <c r="F6065" s="200" t="s">
        <v>296</v>
      </c>
      <c r="G6065" s="200" t="s">
        <v>1983</v>
      </c>
      <c r="H6065" s="200" t="s">
        <v>322</v>
      </c>
    </row>
    <row r="6066" spans="1:8" ht="15" customHeight="1">
      <c r="A6066" s="199">
        <v>45763</v>
      </c>
      <c r="B6066" s="202" t="s">
        <v>4813</v>
      </c>
      <c r="C6066" s="200" t="s">
        <v>204</v>
      </c>
      <c r="D6066" s="642">
        <v>-2035000</v>
      </c>
      <c r="E6066" s="201">
        <v>45748</v>
      </c>
      <c r="F6066" s="200" t="s">
        <v>256</v>
      </c>
      <c r="G6066" s="200" t="s">
        <v>256</v>
      </c>
      <c r="H6066" s="200" t="s">
        <v>258</v>
      </c>
    </row>
    <row r="6067" spans="1:8" ht="15" customHeight="1">
      <c r="A6067" s="199">
        <v>45763</v>
      </c>
      <c r="B6067" s="202" t="s">
        <v>4814</v>
      </c>
      <c r="C6067" s="200" t="s">
        <v>204</v>
      </c>
      <c r="D6067" s="642">
        <v>-1097280</v>
      </c>
      <c r="E6067" s="201">
        <v>45748</v>
      </c>
      <c r="F6067" s="200" t="s">
        <v>296</v>
      </c>
      <c r="G6067" s="200" t="s">
        <v>1825</v>
      </c>
      <c r="H6067" s="200" t="s">
        <v>490</v>
      </c>
    </row>
    <row r="6068" spans="1:8" ht="15" customHeight="1">
      <c r="A6068" s="199">
        <v>45763</v>
      </c>
      <c r="B6068" s="202" t="s">
        <v>4815</v>
      </c>
      <c r="C6068" s="200" t="s">
        <v>372</v>
      </c>
      <c r="D6068" s="204">
        <v>-45720</v>
      </c>
      <c r="E6068" s="201">
        <v>45748</v>
      </c>
      <c r="F6068" s="200" t="s">
        <v>296</v>
      </c>
      <c r="G6068" s="200" t="s">
        <v>1825</v>
      </c>
      <c r="H6068" s="200" t="s">
        <v>490</v>
      </c>
    </row>
    <row r="6069" spans="1:8" ht="15" customHeight="1">
      <c r="A6069" s="199">
        <v>45763</v>
      </c>
      <c r="B6069" s="202" t="s">
        <v>4816</v>
      </c>
      <c r="C6069" s="200" t="s">
        <v>204</v>
      </c>
      <c r="D6069" s="642">
        <v>-3781200</v>
      </c>
      <c r="E6069" s="201">
        <v>45748</v>
      </c>
      <c r="F6069" s="200" t="s">
        <v>296</v>
      </c>
      <c r="G6069" s="200" t="s">
        <v>522</v>
      </c>
      <c r="H6069" s="200" t="s">
        <v>488</v>
      </c>
    </row>
    <row r="6070" spans="1:8" ht="15" customHeight="1">
      <c r="A6070" s="199">
        <v>45763</v>
      </c>
      <c r="B6070" s="202" t="s">
        <v>4817</v>
      </c>
      <c r="C6070" s="200" t="s">
        <v>372</v>
      </c>
      <c r="D6070" s="204">
        <v>-328800</v>
      </c>
      <c r="E6070" s="201">
        <v>45748</v>
      </c>
      <c r="F6070" s="200" t="s">
        <v>296</v>
      </c>
      <c r="G6070" s="200" t="s">
        <v>522</v>
      </c>
      <c r="H6070" s="200" t="s">
        <v>488</v>
      </c>
    </row>
    <row r="6071" spans="1:8" ht="15" customHeight="1">
      <c r="A6071" s="199">
        <v>45763</v>
      </c>
      <c r="B6071" s="202" t="s">
        <v>4818</v>
      </c>
      <c r="C6071" s="200" t="s">
        <v>204</v>
      </c>
      <c r="D6071" s="642">
        <v>-3107300</v>
      </c>
      <c r="E6071" s="201">
        <v>45748</v>
      </c>
      <c r="F6071" s="200" t="s">
        <v>296</v>
      </c>
      <c r="G6071" s="200" t="s">
        <v>44</v>
      </c>
      <c r="H6071" s="200" t="s">
        <v>488</v>
      </c>
    </row>
    <row r="6072" spans="1:8" ht="15" customHeight="1">
      <c r="A6072" s="199">
        <v>45763</v>
      </c>
      <c r="B6072" s="202" t="s">
        <v>4819</v>
      </c>
      <c r="C6072" s="200" t="s">
        <v>372</v>
      </c>
      <c r="D6072" s="204">
        <v>-270200</v>
      </c>
      <c r="E6072" s="201">
        <v>45748</v>
      </c>
      <c r="F6072" s="200" t="s">
        <v>296</v>
      </c>
      <c r="G6072" s="200" t="s">
        <v>44</v>
      </c>
      <c r="H6072" s="200" t="s">
        <v>488</v>
      </c>
    </row>
    <row r="6073" spans="1:8" ht="15" customHeight="1">
      <c r="A6073" s="199">
        <v>45763</v>
      </c>
      <c r="B6073" s="202" t="s">
        <v>3173</v>
      </c>
      <c r="C6073" s="200" t="s">
        <v>204</v>
      </c>
      <c r="D6073" s="642">
        <v>-2800000</v>
      </c>
      <c r="E6073" s="201">
        <v>45748</v>
      </c>
      <c r="F6073" s="200" t="s">
        <v>296</v>
      </c>
      <c r="G6073" s="200" t="s">
        <v>1825</v>
      </c>
      <c r="H6073" s="200" t="s">
        <v>488</v>
      </c>
    </row>
    <row r="6074" spans="1:8" ht="15" customHeight="1">
      <c r="A6074" s="199">
        <v>45763</v>
      </c>
      <c r="B6074" s="202" t="s">
        <v>3173</v>
      </c>
      <c r="C6074" s="200" t="s">
        <v>204</v>
      </c>
      <c r="D6074" s="642">
        <v>-2000000</v>
      </c>
      <c r="E6074" s="201">
        <v>45748</v>
      </c>
      <c r="F6074" s="200" t="s">
        <v>296</v>
      </c>
      <c r="G6074" s="200" t="s">
        <v>807</v>
      </c>
      <c r="H6074" s="200" t="s">
        <v>488</v>
      </c>
    </row>
    <row r="6075" spans="1:8" ht="15" customHeight="1">
      <c r="A6075" s="199">
        <v>45763</v>
      </c>
      <c r="B6075" s="202" t="s">
        <v>4820</v>
      </c>
      <c r="C6075" s="200" t="s">
        <v>204</v>
      </c>
      <c r="D6075" s="642">
        <v>-34440000</v>
      </c>
      <c r="E6075" s="201">
        <v>45748</v>
      </c>
      <c r="F6075" s="200" t="s">
        <v>296</v>
      </c>
      <c r="G6075" s="200" t="s">
        <v>1980</v>
      </c>
      <c r="H6075" s="200" t="s">
        <v>1079</v>
      </c>
    </row>
    <row r="6076" spans="1:8" ht="15" customHeight="1">
      <c r="A6076" s="199">
        <v>45763</v>
      </c>
      <c r="B6076" s="202" t="s">
        <v>4821</v>
      </c>
      <c r="C6076" s="200" t="s">
        <v>372</v>
      </c>
      <c r="D6076" s="204">
        <v>-350000</v>
      </c>
      <c r="E6076" s="201">
        <v>45748</v>
      </c>
      <c r="F6076" s="200" t="s">
        <v>296</v>
      </c>
      <c r="G6076" s="200" t="s">
        <v>1980</v>
      </c>
      <c r="H6076" s="200" t="s">
        <v>1079</v>
      </c>
    </row>
    <row r="6077" spans="1:8" ht="15" customHeight="1">
      <c r="A6077" s="199">
        <v>45763</v>
      </c>
      <c r="B6077" s="202" t="s">
        <v>4822</v>
      </c>
      <c r="C6077" s="200" t="s">
        <v>372</v>
      </c>
      <c r="D6077" s="204">
        <v>-210000</v>
      </c>
      <c r="E6077" s="201">
        <v>45748</v>
      </c>
      <c r="F6077" s="200" t="s">
        <v>296</v>
      </c>
      <c r="G6077" s="200" t="s">
        <v>1980</v>
      </c>
      <c r="H6077" s="200" t="s">
        <v>1079</v>
      </c>
    </row>
    <row r="6078" spans="1:8" ht="15" customHeight="1">
      <c r="A6078" s="199">
        <v>45763</v>
      </c>
      <c r="B6078" s="202" t="s">
        <v>4823</v>
      </c>
      <c r="C6078" s="200" t="s">
        <v>204</v>
      </c>
      <c r="D6078" s="642">
        <v>-2853600</v>
      </c>
      <c r="E6078" s="201">
        <v>45748</v>
      </c>
      <c r="F6078" s="200" t="s">
        <v>296</v>
      </c>
      <c r="G6078" s="200" t="s">
        <v>807</v>
      </c>
      <c r="H6078" s="200" t="s">
        <v>488</v>
      </c>
    </row>
    <row r="6079" spans="1:8" ht="15" customHeight="1">
      <c r="A6079" s="199">
        <v>45763</v>
      </c>
      <c r="B6079" s="202" t="s">
        <v>4824</v>
      </c>
      <c r="C6079" s="200" t="s">
        <v>372</v>
      </c>
      <c r="D6079" s="204">
        <v>-29000</v>
      </c>
      <c r="E6079" s="201">
        <v>45748</v>
      </c>
      <c r="F6079" s="200" t="s">
        <v>296</v>
      </c>
      <c r="G6079" s="200" t="s">
        <v>807</v>
      </c>
      <c r="H6079" s="200" t="s">
        <v>488</v>
      </c>
    </row>
    <row r="6080" spans="1:8" ht="15" customHeight="1">
      <c r="A6080" s="199">
        <v>45763</v>
      </c>
      <c r="B6080" s="202" t="s">
        <v>4825</v>
      </c>
      <c r="C6080" s="200" t="s">
        <v>372</v>
      </c>
      <c r="D6080" s="204">
        <v>-17400</v>
      </c>
      <c r="E6080" s="201">
        <v>45748</v>
      </c>
      <c r="F6080" s="200" t="s">
        <v>296</v>
      </c>
      <c r="G6080" s="200" t="s">
        <v>807</v>
      </c>
      <c r="H6080" s="200" t="s">
        <v>488</v>
      </c>
    </row>
    <row r="6081" spans="1:9" ht="15" customHeight="1">
      <c r="A6081" s="199">
        <v>45763</v>
      </c>
      <c r="B6081" s="202" t="s">
        <v>4826</v>
      </c>
      <c r="C6081" s="200" t="s">
        <v>204</v>
      </c>
      <c r="D6081" s="642">
        <v>-1062720</v>
      </c>
      <c r="E6081" s="201">
        <v>45748</v>
      </c>
      <c r="F6081" s="200" t="s">
        <v>296</v>
      </c>
      <c r="G6081" s="200" t="s">
        <v>1825</v>
      </c>
      <c r="H6081" s="200" t="s">
        <v>488</v>
      </c>
    </row>
    <row r="6082" spans="1:9" ht="15" customHeight="1">
      <c r="A6082" s="199">
        <v>45763</v>
      </c>
      <c r="B6082" s="202" t="s">
        <v>4827</v>
      </c>
      <c r="C6082" s="200" t="s">
        <v>372</v>
      </c>
      <c r="D6082" s="204">
        <v>-10800</v>
      </c>
      <c r="E6082" s="201">
        <v>45748</v>
      </c>
      <c r="F6082" s="200" t="s">
        <v>296</v>
      </c>
      <c r="G6082" s="200" t="s">
        <v>1825</v>
      </c>
      <c r="H6082" s="200" t="s">
        <v>488</v>
      </c>
    </row>
    <row r="6083" spans="1:9" ht="15" customHeight="1">
      <c r="A6083" s="199">
        <v>45763</v>
      </c>
      <c r="B6083" s="202" t="s">
        <v>4828</v>
      </c>
      <c r="C6083" s="200" t="s">
        <v>372</v>
      </c>
      <c r="D6083" s="204">
        <v>-6480</v>
      </c>
      <c r="E6083" s="201">
        <v>45748</v>
      </c>
      <c r="F6083" s="200" t="s">
        <v>296</v>
      </c>
      <c r="G6083" s="200" t="s">
        <v>1825</v>
      </c>
      <c r="H6083" s="200" t="s">
        <v>488</v>
      </c>
    </row>
    <row r="6084" spans="1:9" ht="15" customHeight="1">
      <c r="A6084" s="199">
        <v>45763</v>
      </c>
      <c r="B6084" s="202" t="s">
        <v>4829</v>
      </c>
      <c r="C6084" s="200" t="s">
        <v>204</v>
      </c>
      <c r="D6084" s="642">
        <v>-1195007</v>
      </c>
      <c r="E6084" s="201">
        <v>45748</v>
      </c>
      <c r="F6084" s="200" t="s">
        <v>296</v>
      </c>
      <c r="G6084" s="200" t="s">
        <v>522</v>
      </c>
      <c r="H6084" s="200" t="s">
        <v>370</v>
      </c>
    </row>
    <row r="6085" spans="1:9" ht="15" customHeight="1">
      <c r="A6085" s="199">
        <v>45763</v>
      </c>
      <c r="B6085" s="202" t="s">
        <v>4830</v>
      </c>
      <c r="C6085" s="200" t="s">
        <v>204</v>
      </c>
      <c r="D6085" s="642">
        <v>-4071000</v>
      </c>
      <c r="E6085" s="201">
        <v>45748</v>
      </c>
      <c r="F6085" s="200" t="s">
        <v>296</v>
      </c>
      <c r="G6085" s="200" t="s">
        <v>1980</v>
      </c>
      <c r="H6085" s="200" t="s">
        <v>322</v>
      </c>
    </row>
    <row r="6086" spans="1:9" ht="15" customHeight="1">
      <c r="A6086" s="199">
        <v>45763</v>
      </c>
      <c r="B6086" s="202" t="s">
        <v>4831</v>
      </c>
      <c r="C6086" s="200" t="s">
        <v>372</v>
      </c>
      <c r="D6086" s="204">
        <v>-264000</v>
      </c>
      <c r="E6086" s="201">
        <v>45748</v>
      </c>
      <c r="F6086" s="200" t="s">
        <v>296</v>
      </c>
      <c r="G6086" s="200" t="s">
        <v>1980</v>
      </c>
      <c r="H6086" s="200" t="s">
        <v>322</v>
      </c>
    </row>
    <row r="6087" spans="1:9" ht="15" customHeight="1">
      <c r="A6087" s="199">
        <v>45763</v>
      </c>
      <c r="B6087" s="202" t="s">
        <v>4830</v>
      </c>
      <c r="C6087" s="200" t="s">
        <v>204</v>
      </c>
      <c r="D6087" s="642">
        <v>-3561000</v>
      </c>
      <c r="E6087" s="201">
        <v>45748</v>
      </c>
      <c r="F6087" s="200" t="s">
        <v>296</v>
      </c>
      <c r="G6087" s="200" t="s">
        <v>807</v>
      </c>
      <c r="H6087" s="200" t="s">
        <v>322</v>
      </c>
    </row>
    <row r="6088" spans="1:9" ht="15" customHeight="1">
      <c r="A6088" s="199">
        <v>45763</v>
      </c>
      <c r="B6088" s="202" t="s">
        <v>4831</v>
      </c>
      <c r="C6088" s="200" t="s">
        <v>372</v>
      </c>
      <c r="D6088" s="204">
        <v>-264000</v>
      </c>
      <c r="E6088" s="201">
        <v>45748</v>
      </c>
      <c r="F6088" s="200" t="s">
        <v>296</v>
      </c>
      <c r="G6088" s="200" t="s">
        <v>807</v>
      </c>
      <c r="H6088" s="200" t="s">
        <v>322</v>
      </c>
      <c r="I6088" s="648" t="s">
        <v>329</v>
      </c>
    </row>
    <row r="6089" spans="1:9" ht="15" customHeight="1">
      <c r="A6089" s="199">
        <v>45763</v>
      </c>
      <c r="B6089" s="202" t="s">
        <v>4832</v>
      </c>
      <c r="C6089" s="200" t="s">
        <v>204</v>
      </c>
      <c r="D6089" s="642">
        <v>-379449102</v>
      </c>
      <c r="E6089" s="201">
        <v>45748</v>
      </c>
      <c r="F6089" s="200" t="s">
        <v>296</v>
      </c>
      <c r="G6089" s="200" t="s">
        <v>44</v>
      </c>
      <c r="H6089" s="200" t="s">
        <v>670</v>
      </c>
    </row>
    <row r="6090" spans="1:9" ht="15" customHeight="1">
      <c r="A6090" s="199">
        <v>45763</v>
      </c>
      <c r="B6090" s="202" t="s">
        <v>4833</v>
      </c>
      <c r="C6090" s="200" t="s">
        <v>204</v>
      </c>
      <c r="D6090" s="642">
        <v>-749700</v>
      </c>
      <c r="E6090" s="201">
        <v>45748</v>
      </c>
      <c r="F6090" s="200" t="s">
        <v>297</v>
      </c>
      <c r="G6090" s="200" t="s">
        <v>69</v>
      </c>
      <c r="H6090" s="200" t="s">
        <v>839</v>
      </c>
    </row>
    <row r="6091" spans="1:9" ht="15" customHeight="1">
      <c r="A6091" s="199">
        <v>45763</v>
      </c>
      <c r="B6091" s="202" t="s">
        <v>4833</v>
      </c>
      <c r="C6091" s="200" t="s">
        <v>204</v>
      </c>
      <c r="D6091" s="642">
        <v>-428400</v>
      </c>
      <c r="E6091" s="201">
        <v>45748</v>
      </c>
      <c r="F6091" s="200" t="s">
        <v>296</v>
      </c>
      <c r="G6091" s="531" t="s">
        <v>390</v>
      </c>
      <c r="H6091" s="200" t="s">
        <v>839</v>
      </c>
      <c r="I6091" s="648" t="s">
        <v>329</v>
      </c>
    </row>
    <row r="6092" spans="1:9" ht="15" customHeight="1">
      <c r="A6092" s="199">
        <v>45763</v>
      </c>
      <c r="B6092" s="202" t="s">
        <v>4833</v>
      </c>
      <c r="C6092" s="200" t="s">
        <v>204</v>
      </c>
      <c r="D6092" s="642">
        <v>-9902500</v>
      </c>
      <c r="E6092" s="201">
        <v>45748</v>
      </c>
      <c r="F6092" s="200" t="s">
        <v>297</v>
      </c>
      <c r="G6092" s="200" t="s">
        <v>69</v>
      </c>
      <c r="H6092" s="200" t="s">
        <v>375</v>
      </c>
    </row>
    <row r="6093" spans="1:9" ht="15" customHeight="1">
      <c r="A6093" s="199">
        <v>45763</v>
      </c>
      <c r="B6093" s="202" t="s">
        <v>4834</v>
      </c>
      <c r="C6093" s="200" t="s">
        <v>372</v>
      </c>
      <c r="D6093" s="204">
        <v>-212500</v>
      </c>
      <c r="E6093" s="201">
        <v>45748</v>
      </c>
      <c r="F6093" s="200" t="s">
        <v>297</v>
      </c>
      <c r="G6093" s="200" t="s">
        <v>69</v>
      </c>
      <c r="H6093" s="200" t="s">
        <v>375</v>
      </c>
      <c r="I6093" s="648" t="s">
        <v>329</v>
      </c>
    </row>
    <row r="6094" spans="1:9" ht="15" customHeight="1">
      <c r="A6094" s="199">
        <v>45763</v>
      </c>
      <c r="B6094" s="202" t="s">
        <v>4833</v>
      </c>
      <c r="C6094" s="200" t="s">
        <v>204</v>
      </c>
      <c r="D6094" s="642">
        <v>-714000</v>
      </c>
      <c r="E6094" s="201">
        <v>45748</v>
      </c>
      <c r="F6094" s="200" t="s">
        <v>297</v>
      </c>
      <c r="G6094" s="200" t="s">
        <v>75</v>
      </c>
      <c r="H6094" s="200" t="s">
        <v>839</v>
      </c>
      <c r="I6094" s="648" t="s">
        <v>329</v>
      </c>
    </row>
    <row r="6095" spans="1:9" ht="15" customHeight="1">
      <c r="A6095" s="199">
        <v>45763</v>
      </c>
      <c r="B6095" s="202" t="s">
        <v>4833</v>
      </c>
      <c r="C6095" s="200" t="s">
        <v>204</v>
      </c>
      <c r="D6095" s="642">
        <v>-4240600</v>
      </c>
      <c r="E6095" s="201">
        <v>45748</v>
      </c>
      <c r="F6095" s="200" t="s">
        <v>296</v>
      </c>
      <c r="G6095" s="200" t="s">
        <v>328</v>
      </c>
      <c r="H6095" s="200" t="s">
        <v>375</v>
      </c>
    </row>
    <row r="6096" spans="1:9" ht="15" customHeight="1">
      <c r="A6096" s="199">
        <v>45763</v>
      </c>
      <c r="B6096" s="202" t="s">
        <v>4834</v>
      </c>
      <c r="C6096" s="200" t="s">
        <v>372</v>
      </c>
      <c r="D6096" s="204">
        <v>-91000</v>
      </c>
      <c r="E6096" s="201">
        <v>45748</v>
      </c>
      <c r="F6096" s="200" t="s">
        <v>296</v>
      </c>
      <c r="G6096" s="200" t="s">
        <v>328</v>
      </c>
      <c r="H6096" s="200" t="s">
        <v>375</v>
      </c>
    </row>
    <row r="6097" spans="1:9" ht="15" customHeight="1">
      <c r="A6097" s="199">
        <v>45763</v>
      </c>
      <c r="B6097" s="202" t="s">
        <v>4833</v>
      </c>
      <c r="C6097" s="200" t="s">
        <v>204</v>
      </c>
      <c r="D6097" s="642">
        <v>-259420</v>
      </c>
      <c r="E6097" s="201">
        <v>45748</v>
      </c>
      <c r="F6097" s="200" t="s">
        <v>296</v>
      </c>
      <c r="G6097" s="200" t="s">
        <v>411</v>
      </c>
      <c r="H6097" s="200" t="s">
        <v>839</v>
      </c>
    </row>
    <row r="6098" spans="1:9" ht="15" customHeight="1">
      <c r="A6098" s="199">
        <v>45763</v>
      </c>
      <c r="B6098" s="202" t="s">
        <v>4833</v>
      </c>
      <c r="C6098" s="200" t="s">
        <v>204</v>
      </c>
      <c r="D6098" s="642">
        <v>-13980000</v>
      </c>
      <c r="E6098" s="201">
        <v>45748</v>
      </c>
      <c r="F6098" s="200" t="s">
        <v>296</v>
      </c>
      <c r="G6098" s="200" t="s">
        <v>1124</v>
      </c>
      <c r="H6098" s="200" t="s">
        <v>375</v>
      </c>
    </row>
    <row r="6099" spans="1:9" ht="15" customHeight="1">
      <c r="A6099" s="199">
        <v>45763</v>
      </c>
      <c r="B6099" s="202" t="s">
        <v>4834</v>
      </c>
      <c r="C6099" s="200" t="s">
        <v>372</v>
      </c>
      <c r="D6099" s="204">
        <v>-300000</v>
      </c>
      <c r="E6099" s="201">
        <v>45748</v>
      </c>
      <c r="F6099" s="200" t="s">
        <v>296</v>
      </c>
      <c r="G6099" s="200" t="s">
        <v>1124</v>
      </c>
      <c r="H6099" s="200" t="s">
        <v>375</v>
      </c>
    </row>
    <row r="6100" spans="1:9" ht="15" customHeight="1">
      <c r="A6100" s="199">
        <v>45763</v>
      </c>
      <c r="B6100" s="202" t="s">
        <v>4833</v>
      </c>
      <c r="C6100" s="200" t="s">
        <v>204</v>
      </c>
      <c r="D6100" s="642">
        <v>-2131950</v>
      </c>
      <c r="E6100" s="201">
        <v>45748</v>
      </c>
      <c r="F6100" s="200" t="s">
        <v>296</v>
      </c>
      <c r="G6100" s="200" t="s">
        <v>328</v>
      </c>
      <c r="H6100" s="200" t="s">
        <v>839</v>
      </c>
    </row>
    <row r="6101" spans="1:9" ht="15" customHeight="1">
      <c r="A6101" s="199">
        <v>45763</v>
      </c>
      <c r="B6101" s="202" t="s">
        <v>4834</v>
      </c>
      <c r="C6101" s="200" t="s">
        <v>372</v>
      </c>
      <c r="D6101" s="204">
        <v>-45750</v>
      </c>
      <c r="E6101" s="201">
        <v>45748</v>
      </c>
      <c r="F6101" s="200" t="s">
        <v>296</v>
      </c>
      <c r="G6101" s="200" t="s">
        <v>328</v>
      </c>
      <c r="H6101" s="200" t="s">
        <v>839</v>
      </c>
    </row>
    <row r="6102" spans="1:9" ht="15" customHeight="1">
      <c r="A6102" s="199">
        <v>45763</v>
      </c>
      <c r="B6102" s="202" t="s">
        <v>4833</v>
      </c>
      <c r="C6102" s="200" t="s">
        <v>204</v>
      </c>
      <c r="D6102" s="642">
        <v>-1941612.5</v>
      </c>
      <c r="E6102" s="201">
        <v>45748</v>
      </c>
      <c r="F6102" s="200" t="s">
        <v>296</v>
      </c>
      <c r="G6102" s="200" t="s">
        <v>411</v>
      </c>
      <c r="H6102" s="200" t="s">
        <v>839</v>
      </c>
    </row>
    <row r="6103" spans="1:9" ht="15" customHeight="1">
      <c r="A6103" s="199">
        <v>45763</v>
      </c>
      <c r="B6103" s="202" t="s">
        <v>4834</v>
      </c>
      <c r="C6103" s="200" t="s">
        <v>372</v>
      </c>
      <c r="D6103" s="204">
        <v>-41665.5</v>
      </c>
      <c r="E6103" s="201">
        <v>45748</v>
      </c>
      <c r="F6103" s="200" t="s">
        <v>296</v>
      </c>
      <c r="G6103" s="200" t="s">
        <v>411</v>
      </c>
      <c r="H6103" s="200" t="s">
        <v>839</v>
      </c>
    </row>
    <row r="6104" spans="1:9" ht="15" customHeight="1">
      <c r="A6104" s="199">
        <v>45763</v>
      </c>
      <c r="B6104" s="202" t="s">
        <v>4833</v>
      </c>
      <c r="C6104" s="200" t="s">
        <v>204</v>
      </c>
      <c r="D6104" s="642">
        <v>-3103560</v>
      </c>
      <c r="E6104" s="201">
        <v>45748</v>
      </c>
      <c r="F6104" s="200" t="s">
        <v>296</v>
      </c>
      <c r="G6104" s="200" t="s">
        <v>328</v>
      </c>
      <c r="H6104" s="200" t="s">
        <v>375</v>
      </c>
    </row>
    <row r="6105" spans="1:9" ht="15" customHeight="1">
      <c r="A6105" s="199">
        <v>45763</v>
      </c>
      <c r="B6105" s="202" t="s">
        <v>4834</v>
      </c>
      <c r="C6105" s="200" t="s">
        <v>372</v>
      </c>
      <c r="D6105" s="204">
        <v>-66600</v>
      </c>
      <c r="E6105" s="201">
        <v>45748</v>
      </c>
      <c r="F6105" s="200" t="s">
        <v>296</v>
      </c>
      <c r="G6105" s="200" t="s">
        <v>328</v>
      </c>
      <c r="H6105" s="200" t="s">
        <v>375</v>
      </c>
    </row>
    <row r="6106" spans="1:9" ht="15" customHeight="1">
      <c r="A6106" s="199">
        <v>45763</v>
      </c>
      <c r="B6106" s="202" t="s">
        <v>4833</v>
      </c>
      <c r="C6106" s="200" t="s">
        <v>204</v>
      </c>
      <c r="D6106" s="642">
        <v>-2597950</v>
      </c>
      <c r="E6106" s="201">
        <v>45748</v>
      </c>
      <c r="F6106" s="200" t="s">
        <v>297</v>
      </c>
      <c r="G6106" s="200" t="s">
        <v>1313</v>
      </c>
      <c r="H6106" s="200" t="s">
        <v>839</v>
      </c>
    </row>
    <row r="6107" spans="1:9" ht="15" customHeight="1">
      <c r="A6107" s="199">
        <v>45763</v>
      </c>
      <c r="B6107" s="202" t="s">
        <v>4834</v>
      </c>
      <c r="C6107" s="200" t="s">
        <v>372</v>
      </c>
      <c r="D6107" s="204">
        <v>-55750</v>
      </c>
      <c r="E6107" s="201">
        <v>45748</v>
      </c>
      <c r="F6107" s="200" t="s">
        <v>297</v>
      </c>
      <c r="G6107" s="200" t="s">
        <v>1313</v>
      </c>
      <c r="H6107" s="200" t="s">
        <v>839</v>
      </c>
    </row>
    <row r="6108" spans="1:9" ht="15" customHeight="1">
      <c r="A6108" s="199">
        <v>45763</v>
      </c>
      <c r="B6108" s="202" t="s">
        <v>4833</v>
      </c>
      <c r="C6108" s="200" t="s">
        <v>204</v>
      </c>
      <c r="D6108" s="642">
        <v>-678300</v>
      </c>
      <c r="E6108" s="201">
        <v>45748</v>
      </c>
      <c r="F6108" s="200" t="s">
        <v>296</v>
      </c>
      <c r="G6108" s="200" t="s">
        <v>1124</v>
      </c>
      <c r="H6108" s="200" t="s">
        <v>839</v>
      </c>
    </row>
    <row r="6109" spans="1:9" ht="15" customHeight="1">
      <c r="A6109" s="199">
        <v>45763</v>
      </c>
      <c r="B6109" s="202" t="s">
        <v>4833</v>
      </c>
      <c r="C6109" s="200" t="s">
        <v>204</v>
      </c>
      <c r="D6109" s="642">
        <v>-249043</v>
      </c>
      <c r="E6109" s="201">
        <v>45748</v>
      </c>
      <c r="F6109" s="200" t="s">
        <v>296</v>
      </c>
      <c r="G6109" s="200" t="s">
        <v>411</v>
      </c>
      <c r="H6109" s="200" t="s">
        <v>839</v>
      </c>
      <c r="I6109" s="648" t="s">
        <v>329</v>
      </c>
    </row>
    <row r="6110" spans="1:9" ht="15" customHeight="1">
      <c r="A6110" s="199">
        <v>45763</v>
      </c>
      <c r="B6110" s="202" t="s">
        <v>4833</v>
      </c>
      <c r="C6110" s="200" t="s">
        <v>204</v>
      </c>
      <c r="D6110" s="642">
        <v>-1090659</v>
      </c>
      <c r="E6110" s="201">
        <v>45748</v>
      </c>
      <c r="F6110" s="200" t="s">
        <v>297</v>
      </c>
      <c r="G6110" s="200" t="s">
        <v>1313</v>
      </c>
      <c r="H6110" s="200" t="s">
        <v>839</v>
      </c>
      <c r="I6110" s="648" t="s">
        <v>329</v>
      </c>
    </row>
    <row r="6111" spans="1:9" ht="15" customHeight="1">
      <c r="A6111" s="199">
        <v>45763</v>
      </c>
      <c r="B6111" s="202" t="s">
        <v>4833</v>
      </c>
      <c r="C6111" s="200" t="s">
        <v>204</v>
      </c>
      <c r="D6111" s="642">
        <v>-6250225</v>
      </c>
      <c r="E6111" s="201">
        <v>45748</v>
      </c>
      <c r="F6111" s="200" t="s">
        <v>297</v>
      </c>
      <c r="G6111" s="200" t="s">
        <v>1578</v>
      </c>
      <c r="H6111" s="200" t="s">
        <v>839</v>
      </c>
    </row>
    <row r="6112" spans="1:9" ht="15" customHeight="1">
      <c r="A6112" s="199">
        <v>45763</v>
      </c>
      <c r="B6112" s="202" t="s">
        <v>4834</v>
      </c>
      <c r="C6112" s="200" t="s">
        <v>372</v>
      </c>
      <c r="D6112" s="204">
        <v>-134125</v>
      </c>
      <c r="E6112" s="201">
        <v>45748</v>
      </c>
      <c r="F6112" s="200" t="s">
        <v>297</v>
      </c>
      <c r="G6112" s="200" t="s">
        <v>1578</v>
      </c>
      <c r="H6112" s="200" t="s">
        <v>839</v>
      </c>
    </row>
    <row r="6113" spans="1:8" ht="15" customHeight="1">
      <c r="A6113" s="199">
        <v>45762</v>
      </c>
      <c r="B6113" s="202" t="s">
        <v>4835</v>
      </c>
      <c r="C6113" s="200" t="s">
        <v>204</v>
      </c>
      <c r="D6113" s="642">
        <v>-882000</v>
      </c>
      <c r="E6113" s="201">
        <v>45748</v>
      </c>
      <c r="F6113" s="200" t="s">
        <v>256</v>
      </c>
      <c r="G6113" s="200" t="s">
        <v>256</v>
      </c>
      <c r="H6113" s="200" t="s">
        <v>121</v>
      </c>
    </row>
    <row r="6114" spans="1:8" ht="15" customHeight="1">
      <c r="A6114" s="199">
        <v>45762</v>
      </c>
      <c r="B6114" s="202" t="s">
        <v>4836</v>
      </c>
      <c r="C6114" s="200" t="s">
        <v>204</v>
      </c>
      <c r="D6114" s="642">
        <v>-2300000</v>
      </c>
      <c r="E6114" s="201">
        <v>45748</v>
      </c>
      <c r="F6114" s="200" t="s">
        <v>256</v>
      </c>
      <c r="G6114" s="200" t="s">
        <v>256</v>
      </c>
      <c r="H6114" s="200" t="s">
        <v>121</v>
      </c>
    </row>
    <row r="6115" spans="1:8" ht="15" customHeight="1">
      <c r="A6115" s="199">
        <v>45762</v>
      </c>
      <c r="B6115" s="202" t="s">
        <v>4837</v>
      </c>
      <c r="C6115" s="200" t="s">
        <v>204</v>
      </c>
      <c r="D6115" s="642">
        <v>-890746.66666666663</v>
      </c>
      <c r="E6115" s="201">
        <v>45748</v>
      </c>
      <c r="F6115" s="200" t="s">
        <v>256</v>
      </c>
      <c r="G6115" s="200" t="s">
        <v>256</v>
      </c>
      <c r="H6115" s="200" t="s">
        <v>121</v>
      </c>
    </row>
    <row r="6116" spans="1:8" ht="15" customHeight="1">
      <c r="A6116" s="199">
        <v>45762</v>
      </c>
      <c r="B6116" s="202" t="s">
        <v>4838</v>
      </c>
      <c r="C6116" s="200" t="s">
        <v>204</v>
      </c>
      <c r="D6116" s="642">
        <v>-754810</v>
      </c>
      <c r="E6116" s="201">
        <v>45748</v>
      </c>
      <c r="F6116" s="200" t="s">
        <v>256</v>
      </c>
      <c r="G6116" s="200" t="s">
        <v>256</v>
      </c>
      <c r="H6116" s="200" t="s">
        <v>121</v>
      </c>
    </row>
    <row r="6117" spans="1:8" ht="15" customHeight="1">
      <c r="A6117" s="199">
        <v>45762</v>
      </c>
      <c r="B6117" s="202" t="s">
        <v>4839</v>
      </c>
      <c r="C6117" s="200" t="s">
        <v>204</v>
      </c>
      <c r="D6117" s="642">
        <v>-813000</v>
      </c>
      <c r="E6117" s="201">
        <v>45748</v>
      </c>
      <c r="F6117" s="200" t="s">
        <v>256</v>
      </c>
      <c r="G6117" s="200" t="s">
        <v>256</v>
      </c>
      <c r="H6117" s="200" t="s">
        <v>121</v>
      </c>
    </row>
    <row r="6118" spans="1:8" ht="15" customHeight="1">
      <c r="A6118" s="199">
        <v>45762</v>
      </c>
      <c r="B6118" s="202" t="s">
        <v>4840</v>
      </c>
      <c r="C6118" s="200" t="s">
        <v>204</v>
      </c>
      <c r="D6118" s="642">
        <v>-533812.5</v>
      </c>
      <c r="E6118" s="201">
        <v>45748</v>
      </c>
      <c r="F6118" s="200" t="s">
        <v>256</v>
      </c>
      <c r="G6118" s="200" t="s">
        <v>256</v>
      </c>
      <c r="H6118" s="200" t="s">
        <v>121</v>
      </c>
    </row>
    <row r="6119" spans="1:8" ht="15" customHeight="1">
      <c r="A6119" s="199">
        <v>45762</v>
      </c>
      <c r="B6119" s="202" t="s">
        <v>4841</v>
      </c>
      <c r="C6119" s="200" t="s">
        <v>204</v>
      </c>
      <c r="D6119" s="642">
        <v>-855333.33333333337</v>
      </c>
      <c r="E6119" s="201">
        <v>45748</v>
      </c>
      <c r="F6119" s="200" t="s">
        <v>256</v>
      </c>
      <c r="G6119" s="200" t="s">
        <v>256</v>
      </c>
      <c r="H6119" s="200" t="s">
        <v>121</v>
      </c>
    </row>
    <row r="6120" spans="1:8" ht="15" customHeight="1">
      <c r="A6120" s="199">
        <v>45762</v>
      </c>
      <c r="B6120" s="202" t="s">
        <v>4842</v>
      </c>
      <c r="C6120" s="200" t="s">
        <v>204</v>
      </c>
      <c r="D6120" s="642">
        <v>-754810</v>
      </c>
      <c r="E6120" s="201">
        <v>45748</v>
      </c>
      <c r="F6120" s="200" t="s">
        <v>256</v>
      </c>
      <c r="G6120" s="200" t="s">
        <v>256</v>
      </c>
      <c r="H6120" s="200" t="s">
        <v>121</v>
      </c>
    </row>
    <row r="6121" spans="1:8" ht="15" customHeight="1">
      <c r="A6121" s="199">
        <v>45762</v>
      </c>
      <c r="B6121" s="202" t="s">
        <v>4843</v>
      </c>
      <c r="C6121" s="200" t="s">
        <v>204</v>
      </c>
      <c r="D6121" s="642">
        <v>-754810</v>
      </c>
      <c r="E6121" s="201">
        <v>45748</v>
      </c>
      <c r="F6121" s="200" t="s">
        <v>256</v>
      </c>
      <c r="G6121" s="200" t="s">
        <v>256</v>
      </c>
      <c r="H6121" s="200" t="s">
        <v>121</v>
      </c>
    </row>
    <row r="6122" spans="1:8" ht="15" customHeight="1">
      <c r="A6122" s="199">
        <v>45762</v>
      </c>
      <c r="B6122" s="202" t="s">
        <v>4844</v>
      </c>
      <c r="C6122" s="200" t="s">
        <v>204</v>
      </c>
      <c r="D6122" s="642">
        <v>-754810</v>
      </c>
      <c r="E6122" s="201">
        <v>45748</v>
      </c>
      <c r="F6122" s="200" t="s">
        <v>256</v>
      </c>
      <c r="G6122" s="200" t="s">
        <v>256</v>
      </c>
      <c r="H6122" s="200" t="s">
        <v>121</v>
      </c>
    </row>
    <row r="6123" spans="1:8" ht="15" customHeight="1">
      <c r="A6123" s="199">
        <v>45762</v>
      </c>
      <c r="B6123" s="202" t="s">
        <v>4845</v>
      </c>
      <c r="C6123" s="200" t="s">
        <v>204</v>
      </c>
      <c r="D6123" s="642">
        <v>-882000</v>
      </c>
      <c r="E6123" s="201">
        <v>45748</v>
      </c>
      <c r="F6123" s="200" t="s">
        <v>256</v>
      </c>
      <c r="G6123" s="200" t="s">
        <v>256</v>
      </c>
      <c r="H6123" s="200" t="s">
        <v>121</v>
      </c>
    </row>
    <row r="6124" spans="1:8" ht="15" customHeight="1">
      <c r="A6124" s="199">
        <v>45762</v>
      </c>
      <c r="B6124" s="202" t="s">
        <v>4846</v>
      </c>
      <c r="C6124" s="200" t="s">
        <v>204</v>
      </c>
      <c r="D6124" s="642">
        <v>-352244.66666666669</v>
      </c>
      <c r="E6124" s="201">
        <v>45748</v>
      </c>
      <c r="F6124" s="200" t="s">
        <v>256</v>
      </c>
      <c r="G6124" s="200" t="s">
        <v>256</v>
      </c>
      <c r="H6124" s="200" t="s">
        <v>121</v>
      </c>
    </row>
    <row r="6125" spans="1:8" ht="15" customHeight="1">
      <c r="A6125" s="199">
        <v>45762</v>
      </c>
      <c r="B6125" s="202" t="s">
        <v>4847</v>
      </c>
      <c r="C6125" s="200" t="s">
        <v>204</v>
      </c>
      <c r="D6125" s="642">
        <v>-754810</v>
      </c>
      <c r="E6125" s="201">
        <v>45748</v>
      </c>
      <c r="F6125" s="200" t="s">
        <v>256</v>
      </c>
      <c r="G6125" s="200" t="s">
        <v>107</v>
      </c>
      <c r="H6125" s="200" t="s">
        <v>121</v>
      </c>
    </row>
    <row r="6126" spans="1:8" ht="15" customHeight="1">
      <c r="A6126" s="199">
        <v>45762</v>
      </c>
      <c r="B6126" s="202" t="s">
        <v>4848</v>
      </c>
      <c r="C6126" s="200" t="s">
        <v>204</v>
      </c>
      <c r="D6126" s="642">
        <v>-754810</v>
      </c>
      <c r="E6126" s="201">
        <v>45748</v>
      </c>
      <c r="F6126" s="200" t="s">
        <v>256</v>
      </c>
      <c r="G6126" s="200" t="s">
        <v>107</v>
      </c>
      <c r="H6126" s="200" t="s">
        <v>121</v>
      </c>
    </row>
    <row r="6127" spans="1:8" ht="15" customHeight="1">
      <c r="A6127" s="199">
        <v>45762</v>
      </c>
      <c r="B6127" s="202" t="s">
        <v>4849</v>
      </c>
      <c r="C6127" s="200" t="s">
        <v>204</v>
      </c>
      <c r="D6127" s="642">
        <v>-970597</v>
      </c>
      <c r="E6127" s="201">
        <v>45748</v>
      </c>
      <c r="F6127" s="200" t="s">
        <v>296</v>
      </c>
      <c r="G6127" s="200" t="s">
        <v>1124</v>
      </c>
      <c r="H6127" s="200" t="s">
        <v>342</v>
      </c>
    </row>
    <row r="6128" spans="1:8" ht="15" customHeight="1">
      <c r="A6128" s="199">
        <v>45762</v>
      </c>
      <c r="B6128" s="202" t="s">
        <v>4850</v>
      </c>
      <c r="C6128" s="200" t="s">
        <v>204</v>
      </c>
      <c r="D6128" s="642">
        <v>-970597</v>
      </c>
      <c r="E6128" s="201">
        <v>45748</v>
      </c>
      <c r="F6128" s="200" t="s">
        <v>296</v>
      </c>
      <c r="G6128" s="200" t="s">
        <v>1124</v>
      </c>
      <c r="H6128" s="200" t="s">
        <v>342</v>
      </c>
    </row>
    <row r="6129" spans="1:9" ht="15" customHeight="1">
      <c r="A6129" s="199">
        <v>45762</v>
      </c>
      <c r="B6129" s="202" t="s">
        <v>4851</v>
      </c>
      <c r="C6129" s="200" t="s">
        <v>204</v>
      </c>
      <c r="D6129" s="642">
        <v>-1495187.5</v>
      </c>
      <c r="E6129" s="201">
        <v>45748</v>
      </c>
      <c r="F6129" s="200" t="s">
        <v>296</v>
      </c>
      <c r="G6129" s="200" t="s">
        <v>1124</v>
      </c>
      <c r="H6129" s="200" t="s">
        <v>342</v>
      </c>
    </row>
    <row r="6130" spans="1:9" ht="15" customHeight="1">
      <c r="A6130" s="199">
        <v>45762</v>
      </c>
      <c r="B6130" s="202" t="s">
        <v>4852</v>
      </c>
      <c r="C6130" s="200" t="s">
        <v>204</v>
      </c>
      <c r="D6130" s="642">
        <v>-853480</v>
      </c>
      <c r="E6130" s="201">
        <v>45748</v>
      </c>
      <c r="F6130" s="200" t="s">
        <v>296</v>
      </c>
      <c r="G6130" s="200" t="s">
        <v>1124</v>
      </c>
      <c r="H6130" s="200" t="s">
        <v>342</v>
      </c>
    </row>
    <row r="6131" spans="1:9" ht="15" customHeight="1">
      <c r="A6131" s="199">
        <v>45762</v>
      </c>
      <c r="B6131" s="202" t="s">
        <v>4853</v>
      </c>
      <c r="C6131" s="200" t="s">
        <v>204</v>
      </c>
      <c r="D6131" s="642">
        <v>-1247700</v>
      </c>
      <c r="E6131" s="201">
        <v>45748</v>
      </c>
      <c r="F6131" s="200" t="s">
        <v>296</v>
      </c>
      <c r="G6131" s="200" t="s">
        <v>1735</v>
      </c>
      <c r="H6131" s="200" t="s">
        <v>342</v>
      </c>
    </row>
    <row r="6132" spans="1:9" ht="15" customHeight="1">
      <c r="A6132" s="199">
        <v>45762</v>
      </c>
      <c r="B6132" s="202" t="s">
        <v>4854</v>
      </c>
      <c r="C6132" s="200" t="s">
        <v>204</v>
      </c>
      <c r="D6132" s="642">
        <v>-836000</v>
      </c>
      <c r="E6132" s="201">
        <v>45748</v>
      </c>
      <c r="F6132" s="200" t="s">
        <v>296</v>
      </c>
      <c r="G6132" s="200" t="s">
        <v>1735</v>
      </c>
      <c r="H6132" s="200" t="s">
        <v>342</v>
      </c>
    </row>
    <row r="6133" spans="1:9" ht="15" customHeight="1">
      <c r="A6133" s="199">
        <v>45762</v>
      </c>
      <c r="B6133" s="202" t="s">
        <v>4855</v>
      </c>
      <c r="C6133" s="200" t="s">
        <v>204</v>
      </c>
      <c r="D6133" s="642">
        <v>-754810</v>
      </c>
      <c r="E6133" s="201">
        <v>45748</v>
      </c>
      <c r="F6133" s="200" t="s">
        <v>296</v>
      </c>
      <c r="G6133" s="200" t="s">
        <v>1735</v>
      </c>
      <c r="H6133" s="200" t="s">
        <v>342</v>
      </c>
    </row>
    <row r="6134" spans="1:9" ht="15" customHeight="1">
      <c r="A6134" s="199">
        <v>45762</v>
      </c>
      <c r="B6134" s="202" t="s">
        <v>4856</v>
      </c>
      <c r="C6134" s="200" t="s">
        <v>204</v>
      </c>
      <c r="D6134" s="642">
        <v>-754810</v>
      </c>
      <c r="E6134" s="201">
        <v>45748</v>
      </c>
      <c r="F6134" s="200" t="s">
        <v>296</v>
      </c>
      <c r="G6134" s="200" t="s">
        <v>44</v>
      </c>
      <c r="H6134" s="200" t="s">
        <v>421</v>
      </c>
    </row>
    <row r="6135" spans="1:9" ht="15" customHeight="1">
      <c r="A6135" s="199">
        <v>45762</v>
      </c>
      <c r="B6135" s="202" t="s">
        <v>4857</v>
      </c>
      <c r="C6135" s="200" t="s">
        <v>204</v>
      </c>
      <c r="D6135" s="642">
        <v>-754810</v>
      </c>
      <c r="E6135" s="201">
        <v>45748</v>
      </c>
      <c r="F6135" s="200" t="s">
        <v>296</v>
      </c>
      <c r="G6135" s="200" t="s">
        <v>44</v>
      </c>
      <c r="H6135" s="200" t="s">
        <v>421</v>
      </c>
    </row>
    <row r="6136" spans="1:9" ht="15" customHeight="1">
      <c r="A6136" s="199">
        <v>45762</v>
      </c>
      <c r="B6136" s="202" t="s">
        <v>4858</v>
      </c>
      <c r="C6136" s="200" t="s">
        <v>204</v>
      </c>
      <c r="D6136" s="642">
        <v>-754810</v>
      </c>
      <c r="E6136" s="201">
        <v>45748</v>
      </c>
      <c r="F6136" s="200" t="s">
        <v>296</v>
      </c>
      <c r="G6136" s="200" t="s">
        <v>44</v>
      </c>
      <c r="H6136" s="200" t="s">
        <v>421</v>
      </c>
      <c r="I6136" s="648" t="s">
        <v>329</v>
      </c>
    </row>
    <row r="6137" spans="1:9" ht="15" customHeight="1">
      <c r="A6137" s="199">
        <v>45762</v>
      </c>
      <c r="B6137" s="202" t="s">
        <v>4859</v>
      </c>
      <c r="C6137" s="200" t="s">
        <v>204</v>
      </c>
      <c r="D6137" s="642">
        <v>-1334000</v>
      </c>
      <c r="E6137" s="201">
        <v>45748</v>
      </c>
      <c r="F6137" s="200" t="s">
        <v>296</v>
      </c>
      <c r="G6137" s="200" t="s">
        <v>1825</v>
      </c>
      <c r="H6137" s="200" t="s">
        <v>429</v>
      </c>
    </row>
    <row r="6138" spans="1:9" ht="15" customHeight="1">
      <c r="A6138" s="199">
        <v>45762</v>
      </c>
      <c r="B6138" s="202" t="s">
        <v>4860</v>
      </c>
      <c r="C6138" s="200" t="s">
        <v>204</v>
      </c>
      <c r="D6138" s="642">
        <v>-1066000</v>
      </c>
      <c r="E6138" s="201">
        <v>45748</v>
      </c>
      <c r="F6138" s="200" t="s">
        <v>296</v>
      </c>
      <c r="G6138" s="200" t="s">
        <v>1825</v>
      </c>
      <c r="H6138" s="200" t="s">
        <v>429</v>
      </c>
    </row>
    <row r="6139" spans="1:9" ht="15" customHeight="1">
      <c r="A6139" s="199">
        <v>45762</v>
      </c>
      <c r="B6139" s="202" t="s">
        <v>4861</v>
      </c>
      <c r="C6139" s="200" t="s">
        <v>204</v>
      </c>
      <c r="D6139" s="642">
        <v>-882000</v>
      </c>
      <c r="E6139" s="201">
        <v>45748</v>
      </c>
      <c r="F6139" s="200" t="s">
        <v>296</v>
      </c>
      <c r="G6139" s="200" t="s">
        <v>1825</v>
      </c>
      <c r="H6139" s="200" t="s">
        <v>429</v>
      </c>
    </row>
    <row r="6140" spans="1:9" ht="15" customHeight="1">
      <c r="A6140" s="199">
        <v>45762</v>
      </c>
      <c r="B6140" s="202" t="s">
        <v>4862</v>
      </c>
      <c r="C6140" s="200" t="s">
        <v>204</v>
      </c>
      <c r="D6140" s="642">
        <v>-754810</v>
      </c>
      <c r="E6140" s="201">
        <v>45748</v>
      </c>
      <c r="F6140" s="200" t="s">
        <v>296</v>
      </c>
      <c r="G6140" s="200" t="s">
        <v>1825</v>
      </c>
      <c r="H6140" s="200" t="s">
        <v>429</v>
      </c>
    </row>
    <row r="6141" spans="1:9" ht="15" customHeight="1">
      <c r="A6141" s="199">
        <v>45762</v>
      </c>
      <c r="B6141" s="202" t="s">
        <v>4863</v>
      </c>
      <c r="C6141" s="200" t="s">
        <v>204</v>
      </c>
      <c r="D6141" s="642">
        <v>-754810</v>
      </c>
      <c r="E6141" s="201">
        <v>45748</v>
      </c>
      <c r="F6141" s="200" t="s">
        <v>296</v>
      </c>
      <c r="G6141" s="200" t="s">
        <v>1825</v>
      </c>
      <c r="H6141" s="200" t="s">
        <v>429</v>
      </c>
    </row>
    <row r="6142" spans="1:9" ht="15" customHeight="1">
      <c r="A6142" s="199">
        <v>45762</v>
      </c>
      <c r="B6142" s="202" t="s">
        <v>4864</v>
      </c>
      <c r="C6142" s="200" t="s">
        <v>204</v>
      </c>
      <c r="D6142" s="642">
        <v>-754810</v>
      </c>
      <c r="E6142" s="201">
        <v>45748</v>
      </c>
      <c r="F6142" s="200" t="s">
        <v>296</v>
      </c>
      <c r="G6142" s="200" t="s">
        <v>1825</v>
      </c>
      <c r="H6142" s="200" t="s">
        <v>429</v>
      </c>
    </row>
    <row r="6143" spans="1:9" ht="15" customHeight="1">
      <c r="A6143" s="199">
        <v>45762</v>
      </c>
      <c r="B6143" s="202" t="s">
        <v>4865</v>
      </c>
      <c r="C6143" s="200" t="s">
        <v>204</v>
      </c>
      <c r="D6143" s="642">
        <v>-754810</v>
      </c>
      <c r="E6143" s="201">
        <v>45748</v>
      </c>
      <c r="F6143" s="200" t="s">
        <v>296</v>
      </c>
      <c r="G6143" s="200" t="s">
        <v>1825</v>
      </c>
      <c r="H6143" s="200" t="s">
        <v>429</v>
      </c>
    </row>
    <row r="6144" spans="1:9" ht="15" customHeight="1">
      <c r="A6144" s="199">
        <v>45762</v>
      </c>
      <c r="B6144" s="202" t="s">
        <v>4866</v>
      </c>
      <c r="C6144" s="200" t="s">
        <v>204</v>
      </c>
      <c r="D6144" s="642">
        <v>-1250000</v>
      </c>
      <c r="E6144" s="201">
        <v>45748</v>
      </c>
      <c r="F6144" s="200" t="s">
        <v>296</v>
      </c>
      <c r="G6144" s="200" t="s">
        <v>1825</v>
      </c>
      <c r="H6144" s="200" t="s">
        <v>338</v>
      </c>
    </row>
    <row r="6145" spans="1:9" ht="15" customHeight="1">
      <c r="A6145" s="199">
        <v>45762</v>
      </c>
      <c r="B6145" s="202" t="s">
        <v>4867</v>
      </c>
      <c r="C6145" s="200" t="s">
        <v>204</v>
      </c>
      <c r="D6145" s="642">
        <v>-754810</v>
      </c>
      <c r="E6145" s="201">
        <v>45748</v>
      </c>
      <c r="F6145" s="200" t="s">
        <v>256</v>
      </c>
      <c r="G6145" s="200" t="s">
        <v>107</v>
      </c>
      <c r="H6145" s="200" t="s">
        <v>121</v>
      </c>
    </row>
    <row r="6146" spans="1:9" ht="15" customHeight="1">
      <c r="A6146" s="199">
        <v>45762</v>
      </c>
      <c r="B6146" s="202" t="s">
        <v>4868</v>
      </c>
      <c r="C6146" s="200" t="s">
        <v>204</v>
      </c>
      <c r="D6146" s="642">
        <v>-754810</v>
      </c>
      <c r="E6146" s="201">
        <v>45748</v>
      </c>
      <c r="F6146" s="200" t="s">
        <v>296</v>
      </c>
      <c r="G6146" s="200" t="s">
        <v>1825</v>
      </c>
      <c r="H6146" s="200" t="s">
        <v>429</v>
      </c>
    </row>
    <row r="6147" spans="1:9" ht="15" customHeight="1">
      <c r="A6147" s="199">
        <v>45762</v>
      </c>
      <c r="B6147" s="202" t="s">
        <v>4869</v>
      </c>
      <c r="C6147" s="200" t="s">
        <v>204</v>
      </c>
      <c r="D6147" s="642">
        <v>-721476.66666666663</v>
      </c>
      <c r="E6147" s="201">
        <v>45748</v>
      </c>
      <c r="F6147" s="200" t="s">
        <v>296</v>
      </c>
      <c r="G6147" s="200" t="s">
        <v>1825</v>
      </c>
      <c r="H6147" s="200" t="s">
        <v>429</v>
      </c>
    </row>
    <row r="6148" spans="1:9" ht="15" customHeight="1">
      <c r="A6148" s="199">
        <v>45762</v>
      </c>
      <c r="B6148" s="202" t="s">
        <v>4870</v>
      </c>
      <c r="C6148" s="200" t="s">
        <v>204</v>
      </c>
      <c r="D6148" s="642">
        <v>-754810</v>
      </c>
      <c r="E6148" s="201">
        <v>45748</v>
      </c>
      <c r="F6148" s="200" t="s">
        <v>296</v>
      </c>
      <c r="G6148" s="200" t="s">
        <v>1825</v>
      </c>
      <c r="H6148" s="200" t="s">
        <v>429</v>
      </c>
    </row>
    <row r="6149" spans="1:9" ht="15" customHeight="1">
      <c r="A6149" s="199">
        <v>45762</v>
      </c>
      <c r="B6149" s="202" t="s">
        <v>4871</v>
      </c>
      <c r="C6149" s="200" t="s">
        <v>204</v>
      </c>
      <c r="D6149" s="642">
        <v>-754810</v>
      </c>
      <c r="E6149" s="201">
        <v>45748</v>
      </c>
      <c r="F6149" s="200" t="s">
        <v>296</v>
      </c>
      <c r="G6149" s="200" t="s">
        <v>1825</v>
      </c>
      <c r="H6149" s="200" t="s">
        <v>429</v>
      </c>
    </row>
    <row r="6150" spans="1:9" ht="15" customHeight="1">
      <c r="A6150" s="199">
        <v>45762</v>
      </c>
      <c r="B6150" s="202" t="s">
        <v>4872</v>
      </c>
      <c r="C6150" s="200" t="s">
        <v>204</v>
      </c>
      <c r="D6150" s="642">
        <v>-754810</v>
      </c>
      <c r="E6150" s="201">
        <v>45748</v>
      </c>
      <c r="F6150" s="200" t="s">
        <v>296</v>
      </c>
      <c r="G6150" s="200" t="s">
        <v>1825</v>
      </c>
      <c r="H6150" s="200" t="s">
        <v>429</v>
      </c>
    </row>
    <row r="6151" spans="1:9" ht="15" customHeight="1">
      <c r="A6151" s="199">
        <v>45762</v>
      </c>
      <c r="B6151" s="202" t="s">
        <v>4873</v>
      </c>
      <c r="C6151" s="200" t="s">
        <v>204</v>
      </c>
      <c r="D6151" s="642">
        <v>-754810</v>
      </c>
      <c r="E6151" s="201">
        <v>45748</v>
      </c>
      <c r="F6151" s="200" t="s">
        <v>296</v>
      </c>
      <c r="G6151" s="200" t="s">
        <v>1825</v>
      </c>
      <c r="H6151" s="200" t="s">
        <v>429</v>
      </c>
    </row>
    <row r="6152" spans="1:9" ht="15" customHeight="1">
      <c r="A6152" s="199">
        <v>45762</v>
      </c>
      <c r="B6152" s="202" t="s">
        <v>4874</v>
      </c>
      <c r="C6152" s="200" t="s">
        <v>204</v>
      </c>
      <c r="D6152" s="642">
        <v>-754810</v>
      </c>
      <c r="E6152" s="201">
        <v>45748</v>
      </c>
      <c r="F6152" s="200" t="s">
        <v>296</v>
      </c>
      <c r="G6152" s="200" t="s">
        <v>1825</v>
      </c>
      <c r="H6152" s="200" t="s">
        <v>429</v>
      </c>
    </row>
    <row r="6153" spans="1:9" ht="15" customHeight="1">
      <c r="A6153" s="199">
        <v>45762</v>
      </c>
      <c r="B6153" s="202" t="s">
        <v>4875</v>
      </c>
      <c r="C6153" s="200" t="s">
        <v>204</v>
      </c>
      <c r="D6153" s="642">
        <v>-754810</v>
      </c>
      <c r="E6153" s="201">
        <v>45748</v>
      </c>
      <c r="F6153" s="200" t="s">
        <v>296</v>
      </c>
      <c r="G6153" s="200" t="s">
        <v>1825</v>
      </c>
      <c r="H6153" s="200" t="s">
        <v>429</v>
      </c>
    </row>
    <row r="6154" spans="1:9" ht="15" customHeight="1">
      <c r="A6154" s="199">
        <v>45762</v>
      </c>
      <c r="B6154" s="202" t="s">
        <v>4876</v>
      </c>
      <c r="C6154" s="200" t="s">
        <v>204</v>
      </c>
      <c r="D6154" s="642">
        <v>-754810</v>
      </c>
      <c r="E6154" s="201">
        <v>45748</v>
      </c>
      <c r="F6154" s="200" t="s">
        <v>296</v>
      </c>
      <c r="G6154" s="200" t="s">
        <v>1825</v>
      </c>
      <c r="H6154" s="200" t="s">
        <v>429</v>
      </c>
    </row>
    <row r="6155" spans="1:9" ht="15" customHeight="1">
      <c r="A6155" s="199">
        <v>45762</v>
      </c>
      <c r="B6155" s="202" t="s">
        <v>4877</v>
      </c>
      <c r="C6155" s="200" t="s">
        <v>204</v>
      </c>
      <c r="D6155" s="642">
        <v>-1066000</v>
      </c>
      <c r="E6155" s="201">
        <v>45748</v>
      </c>
      <c r="F6155" s="200" t="s">
        <v>296</v>
      </c>
      <c r="G6155" s="200" t="s">
        <v>1825</v>
      </c>
      <c r="H6155" s="200" t="s">
        <v>429</v>
      </c>
    </row>
    <row r="6156" spans="1:9" ht="15" customHeight="1">
      <c r="A6156" s="199">
        <v>45762</v>
      </c>
      <c r="B6156" s="202" t="s">
        <v>4878</v>
      </c>
      <c r="C6156" s="200" t="s">
        <v>204</v>
      </c>
      <c r="D6156" s="642">
        <v>-754810</v>
      </c>
      <c r="E6156" s="201">
        <v>45748</v>
      </c>
      <c r="F6156" s="200" t="s">
        <v>296</v>
      </c>
      <c r="G6156" s="200" t="s">
        <v>1825</v>
      </c>
      <c r="H6156" s="200" t="s">
        <v>429</v>
      </c>
    </row>
    <row r="6157" spans="1:9" ht="15" customHeight="1">
      <c r="A6157" s="199">
        <v>45762</v>
      </c>
      <c r="B6157" s="202" t="s">
        <v>4879</v>
      </c>
      <c r="C6157" s="200" t="s">
        <v>204</v>
      </c>
      <c r="D6157" s="642">
        <v>-754810</v>
      </c>
      <c r="E6157" s="201">
        <v>45748</v>
      </c>
      <c r="F6157" s="200" t="s">
        <v>296</v>
      </c>
      <c r="G6157" s="200" t="s">
        <v>1825</v>
      </c>
      <c r="H6157" s="200" t="s">
        <v>429</v>
      </c>
    </row>
    <row r="6158" spans="1:9" ht="15" customHeight="1">
      <c r="A6158" s="199">
        <v>45762</v>
      </c>
      <c r="B6158" s="202" t="s">
        <v>4880</v>
      </c>
      <c r="C6158" s="200" t="s">
        <v>204</v>
      </c>
      <c r="D6158" s="642">
        <v>-754810</v>
      </c>
      <c r="E6158" s="201">
        <v>45748</v>
      </c>
      <c r="F6158" s="200" t="s">
        <v>296</v>
      </c>
      <c r="G6158" s="200" t="s">
        <v>1825</v>
      </c>
      <c r="H6158" s="200" t="s">
        <v>429</v>
      </c>
    </row>
    <row r="6159" spans="1:9" ht="15" customHeight="1">
      <c r="A6159" s="199">
        <v>45762</v>
      </c>
      <c r="B6159" s="202" t="s">
        <v>4881</v>
      </c>
      <c r="C6159" s="200" t="s">
        <v>204</v>
      </c>
      <c r="D6159" s="642">
        <v>-754810</v>
      </c>
      <c r="E6159" s="201">
        <v>45748</v>
      </c>
      <c r="F6159" s="200" t="s">
        <v>296</v>
      </c>
      <c r="G6159" s="200" t="s">
        <v>1825</v>
      </c>
      <c r="H6159" s="200" t="s">
        <v>429</v>
      </c>
      <c r="I6159" s="648" t="s">
        <v>329</v>
      </c>
    </row>
    <row r="6160" spans="1:9" ht="15" customHeight="1">
      <c r="A6160" s="199">
        <v>45762</v>
      </c>
      <c r="B6160" s="202" t="s">
        <v>4882</v>
      </c>
      <c r="C6160" s="200" t="s">
        <v>204</v>
      </c>
      <c r="D6160" s="642">
        <v>-754810</v>
      </c>
      <c r="E6160" s="201">
        <v>45748</v>
      </c>
      <c r="F6160" s="200" t="s">
        <v>296</v>
      </c>
      <c r="G6160" s="200" t="s">
        <v>522</v>
      </c>
      <c r="H6160" s="200" t="s">
        <v>429</v>
      </c>
    </row>
    <row r="6161" spans="1:8" ht="15" customHeight="1">
      <c r="A6161" s="199">
        <v>45762</v>
      </c>
      <c r="B6161" s="202" t="s">
        <v>4883</v>
      </c>
      <c r="C6161" s="200" t="s">
        <v>204</v>
      </c>
      <c r="D6161" s="642">
        <v>-1250000</v>
      </c>
      <c r="E6161" s="201">
        <v>45748</v>
      </c>
      <c r="F6161" s="200" t="s">
        <v>296</v>
      </c>
      <c r="G6161" s="200" t="s">
        <v>522</v>
      </c>
      <c r="H6161" s="200" t="s">
        <v>429</v>
      </c>
    </row>
    <row r="6162" spans="1:8" ht="15" customHeight="1">
      <c r="A6162" s="199">
        <v>45762</v>
      </c>
      <c r="B6162" s="202" t="s">
        <v>4884</v>
      </c>
      <c r="C6162" s="200" t="s">
        <v>204</v>
      </c>
      <c r="D6162" s="642">
        <v>-754810</v>
      </c>
      <c r="E6162" s="201">
        <v>45748</v>
      </c>
      <c r="F6162" s="200" t="s">
        <v>296</v>
      </c>
      <c r="G6162" s="200" t="s">
        <v>522</v>
      </c>
      <c r="H6162" s="200" t="s">
        <v>429</v>
      </c>
    </row>
    <row r="6163" spans="1:8" ht="15" customHeight="1">
      <c r="A6163" s="199">
        <v>45762</v>
      </c>
      <c r="B6163" s="202" t="s">
        <v>4885</v>
      </c>
      <c r="C6163" s="200" t="s">
        <v>204</v>
      </c>
      <c r="D6163" s="642">
        <v>-754810</v>
      </c>
      <c r="E6163" s="201">
        <v>45748</v>
      </c>
      <c r="F6163" s="200" t="s">
        <v>296</v>
      </c>
      <c r="G6163" s="200" t="s">
        <v>522</v>
      </c>
      <c r="H6163" s="200" t="s">
        <v>429</v>
      </c>
    </row>
    <row r="6164" spans="1:8" ht="15" customHeight="1">
      <c r="A6164" s="199">
        <v>45762</v>
      </c>
      <c r="B6164" s="202" t="s">
        <v>4886</v>
      </c>
      <c r="C6164" s="200" t="s">
        <v>204</v>
      </c>
      <c r="D6164" s="642">
        <v>-754810</v>
      </c>
      <c r="E6164" s="201">
        <v>45748</v>
      </c>
      <c r="F6164" s="200" t="s">
        <v>296</v>
      </c>
      <c r="G6164" s="200" t="s">
        <v>522</v>
      </c>
      <c r="H6164" s="200" t="s">
        <v>429</v>
      </c>
    </row>
    <row r="6165" spans="1:8" ht="15" customHeight="1">
      <c r="A6165" s="199">
        <v>45762</v>
      </c>
      <c r="B6165" s="202" t="s">
        <v>4887</v>
      </c>
      <c r="C6165" s="200" t="s">
        <v>204</v>
      </c>
      <c r="D6165" s="642">
        <v>-754810</v>
      </c>
      <c r="E6165" s="201">
        <v>45748</v>
      </c>
      <c r="F6165" s="200" t="s">
        <v>296</v>
      </c>
      <c r="G6165" s="200" t="s">
        <v>522</v>
      </c>
      <c r="H6165" s="200" t="s">
        <v>429</v>
      </c>
    </row>
    <row r="6166" spans="1:8" ht="15" customHeight="1">
      <c r="A6166" s="199">
        <v>45762</v>
      </c>
      <c r="B6166" s="202" t="s">
        <v>4888</v>
      </c>
      <c r="C6166" s="200" t="s">
        <v>204</v>
      </c>
      <c r="D6166" s="642">
        <v>-882000</v>
      </c>
      <c r="E6166" s="201">
        <v>45748</v>
      </c>
      <c r="F6166" s="200" t="s">
        <v>296</v>
      </c>
      <c r="G6166" s="200" t="s">
        <v>522</v>
      </c>
      <c r="H6166" s="200" t="s">
        <v>429</v>
      </c>
    </row>
    <row r="6167" spans="1:8" ht="15" customHeight="1">
      <c r="A6167" s="199">
        <v>45762</v>
      </c>
      <c r="B6167" s="202" t="s">
        <v>4889</v>
      </c>
      <c r="C6167" s="200" t="s">
        <v>204</v>
      </c>
      <c r="D6167" s="642">
        <v>-754810</v>
      </c>
      <c r="E6167" s="201">
        <v>45748</v>
      </c>
      <c r="F6167" s="200" t="s">
        <v>296</v>
      </c>
      <c r="G6167" s="200" t="s">
        <v>522</v>
      </c>
      <c r="H6167" s="200" t="s">
        <v>429</v>
      </c>
    </row>
    <row r="6168" spans="1:8" ht="15" customHeight="1">
      <c r="A6168" s="199">
        <v>45762</v>
      </c>
      <c r="B6168" s="202" t="s">
        <v>4890</v>
      </c>
      <c r="C6168" s="200" t="s">
        <v>204</v>
      </c>
      <c r="D6168" s="642">
        <v>-754810</v>
      </c>
      <c r="E6168" s="201">
        <v>45748</v>
      </c>
      <c r="F6168" s="200" t="s">
        <v>296</v>
      </c>
      <c r="G6168" s="200" t="s">
        <v>522</v>
      </c>
      <c r="H6168" s="200" t="s">
        <v>429</v>
      </c>
    </row>
    <row r="6169" spans="1:8" ht="15" customHeight="1">
      <c r="A6169" s="199">
        <v>45762</v>
      </c>
      <c r="B6169" s="202" t="s">
        <v>4891</v>
      </c>
      <c r="C6169" s="200" t="s">
        <v>204</v>
      </c>
      <c r="D6169" s="642">
        <v>-754810</v>
      </c>
      <c r="E6169" s="201">
        <v>45748</v>
      </c>
      <c r="F6169" s="200" t="s">
        <v>296</v>
      </c>
      <c r="G6169" s="200" t="s">
        <v>522</v>
      </c>
      <c r="H6169" s="200" t="s">
        <v>429</v>
      </c>
    </row>
    <row r="6170" spans="1:8" ht="15" customHeight="1">
      <c r="A6170" s="199">
        <v>45762</v>
      </c>
      <c r="B6170" s="202" t="s">
        <v>4892</v>
      </c>
      <c r="C6170" s="200" t="s">
        <v>204</v>
      </c>
      <c r="D6170" s="642">
        <v>-754810</v>
      </c>
      <c r="E6170" s="201">
        <v>45748</v>
      </c>
      <c r="F6170" s="200" t="s">
        <v>296</v>
      </c>
      <c r="G6170" s="200" t="s">
        <v>522</v>
      </c>
      <c r="H6170" s="200" t="s">
        <v>429</v>
      </c>
    </row>
    <row r="6171" spans="1:8" ht="15" customHeight="1">
      <c r="A6171" s="199">
        <v>45762</v>
      </c>
      <c r="B6171" s="202" t="s">
        <v>4893</v>
      </c>
      <c r="C6171" s="200" t="s">
        <v>204</v>
      </c>
      <c r="D6171" s="642">
        <v>-754810</v>
      </c>
      <c r="E6171" s="201">
        <v>45748</v>
      </c>
      <c r="F6171" s="200" t="s">
        <v>296</v>
      </c>
      <c r="G6171" s="200" t="s">
        <v>522</v>
      </c>
      <c r="H6171" s="200" t="s">
        <v>429</v>
      </c>
    </row>
    <row r="6172" spans="1:8" ht="15" customHeight="1">
      <c r="A6172" s="199">
        <v>45762</v>
      </c>
      <c r="B6172" s="202" t="s">
        <v>4894</v>
      </c>
      <c r="C6172" s="200" t="s">
        <v>204</v>
      </c>
      <c r="D6172" s="642">
        <v>-754810</v>
      </c>
      <c r="E6172" s="201">
        <v>45748</v>
      </c>
      <c r="F6172" s="200" t="s">
        <v>296</v>
      </c>
      <c r="G6172" s="200" t="s">
        <v>522</v>
      </c>
      <c r="H6172" s="200" t="s">
        <v>429</v>
      </c>
    </row>
    <row r="6173" spans="1:8" ht="15" customHeight="1">
      <c r="A6173" s="199">
        <v>45762</v>
      </c>
      <c r="B6173" s="202" t="s">
        <v>4895</v>
      </c>
      <c r="C6173" s="200" t="s">
        <v>204</v>
      </c>
      <c r="D6173" s="642">
        <v>-754810</v>
      </c>
      <c r="E6173" s="201">
        <v>45748</v>
      </c>
      <c r="F6173" s="200" t="s">
        <v>296</v>
      </c>
      <c r="G6173" s="200" t="s">
        <v>522</v>
      </c>
      <c r="H6173" s="200" t="s">
        <v>429</v>
      </c>
    </row>
    <row r="6174" spans="1:8" ht="15" customHeight="1">
      <c r="A6174" s="199">
        <v>45762</v>
      </c>
      <c r="B6174" s="202" t="s">
        <v>4896</v>
      </c>
      <c r="C6174" s="200" t="s">
        <v>204</v>
      </c>
      <c r="D6174" s="642">
        <v>-654810</v>
      </c>
      <c r="E6174" s="201">
        <v>45748</v>
      </c>
      <c r="F6174" s="200" t="s">
        <v>296</v>
      </c>
      <c r="G6174" s="200" t="s">
        <v>522</v>
      </c>
      <c r="H6174" s="200" t="s">
        <v>429</v>
      </c>
    </row>
    <row r="6175" spans="1:8" ht="15" customHeight="1">
      <c r="A6175" s="199">
        <v>45762</v>
      </c>
      <c r="B6175" s="202" t="s">
        <v>4897</v>
      </c>
      <c r="C6175" s="200" t="s">
        <v>204</v>
      </c>
      <c r="D6175" s="642">
        <v>-754810</v>
      </c>
      <c r="E6175" s="201">
        <v>45748</v>
      </c>
      <c r="F6175" s="200" t="s">
        <v>296</v>
      </c>
      <c r="G6175" s="200" t="s">
        <v>522</v>
      </c>
      <c r="H6175" s="200" t="s">
        <v>429</v>
      </c>
    </row>
    <row r="6176" spans="1:8" ht="15" customHeight="1">
      <c r="A6176" s="199">
        <v>45762</v>
      </c>
      <c r="B6176" s="202" t="s">
        <v>4898</v>
      </c>
      <c r="C6176" s="200" t="s">
        <v>204</v>
      </c>
      <c r="D6176" s="642">
        <v>-754810</v>
      </c>
      <c r="E6176" s="201">
        <v>45748</v>
      </c>
      <c r="F6176" s="200" t="s">
        <v>296</v>
      </c>
      <c r="G6176" s="200" t="s">
        <v>522</v>
      </c>
      <c r="H6176" s="200" t="s">
        <v>429</v>
      </c>
    </row>
    <row r="6177" spans="1:10" ht="15" customHeight="1">
      <c r="A6177" s="199">
        <v>45762</v>
      </c>
      <c r="B6177" s="202" t="s">
        <v>4899</v>
      </c>
      <c r="C6177" s="200" t="s">
        <v>204</v>
      </c>
      <c r="D6177" s="642">
        <v>-668143.33333333337</v>
      </c>
      <c r="E6177" s="201">
        <v>45748</v>
      </c>
      <c r="F6177" s="200" t="s">
        <v>296</v>
      </c>
      <c r="G6177" s="200" t="s">
        <v>522</v>
      </c>
      <c r="H6177" s="200" t="s">
        <v>429</v>
      </c>
    </row>
    <row r="6178" spans="1:10" ht="15" customHeight="1">
      <c r="A6178" s="199">
        <v>45762</v>
      </c>
      <c r="B6178" s="202" t="s">
        <v>4900</v>
      </c>
      <c r="C6178" s="200" t="s">
        <v>204</v>
      </c>
      <c r="D6178" s="642">
        <v>-754810</v>
      </c>
      <c r="E6178" s="201">
        <v>45748</v>
      </c>
      <c r="F6178" s="200" t="s">
        <v>296</v>
      </c>
      <c r="G6178" s="200" t="s">
        <v>522</v>
      </c>
      <c r="H6178" s="200" t="s">
        <v>429</v>
      </c>
    </row>
    <row r="6179" spans="1:10" ht="15" customHeight="1">
      <c r="A6179" s="199">
        <v>45762</v>
      </c>
      <c r="B6179" s="202" t="s">
        <v>4901</v>
      </c>
      <c r="C6179" s="200" t="s">
        <v>204</v>
      </c>
      <c r="D6179" s="642">
        <v>-654810</v>
      </c>
      <c r="E6179" s="201">
        <v>45748</v>
      </c>
      <c r="F6179" s="200" t="s">
        <v>296</v>
      </c>
      <c r="G6179" s="200" t="s">
        <v>522</v>
      </c>
      <c r="H6179" s="200" t="s">
        <v>429</v>
      </c>
    </row>
    <row r="6180" spans="1:10" ht="15" customHeight="1">
      <c r="A6180" s="199">
        <v>45762</v>
      </c>
      <c r="B6180" s="202" t="s">
        <v>4902</v>
      </c>
      <c r="C6180" s="200" t="s">
        <v>204</v>
      </c>
      <c r="D6180" s="642">
        <v>-754810</v>
      </c>
      <c r="E6180" s="201">
        <v>45748</v>
      </c>
      <c r="F6180" s="200" t="s">
        <v>296</v>
      </c>
      <c r="G6180" s="200" t="s">
        <v>522</v>
      </c>
      <c r="H6180" s="200" t="s">
        <v>429</v>
      </c>
    </row>
    <row r="6181" spans="1:10" ht="15" customHeight="1">
      <c r="A6181" s="199">
        <v>45762</v>
      </c>
      <c r="B6181" s="202" t="s">
        <v>4903</v>
      </c>
      <c r="C6181" s="200" t="s">
        <v>204</v>
      </c>
      <c r="D6181" s="642">
        <v>-754810</v>
      </c>
      <c r="E6181" s="201">
        <v>45748</v>
      </c>
      <c r="F6181" s="200" t="s">
        <v>296</v>
      </c>
      <c r="G6181" s="200" t="s">
        <v>522</v>
      </c>
      <c r="H6181" s="200" t="s">
        <v>429</v>
      </c>
    </row>
    <row r="6182" spans="1:10" ht="15" customHeight="1">
      <c r="A6182" s="199">
        <v>45762</v>
      </c>
      <c r="B6182" s="202" t="s">
        <v>4904</v>
      </c>
      <c r="C6182" s="200" t="s">
        <v>204</v>
      </c>
      <c r="D6182" s="642">
        <v>-748143.33333333337</v>
      </c>
      <c r="E6182" s="201">
        <v>45748</v>
      </c>
      <c r="F6182" s="200" t="s">
        <v>296</v>
      </c>
      <c r="G6182" s="200" t="s">
        <v>522</v>
      </c>
      <c r="H6182" s="200" t="s">
        <v>429</v>
      </c>
    </row>
    <row r="6183" spans="1:10" ht="15" customHeight="1">
      <c r="A6183" s="199">
        <v>45762</v>
      </c>
      <c r="B6183" s="202" t="s">
        <v>4905</v>
      </c>
      <c r="C6183" s="200" t="s">
        <v>204</v>
      </c>
      <c r="D6183" s="642">
        <v>-754810</v>
      </c>
      <c r="E6183" s="201">
        <v>45748</v>
      </c>
      <c r="F6183" s="200" t="s">
        <v>296</v>
      </c>
      <c r="G6183" s="200" t="s">
        <v>522</v>
      </c>
      <c r="H6183" s="200" t="s">
        <v>429</v>
      </c>
    </row>
    <row r="6184" spans="1:10" ht="15" customHeight="1">
      <c r="A6184" s="199">
        <v>45762</v>
      </c>
      <c r="B6184" s="202" t="s">
        <v>4906</v>
      </c>
      <c r="C6184" s="200" t="s">
        <v>204</v>
      </c>
      <c r="D6184" s="642">
        <v>-754810</v>
      </c>
      <c r="E6184" s="201">
        <v>45748</v>
      </c>
      <c r="F6184" s="200" t="s">
        <v>296</v>
      </c>
      <c r="G6184" s="200" t="s">
        <v>522</v>
      </c>
      <c r="H6184" s="200" t="s">
        <v>429</v>
      </c>
      <c r="I6184" s="648" t="s">
        <v>329</v>
      </c>
      <c r="J6184" s="184" t="s">
        <v>4907</v>
      </c>
    </row>
    <row r="6185" spans="1:10" ht="15" customHeight="1">
      <c r="A6185" s="199">
        <v>45762</v>
      </c>
      <c r="B6185" s="202" t="s">
        <v>4908</v>
      </c>
      <c r="C6185" s="200" t="s">
        <v>204</v>
      </c>
      <c r="D6185" s="642">
        <v>-754810</v>
      </c>
      <c r="E6185" s="201">
        <v>45748</v>
      </c>
      <c r="F6185" s="200" t="s">
        <v>296</v>
      </c>
      <c r="G6185" s="200" t="s">
        <v>1980</v>
      </c>
      <c r="H6185" s="200" t="s">
        <v>490</v>
      </c>
    </row>
    <row r="6186" spans="1:10" ht="15" customHeight="1">
      <c r="A6186" s="199">
        <v>45762</v>
      </c>
      <c r="B6186" s="202" t="s">
        <v>4909</v>
      </c>
      <c r="C6186" s="200" t="s">
        <v>204</v>
      </c>
      <c r="D6186" s="642">
        <v>-882000</v>
      </c>
      <c r="E6186" s="201">
        <v>45748</v>
      </c>
      <c r="F6186" s="200" t="s">
        <v>296</v>
      </c>
      <c r="G6186" s="200" t="s">
        <v>1980</v>
      </c>
      <c r="H6186" s="200" t="s">
        <v>490</v>
      </c>
    </row>
    <row r="6187" spans="1:10" ht="15" customHeight="1">
      <c r="A6187" s="199">
        <v>45762</v>
      </c>
      <c r="B6187" s="202" t="s">
        <v>4910</v>
      </c>
      <c r="C6187" s="200" t="s">
        <v>204</v>
      </c>
      <c r="D6187" s="642">
        <v>-754810</v>
      </c>
      <c r="E6187" s="201">
        <v>45748</v>
      </c>
      <c r="F6187" s="200" t="s">
        <v>296</v>
      </c>
      <c r="G6187" s="200" t="s">
        <v>1980</v>
      </c>
      <c r="H6187" s="200" t="s">
        <v>490</v>
      </c>
    </row>
    <row r="6188" spans="1:10" ht="15" customHeight="1">
      <c r="A6188" s="199">
        <v>45762</v>
      </c>
      <c r="B6188" s="202" t="s">
        <v>4911</v>
      </c>
      <c r="C6188" s="200" t="s">
        <v>204</v>
      </c>
      <c r="D6188" s="642">
        <v>-352244.66666666669</v>
      </c>
      <c r="E6188" s="201">
        <v>45748</v>
      </c>
      <c r="F6188" s="200" t="s">
        <v>296</v>
      </c>
      <c r="G6188" s="200" t="s">
        <v>1980</v>
      </c>
      <c r="H6188" s="200" t="s">
        <v>490</v>
      </c>
    </row>
    <row r="6189" spans="1:10" ht="15" customHeight="1">
      <c r="A6189" s="199">
        <v>45762</v>
      </c>
      <c r="B6189" s="202" t="s">
        <v>4912</v>
      </c>
      <c r="C6189" s="200" t="s">
        <v>204</v>
      </c>
      <c r="D6189" s="642">
        <v>-352244.66666666669</v>
      </c>
      <c r="E6189" s="201">
        <v>45748</v>
      </c>
      <c r="F6189" s="200" t="s">
        <v>296</v>
      </c>
      <c r="G6189" s="200" t="s">
        <v>1980</v>
      </c>
      <c r="H6189" s="200" t="s">
        <v>490</v>
      </c>
    </row>
    <row r="6190" spans="1:10" ht="15" customHeight="1">
      <c r="A6190" s="199">
        <v>45762</v>
      </c>
      <c r="B6190" s="202" t="s">
        <v>4913</v>
      </c>
      <c r="C6190" s="200" t="s">
        <v>204</v>
      </c>
      <c r="D6190" s="642">
        <v>-352244.66666666669</v>
      </c>
      <c r="E6190" s="201">
        <v>45748</v>
      </c>
      <c r="F6190" s="200" t="s">
        <v>296</v>
      </c>
      <c r="G6190" s="200" t="s">
        <v>1980</v>
      </c>
      <c r="H6190" s="200" t="s">
        <v>490</v>
      </c>
    </row>
    <row r="6191" spans="1:10" ht="15" customHeight="1">
      <c r="A6191" s="199">
        <v>45762</v>
      </c>
      <c r="B6191" s="202" t="s">
        <v>4914</v>
      </c>
      <c r="C6191" s="200" t="s">
        <v>204</v>
      </c>
      <c r="D6191" s="642">
        <v>-352244.66666666669</v>
      </c>
      <c r="E6191" s="201">
        <v>45748</v>
      </c>
      <c r="F6191" s="200" t="s">
        <v>296</v>
      </c>
      <c r="G6191" s="200" t="s">
        <v>1980</v>
      </c>
      <c r="H6191" s="200" t="s">
        <v>490</v>
      </c>
    </row>
    <row r="6192" spans="1:10" ht="15" customHeight="1">
      <c r="A6192" s="199">
        <v>45762</v>
      </c>
      <c r="B6192" s="202" t="s">
        <v>4915</v>
      </c>
      <c r="C6192" s="200" t="s">
        <v>204</v>
      </c>
      <c r="D6192" s="642">
        <v>-352244.66666666669</v>
      </c>
      <c r="E6192" s="201">
        <v>45748</v>
      </c>
      <c r="F6192" s="200" t="s">
        <v>296</v>
      </c>
      <c r="G6192" s="200" t="s">
        <v>1980</v>
      </c>
      <c r="H6192" s="200" t="s">
        <v>490</v>
      </c>
    </row>
    <row r="6193" spans="1:9" ht="15" customHeight="1">
      <c r="A6193" s="199">
        <v>45762</v>
      </c>
      <c r="B6193" s="202" t="s">
        <v>4916</v>
      </c>
      <c r="C6193" s="200" t="s">
        <v>204</v>
      </c>
      <c r="D6193" s="642">
        <v>-352244.66666666669</v>
      </c>
      <c r="E6193" s="201">
        <v>45748</v>
      </c>
      <c r="F6193" s="200" t="s">
        <v>296</v>
      </c>
      <c r="G6193" s="200" t="s">
        <v>1980</v>
      </c>
      <c r="H6193" s="200" t="s">
        <v>490</v>
      </c>
      <c r="I6193" s="648" t="s">
        <v>329</v>
      </c>
    </row>
    <row r="6194" spans="1:9" ht="15" customHeight="1">
      <c r="A6194" s="199">
        <v>45762</v>
      </c>
      <c r="B6194" s="202" t="s">
        <v>4917</v>
      </c>
      <c r="C6194" s="200" t="s">
        <v>204</v>
      </c>
      <c r="D6194" s="642">
        <v>-754810</v>
      </c>
      <c r="E6194" s="201">
        <v>45748</v>
      </c>
      <c r="F6194" s="200" t="s">
        <v>297</v>
      </c>
      <c r="G6194" s="200" t="s">
        <v>1578</v>
      </c>
      <c r="H6194" s="200" t="s">
        <v>342</v>
      </c>
    </row>
    <row r="6195" spans="1:9" ht="15" customHeight="1">
      <c r="A6195" s="199">
        <v>45762</v>
      </c>
      <c r="B6195" s="202" t="s">
        <v>4918</v>
      </c>
      <c r="C6195" s="200" t="s">
        <v>204</v>
      </c>
      <c r="D6195" s="642">
        <v>-754810</v>
      </c>
      <c r="E6195" s="201">
        <v>45748</v>
      </c>
      <c r="F6195" s="200" t="s">
        <v>297</v>
      </c>
      <c r="G6195" s="200" t="s">
        <v>1578</v>
      </c>
      <c r="H6195" s="200" t="s">
        <v>342</v>
      </c>
      <c r="I6195" s="648" t="s">
        <v>329</v>
      </c>
    </row>
    <row r="6196" spans="1:9" ht="15" customHeight="1">
      <c r="A6196" s="199">
        <v>45762</v>
      </c>
      <c r="B6196" s="202" t="s">
        <v>4919</v>
      </c>
      <c r="C6196" s="200" t="s">
        <v>204</v>
      </c>
      <c r="D6196" s="642">
        <v>-748143.33</v>
      </c>
      <c r="E6196" s="201">
        <v>45748</v>
      </c>
      <c r="F6196" s="200" t="s">
        <v>395</v>
      </c>
      <c r="G6196" s="531" t="s">
        <v>395</v>
      </c>
      <c r="H6196" s="200" t="s">
        <v>342</v>
      </c>
      <c r="I6196" s="673"/>
    </row>
    <row r="6197" spans="1:9" ht="15" customHeight="1">
      <c r="A6197" s="199">
        <v>45762</v>
      </c>
      <c r="B6197" s="202" t="s">
        <v>4920</v>
      </c>
      <c r="C6197" s="200" t="s">
        <v>204</v>
      </c>
      <c r="D6197" s="642">
        <v>-754810</v>
      </c>
      <c r="E6197" s="201">
        <v>45748</v>
      </c>
      <c r="F6197" s="200" t="s">
        <v>296</v>
      </c>
      <c r="G6197" s="200" t="s">
        <v>1735</v>
      </c>
      <c r="H6197" s="200" t="s">
        <v>342</v>
      </c>
    </row>
    <row r="6198" spans="1:9" ht="15" customHeight="1">
      <c r="A6198" s="199">
        <v>45762</v>
      </c>
      <c r="B6198" s="202" t="s">
        <v>4921</v>
      </c>
      <c r="C6198" s="200" t="s">
        <v>204</v>
      </c>
      <c r="D6198" s="642">
        <v>-1247700</v>
      </c>
      <c r="E6198" s="201">
        <v>45748</v>
      </c>
      <c r="F6198" s="200" t="s">
        <v>296</v>
      </c>
      <c r="G6198" s="200" t="s">
        <v>328</v>
      </c>
      <c r="H6198" s="200" t="s">
        <v>342</v>
      </c>
    </row>
    <row r="6199" spans="1:9" ht="15" customHeight="1">
      <c r="A6199" s="199">
        <v>45762</v>
      </c>
      <c r="B6199" s="202" t="s">
        <v>4922</v>
      </c>
      <c r="C6199" s="200" t="s">
        <v>204</v>
      </c>
      <c r="D6199" s="642">
        <v>-836000</v>
      </c>
      <c r="E6199" s="201">
        <v>45748</v>
      </c>
      <c r="F6199" s="200" t="s">
        <v>296</v>
      </c>
      <c r="G6199" s="200" t="s">
        <v>328</v>
      </c>
      <c r="H6199" s="200" t="s">
        <v>342</v>
      </c>
    </row>
    <row r="6200" spans="1:9" ht="15" customHeight="1">
      <c r="A6200" s="199">
        <v>45762</v>
      </c>
      <c r="B6200" s="202" t="s">
        <v>4923</v>
      </c>
      <c r="C6200" s="200" t="s">
        <v>204</v>
      </c>
      <c r="D6200" s="642">
        <v>-754810</v>
      </c>
      <c r="E6200" s="201">
        <v>45748</v>
      </c>
      <c r="F6200" s="200" t="s">
        <v>296</v>
      </c>
      <c r="G6200" s="200" t="s">
        <v>328</v>
      </c>
      <c r="H6200" s="200" t="s">
        <v>342</v>
      </c>
    </row>
    <row r="6201" spans="1:9" ht="15" customHeight="1">
      <c r="A6201" s="199">
        <v>45762</v>
      </c>
      <c r="B6201" s="202" t="s">
        <v>4924</v>
      </c>
      <c r="C6201" s="200" t="s">
        <v>204</v>
      </c>
      <c r="D6201" s="642">
        <v>-754810</v>
      </c>
      <c r="E6201" s="201">
        <v>45748</v>
      </c>
      <c r="F6201" s="200" t="s">
        <v>296</v>
      </c>
      <c r="G6201" s="200" t="s">
        <v>328</v>
      </c>
      <c r="H6201" s="200" t="s">
        <v>342</v>
      </c>
    </row>
    <row r="6202" spans="1:9" ht="15" customHeight="1">
      <c r="A6202" s="199">
        <v>45762</v>
      </c>
      <c r="B6202" s="202" t="s">
        <v>4925</v>
      </c>
      <c r="C6202" s="200" t="s">
        <v>204</v>
      </c>
      <c r="D6202" s="642">
        <v>-754810</v>
      </c>
      <c r="E6202" s="201">
        <v>45748</v>
      </c>
      <c r="F6202" s="200" t="s">
        <v>296</v>
      </c>
      <c r="G6202" s="200" t="s">
        <v>328</v>
      </c>
      <c r="H6202" s="200" t="s">
        <v>342</v>
      </c>
    </row>
    <row r="6203" spans="1:9" ht="15" customHeight="1">
      <c r="A6203" s="199">
        <v>45762</v>
      </c>
      <c r="B6203" s="202" t="s">
        <v>4926</v>
      </c>
      <c r="C6203" s="200" t="s">
        <v>204</v>
      </c>
      <c r="D6203" s="642">
        <v>-754810</v>
      </c>
      <c r="E6203" s="201">
        <v>45748</v>
      </c>
      <c r="F6203" s="200" t="s">
        <v>296</v>
      </c>
      <c r="G6203" s="200" t="s">
        <v>2994</v>
      </c>
      <c r="H6203" s="200" t="s">
        <v>342</v>
      </c>
    </row>
    <row r="6204" spans="1:9" ht="15" customHeight="1">
      <c r="A6204" s="199">
        <v>45762</v>
      </c>
      <c r="B6204" s="202" t="s">
        <v>4927</v>
      </c>
      <c r="C6204" s="200" t="s">
        <v>204</v>
      </c>
      <c r="D6204" s="642">
        <v>-754810</v>
      </c>
      <c r="E6204" s="201">
        <v>45748</v>
      </c>
      <c r="F6204" s="200" t="s">
        <v>296</v>
      </c>
      <c r="G6204" s="200" t="s">
        <v>2994</v>
      </c>
      <c r="H6204" s="200" t="s">
        <v>342</v>
      </c>
    </row>
    <row r="6205" spans="1:9" ht="15" customHeight="1">
      <c r="A6205" s="199">
        <v>45762</v>
      </c>
      <c r="B6205" s="202" t="s">
        <v>4928</v>
      </c>
      <c r="C6205" s="200" t="s">
        <v>204</v>
      </c>
      <c r="D6205" s="642">
        <v>-357405.17</v>
      </c>
      <c r="E6205" s="201">
        <v>45748</v>
      </c>
      <c r="F6205" s="200" t="s">
        <v>296</v>
      </c>
      <c r="G6205" s="200" t="s">
        <v>328</v>
      </c>
      <c r="H6205" s="200" t="s">
        <v>342</v>
      </c>
    </row>
    <row r="6206" spans="1:9" ht="15" customHeight="1">
      <c r="A6206" s="199">
        <v>45762</v>
      </c>
      <c r="B6206" s="202" t="s">
        <v>4928</v>
      </c>
      <c r="C6206" s="200" t="s">
        <v>204</v>
      </c>
      <c r="D6206" s="642">
        <v>-357405.17</v>
      </c>
      <c r="E6206" s="201">
        <v>45748</v>
      </c>
      <c r="F6206" s="200" t="s">
        <v>296</v>
      </c>
      <c r="G6206" s="200" t="s">
        <v>2994</v>
      </c>
      <c r="H6206" s="200" t="s">
        <v>342</v>
      </c>
    </row>
    <row r="6207" spans="1:9" ht="15" customHeight="1">
      <c r="A6207" s="199">
        <v>45762</v>
      </c>
      <c r="B6207" s="202" t="s">
        <v>4929</v>
      </c>
      <c r="C6207" s="200" t="s">
        <v>204</v>
      </c>
      <c r="D6207" s="642">
        <v>-538520</v>
      </c>
      <c r="E6207" s="201">
        <v>45748</v>
      </c>
      <c r="F6207" s="200" t="s">
        <v>296</v>
      </c>
      <c r="G6207" s="200" t="s">
        <v>328</v>
      </c>
      <c r="H6207" s="200" t="s">
        <v>342</v>
      </c>
    </row>
    <row r="6208" spans="1:9" ht="15" customHeight="1">
      <c r="A6208" s="199">
        <v>45762</v>
      </c>
      <c r="B6208" s="202" t="s">
        <v>4929</v>
      </c>
      <c r="C6208" s="200" t="s">
        <v>204</v>
      </c>
      <c r="D6208" s="642">
        <v>-538520</v>
      </c>
      <c r="E6208" s="201">
        <v>45748</v>
      </c>
      <c r="F6208" s="200" t="s">
        <v>296</v>
      </c>
      <c r="G6208" s="200" t="s">
        <v>2994</v>
      </c>
      <c r="H6208" s="200" t="s">
        <v>342</v>
      </c>
    </row>
    <row r="6209" spans="1:9" ht="15" customHeight="1">
      <c r="A6209" s="199">
        <v>45762</v>
      </c>
      <c r="B6209" s="202" t="s">
        <v>4930</v>
      </c>
      <c r="C6209" s="200" t="s">
        <v>204</v>
      </c>
      <c r="D6209" s="642">
        <v>-450200</v>
      </c>
      <c r="E6209" s="201">
        <v>45748</v>
      </c>
      <c r="F6209" s="200" t="s">
        <v>296</v>
      </c>
      <c r="G6209" s="200" t="s">
        <v>328</v>
      </c>
      <c r="H6209" s="200" t="s">
        <v>567</v>
      </c>
      <c r="I6209" s="648" t="s">
        <v>329</v>
      </c>
    </row>
    <row r="6210" spans="1:9" ht="15" customHeight="1">
      <c r="A6210" s="199">
        <v>45762</v>
      </c>
      <c r="B6210" s="202" t="s">
        <v>4930</v>
      </c>
      <c r="C6210" s="200" t="s">
        <v>204</v>
      </c>
      <c r="D6210" s="642">
        <v>-450200</v>
      </c>
      <c r="E6210" s="201">
        <v>45748</v>
      </c>
      <c r="F6210" s="200" t="s">
        <v>296</v>
      </c>
      <c r="G6210" s="200" t="s">
        <v>2994</v>
      </c>
      <c r="H6210" s="200" t="s">
        <v>567</v>
      </c>
      <c r="I6210" s="648" t="s">
        <v>329</v>
      </c>
    </row>
    <row r="6211" spans="1:9" ht="15" customHeight="1">
      <c r="A6211" s="199">
        <v>45758</v>
      </c>
      <c r="B6211" s="202" t="s">
        <v>4931</v>
      </c>
      <c r="C6211" s="200" t="s">
        <v>204</v>
      </c>
      <c r="D6211" s="658">
        <v>80000</v>
      </c>
      <c r="E6211" s="201">
        <v>45748</v>
      </c>
      <c r="F6211" s="200" t="s">
        <v>256</v>
      </c>
      <c r="G6211" s="200" t="s">
        <v>256</v>
      </c>
      <c r="H6211" s="200" t="s">
        <v>269</v>
      </c>
    </row>
    <row r="6212" spans="1:9" ht="15" customHeight="1">
      <c r="A6212" s="199">
        <v>45758</v>
      </c>
      <c r="B6212" s="202" t="s">
        <v>4932</v>
      </c>
      <c r="C6212" s="200" t="s">
        <v>204</v>
      </c>
      <c r="D6212" s="658">
        <v>153440</v>
      </c>
      <c r="E6212" s="201">
        <v>45748</v>
      </c>
      <c r="F6212" s="200" t="s">
        <v>256</v>
      </c>
      <c r="G6212" s="200" t="s">
        <v>256</v>
      </c>
      <c r="H6212" s="200" t="s">
        <v>269</v>
      </c>
    </row>
    <row r="6213" spans="1:9" ht="15" customHeight="1">
      <c r="A6213" s="199">
        <v>45758</v>
      </c>
      <c r="B6213" s="202" t="s">
        <v>4933</v>
      </c>
      <c r="C6213" s="200" t="s">
        <v>204</v>
      </c>
      <c r="D6213" s="658">
        <v>80000</v>
      </c>
      <c r="E6213" s="201">
        <v>45748</v>
      </c>
      <c r="F6213" s="200" t="s">
        <v>256</v>
      </c>
      <c r="G6213" s="200" t="s">
        <v>107</v>
      </c>
      <c r="H6213" s="200" t="s">
        <v>275</v>
      </c>
    </row>
    <row r="6214" spans="1:9" ht="15" customHeight="1">
      <c r="A6214" s="199">
        <v>45758</v>
      </c>
      <c r="B6214" s="202" t="s">
        <v>4934</v>
      </c>
      <c r="C6214" s="200" t="s">
        <v>204</v>
      </c>
      <c r="D6214" s="658">
        <v>153440</v>
      </c>
      <c r="E6214" s="201">
        <v>45748</v>
      </c>
      <c r="F6214" s="200" t="s">
        <v>256</v>
      </c>
      <c r="G6214" s="200" t="s">
        <v>107</v>
      </c>
      <c r="H6214" s="200" t="s">
        <v>275</v>
      </c>
    </row>
    <row r="6215" spans="1:9" ht="15" customHeight="1">
      <c r="A6215" s="199">
        <v>45761</v>
      </c>
      <c r="B6215" s="202" t="s">
        <v>4935</v>
      </c>
      <c r="C6215" s="200" t="s">
        <v>204</v>
      </c>
      <c r="D6215" s="658">
        <v>100000000</v>
      </c>
      <c r="E6215" s="201">
        <v>45748</v>
      </c>
      <c r="F6215" s="200" t="s">
        <v>652</v>
      </c>
      <c r="G6215" s="200" t="s">
        <v>337</v>
      </c>
    </row>
    <row r="6216" spans="1:9" ht="15" customHeight="1">
      <c r="A6216" s="199">
        <v>45762</v>
      </c>
      <c r="B6216" s="202" t="s">
        <v>4936</v>
      </c>
      <c r="C6216" s="200" t="s">
        <v>204</v>
      </c>
      <c r="D6216" s="658">
        <v>100000000</v>
      </c>
      <c r="E6216" s="201">
        <v>45748</v>
      </c>
      <c r="F6216" s="200" t="s">
        <v>652</v>
      </c>
      <c r="G6216" s="200" t="s">
        <v>44</v>
      </c>
    </row>
    <row r="6217" spans="1:9" ht="15" customHeight="1">
      <c r="A6217" s="199">
        <v>45762</v>
      </c>
      <c r="B6217" s="202" t="s">
        <v>3492</v>
      </c>
      <c r="C6217" s="200" t="s">
        <v>204</v>
      </c>
      <c r="D6217" s="658">
        <v>220000000</v>
      </c>
      <c r="E6217" s="201">
        <v>45748</v>
      </c>
      <c r="F6217" s="200" t="s">
        <v>652</v>
      </c>
      <c r="G6217" s="200" t="s">
        <v>1980</v>
      </c>
    </row>
    <row r="6218" spans="1:9" ht="15" customHeight="1">
      <c r="A6218" s="199">
        <v>45763</v>
      </c>
      <c r="B6218" s="202" t="s">
        <v>4937</v>
      </c>
      <c r="C6218" s="200" t="s">
        <v>204</v>
      </c>
      <c r="D6218" s="658">
        <v>90000000</v>
      </c>
      <c r="E6218" s="201">
        <v>45748</v>
      </c>
      <c r="F6218" s="200" t="s">
        <v>652</v>
      </c>
      <c r="G6218" s="200" t="s">
        <v>1825</v>
      </c>
    </row>
    <row r="6219" spans="1:9" ht="15" customHeight="1">
      <c r="A6219" s="199">
        <v>45761</v>
      </c>
      <c r="B6219" s="202" t="s">
        <v>4938</v>
      </c>
      <c r="C6219" s="200" t="s">
        <v>136</v>
      </c>
      <c r="D6219" s="204">
        <v>50000</v>
      </c>
      <c r="E6219" s="201">
        <v>45748</v>
      </c>
      <c r="F6219" s="200" t="s">
        <v>256</v>
      </c>
      <c r="G6219" s="200" t="s">
        <v>107</v>
      </c>
      <c r="H6219" s="200" t="s">
        <v>9</v>
      </c>
    </row>
    <row r="6220" spans="1:9" ht="15" customHeight="1">
      <c r="A6220" s="199">
        <v>45761</v>
      </c>
      <c r="B6220" s="202" t="s">
        <v>4939</v>
      </c>
      <c r="C6220" s="200" t="s">
        <v>136</v>
      </c>
      <c r="D6220" s="204">
        <v>7212191</v>
      </c>
      <c r="E6220" s="201">
        <v>45748</v>
      </c>
      <c r="F6220" s="200" t="s">
        <v>295</v>
      </c>
    </row>
    <row r="6221" spans="1:9" ht="15" customHeight="1">
      <c r="A6221" s="199">
        <v>45762</v>
      </c>
      <c r="B6221" s="202" t="s">
        <v>2117</v>
      </c>
      <c r="C6221" s="200" t="s">
        <v>136</v>
      </c>
      <c r="D6221" s="204">
        <v>6358675</v>
      </c>
      <c r="E6221" s="201">
        <v>45748</v>
      </c>
      <c r="F6221" s="200" t="s">
        <v>650</v>
      </c>
    </row>
    <row r="6222" spans="1:9" ht="15" customHeight="1">
      <c r="A6222" s="199">
        <v>45763</v>
      </c>
      <c r="B6222" s="202" t="s">
        <v>4940</v>
      </c>
      <c r="C6222" s="200" t="s">
        <v>136</v>
      </c>
      <c r="D6222" s="204">
        <v>2881468</v>
      </c>
      <c r="E6222" s="201">
        <v>45748</v>
      </c>
      <c r="F6222" s="200" t="s">
        <v>295</v>
      </c>
    </row>
    <row r="6223" spans="1:9" ht="15" customHeight="1">
      <c r="A6223" s="199">
        <v>45763</v>
      </c>
      <c r="B6223" s="202" t="s">
        <v>4941</v>
      </c>
      <c r="C6223" s="200" t="s">
        <v>136</v>
      </c>
      <c r="D6223" s="204">
        <v>1398251</v>
      </c>
      <c r="E6223" s="201">
        <v>45748</v>
      </c>
      <c r="F6223" s="200" t="s">
        <v>295</v>
      </c>
    </row>
    <row r="6224" spans="1:9" ht="15" customHeight="1">
      <c r="A6224" s="199">
        <v>45763</v>
      </c>
      <c r="B6224" s="202" t="s">
        <v>4941</v>
      </c>
      <c r="C6224" s="200" t="s">
        <v>136</v>
      </c>
      <c r="D6224" s="204">
        <v>1478389</v>
      </c>
      <c r="E6224" s="201">
        <v>45748</v>
      </c>
      <c r="F6224" s="200" t="s">
        <v>295</v>
      </c>
    </row>
    <row r="6225" spans="1:9" ht="15" customHeight="1">
      <c r="A6225" s="199">
        <v>45763</v>
      </c>
      <c r="B6225" s="202" t="s">
        <v>4941</v>
      </c>
      <c r="C6225" s="200" t="s">
        <v>136</v>
      </c>
      <c r="D6225" s="204">
        <v>503229</v>
      </c>
      <c r="E6225" s="201">
        <v>45748</v>
      </c>
      <c r="F6225" s="200" t="s">
        <v>295</v>
      </c>
    </row>
    <row r="6226" spans="1:9" ht="15" customHeight="1">
      <c r="A6226" s="199">
        <v>45758</v>
      </c>
      <c r="B6226" s="202" t="s">
        <v>3854</v>
      </c>
      <c r="C6226" s="200" t="s">
        <v>314</v>
      </c>
      <c r="D6226" s="658">
        <v>1159743</v>
      </c>
      <c r="E6226" s="201">
        <v>45748</v>
      </c>
      <c r="F6226" s="200" t="s">
        <v>295</v>
      </c>
    </row>
    <row r="6227" spans="1:9" ht="15" customHeight="1">
      <c r="A6227" s="199">
        <v>45768</v>
      </c>
      <c r="B6227" s="202" t="s">
        <v>4432</v>
      </c>
      <c r="C6227" s="200" t="s">
        <v>314</v>
      </c>
      <c r="D6227" s="658">
        <v>529554</v>
      </c>
      <c r="E6227" s="201">
        <v>45748</v>
      </c>
      <c r="F6227" s="200" t="s">
        <v>295</v>
      </c>
    </row>
    <row r="6228" spans="1:9" ht="15" customHeight="1">
      <c r="A6228" s="199">
        <v>45762</v>
      </c>
      <c r="B6228" s="202" t="s">
        <v>4646</v>
      </c>
      <c r="C6228" s="200" t="s">
        <v>398</v>
      </c>
      <c r="D6228" s="204">
        <v>-123500</v>
      </c>
      <c r="E6228" s="201">
        <v>45748</v>
      </c>
      <c r="F6228" s="200" t="s">
        <v>256</v>
      </c>
      <c r="G6228" s="200" t="s">
        <v>256</v>
      </c>
      <c r="H6228" s="200" t="s">
        <v>266</v>
      </c>
    </row>
    <row r="6229" spans="1:9" ht="15" customHeight="1">
      <c r="A6229" s="199">
        <v>45763</v>
      </c>
      <c r="B6229" s="202" t="s">
        <v>3858</v>
      </c>
      <c r="C6229" s="200" t="s">
        <v>398</v>
      </c>
      <c r="D6229" s="204">
        <v>-7470</v>
      </c>
      <c r="E6229" s="201">
        <v>45748</v>
      </c>
      <c r="F6229" s="200" t="s">
        <v>256</v>
      </c>
      <c r="G6229" s="200" t="s">
        <v>107</v>
      </c>
      <c r="H6229" s="200" t="s">
        <v>9</v>
      </c>
    </row>
    <row r="6230" spans="1:9" ht="15" customHeight="1">
      <c r="A6230" s="199">
        <v>45764</v>
      </c>
      <c r="B6230" s="202" t="s">
        <v>4942</v>
      </c>
      <c r="C6230" s="200" t="s">
        <v>398</v>
      </c>
      <c r="D6230" s="204">
        <v>-160564</v>
      </c>
      <c r="E6230" s="201">
        <v>45748</v>
      </c>
      <c r="F6230" s="200" t="s">
        <v>256</v>
      </c>
      <c r="G6230" s="200" t="s">
        <v>107</v>
      </c>
      <c r="H6230" s="200" t="s">
        <v>277</v>
      </c>
    </row>
    <row r="6231" spans="1:9" ht="15" customHeight="1">
      <c r="A6231" s="199">
        <v>45764</v>
      </c>
      <c r="B6231" s="202" t="s">
        <v>3860</v>
      </c>
      <c r="C6231" s="200" t="s">
        <v>398</v>
      </c>
      <c r="D6231" s="204">
        <v>-141847.51999999999</v>
      </c>
      <c r="E6231" s="201">
        <v>45748</v>
      </c>
      <c r="F6231" s="200" t="s">
        <v>256</v>
      </c>
      <c r="G6231" s="200" t="s">
        <v>256</v>
      </c>
      <c r="H6231" s="200" t="s">
        <v>266</v>
      </c>
    </row>
    <row r="6232" spans="1:9" ht="15" customHeight="1">
      <c r="A6232" s="199">
        <v>45765</v>
      </c>
      <c r="B6232" s="202" t="s">
        <v>4943</v>
      </c>
      <c r="C6232" s="200" t="s">
        <v>398</v>
      </c>
      <c r="D6232" s="204">
        <v>-293870.31</v>
      </c>
      <c r="E6232" s="201">
        <v>45748</v>
      </c>
      <c r="F6232" s="200" t="s">
        <v>256</v>
      </c>
      <c r="G6232" s="200" t="s">
        <v>107</v>
      </c>
      <c r="H6232" s="200" t="s">
        <v>777</v>
      </c>
    </row>
    <row r="6233" spans="1:9" ht="15" customHeight="1">
      <c r="A6233" s="199">
        <v>45751</v>
      </c>
      <c r="B6233" s="202" t="s">
        <v>4944</v>
      </c>
      <c r="C6233" s="200" t="s">
        <v>307</v>
      </c>
      <c r="D6233" s="204">
        <v>-12000</v>
      </c>
      <c r="E6233" s="201">
        <v>45748</v>
      </c>
      <c r="F6233" s="200" t="s">
        <v>296</v>
      </c>
      <c r="G6233" s="200" t="s">
        <v>1735</v>
      </c>
      <c r="H6233" s="200" t="s">
        <v>268</v>
      </c>
      <c r="I6233" s="200" t="s">
        <v>4440</v>
      </c>
    </row>
    <row r="6234" spans="1:9" ht="15" customHeight="1">
      <c r="A6234" s="199">
        <v>45751</v>
      </c>
      <c r="B6234" s="202" t="s">
        <v>4945</v>
      </c>
      <c r="C6234" s="200" t="s">
        <v>307</v>
      </c>
      <c r="D6234" s="204">
        <v>-7500</v>
      </c>
      <c r="E6234" s="201">
        <v>45748</v>
      </c>
      <c r="F6234" s="200" t="s">
        <v>296</v>
      </c>
      <c r="G6234" s="200" t="s">
        <v>1735</v>
      </c>
      <c r="H6234" s="200" t="s">
        <v>268</v>
      </c>
      <c r="I6234" s="200" t="s">
        <v>4440</v>
      </c>
    </row>
    <row r="6235" spans="1:9" ht="15" customHeight="1">
      <c r="A6235" s="199">
        <v>45751</v>
      </c>
      <c r="B6235" s="202" t="s">
        <v>4946</v>
      </c>
      <c r="C6235" s="200" t="s">
        <v>307</v>
      </c>
      <c r="D6235" s="204">
        <v>-13000</v>
      </c>
      <c r="E6235" s="201">
        <v>45748</v>
      </c>
      <c r="F6235" s="200" t="s">
        <v>296</v>
      </c>
      <c r="G6235" s="200" t="s">
        <v>1735</v>
      </c>
      <c r="H6235" s="200" t="s">
        <v>268</v>
      </c>
      <c r="I6235" s="200" t="s">
        <v>4440</v>
      </c>
    </row>
    <row r="6236" spans="1:9" ht="15" customHeight="1">
      <c r="A6236" s="199">
        <v>45751</v>
      </c>
      <c r="B6236" s="202" t="s">
        <v>4947</v>
      </c>
      <c r="C6236" s="200" t="s">
        <v>307</v>
      </c>
      <c r="D6236" s="204">
        <v>-11100</v>
      </c>
      <c r="E6236" s="201">
        <v>45748</v>
      </c>
      <c r="F6236" s="200" t="s">
        <v>296</v>
      </c>
      <c r="G6236" s="200" t="s">
        <v>1735</v>
      </c>
      <c r="H6236" s="200" t="s">
        <v>268</v>
      </c>
      <c r="I6236" s="200" t="s">
        <v>4440</v>
      </c>
    </row>
    <row r="6237" spans="1:9" ht="15" customHeight="1">
      <c r="A6237" s="199">
        <v>45751</v>
      </c>
      <c r="B6237" s="202" t="s">
        <v>4948</v>
      </c>
      <c r="C6237" s="200" t="s">
        <v>307</v>
      </c>
      <c r="D6237" s="204">
        <v>-4800</v>
      </c>
      <c r="E6237" s="201">
        <v>45748</v>
      </c>
      <c r="F6237" s="200" t="s">
        <v>296</v>
      </c>
      <c r="G6237" s="200" t="s">
        <v>1735</v>
      </c>
      <c r="H6237" s="200" t="s">
        <v>268</v>
      </c>
      <c r="I6237" s="200" t="s">
        <v>4440</v>
      </c>
    </row>
    <row r="6238" spans="1:9" ht="15" customHeight="1">
      <c r="A6238" s="199">
        <v>45751</v>
      </c>
      <c r="B6238" s="202" t="s">
        <v>4949</v>
      </c>
      <c r="C6238" s="200" t="s">
        <v>307</v>
      </c>
      <c r="D6238" s="204">
        <v>-11000</v>
      </c>
      <c r="E6238" s="201">
        <v>45748</v>
      </c>
      <c r="F6238" s="200" t="s">
        <v>296</v>
      </c>
      <c r="G6238" s="200" t="s">
        <v>1735</v>
      </c>
      <c r="H6238" s="200" t="s">
        <v>350</v>
      </c>
      <c r="I6238" s="200" t="s">
        <v>4440</v>
      </c>
    </row>
    <row r="6239" spans="1:9" ht="15" customHeight="1">
      <c r="A6239" s="199">
        <v>45751</v>
      </c>
      <c r="B6239" s="202" t="s">
        <v>4950</v>
      </c>
      <c r="C6239" s="200" t="s">
        <v>307</v>
      </c>
      <c r="D6239" s="204">
        <v>-35900</v>
      </c>
      <c r="E6239" s="201">
        <v>45748</v>
      </c>
      <c r="F6239" s="200" t="s">
        <v>296</v>
      </c>
      <c r="G6239" s="200" t="s">
        <v>1735</v>
      </c>
      <c r="H6239" s="200" t="s">
        <v>350</v>
      </c>
      <c r="I6239" s="200" t="s">
        <v>4440</v>
      </c>
    </row>
    <row r="6240" spans="1:9" ht="15" customHeight="1">
      <c r="A6240" s="199">
        <v>45751</v>
      </c>
      <c r="B6240" s="202" t="s">
        <v>4951</v>
      </c>
      <c r="C6240" s="200" t="s">
        <v>307</v>
      </c>
      <c r="D6240" s="204">
        <v>-84000</v>
      </c>
      <c r="E6240" s="201">
        <v>45748</v>
      </c>
      <c r="F6240" s="200" t="s">
        <v>296</v>
      </c>
      <c r="G6240" s="200" t="s">
        <v>1735</v>
      </c>
      <c r="H6240" s="200" t="s">
        <v>364</v>
      </c>
      <c r="I6240" s="200" t="s">
        <v>4440</v>
      </c>
    </row>
    <row r="6241" spans="1:9" ht="15" customHeight="1">
      <c r="A6241" s="199">
        <v>45751</v>
      </c>
      <c r="B6241" s="202" t="s">
        <v>4952</v>
      </c>
      <c r="C6241" s="200" t="s">
        <v>307</v>
      </c>
      <c r="D6241" s="204">
        <v>-11900</v>
      </c>
      <c r="E6241" s="201">
        <v>45748</v>
      </c>
      <c r="F6241" s="200" t="s">
        <v>296</v>
      </c>
      <c r="G6241" s="200" t="s">
        <v>1735</v>
      </c>
      <c r="H6241" s="200" t="s">
        <v>350</v>
      </c>
      <c r="I6241" s="200" t="s">
        <v>4440</v>
      </c>
    </row>
    <row r="6242" spans="1:9" ht="15" customHeight="1">
      <c r="A6242" s="199">
        <v>45751</v>
      </c>
      <c r="B6242" s="202" t="s">
        <v>4953</v>
      </c>
      <c r="C6242" s="200" t="s">
        <v>307</v>
      </c>
      <c r="D6242" s="204">
        <v>-46094</v>
      </c>
      <c r="E6242" s="201">
        <v>45748</v>
      </c>
      <c r="F6242" s="200" t="s">
        <v>296</v>
      </c>
      <c r="G6242" s="200" t="s">
        <v>1735</v>
      </c>
      <c r="H6242" s="200" t="s">
        <v>364</v>
      </c>
      <c r="I6242" s="200" t="s">
        <v>4440</v>
      </c>
    </row>
    <row r="6243" spans="1:9" ht="15" customHeight="1">
      <c r="A6243" s="199">
        <v>45751</v>
      </c>
      <c r="B6243" s="202" t="s">
        <v>4954</v>
      </c>
      <c r="C6243" s="200" t="s">
        <v>307</v>
      </c>
      <c r="D6243" s="204">
        <v>-15000</v>
      </c>
      <c r="E6243" s="201">
        <v>45748</v>
      </c>
      <c r="F6243" s="200" t="s">
        <v>296</v>
      </c>
      <c r="G6243" s="200" t="s">
        <v>1735</v>
      </c>
      <c r="H6243" s="200" t="s">
        <v>268</v>
      </c>
      <c r="I6243" s="200" t="s">
        <v>4440</v>
      </c>
    </row>
    <row r="6244" spans="1:9" ht="15" customHeight="1">
      <c r="A6244" s="199">
        <v>45751</v>
      </c>
      <c r="B6244" s="202" t="s">
        <v>4955</v>
      </c>
      <c r="C6244" s="200" t="s">
        <v>307</v>
      </c>
      <c r="D6244" s="204">
        <v>-480000</v>
      </c>
      <c r="E6244" s="201">
        <v>45748</v>
      </c>
      <c r="F6244" s="200" t="s">
        <v>296</v>
      </c>
      <c r="G6244" s="200" t="s">
        <v>1735</v>
      </c>
      <c r="H6244" s="200" t="s">
        <v>342</v>
      </c>
      <c r="I6244" s="200" t="s">
        <v>4440</v>
      </c>
    </row>
    <row r="6245" spans="1:9" ht="15" customHeight="1">
      <c r="A6245" s="199">
        <v>45751</v>
      </c>
      <c r="B6245" s="202" t="s">
        <v>4956</v>
      </c>
      <c r="C6245" s="200" t="s">
        <v>307</v>
      </c>
      <c r="D6245" s="204">
        <v>-140000</v>
      </c>
      <c r="E6245" s="201">
        <v>45748</v>
      </c>
      <c r="F6245" s="200" t="s">
        <v>296</v>
      </c>
      <c r="G6245" s="200" t="s">
        <v>1735</v>
      </c>
      <c r="H6245" s="200" t="s">
        <v>379</v>
      </c>
      <c r="I6245" s="200" t="s">
        <v>4440</v>
      </c>
    </row>
    <row r="6246" spans="1:9" ht="15" customHeight="1">
      <c r="A6246" s="199">
        <v>45752</v>
      </c>
      <c r="B6246" s="202" t="s">
        <v>4944</v>
      </c>
      <c r="C6246" s="200" t="s">
        <v>307</v>
      </c>
      <c r="D6246" s="204">
        <v>-10000</v>
      </c>
      <c r="E6246" s="201">
        <v>45748</v>
      </c>
      <c r="F6246" s="200" t="s">
        <v>296</v>
      </c>
      <c r="G6246" s="200" t="s">
        <v>1735</v>
      </c>
      <c r="H6246" s="200" t="s">
        <v>268</v>
      </c>
      <c r="I6246" s="200" t="s">
        <v>4440</v>
      </c>
    </row>
    <row r="6247" spans="1:9" ht="15" customHeight="1">
      <c r="A6247" s="199">
        <v>45752</v>
      </c>
      <c r="B6247" s="202" t="s">
        <v>4957</v>
      </c>
      <c r="C6247" s="200" t="s">
        <v>307</v>
      </c>
      <c r="D6247" s="204">
        <v>-7000</v>
      </c>
      <c r="E6247" s="201">
        <v>45748</v>
      </c>
      <c r="F6247" s="200" t="s">
        <v>296</v>
      </c>
      <c r="G6247" s="200" t="s">
        <v>1735</v>
      </c>
      <c r="H6247" s="200" t="s">
        <v>268</v>
      </c>
      <c r="I6247" s="200" t="s">
        <v>4440</v>
      </c>
    </row>
    <row r="6248" spans="1:9" ht="15" customHeight="1">
      <c r="A6248" s="199">
        <v>45752</v>
      </c>
      <c r="B6248" s="202" t="s">
        <v>4958</v>
      </c>
      <c r="C6248" s="200" t="s">
        <v>307</v>
      </c>
      <c r="D6248" s="204">
        <v>-9816</v>
      </c>
      <c r="E6248" s="201">
        <v>45748</v>
      </c>
      <c r="F6248" s="200" t="s">
        <v>296</v>
      </c>
      <c r="G6248" s="200" t="s">
        <v>1735</v>
      </c>
      <c r="H6248" s="200" t="s">
        <v>350</v>
      </c>
      <c r="I6248" s="200" t="s">
        <v>4440</v>
      </c>
    </row>
    <row r="6249" spans="1:9" ht="15" customHeight="1">
      <c r="A6249" s="199">
        <v>45752</v>
      </c>
      <c r="B6249" s="202" t="s">
        <v>4959</v>
      </c>
      <c r="C6249" s="200" t="s">
        <v>307</v>
      </c>
      <c r="D6249" s="204">
        <v>-8300</v>
      </c>
      <c r="E6249" s="201">
        <v>45748</v>
      </c>
      <c r="F6249" s="200" t="s">
        <v>296</v>
      </c>
      <c r="G6249" s="200" t="s">
        <v>1735</v>
      </c>
      <c r="H6249" s="200" t="s">
        <v>268</v>
      </c>
      <c r="I6249" s="200" t="s">
        <v>4440</v>
      </c>
    </row>
    <row r="6250" spans="1:9" ht="15" customHeight="1">
      <c r="A6250" s="199">
        <v>45752</v>
      </c>
      <c r="B6250" s="202" t="s">
        <v>4957</v>
      </c>
      <c r="C6250" s="200" t="s">
        <v>307</v>
      </c>
      <c r="D6250" s="204">
        <v>-10000</v>
      </c>
      <c r="E6250" s="201">
        <v>45748</v>
      </c>
      <c r="F6250" s="200" t="s">
        <v>296</v>
      </c>
      <c r="G6250" s="200" t="s">
        <v>1735</v>
      </c>
      <c r="H6250" s="200" t="s">
        <v>268</v>
      </c>
      <c r="I6250" s="200" t="s">
        <v>4440</v>
      </c>
    </row>
    <row r="6251" spans="1:9" ht="15" customHeight="1">
      <c r="A6251" s="199">
        <v>45752</v>
      </c>
      <c r="B6251" s="202" t="s">
        <v>4960</v>
      </c>
      <c r="C6251" s="200" t="s">
        <v>307</v>
      </c>
      <c r="D6251" s="204">
        <v>-10000</v>
      </c>
      <c r="E6251" s="201">
        <v>45748</v>
      </c>
      <c r="F6251" s="200" t="s">
        <v>296</v>
      </c>
      <c r="G6251" s="200" t="s">
        <v>1735</v>
      </c>
      <c r="H6251" s="200" t="s">
        <v>268</v>
      </c>
      <c r="I6251" s="200" t="s">
        <v>4440</v>
      </c>
    </row>
    <row r="6252" spans="1:9" ht="15" customHeight="1">
      <c r="A6252" s="199">
        <v>45753</v>
      </c>
      <c r="B6252" s="202" t="s">
        <v>4961</v>
      </c>
      <c r="C6252" s="200" t="s">
        <v>307</v>
      </c>
      <c r="D6252" s="204">
        <v>-16000</v>
      </c>
      <c r="E6252" s="201">
        <v>45748</v>
      </c>
      <c r="F6252" s="200" t="s">
        <v>296</v>
      </c>
      <c r="G6252" s="200" t="s">
        <v>1735</v>
      </c>
      <c r="H6252" s="200" t="s">
        <v>268</v>
      </c>
      <c r="I6252" s="200" t="s">
        <v>4440</v>
      </c>
    </row>
    <row r="6253" spans="1:9" ht="15" customHeight="1">
      <c r="A6253" s="199">
        <v>45753</v>
      </c>
      <c r="B6253" s="202" t="s">
        <v>4962</v>
      </c>
      <c r="C6253" s="200" t="s">
        <v>307</v>
      </c>
      <c r="D6253" s="204">
        <v>-62000</v>
      </c>
      <c r="E6253" s="201">
        <v>45748</v>
      </c>
      <c r="F6253" s="200" t="s">
        <v>296</v>
      </c>
      <c r="G6253" s="200" t="s">
        <v>1735</v>
      </c>
      <c r="H6253" s="200" t="s">
        <v>350</v>
      </c>
      <c r="I6253" s="200" t="s">
        <v>4440</v>
      </c>
    </row>
    <row r="6254" spans="1:9" ht="15" customHeight="1">
      <c r="A6254" s="199">
        <v>45753</v>
      </c>
      <c r="B6254" s="202" t="s">
        <v>4963</v>
      </c>
      <c r="C6254" s="200" t="s">
        <v>307</v>
      </c>
      <c r="D6254" s="204">
        <v>-12350</v>
      </c>
      <c r="E6254" s="201">
        <v>45748</v>
      </c>
      <c r="F6254" s="200" t="s">
        <v>296</v>
      </c>
      <c r="G6254" s="200" t="s">
        <v>1735</v>
      </c>
      <c r="H6254" s="200" t="s">
        <v>268</v>
      </c>
      <c r="I6254" s="200" t="s">
        <v>4440</v>
      </c>
    </row>
    <row r="6255" spans="1:9" ht="15" customHeight="1">
      <c r="A6255" s="199">
        <v>45754</v>
      </c>
      <c r="B6255" s="202" t="s">
        <v>4964</v>
      </c>
      <c r="C6255" s="200" t="s">
        <v>307</v>
      </c>
      <c r="D6255" s="204">
        <v>-13300</v>
      </c>
      <c r="E6255" s="201">
        <v>45748</v>
      </c>
      <c r="F6255" s="200" t="s">
        <v>296</v>
      </c>
      <c r="G6255" s="200" t="s">
        <v>1735</v>
      </c>
      <c r="H6255" s="200" t="s">
        <v>268</v>
      </c>
      <c r="I6255" s="200" t="s">
        <v>4440</v>
      </c>
    </row>
    <row r="6256" spans="1:9" ht="15" customHeight="1">
      <c r="A6256" s="199">
        <v>45754</v>
      </c>
      <c r="B6256" s="202" t="s">
        <v>4965</v>
      </c>
      <c r="C6256" s="200" t="s">
        <v>307</v>
      </c>
      <c r="D6256" s="204">
        <v>-3000</v>
      </c>
      <c r="E6256" s="201">
        <v>45748</v>
      </c>
      <c r="F6256" s="200" t="s">
        <v>296</v>
      </c>
      <c r="G6256" s="200" t="s">
        <v>1735</v>
      </c>
      <c r="H6256" s="200" t="s">
        <v>350</v>
      </c>
      <c r="I6256" s="200" t="s">
        <v>4440</v>
      </c>
    </row>
    <row r="6257" spans="1:9" ht="15" customHeight="1">
      <c r="A6257" s="199">
        <v>45754</v>
      </c>
      <c r="B6257" s="202" t="s">
        <v>4966</v>
      </c>
      <c r="C6257" s="200" t="s">
        <v>307</v>
      </c>
      <c r="D6257" s="204">
        <v>-10200</v>
      </c>
      <c r="E6257" s="201">
        <v>45748</v>
      </c>
      <c r="F6257" s="200" t="s">
        <v>296</v>
      </c>
      <c r="G6257" s="200" t="s">
        <v>1735</v>
      </c>
      <c r="H6257" s="200" t="s">
        <v>268</v>
      </c>
      <c r="I6257" s="200" t="s">
        <v>4440</v>
      </c>
    </row>
    <row r="6258" spans="1:9" ht="15" customHeight="1">
      <c r="A6258" s="199">
        <v>45754</v>
      </c>
      <c r="B6258" s="202" t="s">
        <v>4967</v>
      </c>
      <c r="C6258" s="200" t="s">
        <v>307</v>
      </c>
      <c r="D6258" s="204">
        <v>-13500</v>
      </c>
      <c r="E6258" s="201">
        <v>45748</v>
      </c>
      <c r="F6258" s="200" t="s">
        <v>296</v>
      </c>
      <c r="G6258" s="200" t="s">
        <v>1735</v>
      </c>
      <c r="H6258" s="200" t="s">
        <v>364</v>
      </c>
      <c r="I6258" s="200" t="s">
        <v>4440</v>
      </c>
    </row>
    <row r="6259" spans="1:9" ht="15" customHeight="1">
      <c r="A6259" s="199">
        <v>45754</v>
      </c>
      <c r="B6259" s="202" t="s">
        <v>4960</v>
      </c>
      <c r="C6259" s="200" t="s">
        <v>307</v>
      </c>
      <c r="D6259" s="204">
        <v>-14000</v>
      </c>
      <c r="E6259" s="201">
        <v>45748</v>
      </c>
      <c r="F6259" s="200" t="s">
        <v>296</v>
      </c>
      <c r="G6259" s="200" t="s">
        <v>1735</v>
      </c>
      <c r="H6259" s="200" t="s">
        <v>268</v>
      </c>
      <c r="I6259" s="200" t="s">
        <v>4440</v>
      </c>
    </row>
    <row r="6260" spans="1:9" ht="15" customHeight="1">
      <c r="A6260" s="199">
        <v>45754</v>
      </c>
      <c r="B6260" s="202" t="s">
        <v>4968</v>
      </c>
      <c r="C6260" s="200" t="s">
        <v>307</v>
      </c>
      <c r="D6260" s="204">
        <v>-12000</v>
      </c>
      <c r="E6260" s="201">
        <v>45748</v>
      </c>
      <c r="F6260" s="200" t="s">
        <v>296</v>
      </c>
      <c r="G6260" s="200" t="s">
        <v>1735</v>
      </c>
      <c r="H6260" s="200" t="s">
        <v>268</v>
      </c>
      <c r="I6260" s="200" t="s">
        <v>4440</v>
      </c>
    </row>
    <row r="6261" spans="1:9" ht="15" customHeight="1">
      <c r="A6261" s="199">
        <v>45754</v>
      </c>
      <c r="B6261" s="202" t="s">
        <v>4969</v>
      </c>
      <c r="C6261" s="200" t="s">
        <v>307</v>
      </c>
      <c r="D6261" s="204">
        <v>-150000</v>
      </c>
      <c r="E6261" s="201">
        <v>45748</v>
      </c>
      <c r="F6261" s="200" t="s">
        <v>296</v>
      </c>
      <c r="G6261" s="200" t="s">
        <v>1735</v>
      </c>
      <c r="H6261" s="200" t="s">
        <v>268</v>
      </c>
      <c r="I6261" s="200" t="s">
        <v>4440</v>
      </c>
    </row>
    <row r="6262" spans="1:9" ht="15" customHeight="1">
      <c r="A6262" s="199">
        <v>45754</v>
      </c>
      <c r="B6262" s="202" t="s">
        <v>4970</v>
      </c>
      <c r="C6262" s="200" t="s">
        <v>307</v>
      </c>
      <c r="D6262" s="204">
        <v>-40000</v>
      </c>
      <c r="E6262" s="201">
        <v>45748</v>
      </c>
      <c r="F6262" s="200" t="s">
        <v>296</v>
      </c>
      <c r="G6262" s="200" t="s">
        <v>1735</v>
      </c>
      <c r="H6262" s="200" t="s">
        <v>342</v>
      </c>
      <c r="I6262" s="200" t="s">
        <v>4440</v>
      </c>
    </row>
    <row r="6263" spans="1:9" ht="15" customHeight="1">
      <c r="A6263" s="199">
        <v>45754</v>
      </c>
      <c r="B6263" s="202" t="s">
        <v>4971</v>
      </c>
      <c r="C6263" s="200" t="s">
        <v>307</v>
      </c>
      <c r="D6263" s="204">
        <v>-12000</v>
      </c>
      <c r="E6263" s="201">
        <v>45748</v>
      </c>
      <c r="F6263" s="200" t="s">
        <v>296</v>
      </c>
      <c r="G6263" s="200" t="s">
        <v>1735</v>
      </c>
      <c r="H6263" s="200" t="s">
        <v>268</v>
      </c>
      <c r="I6263" s="200" t="s">
        <v>4440</v>
      </c>
    </row>
    <row r="6264" spans="1:9" ht="15" customHeight="1">
      <c r="A6264" s="199">
        <v>45754</v>
      </c>
      <c r="B6264" s="202" t="s">
        <v>4972</v>
      </c>
      <c r="C6264" s="200" t="s">
        <v>307</v>
      </c>
      <c r="D6264" s="204">
        <v>-80000</v>
      </c>
      <c r="E6264" s="201">
        <v>45748</v>
      </c>
      <c r="F6264" s="200" t="s">
        <v>296</v>
      </c>
      <c r="G6264" s="200" t="s">
        <v>1735</v>
      </c>
      <c r="H6264" s="200" t="s">
        <v>342</v>
      </c>
      <c r="I6264" s="200" t="s">
        <v>4440</v>
      </c>
    </row>
    <row r="6265" spans="1:9" ht="15" customHeight="1">
      <c r="A6265" s="199">
        <v>45754</v>
      </c>
      <c r="B6265" s="202" t="s">
        <v>4973</v>
      </c>
      <c r="C6265" s="200" t="s">
        <v>307</v>
      </c>
      <c r="D6265" s="204">
        <v>-35000</v>
      </c>
      <c r="E6265" s="201">
        <v>45748</v>
      </c>
      <c r="F6265" s="200" t="s">
        <v>296</v>
      </c>
      <c r="G6265" s="200" t="s">
        <v>1735</v>
      </c>
      <c r="H6265" s="200" t="s">
        <v>342</v>
      </c>
      <c r="I6265" s="200" t="s">
        <v>4440</v>
      </c>
    </row>
    <row r="6266" spans="1:9" ht="15" customHeight="1">
      <c r="A6266" s="199">
        <v>45755</v>
      </c>
      <c r="B6266" s="202" t="s">
        <v>4974</v>
      </c>
      <c r="C6266" s="200" t="s">
        <v>307</v>
      </c>
      <c r="D6266" s="204">
        <v>-23000</v>
      </c>
      <c r="E6266" s="201">
        <v>45748</v>
      </c>
      <c r="F6266" s="200" t="s">
        <v>296</v>
      </c>
      <c r="G6266" s="200" t="s">
        <v>1735</v>
      </c>
      <c r="H6266" s="200" t="s">
        <v>342</v>
      </c>
      <c r="I6266" s="200" t="s">
        <v>4440</v>
      </c>
    </row>
    <row r="6267" spans="1:9" ht="15" customHeight="1">
      <c r="A6267" s="199">
        <v>45755</v>
      </c>
      <c r="B6267" s="202" t="s">
        <v>4975</v>
      </c>
      <c r="C6267" s="200" t="s">
        <v>307</v>
      </c>
      <c r="D6267" s="204">
        <v>-15000</v>
      </c>
      <c r="E6267" s="201">
        <v>45748</v>
      </c>
      <c r="F6267" s="200" t="s">
        <v>296</v>
      </c>
      <c r="G6267" s="200" t="s">
        <v>1735</v>
      </c>
      <c r="H6267" s="200" t="s">
        <v>268</v>
      </c>
      <c r="I6267" s="200" t="s">
        <v>4440</v>
      </c>
    </row>
    <row r="6268" spans="1:9" ht="15" customHeight="1">
      <c r="A6268" s="199">
        <v>45755</v>
      </c>
      <c r="B6268" s="202" t="s">
        <v>4976</v>
      </c>
      <c r="C6268" s="200" t="s">
        <v>307</v>
      </c>
      <c r="D6268" s="204">
        <v>-15000</v>
      </c>
      <c r="E6268" s="201">
        <v>45748</v>
      </c>
      <c r="F6268" s="200" t="s">
        <v>296</v>
      </c>
      <c r="G6268" s="200" t="s">
        <v>1735</v>
      </c>
      <c r="H6268" s="200" t="s">
        <v>268</v>
      </c>
      <c r="I6268" s="200" t="s">
        <v>4440</v>
      </c>
    </row>
    <row r="6269" spans="1:9" ht="15" customHeight="1">
      <c r="A6269" s="199">
        <v>45755</v>
      </c>
      <c r="B6269" s="202" t="s">
        <v>4977</v>
      </c>
      <c r="C6269" s="200" t="s">
        <v>307</v>
      </c>
      <c r="D6269" s="204">
        <v>-100000</v>
      </c>
      <c r="E6269" s="201">
        <v>45748</v>
      </c>
      <c r="F6269" s="200" t="s">
        <v>296</v>
      </c>
      <c r="G6269" s="200" t="s">
        <v>1735</v>
      </c>
      <c r="H6269" s="200" t="s">
        <v>268</v>
      </c>
      <c r="I6269" s="200" t="s">
        <v>4440</v>
      </c>
    </row>
    <row r="6270" spans="1:9" ht="15" customHeight="1">
      <c r="A6270" s="199">
        <v>45755</v>
      </c>
      <c r="B6270" s="202" t="s">
        <v>4978</v>
      </c>
      <c r="C6270" s="200" t="s">
        <v>307</v>
      </c>
      <c r="D6270" s="204">
        <v>-40000</v>
      </c>
      <c r="E6270" s="201">
        <v>45748</v>
      </c>
      <c r="F6270" s="200" t="s">
        <v>296</v>
      </c>
      <c r="G6270" s="200" t="s">
        <v>1735</v>
      </c>
      <c r="H6270" s="200" t="s">
        <v>342</v>
      </c>
      <c r="I6270" s="648" t="s">
        <v>329</v>
      </c>
    </row>
    <row r="6271" spans="1:9" ht="15" customHeight="1">
      <c r="A6271" s="199">
        <v>45744</v>
      </c>
      <c r="B6271" s="202" t="s">
        <v>498</v>
      </c>
      <c r="C6271" s="200" t="s">
        <v>307</v>
      </c>
      <c r="D6271" s="204">
        <v>-6000</v>
      </c>
      <c r="E6271" s="201">
        <v>45748</v>
      </c>
      <c r="F6271" s="200" t="s">
        <v>296</v>
      </c>
      <c r="G6271" s="200" t="s">
        <v>1124</v>
      </c>
      <c r="H6271" s="200" t="s">
        <v>342</v>
      </c>
      <c r="I6271" s="200" t="s">
        <v>4979</v>
      </c>
    </row>
    <row r="6272" spans="1:9" ht="15" customHeight="1">
      <c r="A6272" s="199">
        <v>45744</v>
      </c>
      <c r="B6272" s="202" t="s">
        <v>4980</v>
      </c>
      <c r="C6272" s="200" t="s">
        <v>307</v>
      </c>
      <c r="D6272" s="204">
        <v>-60000</v>
      </c>
      <c r="E6272" s="201">
        <v>45748</v>
      </c>
      <c r="F6272" s="200" t="s">
        <v>256</v>
      </c>
      <c r="G6272" s="200" t="s">
        <v>107</v>
      </c>
      <c r="H6272" s="200" t="s">
        <v>275</v>
      </c>
      <c r="I6272" s="200" t="s">
        <v>4979</v>
      </c>
    </row>
    <row r="6273" spans="1:9" ht="15" customHeight="1">
      <c r="A6273" s="199">
        <v>45744</v>
      </c>
      <c r="B6273" s="202" t="s">
        <v>4981</v>
      </c>
      <c r="C6273" s="200" t="s">
        <v>307</v>
      </c>
      <c r="D6273" s="204">
        <v>-60000</v>
      </c>
      <c r="E6273" s="201">
        <v>45748</v>
      </c>
      <c r="F6273" s="200" t="s">
        <v>296</v>
      </c>
      <c r="G6273" s="200" t="s">
        <v>1124</v>
      </c>
      <c r="H6273" s="200" t="s">
        <v>268</v>
      </c>
      <c r="I6273" s="200" t="s">
        <v>4979</v>
      </c>
    </row>
    <row r="6274" spans="1:9" ht="15" customHeight="1">
      <c r="A6274" s="199">
        <v>45744</v>
      </c>
      <c r="B6274" s="202" t="s">
        <v>4982</v>
      </c>
      <c r="C6274" s="200" t="s">
        <v>307</v>
      </c>
      <c r="D6274" s="204">
        <v>-80000</v>
      </c>
      <c r="E6274" s="201">
        <v>45748</v>
      </c>
      <c r="F6274" s="200" t="s">
        <v>296</v>
      </c>
      <c r="G6274" s="200" t="s">
        <v>3360</v>
      </c>
      <c r="H6274" s="200" t="s">
        <v>268</v>
      </c>
      <c r="I6274" s="200" t="s">
        <v>4979</v>
      </c>
    </row>
    <row r="6275" spans="1:9" ht="15" customHeight="1">
      <c r="A6275" s="199">
        <v>45744</v>
      </c>
      <c r="B6275" s="202" t="s">
        <v>4983</v>
      </c>
      <c r="C6275" s="200" t="s">
        <v>307</v>
      </c>
      <c r="D6275" s="204">
        <v>-50000</v>
      </c>
      <c r="E6275" s="201">
        <v>45748</v>
      </c>
      <c r="F6275" s="200" t="s">
        <v>296</v>
      </c>
      <c r="G6275" s="200" t="s">
        <v>3360</v>
      </c>
      <c r="H6275" s="200" t="s">
        <v>268</v>
      </c>
      <c r="I6275" s="200" t="s">
        <v>4979</v>
      </c>
    </row>
    <row r="6276" spans="1:9" ht="15" customHeight="1">
      <c r="A6276" s="199">
        <v>45744</v>
      </c>
      <c r="B6276" s="202" t="s">
        <v>4984</v>
      </c>
      <c r="C6276" s="200" t="s">
        <v>307</v>
      </c>
      <c r="D6276" s="204">
        <v>-218400</v>
      </c>
      <c r="E6276" s="201">
        <v>45748</v>
      </c>
      <c r="F6276" s="200" t="s">
        <v>296</v>
      </c>
      <c r="G6276" s="200" t="s">
        <v>1124</v>
      </c>
      <c r="H6276" s="200" t="s">
        <v>350</v>
      </c>
      <c r="I6276" s="200" t="s">
        <v>4979</v>
      </c>
    </row>
    <row r="6277" spans="1:9" ht="15" customHeight="1">
      <c r="A6277" s="199">
        <v>45744</v>
      </c>
      <c r="B6277" s="202" t="s">
        <v>4985</v>
      </c>
      <c r="C6277" s="200" t="s">
        <v>307</v>
      </c>
      <c r="D6277" s="204">
        <v>-54000.03</v>
      </c>
      <c r="E6277" s="201">
        <v>45748</v>
      </c>
      <c r="F6277" s="200" t="s">
        <v>296</v>
      </c>
      <c r="G6277" s="200" t="s">
        <v>1124</v>
      </c>
      <c r="H6277" s="200" t="s">
        <v>342</v>
      </c>
      <c r="I6277" s="200" t="s">
        <v>4979</v>
      </c>
    </row>
    <row r="6278" spans="1:9" ht="15" customHeight="1">
      <c r="A6278" s="199">
        <v>45745</v>
      </c>
      <c r="B6278" s="202" t="s">
        <v>498</v>
      </c>
      <c r="C6278" s="200" t="s">
        <v>307</v>
      </c>
      <c r="D6278" s="204">
        <v>-6000</v>
      </c>
      <c r="E6278" s="201">
        <v>45748</v>
      </c>
      <c r="F6278" s="200" t="s">
        <v>296</v>
      </c>
      <c r="G6278" s="200" t="s">
        <v>1124</v>
      </c>
      <c r="H6278" s="200" t="s">
        <v>342</v>
      </c>
      <c r="I6278" s="200" t="s">
        <v>4979</v>
      </c>
    </row>
    <row r="6279" spans="1:9" ht="15" customHeight="1">
      <c r="A6279" s="199">
        <v>45746</v>
      </c>
      <c r="B6279" s="202" t="s">
        <v>2586</v>
      </c>
      <c r="C6279" s="200" t="s">
        <v>307</v>
      </c>
      <c r="D6279" s="204">
        <v>-20000</v>
      </c>
      <c r="E6279" s="201">
        <v>45748</v>
      </c>
      <c r="F6279" s="200" t="s">
        <v>296</v>
      </c>
      <c r="G6279" s="200" t="s">
        <v>1124</v>
      </c>
      <c r="H6279" s="200" t="s">
        <v>268</v>
      </c>
      <c r="I6279" s="200" t="s">
        <v>4979</v>
      </c>
    </row>
    <row r="6280" spans="1:9" ht="15" customHeight="1">
      <c r="A6280" s="199">
        <v>45746</v>
      </c>
      <c r="B6280" s="202" t="s">
        <v>4480</v>
      </c>
      <c r="C6280" s="200" t="s">
        <v>307</v>
      </c>
      <c r="D6280" s="204">
        <v>-38000</v>
      </c>
      <c r="E6280" s="201">
        <v>45748</v>
      </c>
      <c r="F6280" s="200" t="s">
        <v>296</v>
      </c>
      <c r="G6280" s="200" t="s">
        <v>1124</v>
      </c>
      <c r="H6280" s="200" t="s">
        <v>268</v>
      </c>
      <c r="I6280" s="200" t="s">
        <v>4979</v>
      </c>
    </row>
    <row r="6281" spans="1:9" ht="15" customHeight="1">
      <c r="A6281" s="199">
        <v>45746</v>
      </c>
      <c r="B6281" s="202" t="s">
        <v>4986</v>
      </c>
      <c r="C6281" s="200" t="s">
        <v>307</v>
      </c>
      <c r="D6281" s="204">
        <v>-24000</v>
      </c>
      <c r="E6281" s="201">
        <v>45748</v>
      </c>
      <c r="F6281" s="200" t="s">
        <v>296</v>
      </c>
      <c r="G6281" s="200" t="s">
        <v>1124</v>
      </c>
      <c r="H6281" s="200" t="s">
        <v>342</v>
      </c>
      <c r="I6281" s="200" t="s">
        <v>4979</v>
      </c>
    </row>
    <row r="6282" spans="1:9" ht="15" customHeight="1">
      <c r="A6282" s="199">
        <v>45746</v>
      </c>
      <c r="B6282" s="202" t="s">
        <v>4987</v>
      </c>
      <c r="C6282" s="200" t="s">
        <v>307</v>
      </c>
      <c r="D6282" s="204">
        <v>-25000</v>
      </c>
      <c r="E6282" s="201">
        <v>45748</v>
      </c>
      <c r="F6282" s="200" t="s">
        <v>296</v>
      </c>
      <c r="G6282" s="200" t="s">
        <v>1124</v>
      </c>
      <c r="H6282" s="200" t="s">
        <v>268</v>
      </c>
      <c r="I6282" s="200" t="s">
        <v>4979</v>
      </c>
    </row>
    <row r="6283" spans="1:9" ht="15" customHeight="1">
      <c r="A6283" s="199">
        <v>45746</v>
      </c>
      <c r="B6283" s="202" t="s">
        <v>4988</v>
      </c>
      <c r="C6283" s="200" t="s">
        <v>307</v>
      </c>
      <c r="D6283" s="204">
        <v>-40000</v>
      </c>
      <c r="E6283" s="201">
        <v>45748</v>
      </c>
      <c r="F6283" s="200" t="s">
        <v>296</v>
      </c>
      <c r="G6283" s="200" t="s">
        <v>1124</v>
      </c>
      <c r="H6283" s="200" t="s">
        <v>268</v>
      </c>
      <c r="I6283" s="200" t="s">
        <v>4979</v>
      </c>
    </row>
    <row r="6284" spans="1:9" ht="15" customHeight="1">
      <c r="A6284" s="199">
        <v>45747</v>
      </c>
      <c r="B6284" s="202" t="s">
        <v>4480</v>
      </c>
      <c r="C6284" s="200" t="s">
        <v>307</v>
      </c>
      <c r="D6284" s="204">
        <v>-12004</v>
      </c>
      <c r="E6284" s="201">
        <v>45748</v>
      </c>
      <c r="F6284" s="200" t="s">
        <v>296</v>
      </c>
      <c r="G6284" s="200" t="s">
        <v>1124</v>
      </c>
      <c r="H6284" s="200" t="s">
        <v>268</v>
      </c>
      <c r="I6284" s="200" t="s">
        <v>4979</v>
      </c>
    </row>
    <row r="6285" spans="1:9" ht="15" customHeight="1">
      <c r="A6285" s="199">
        <v>45748</v>
      </c>
      <c r="B6285" s="202" t="s">
        <v>4989</v>
      </c>
      <c r="C6285" s="200" t="s">
        <v>307</v>
      </c>
      <c r="D6285" s="204">
        <v>-69000</v>
      </c>
      <c r="E6285" s="201">
        <v>45748</v>
      </c>
      <c r="F6285" s="200" t="s">
        <v>296</v>
      </c>
      <c r="G6285" s="200" t="s">
        <v>3360</v>
      </c>
      <c r="H6285" s="200" t="s">
        <v>342</v>
      </c>
      <c r="I6285" s="200" t="s">
        <v>4979</v>
      </c>
    </row>
    <row r="6286" spans="1:9" ht="15" customHeight="1">
      <c r="A6286" s="199">
        <v>45748</v>
      </c>
      <c r="B6286" s="202" t="s">
        <v>4483</v>
      </c>
      <c r="C6286" s="200" t="s">
        <v>307</v>
      </c>
      <c r="D6286" s="204">
        <v>-20000</v>
      </c>
      <c r="E6286" s="201">
        <v>45748</v>
      </c>
      <c r="F6286" s="200" t="s">
        <v>296</v>
      </c>
      <c r="G6286" s="200" t="s">
        <v>3360</v>
      </c>
      <c r="H6286" s="200" t="s">
        <v>268</v>
      </c>
      <c r="I6286" s="200" t="s">
        <v>4979</v>
      </c>
    </row>
    <row r="6287" spans="1:9" ht="15" customHeight="1">
      <c r="A6287" s="199">
        <v>45748</v>
      </c>
      <c r="B6287" s="202" t="s">
        <v>4988</v>
      </c>
      <c r="C6287" s="200" t="s">
        <v>307</v>
      </c>
      <c r="D6287" s="204">
        <v>-32120</v>
      </c>
      <c r="E6287" s="201">
        <v>45748</v>
      </c>
      <c r="F6287" s="200" t="s">
        <v>296</v>
      </c>
      <c r="G6287" s="200" t="s">
        <v>3360</v>
      </c>
      <c r="H6287" s="200" t="s">
        <v>268</v>
      </c>
      <c r="I6287" s="200" t="s">
        <v>4979</v>
      </c>
    </row>
    <row r="6288" spans="1:9" ht="15" customHeight="1">
      <c r="A6288" s="199">
        <v>45748</v>
      </c>
      <c r="B6288" s="202" t="s">
        <v>4990</v>
      </c>
      <c r="C6288" s="200" t="s">
        <v>307</v>
      </c>
      <c r="D6288" s="204">
        <v>-22000</v>
      </c>
      <c r="E6288" s="201">
        <v>45748</v>
      </c>
      <c r="F6288" s="200" t="s">
        <v>296</v>
      </c>
      <c r="G6288" s="200" t="s">
        <v>3360</v>
      </c>
      <c r="H6288" s="200" t="s">
        <v>379</v>
      </c>
      <c r="I6288" s="200" t="s">
        <v>4979</v>
      </c>
    </row>
    <row r="6289" spans="1:9" ht="15" customHeight="1">
      <c r="A6289" s="199">
        <v>45748</v>
      </c>
      <c r="B6289" s="202" t="s">
        <v>4991</v>
      </c>
      <c r="C6289" s="200" t="s">
        <v>307</v>
      </c>
      <c r="D6289" s="204">
        <v>-78000</v>
      </c>
      <c r="E6289" s="201">
        <v>45748</v>
      </c>
      <c r="F6289" s="200" t="s">
        <v>296</v>
      </c>
      <c r="G6289" s="200" t="s">
        <v>3360</v>
      </c>
      <c r="H6289" s="200" t="s">
        <v>350</v>
      </c>
      <c r="I6289" s="200" t="s">
        <v>4979</v>
      </c>
    </row>
    <row r="6290" spans="1:9" ht="15" customHeight="1">
      <c r="A6290" s="199">
        <v>45748</v>
      </c>
      <c r="B6290" s="202" t="s">
        <v>4992</v>
      </c>
      <c r="C6290" s="200" t="s">
        <v>307</v>
      </c>
      <c r="D6290" s="204">
        <v>-15000</v>
      </c>
      <c r="E6290" s="201">
        <v>45748</v>
      </c>
      <c r="F6290" s="200" t="s">
        <v>296</v>
      </c>
      <c r="G6290" s="200" t="s">
        <v>3360</v>
      </c>
      <c r="H6290" s="200" t="s">
        <v>268</v>
      </c>
      <c r="I6290" s="200" t="s">
        <v>4979</v>
      </c>
    </row>
    <row r="6291" spans="1:9" ht="15" customHeight="1">
      <c r="A6291" s="199">
        <v>45748</v>
      </c>
      <c r="B6291" s="202" t="s">
        <v>4993</v>
      </c>
      <c r="C6291" s="200" t="s">
        <v>307</v>
      </c>
      <c r="D6291" s="204">
        <v>-25000</v>
      </c>
      <c r="E6291" s="201">
        <v>45748</v>
      </c>
      <c r="F6291" s="200" t="s">
        <v>296</v>
      </c>
      <c r="G6291" s="200" t="s">
        <v>3360</v>
      </c>
      <c r="H6291" s="200" t="s">
        <v>268</v>
      </c>
      <c r="I6291" s="200" t="s">
        <v>4979</v>
      </c>
    </row>
    <row r="6292" spans="1:9" ht="15" customHeight="1">
      <c r="A6292" s="199">
        <v>45748</v>
      </c>
      <c r="B6292" s="202" t="s">
        <v>498</v>
      </c>
      <c r="C6292" s="200" t="s">
        <v>307</v>
      </c>
      <c r="D6292" s="204">
        <v>-32000</v>
      </c>
      <c r="E6292" s="201">
        <v>45748</v>
      </c>
      <c r="F6292" s="200" t="s">
        <v>296</v>
      </c>
      <c r="G6292" s="200" t="s">
        <v>3360</v>
      </c>
      <c r="H6292" s="200" t="s">
        <v>342</v>
      </c>
      <c r="I6292" s="200" t="s">
        <v>4979</v>
      </c>
    </row>
    <row r="6293" spans="1:9" ht="15" customHeight="1">
      <c r="A6293" s="199">
        <v>45748</v>
      </c>
      <c r="B6293" s="202" t="s">
        <v>4994</v>
      </c>
      <c r="C6293" s="200" t="s">
        <v>307</v>
      </c>
      <c r="D6293" s="204">
        <v>-15000</v>
      </c>
      <c r="E6293" s="201">
        <v>45748</v>
      </c>
      <c r="F6293" s="200" t="s">
        <v>296</v>
      </c>
      <c r="G6293" s="200" t="s">
        <v>3360</v>
      </c>
      <c r="H6293" s="200" t="s">
        <v>268</v>
      </c>
      <c r="I6293" s="200" t="s">
        <v>4979</v>
      </c>
    </row>
    <row r="6294" spans="1:9" ht="15" customHeight="1">
      <c r="A6294" s="199">
        <v>45748</v>
      </c>
      <c r="B6294" s="202" t="s">
        <v>4995</v>
      </c>
      <c r="C6294" s="200" t="s">
        <v>307</v>
      </c>
      <c r="D6294" s="204">
        <v>-20000</v>
      </c>
      <c r="E6294" s="201">
        <v>45748</v>
      </c>
      <c r="F6294" s="200" t="s">
        <v>296</v>
      </c>
      <c r="G6294" s="200" t="s">
        <v>3360</v>
      </c>
      <c r="H6294" s="200" t="s">
        <v>268</v>
      </c>
      <c r="I6294" s="200" t="s">
        <v>4979</v>
      </c>
    </row>
    <row r="6295" spans="1:9" ht="15" customHeight="1">
      <c r="A6295" s="199">
        <v>45748</v>
      </c>
      <c r="B6295" s="202" t="s">
        <v>2587</v>
      </c>
      <c r="C6295" s="200" t="s">
        <v>307</v>
      </c>
      <c r="D6295" s="204">
        <v>-24000</v>
      </c>
      <c r="E6295" s="201">
        <v>45748</v>
      </c>
      <c r="F6295" s="200" t="s">
        <v>296</v>
      </c>
      <c r="G6295" s="200" t="s">
        <v>3360</v>
      </c>
      <c r="H6295" s="200" t="s">
        <v>268</v>
      </c>
      <c r="I6295" s="200" t="s">
        <v>4979</v>
      </c>
    </row>
    <row r="6296" spans="1:9" ht="15" customHeight="1">
      <c r="A6296" s="199">
        <v>45748</v>
      </c>
      <c r="B6296" s="202" t="s">
        <v>4996</v>
      </c>
      <c r="C6296" s="200" t="s">
        <v>307</v>
      </c>
      <c r="D6296" s="204">
        <v>-66000</v>
      </c>
      <c r="E6296" s="201">
        <v>45748</v>
      </c>
      <c r="F6296" s="200" t="s">
        <v>296</v>
      </c>
      <c r="G6296" s="200" t="s">
        <v>3360</v>
      </c>
      <c r="H6296" s="200" t="s">
        <v>342</v>
      </c>
      <c r="I6296" s="200" t="s">
        <v>4979</v>
      </c>
    </row>
    <row r="6297" spans="1:9" ht="15" customHeight="1">
      <c r="A6297" s="199">
        <v>45749</v>
      </c>
      <c r="B6297" s="202" t="s">
        <v>4997</v>
      </c>
      <c r="C6297" s="200" t="s">
        <v>307</v>
      </c>
      <c r="D6297" s="204">
        <v>-32398</v>
      </c>
      <c r="E6297" s="201">
        <v>45748</v>
      </c>
      <c r="F6297" s="200" t="s">
        <v>296</v>
      </c>
      <c r="G6297" s="200" t="s">
        <v>3360</v>
      </c>
      <c r="H6297" s="200" t="s">
        <v>268</v>
      </c>
      <c r="I6297" s="200" t="s">
        <v>4979</v>
      </c>
    </row>
    <row r="6298" spans="1:9" ht="15" customHeight="1">
      <c r="A6298" s="199">
        <v>45749</v>
      </c>
      <c r="B6298" s="202" t="s">
        <v>4998</v>
      </c>
      <c r="C6298" s="200" t="s">
        <v>307</v>
      </c>
      <c r="D6298" s="204">
        <v>-60000</v>
      </c>
      <c r="E6298" s="201">
        <v>45748</v>
      </c>
      <c r="F6298" s="200" t="s">
        <v>296</v>
      </c>
      <c r="G6298" s="200" t="s">
        <v>3360</v>
      </c>
      <c r="H6298" s="200" t="s">
        <v>342</v>
      </c>
      <c r="I6298" s="200" t="s">
        <v>4979</v>
      </c>
    </row>
    <row r="6299" spans="1:9" ht="15" customHeight="1">
      <c r="A6299" s="199">
        <v>45749</v>
      </c>
      <c r="B6299" s="202" t="s">
        <v>4999</v>
      </c>
      <c r="C6299" s="200" t="s">
        <v>307</v>
      </c>
      <c r="D6299" s="204">
        <v>-29001</v>
      </c>
      <c r="E6299" s="201">
        <v>45748</v>
      </c>
      <c r="F6299" s="200" t="s">
        <v>296</v>
      </c>
      <c r="G6299" s="200" t="s">
        <v>3360</v>
      </c>
      <c r="H6299" s="200" t="s">
        <v>268</v>
      </c>
      <c r="I6299" s="200" t="s">
        <v>4979</v>
      </c>
    </row>
    <row r="6300" spans="1:9" ht="15" customHeight="1">
      <c r="A6300" s="199">
        <v>45750</v>
      </c>
      <c r="B6300" s="202" t="s">
        <v>5000</v>
      </c>
      <c r="C6300" s="200" t="s">
        <v>307</v>
      </c>
      <c r="D6300" s="204">
        <v>-35700</v>
      </c>
      <c r="E6300" s="201">
        <v>45748</v>
      </c>
      <c r="F6300" s="200" t="s">
        <v>296</v>
      </c>
      <c r="G6300" s="200" t="s">
        <v>1124</v>
      </c>
      <c r="H6300" s="200" t="s">
        <v>350</v>
      </c>
      <c r="I6300" s="200" t="s">
        <v>4979</v>
      </c>
    </row>
    <row r="6301" spans="1:9" ht="15" customHeight="1">
      <c r="A6301" s="199">
        <v>45750</v>
      </c>
      <c r="B6301" s="202" t="s">
        <v>5001</v>
      </c>
      <c r="C6301" s="200" t="s">
        <v>307</v>
      </c>
      <c r="D6301" s="204">
        <v>-34979</v>
      </c>
      <c r="E6301" s="201">
        <v>45748</v>
      </c>
      <c r="F6301" s="200" t="s">
        <v>296</v>
      </c>
      <c r="G6301" s="200" t="s">
        <v>3360</v>
      </c>
      <c r="H6301" s="200" t="s">
        <v>268</v>
      </c>
      <c r="I6301" s="200" t="s">
        <v>4979</v>
      </c>
    </row>
    <row r="6302" spans="1:9" ht="15" customHeight="1">
      <c r="A6302" s="199">
        <v>45750</v>
      </c>
      <c r="B6302" s="202" t="s">
        <v>5002</v>
      </c>
      <c r="C6302" s="200" t="s">
        <v>307</v>
      </c>
      <c r="D6302" s="204">
        <v>-32000</v>
      </c>
      <c r="E6302" s="201">
        <v>45748</v>
      </c>
      <c r="F6302" s="200" t="s">
        <v>256</v>
      </c>
      <c r="G6302" s="200" t="s">
        <v>107</v>
      </c>
      <c r="H6302" s="200" t="s">
        <v>275</v>
      </c>
      <c r="I6302" s="200" t="s">
        <v>4979</v>
      </c>
    </row>
    <row r="6303" spans="1:9" ht="15" customHeight="1">
      <c r="A6303" s="199">
        <v>45750</v>
      </c>
      <c r="B6303" s="202" t="s">
        <v>5003</v>
      </c>
      <c r="C6303" s="200" t="s">
        <v>307</v>
      </c>
      <c r="D6303" s="204">
        <v>-35000</v>
      </c>
      <c r="E6303" s="201">
        <v>45748</v>
      </c>
      <c r="F6303" s="200" t="s">
        <v>256</v>
      </c>
      <c r="G6303" s="200" t="s">
        <v>107</v>
      </c>
      <c r="H6303" s="200" t="s">
        <v>275</v>
      </c>
      <c r="I6303" s="200" t="s">
        <v>4979</v>
      </c>
    </row>
    <row r="6304" spans="1:9" ht="15" customHeight="1">
      <c r="A6304" s="199">
        <v>45752</v>
      </c>
      <c r="B6304" s="202" t="s">
        <v>5004</v>
      </c>
      <c r="C6304" s="200" t="s">
        <v>307</v>
      </c>
      <c r="D6304" s="204">
        <v>-20000</v>
      </c>
      <c r="E6304" s="201">
        <v>45748</v>
      </c>
      <c r="F6304" s="200" t="s">
        <v>296</v>
      </c>
      <c r="G6304" s="200" t="s">
        <v>1124</v>
      </c>
      <c r="H6304" s="200" t="s">
        <v>268</v>
      </c>
      <c r="I6304" s="200" t="s">
        <v>4979</v>
      </c>
    </row>
    <row r="6305" spans="1:9" ht="15" customHeight="1">
      <c r="A6305" s="199">
        <v>45752</v>
      </c>
      <c r="B6305" s="202" t="s">
        <v>5005</v>
      </c>
      <c r="C6305" s="200" t="s">
        <v>307</v>
      </c>
      <c r="D6305" s="204">
        <v>-20000</v>
      </c>
      <c r="E6305" s="201">
        <v>45748</v>
      </c>
      <c r="F6305" s="200" t="s">
        <v>296</v>
      </c>
      <c r="G6305" s="200" t="s">
        <v>1124</v>
      </c>
      <c r="H6305" s="200" t="s">
        <v>268</v>
      </c>
      <c r="I6305" s="200" t="s">
        <v>4979</v>
      </c>
    </row>
    <row r="6306" spans="1:9" ht="15" customHeight="1">
      <c r="A6306" s="199">
        <v>45752</v>
      </c>
      <c r="B6306" s="202" t="s">
        <v>5006</v>
      </c>
      <c r="C6306" s="200" t="s">
        <v>307</v>
      </c>
      <c r="D6306" s="204">
        <v>-20000</v>
      </c>
      <c r="E6306" s="201">
        <v>45748</v>
      </c>
      <c r="F6306" s="200" t="s">
        <v>296</v>
      </c>
      <c r="G6306" s="200" t="s">
        <v>1124</v>
      </c>
      <c r="H6306" s="200" t="s">
        <v>268</v>
      </c>
      <c r="I6306" s="200" t="s">
        <v>4979</v>
      </c>
    </row>
    <row r="6307" spans="1:9" ht="15" customHeight="1">
      <c r="A6307" s="199">
        <v>45752</v>
      </c>
      <c r="B6307" s="202" t="s">
        <v>5007</v>
      </c>
      <c r="C6307" s="200" t="s">
        <v>307</v>
      </c>
      <c r="D6307" s="204">
        <v>-18000</v>
      </c>
      <c r="E6307" s="201">
        <v>45748</v>
      </c>
      <c r="F6307" s="200" t="s">
        <v>296</v>
      </c>
      <c r="G6307" s="200" t="s">
        <v>1124</v>
      </c>
      <c r="H6307" s="200" t="s">
        <v>268</v>
      </c>
      <c r="I6307" s="200" t="s">
        <v>4979</v>
      </c>
    </row>
    <row r="6308" spans="1:9" ht="15" customHeight="1">
      <c r="A6308" s="199">
        <v>45752</v>
      </c>
      <c r="B6308" s="202" t="s">
        <v>5008</v>
      </c>
      <c r="C6308" s="200" t="s">
        <v>307</v>
      </c>
      <c r="D6308" s="204">
        <v>-49000</v>
      </c>
      <c r="E6308" s="201">
        <v>45748</v>
      </c>
      <c r="F6308" s="200" t="s">
        <v>296</v>
      </c>
      <c r="G6308" s="200" t="s">
        <v>1124</v>
      </c>
      <c r="H6308" s="200" t="s">
        <v>342</v>
      </c>
      <c r="I6308" s="200" t="s">
        <v>4979</v>
      </c>
    </row>
    <row r="6309" spans="1:9" ht="15" customHeight="1">
      <c r="A6309" s="199">
        <v>45752</v>
      </c>
      <c r="B6309" s="202" t="s">
        <v>268</v>
      </c>
      <c r="C6309" s="200" t="s">
        <v>307</v>
      </c>
      <c r="D6309" s="204">
        <v>-30000</v>
      </c>
      <c r="E6309" s="201">
        <v>45748</v>
      </c>
      <c r="F6309" s="200" t="s">
        <v>296</v>
      </c>
      <c r="G6309" s="200" t="s">
        <v>1124</v>
      </c>
      <c r="H6309" s="200" t="s">
        <v>268</v>
      </c>
      <c r="I6309" s="200" t="s">
        <v>4979</v>
      </c>
    </row>
    <row r="6310" spans="1:9" ht="15" customHeight="1">
      <c r="A6310" s="199">
        <v>45752</v>
      </c>
      <c r="B6310" s="202" t="s">
        <v>5009</v>
      </c>
      <c r="C6310" s="200" t="s">
        <v>307</v>
      </c>
      <c r="D6310" s="204">
        <v>-20000</v>
      </c>
      <c r="E6310" s="201">
        <v>45748</v>
      </c>
      <c r="F6310" s="200" t="s">
        <v>296</v>
      </c>
      <c r="G6310" s="200" t="s">
        <v>1124</v>
      </c>
      <c r="H6310" s="200" t="s">
        <v>268</v>
      </c>
      <c r="I6310" s="200" t="s">
        <v>4979</v>
      </c>
    </row>
    <row r="6311" spans="1:9" ht="15" customHeight="1">
      <c r="A6311" s="199">
        <v>45752</v>
      </c>
      <c r="B6311" s="202" t="s">
        <v>5010</v>
      </c>
      <c r="C6311" s="200" t="s">
        <v>307</v>
      </c>
      <c r="D6311" s="204">
        <v>-20000</v>
      </c>
      <c r="E6311" s="201">
        <v>45748</v>
      </c>
      <c r="F6311" s="200" t="s">
        <v>296</v>
      </c>
      <c r="G6311" s="200" t="s">
        <v>1124</v>
      </c>
      <c r="H6311" s="200" t="s">
        <v>268</v>
      </c>
      <c r="I6311" s="200" t="s">
        <v>4979</v>
      </c>
    </row>
    <row r="6312" spans="1:9" ht="15" customHeight="1">
      <c r="A6312" s="199">
        <v>45752</v>
      </c>
      <c r="B6312" s="202" t="s">
        <v>5011</v>
      </c>
      <c r="C6312" s="200" t="s">
        <v>307</v>
      </c>
      <c r="D6312" s="204">
        <v>-22000</v>
      </c>
      <c r="E6312" s="201">
        <v>45748</v>
      </c>
      <c r="F6312" s="200" t="s">
        <v>296</v>
      </c>
      <c r="G6312" s="200" t="s">
        <v>1124</v>
      </c>
      <c r="H6312" s="200" t="s">
        <v>268</v>
      </c>
      <c r="I6312" s="200" t="s">
        <v>4979</v>
      </c>
    </row>
    <row r="6313" spans="1:9" ht="15" customHeight="1">
      <c r="A6313" s="199">
        <v>45754</v>
      </c>
      <c r="B6313" s="202" t="s">
        <v>5012</v>
      </c>
      <c r="C6313" s="200" t="s">
        <v>307</v>
      </c>
      <c r="D6313" s="204">
        <v>-26000</v>
      </c>
      <c r="E6313" s="201">
        <v>45748</v>
      </c>
      <c r="F6313" s="200" t="s">
        <v>297</v>
      </c>
      <c r="G6313" s="200" t="s">
        <v>3892</v>
      </c>
      <c r="H6313" s="200" t="s">
        <v>350</v>
      </c>
      <c r="I6313" s="200" t="s">
        <v>4979</v>
      </c>
    </row>
    <row r="6314" spans="1:9" ht="15" customHeight="1">
      <c r="A6314" s="199">
        <v>45754</v>
      </c>
      <c r="B6314" s="202" t="s">
        <v>5013</v>
      </c>
      <c r="C6314" s="200" t="s">
        <v>307</v>
      </c>
      <c r="D6314" s="204">
        <v>-11300</v>
      </c>
      <c r="E6314" s="201">
        <v>45748</v>
      </c>
      <c r="F6314" s="200" t="s">
        <v>296</v>
      </c>
      <c r="G6314" s="200" t="s">
        <v>3360</v>
      </c>
      <c r="H6314" s="200" t="s">
        <v>350</v>
      </c>
      <c r="I6314" s="200" t="s">
        <v>4979</v>
      </c>
    </row>
    <row r="6315" spans="1:9" ht="15" customHeight="1">
      <c r="A6315" s="199">
        <v>45755</v>
      </c>
      <c r="B6315" s="202" t="s">
        <v>5014</v>
      </c>
      <c r="C6315" s="200" t="s">
        <v>307</v>
      </c>
      <c r="D6315" s="204">
        <v>-31420</v>
      </c>
      <c r="E6315" s="201">
        <v>45748</v>
      </c>
      <c r="F6315" s="200" t="s">
        <v>297</v>
      </c>
      <c r="G6315" s="200" t="s">
        <v>3892</v>
      </c>
      <c r="H6315" s="200" t="s">
        <v>268</v>
      </c>
      <c r="I6315" s="648" t="s">
        <v>329</v>
      </c>
    </row>
    <row r="6316" spans="1:9" ht="15" customHeight="1">
      <c r="A6316" s="199">
        <v>45755</v>
      </c>
      <c r="B6316" s="202" t="s">
        <v>5013</v>
      </c>
      <c r="C6316" s="200" t="s">
        <v>307</v>
      </c>
      <c r="D6316" s="204">
        <v>-9000</v>
      </c>
      <c r="E6316" s="201">
        <v>45748</v>
      </c>
      <c r="F6316" s="200" t="s">
        <v>296</v>
      </c>
      <c r="G6316" s="200" t="s">
        <v>3360</v>
      </c>
      <c r="H6316" s="200" t="s">
        <v>350</v>
      </c>
      <c r="I6316" s="200" t="s">
        <v>4979</v>
      </c>
    </row>
    <row r="6317" spans="1:9" ht="15" customHeight="1">
      <c r="A6317" s="199">
        <v>45755</v>
      </c>
      <c r="B6317" s="202" t="s">
        <v>5015</v>
      </c>
      <c r="C6317" s="200" t="s">
        <v>307</v>
      </c>
      <c r="D6317" s="204">
        <v>-45000</v>
      </c>
      <c r="E6317" s="201">
        <v>45748</v>
      </c>
      <c r="F6317" s="200" t="s">
        <v>296</v>
      </c>
      <c r="G6317" s="200" t="s">
        <v>3360</v>
      </c>
      <c r="H6317" s="200" t="s">
        <v>350</v>
      </c>
      <c r="I6317" s="200" t="s">
        <v>4979</v>
      </c>
    </row>
    <row r="6318" spans="1:9" ht="15" customHeight="1">
      <c r="A6318" s="199">
        <v>45756</v>
      </c>
      <c r="B6318" s="202" t="s">
        <v>5016</v>
      </c>
      <c r="C6318" s="200" t="s">
        <v>307</v>
      </c>
      <c r="D6318" s="204">
        <v>-7500</v>
      </c>
      <c r="E6318" s="201">
        <v>45748</v>
      </c>
      <c r="F6318" s="200" t="s">
        <v>296</v>
      </c>
      <c r="G6318" s="200" t="s">
        <v>3360</v>
      </c>
      <c r="H6318" s="200" t="s">
        <v>350</v>
      </c>
      <c r="I6318" s="200" t="s">
        <v>4979</v>
      </c>
    </row>
    <row r="6319" spans="1:9" ht="15" customHeight="1">
      <c r="A6319" s="199">
        <v>45756</v>
      </c>
      <c r="B6319" s="202" t="s">
        <v>5017</v>
      </c>
      <c r="C6319" s="200" t="s">
        <v>307</v>
      </c>
      <c r="D6319" s="204">
        <v>-25000</v>
      </c>
      <c r="E6319" s="201">
        <v>45748</v>
      </c>
      <c r="F6319" s="200" t="s">
        <v>256</v>
      </c>
      <c r="G6319" s="200" t="s">
        <v>107</v>
      </c>
      <c r="H6319" s="200" t="s">
        <v>275</v>
      </c>
      <c r="I6319" s="200" t="s">
        <v>4979</v>
      </c>
    </row>
    <row r="6320" spans="1:9" ht="15" customHeight="1">
      <c r="A6320" s="199">
        <v>45756</v>
      </c>
      <c r="B6320" s="202" t="s">
        <v>5018</v>
      </c>
      <c r="C6320" s="200" t="s">
        <v>307</v>
      </c>
      <c r="D6320" s="204">
        <v>-25000</v>
      </c>
      <c r="E6320" s="201">
        <v>45748</v>
      </c>
      <c r="F6320" s="200" t="s">
        <v>256</v>
      </c>
      <c r="G6320" s="200" t="s">
        <v>107</v>
      </c>
      <c r="H6320" s="200" t="s">
        <v>275</v>
      </c>
      <c r="I6320" s="200" t="s">
        <v>4979</v>
      </c>
    </row>
    <row r="6321" spans="1:10" ht="15" customHeight="1">
      <c r="A6321" s="199">
        <v>45757</v>
      </c>
      <c r="B6321" s="202" t="s">
        <v>5004</v>
      </c>
      <c r="C6321" s="200" t="s">
        <v>307</v>
      </c>
      <c r="D6321" s="204">
        <v>-20000</v>
      </c>
      <c r="E6321" s="201">
        <v>45748</v>
      </c>
      <c r="F6321" s="200" t="s">
        <v>296</v>
      </c>
      <c r="G6321" s="200" t="s">
        <v>3360</v>
      </c>
      <c r="H6321" s="200" t="s">
        <v>268</v>
      </c>
      <c r="I6321" s="200" t="s">
        <v>4979</v>
      </c>
    </row>
    <row r="6322" spans="1:10" ht="15" customHeight="1">
      <c r="A6322" s="199">
        <v>45757</v>
      </c>
      <c r="B6322" s="202" t="s">
        <v>5005</v>
      </c>
      <c r="C6322" s="200" t="s">
        <v>307</v>
      </c>
      <c r="D6322" s="204">
        <v>-20000</v>
      </c>
      <c r="E6322" s="201">
        <v>45748</v>
      </c>
      <c r="F6322" s="200" t="s">
        <v>296</v>
      </c>
      <c r="G6322" s="200" t="s">
        <v>3360</v>
      </c>
      <c r="H6322" s="200" t="s">
        <v>268</v>
      </c>
      <c r="I6322" s="200" t="s">
        <v>4979</v>
      </c>
    </row>
    <row r="6323" spans="1:10" ht="15" customHeight="1">
      <c r="A6323" s="199">
        <v>45757</v>
      </c>
      <c r="B6323" s="202" t="s">
        <v>5019</v>
      </c>
      <c r="C6323" s="200" t="s">
        <v>307</v>
      </c>
      <c r="D6323" s="204">
        <v>-26000</v>
      </c>
      <c r="E6323" s="201">
        <v>45748</v>
      </c>
      <c r="F6323" s="200" t="s">
        <v>296</v>
      </c>
      <c r="G6323" s="200" t="s">
        <v>3360</v>
      </c>
      <c r="H6323" s="200" t="s">
        <v>342</v>
      </c>
      <c r="I6323" s="200" t="s">
        <v>4979</v>
      </c>
    </row>
    <row r="6324" spans="1:10" ht="15" customHeight="1">
      <c r="A6324" s="199">
        <v>45757</v>
      </c>
      <c r="B6324" s="202" t="s">
        <v>5020</v>
      </c>
      <c r="C6324" s="200" t="s">
        <v>307</v>
      </c>
      <c r="D6324" s="204">
        <v>-32000</v>
      </c>
      <c r="E6324" s="201">
        <v>45748</v>
      </c>
      <c r="F6324" s="200" t="s">
        <v>296</v>
      </c>
      <c r="G6324" s="200" t="s">
        <v>3360</v>
      </c>
      <c r="H6324" s="200" t="s">
        <v>268</v>
      </c>
      <c r="I6324" s="200" t="s">
        <v>4979</v>
      </c>
    </row>
    <row r="6325" spans="1:10" ht="15" customHeight="1">
      <c r="A6325" s="199">
        <v>45757</v>
      </c>
      <c r="B6325" s="202" t="s">
        <v>5021</v>
      </c>
      <c r="C6325" s="200" t="s">
        <v>307</v>
      </c>
      <c r="D6325" s="204">
        <v>-13000</v>
      </c>
      <c r="E6325" s="201">
        <v>45748</v>
      </c>
      <c r="F6325" s="200" t="s">
        <v>296</v>
      </c>
      <c r="G6325" s="200" t="s">
        <v>3360</v>
      </c>
      <c r="H6325" s="200" t="s">
        <v>350</v>
      </c>
      <c r="I6325" s="200" t="s">
        <v>4979</v>
      </c>
    </row>
    <row r="6326" spans="1:10" ht="15" customHeight="1">
      <c r="A6326" s="199">
        <v>45757</v>
      </c>
      <c r="B6326" s="202" t="s">
        <v>5022</v>
      </c>
      <c r="C6326" s="200" t="s">
        <v>307</v>
      </c>
      <c r="D6326" s="204">
        <v>-28000</v>
      </c>
      <c r="E6326" s="201">
        <v>45748</v>
      </c>
      <c r="F6326" s="200" t="s">
        <v>296</v>
      </c>
      <c r="G6326" s="200" t="s">
        <v>3360</v>
      </c>
      <c r="H6326" s="200" t="s">
        <v>342</v>
      </c>
      <c r="I6326" s="200" t="s">
        <v>4979</v>
      </c>
    </row>
    <row r="6327" spans="1:10" ht="15" customHeight="1">
      <c r="A6327" s="199">
        <v>45757</v>
      </c>
      <c r="B6327" s="202" t="s">
        <v>5004</v>
      </c>
      <c r="C6327" s="200" t="s">
        <v>307</v>
      </c>
      <c r="D6327" s="204">
        <v>-28000</v>
      </c>
      <c r="E6327" s="201">
        <v>45748</v>
      </c>
      <c r="F6327" s="200" t="s">
        <v>296</v>
      </c>
      <c r="G6327" s="200" t="s">
        <v>3360</v>
      </c>
      <c r="H6327" s="200" t="s">
        <v>268</v>
      </c>
      <c r="I6327" s="200" t="s">
        <v>4979</v>
      </c>
    </row>
    <row r="6328" spans="1:10" ht="15" customHeight="1">
      <c r="A6328" s="199">
        <v>45757</v>
      </c>
      <c r="B6328" s="202" t="s">
        <v>5020</v>
      </c>
      <c r="C6328" s="200" t="s">
        <v>307</v>
      </c>
      <c r="D6328" s="204">
        <v>-31776</v>
      </c>
      <c r="E6328" s="201">
        <v>45748</v>
      </c>
      <c r="F6328" s="200" t="s">
        <v>296</v>
      </c>
      <c r="G6328" s="200" t="s">
        <v>3360</v>
      </c>
      <c r="H6328" s="200" t="s">
        <v>268</v>
      </c>
      <c r="I6328" s="200" t="s">
        <v>4979</v>
      </c>
    </row>
    <row r="6329" spans="1:10" ht="15" customHeight="1">
      <c r="A6329" s="199">
        <v>45757</v>
      </c>
      <c r="B6329" s="202" t="s">
        <v>5010</v>
      </c>
      <c r="C6329" s="200" t="s">
        <v>307</v>
      </c>
      <c r="D6329" s="204">
        <v>-20000</v>
      </c>
      <c r="E6329" s="201">
        <v>45748</v>
      </c>
      <c r="F6329" s="200" t="s">
        <v>296</v>
      </c>
      <c r="G6329" s="200" t="s">
        <v>3360</v>
      </c>
      <c r="H6329" s="200" t="s">
        <v>268</v>
      </c>
      <c r="I6329" s="200" t="s">
        <v>4979</v>
      </c>
    </row>
    <row r="6330" spans="1:10" ht="15" customHeight="1">
      <c r="A6330" s="199">
        <v>45757</v>
      </c>
      <c r="B6330" s="202" t="s">
        <v>5004</v>
      </c>
      <c r="C6330" s="200" t="s">
        <v>307</v>
      </c>
      <c r="D6330" s="204">
        <v>-25000</v>
      </c>
      <c r="E6330" s="201">
        <v>45748</v>
      </c>
      <c r="F6330" s="200" t="s">
        <v>296</v>
      </c>
      <c r="G6330" s="200" t="s">
        <v>3360</v>
      </c>
      <c r="H6330" s="200" t="s">
        <v>268</v>
      </c>
      <c r="I6330" s="648" t="s">
        <v>329</v>
      </c>
    </row>
    <row r="6331" spans="1:10" ht="15" customHeight="1">
      <c r="A6331" s="199">
        <v>45758</v>
      </c>
      <c r="B6331" s="202" t="s">
        <v>5023</v>
      </c>
      <c r="C6331" s="200" t="s">
        <v>307</v>
      </c>
      <c r="D6331" s="204">
        <v>-50000</v>
      </c>
      <c r="E6331" s="201">
        <v>45748</v>
      </c>
      <c r="F6331" s="200" t="s">
        <v>256</v>
      </c>
      <c r="G6331" s="200" t="s">
        <v>107</v>
      </c>
      <c r="H6331" s="200" t="s">
        <v>275</v>
      </c>
      <c r="I6331" s="200" t="s">
        <v>4979</v>
      </c>
    </row>
    <row r="6332" spans="1:10" ht="15" customHeight="1">
      <c r="A6332" s="199">
        <v>45758</v>
      </c>
      <c r="B6332" s="202" t="s">
        <v>5024</v>
      </c>
      <c r="C6332" s="200" t="s">
        <v>307</v>
      </c>
      <c r="D6332" s="204">
        <v>-50000</v>
      </c>
      <c r="E6332" s="201">
        <v>45748</v>
      </c>
      <c r="F6332" s="200" t="s">
        <v>256</v>
      </c>
      <c r="G6332" s="200" t="s">
        <v>107</v>
      </c>
      <c r="H6332" s="200" t="s">
        <v>275</v>
      </c>
      <c r="I6332" s="200" t="s">
        <v>4979</v>
      </c>
    </row>
    <row r="6333" spans="1:10" ht="15" customHeight="1">
      <c r="A6333" s="199">
        <v>45758</v>
      </c>
      <c r="B6333" s="202" t="s">
        <v>5025</v>
      </c>
      <c r="C6333" s="200" t="s">
        <v>307</v>
      </c>
      <c r="D6333" s="204">
        <v>-180000</v>
      </c>
      <c r="E6333" s="201">
        <v>45748</v>
      </c>
      <c r="F6333" s="200" t="s">
        <v>296</v>
      </c>
      <c r="G6333" s="200" t="s">
        <v>1124</v>
      </c>
      <c r="H6333" s="200" t="s">
        <v>342</v>
      </c>
      <c r="I6333" s="648" t="s">
        <v>329</v>
      </c>
    </row>
    <row r="6334" spans="1:10" s="761" customFormat="1" ht="15" customHeight="1">
      <c r="A6334" s="758">
        <v>45768</v>
      </c>
      <c r="B6334" s="759" t="s">
        <v>5026</v>
      </c>
      <c r="C6334" s="759" t="s">
        <v>204</v>
      </c>
      <c r="D6334" s="658">
        <v>-767621</v>
      </c>
      <c r="E6334" s="760">
        <v>45748</v>
      </c>
      <c r="F6334" s="759" t="s">
        <v>296</v>
      </c>
      <c r="G6334" s="759" t="s">
        <v>1124</v>
      </c>
      <c r="H6334" s="759" t="s">
        <v>364</v>
      </c>
      <c r="I6334" s="759"/>
      <c r="J6334" s="761" t="s">
        <v>5027</v>
      </c>
    </row>
    <row r="6335" spans="1:10" ht="15" customHeight="1">
      <c r="A6335" s="199">
        <v>45768</v>
      </c>
      <c r="B6335" s="200" t="s">
        <v>5026</v>
      </c>
      <c r="C6335" s="200" t="s">
        <v>204</v>
      </c>
      <c r="D6335" s="658">
        <v>-9958536</v>
      </c>
      <c r="E6335" s="201">
        <v>45748</v>
      </c>
      <c r="F6335" s="200" t="s">
        <v>296</v>
      </c>
      <c r="G6335" s="200" t="s">
        <v>3360</v>
      </c>
      <c r="H6335" s="200" t="s">
        <v>364</v>
      </c>
    </row>
    <row r="6336" spans="1:10" ht="15" customHeight="1">
      <c r="A6336" s="199">
        <v>45768</v>
      </c>
      <c r="B6336" s="200" t="s">
        <v>5026</v>
      </c>
      <c r="C6336" s="200" t="s">
        <v>204</v>
      </c>
      <c r="D6336" s="658">
        <v>-61077025</v>
      </c>
      <c r="E6336" s="201">
        <v>45748</v>
      </c>
      <c r="F6336" s="200" t="s">
        <v>296</v>
      </c>
      <c r="G6336" s="200" t="s">
        <v>44</v>
      </c>
      <c r="H6336" s="200" t="s">
        <v>4372</v>
      </c>
    </row>
    <row r="6337" spans="1:8" ht="15" customHeight="1">
      <c r="A6337" s="199">
        <v>45768</v>
      </c>
      <c r="B6337" s="200" t="s">
        <v>5026</v>
      </c>
      <c r="C6337" s="200" t="s">
        <v>204</v>
      </c>
      <c r="D6337" s="658">
        <v>-1252002</v>
      </c>
      <c r="E6337" s="201">
        <v>45748</v>
      </c>
      <c r="F6337" s="200" t="s">
        <v>296</v>
      </c>
      <c r="G6337" s="200" t="s">
        <v>1825</v>
      </c>
      <c r="H6337" s="200" t="s">
        <v>4372</v>
      </c>
    </row>
    <row r="6338" spans="1:8" ht="15" customHeight="1">
      <c r="A6338" s="199">
        <v>45768</v>
      </c>
      <c r="B6338" s="200" t="s">
        <v>5028</v>
      </c>
      <c r="C6338" s="200" t="s">
        <v>204</v>
      </c>
      <c r="D6338" s="658">
        <v>-2578433</v>
      </c>
      <c r="E6338" s="201">
        <v>45748</v>
      </c>
      <c r="F6338" s="200" t="s">
        <v>296</v>
      </c>
      <c r="G6338" s="200" t="s">
        <v>1983</v>
      </c>
      <c r="H6338" s="200" t="s">
        <v>4372</v>
      </c>
    </row>
    <row r="6339" spans="1:8" ht="15" customHeight="1">
      <c r="A6339" s="199">
        <v>45768</v>
      </c>
      <c r="B6339" s="200" t="s">
        <v>5029</v>
      </c>
      <c r="C6339" s="200" t="s">
        <v>204</v>
      </c>
      <c r="D6339" s="658">
        <v>-2578433</v>
      </c>
      <c r="E6339" s="201">
        <v>45748</v>
      </c>
      <c r="F6339" s="200" t="s">
        <v>296</v>
      </c>
      <c r="G6339" s="200" t="s">
        <v>1980</v>
      </c>
      <c r="H6339" s="200" t="s">
        <v>4372</v>
      </c>
    </row>
    <row r="6340" spans="1:8" ht="15" customHeight="1">
      <c r="A6340" s="199">
        <v>45768</v>
      </c>
      <c r="B6340" s="200" t="s">
        <v>5030</v>
      </c>
      <c r="C6340" s="200" t="s">
        <v>204</v>
      </c>
      <c r="D6340" s="658">
        <v>-2578433</v>
      </c>
      <c r="E6340" s="201">
        <v>45748</v>
      </c>
      <c r="F6340" s="200" t="s">
        <v>296</v>
      </c>
      <c r="G6340" s="200" t="s">
        <v>807</v>
      </c>
      <c r="H6340" s="200" t="s">
        <v>4372</v>
      </c>
    </row>
    <row r="6341" spans="1:8" ht="15" customHeight="1">
      <c r="A6341" s="199">
        <v>45768</v>
      </c>
      <c r="B6341" s="200" t="s">
        <v>5031</v>
      </c>
      <c r="C6341" s="200" t="s">
        <v>204</v>
      </c>
      <c r="D6341" s="658">
        <v>-772834</v>
      </c>
      <c r="E6341" s="201">
        <v>45748</v>
      </c>
      <c r="F6341" s="200" t="s">
        <v>296</v>
      </c>
      <c r="G6341" s="200" t="s">
        <v>522</v>
      </c>
      <c r="H6341" s="200" t="s">
        <v>4372</v>
      </c>
    </row>
    <row r="6342" spans="1:8" ht="14.1">
      <c r="A6342" s="199">
        <v>45768</v>
      </c>
      <c r="B6342" s="200" t="s">
        <v>5032</v>
      </c>
      <c r="C6342" s="200" t="s">
        <v>204</v>
      </c>
      <c r="D6342" s="762">
        <v>-38152</v>
      </c>
      <c r="E6342" s="201">
        <v>45748</v>
      </c>
      <c r="F6342" s="200" t="s">
        <v>297</v>
      </c>
      <c r="G6342" s="200" t="s">
        <v>3892</v>
      </c>
      <c r="H6342" s="200" t="s">
        <v>364</v>
      </c>
    </row>
    <row r="6343" spans="1:8" ht="15" customHeight="1">
      <c r="A6343" s="199">
        <v>45768</v>
      </c>
      <c r="B6343" s="200" t="s">
        <v>5026</v>
      </c>
      <c r="C6343" s="200" t="s">
        <v>204</v>
      </c>
      <c r="D6343" s="658">
        <v>-18095606</v>
      </c>
      <c r="E6343" s="201">
        <v>45748</v>
      </c>
      <c r="F6343" s="200" t="s">
        <v>296</v>
      </c>
      <c r="G6343" s="200" t="s">
        <v>1362</v>
      </c>
      <c r="H6343" s="200" t="s">
        <v>364</v>
      </c>
    </row>
    <row r="6344" spans="1:8" ht="15" customHeight="1">
      <c r="A6344" s="199">
        <v>45768</v>
      </c>
      <c r="B6344" s="200" t="s">
        <v>5026</v>
      </c>
      <c r="C6344" s="200" t="s">
        <v>204</v>
      </c>
      <c r="D6344" s="658">
        <v>-29699834</v>
      </c>
      <c r="E6344" s="201">
        <v>45748</v>
      </c>
      <c r="F6344" s="200" t="s">
        <v>296</v>
      </c>
      <c r="G6344" s="200" t="s">
        <v>1980</v>
      </c>
      <c r="H6344" s="200" t="s">
        <v>4372</v>
      </c>
    </row>
    <row r="6345" spans="1:8" ht="15" customHeight="1">
      <c r="A6345" s="199">
        <v>45768</v>
      </c>
      <c r="B6345" s="200" t="s">
        <v>5026</v>
      </c>
      <c r="C6345" s="200" t="s">
        <v>204</v>
      </c>
      <c r="D6345" s="658">
        <v>-143124605</v>
      </c>
      <c r="E6345" s="201">
        <v>45748</v>
      </c>
      <c r="F6345" s="200" t="s">
        <v>296</v>
      </c>
      <c r="G6345" s="200" t="s">
        <v>522</v>
      </c>
      <c r="H6345" s="200" t="s">
        <v>4372</v>
      </c>
    </row>
    <row r="6346" spans="1:8" ht="15" customHeight="1">
      <c r="A6346" s="199">
        <v>45768</v>
      </c>
      <c r="B6346" s="200" t="s">
        <v>5026</v>
      </c>
      <c r="C6346" s="200" t="s">
        <v>204</v>
      </c>
      <c r="D6346" s="658">
        <v>-29030316</v>
      </c>
      <c r="E6346" s="201">
        <v>45748</v>
      </c>
      <c r="F6346" s="200" t="s">
        <v>296</v>
      </c>
      <c r="G6346" s="200" t="s">
        <v>1983</v>
      </c>
      <c r="H6346" s="200" t="s">
        <v>4372</v>
      </c>
    </row>
    <row r="6347" spans="1:8" ht="15" customHeight="1">
      <c r="A6347" s="199">
        <v>45768</v>
      </c>
      <c r="B6347" s="202" t="s">
        <v>4731</v>
      </c>
      <c r="C6347" s="200" t="s">
        <v>204</v>
      </c>
      <c r="D6347" s="658">
        <v>-80000</v>
      </c>
      <c r="E6347" s="201">
        <v>45748</v>
      </c>
      <c r="F6347" s="200" t="s">
        <v>256</v>
      </c>
      <c r="G6347" s="200" t="s">
        <v>256</v>
      </c>
      <c r="H6347" s="200" t="s">
        <v>269</v>
      </c>
    </row>
    <row r="6348" spans="1:8" ht="15" customHeight="1">
      <c r="A6348" s="199">
        <v>45768</v>
      </c>
      <c r="B6348" s="202" t="s">
        <v>4732</v>
      </c>
      <c r="C6348" s="200" t="s">
        <v>204</v>
      </c>
      <c r="D6348" s="658">
        <v>-153440</v>
      </c>
      <c r="E6348" s="201">
        <v>45748</v>
      </c>
      <c r="F6348" s="200" t="s">
        <v>256</v>
      </c>
      <c r="G6348" s="200" t="s">
        <v>256</v>
      </c>
      <c r="H6348" s="200" t="s">
        <v>269</v>
      </c>
    </row>
    <row r="6349" spans="1:8" ht="15" customHeight="1">
      <c r="A6349" s="199">
        <v>45768</v>
      </c>
      <c r="B6349" s="202" t="s">
        <v>4733</v>
      </c>
      <c r="C6349" s="200" t="s">
        <v>204</v>
      </c>
      <c r="D6349" s="658">
        <v>-80000</v>
      </c>
      <c r="E6349" s="201">
        <v>45748</v>
      </c>
      <c r="F6349" s="200" t="s">
        <v>256</v>
      </c>
      <c r="G6349" s="200" t="s">
        <v>107</v>
      </c>
      <c r="H6349" s="200" t="s">
        <v>275</v>
      </c>
    </row>
    <row r="6350" spans="1:8" ht="15" customHeight="1">
      <c r="A6350" s="199">
        <v>45768</v>
      </c>
      <c r="B6350" s="202" t="s">
        <v>4734</v>
      </c>
      <c r="C6350" s="200" t="s">
        <v>204</v>
      </c>
      <c r="D6350" s="658">
        <v>-153440</v>
      </c>
      <c r="E6350" s="201">
        <v>45748</v>
      </c>
      <c r="F6350" s="200" t="s">
        <v>256</v>
      </c>
      <c r="G6350" s="200" t="s">
        <v>107</v>
      </c>
      <c r="H6350" s="200" t="s">
        <v>275</v>
      </c>
    </row>
    <row r="6351" spans="1:8" ht="15" customHeight="1">
      <c r="A6351" s="199">
        <v>45768</v>
      </c>
      <c r="B6351" s="202" t="s">
        <v>5033</v>
      </c>
      <c r="C6351" s="200" t="s">
        <v>204</v>
      </c>
      <c r="D6351" s="658">
        <v>-754810</v>
      </c>
      <c r="E6351" s="201">
        <v>45748</v>
      </c>
      <c r="F6351" s="200" t="s">
        <v>296</v>
      </c>
      <c r="G6351" s="200" t="s">
        <v>522</v>
      </c>
      <c r="H6351" s="200" t="s">
        <v>429</v>
      </c>
    </row>
    <row r="6352" spans="1:8" ht="15" customHeight="1">
      <c r="A6352" s="199">
        <v>45769</v>
      </c>
      <c r="B6352" s="202" t="s">
        <v>5034</v>
      </c>
      <c r="C6352" s="200" t="s">
        <v>204</v>
      </c>
      <c r="D6352" s="658">
        <v>-407150</v>
      </c>
      <c r="E6352" s="201">
        <v>45748</v>
      </c>
      <c r="F6352" s="200" t="s">
        <v>296</v>
      </c>
      <c r="G6352" s="200" t="s">
        <v>2994</v>
      </c>
      <c r="H6352" s="200" t="s">
        <v>567</v>
      </c>
    </row>
    <row r="6353" spans="1:9" ht="15" customHeight="1">
      <c r="A6353" s="199">
        <v>45769</v>
      </c>
      <c r="B6353" s="202" t="s">
        <v>5034</v>
      </c>
      <c r="C6353" s="200" t="s">
        <v>204</v>
      </c>
      <c r="D6353" s="658">
        <v>-407150</v>
      </c>
      <c r="E6353" s="201">
        <v>45748</v>
      </c>
      <c r="F6353" s="200" t="s">
        <v>297</v>
      </c>
      <c r="G6353" s="200" t="s">
        <v>1313</v>
      </c>
      <c r="H6353" s="200" t="s">
        <v>567</v>
      </c>
    </row>
    <row r="6354" spans="1:9" ht="15" customHeight="1">
      <c r="A6354" s="199">
        <v>45769</v>
      </c>
      <c r="B6354" s="202" t="s">
        <v>5035</v>
      </c>
      <c r="C6354" s="200" t="s">
        <v>204</v>
      </c>
      <c r="D6354" s="658">
        <v>-361200</v>
      </c>
      <c r="E6354" s="201">
        <v>45748</v>
      </c>
      <c r="F6354" s="200" t="s">
        <v>296</v>
      </c>
      <c r="G6354" s="200" t="s">
        <v>2994</v>
      </c>
      <c r="H6354" s="200" t="s">
        <v>567</v>
      </c>
    </row>
    <row r="6355" spans="1:9" ht="15" customHeight="1">
      <c r="A6355" s="199">
        <v>45769</v>
      </c>
      <c r="B6355" s="202" t="s">
        <v>5035</v>
      </c>
      <c r="C6355" s="200" t="s">
        <v>204</v>
      </c>
      <c r="D6355" s="658">
        <v>-361200</v>
      </c>
      <c r="E6355" s="201">
        <v>45748</v>
      </c>
      <c r="F6355" s="200" t="s">
        <v>296</v>
      </c>
      <c r="G6355" s="200" t="s">
        <v>328</v>
      </c>
      <c r="H6355" s="200" t="s">
        <v>567</v>
      </c>
    </row>
    <row r="6356" spans="1:9" ht="15" customHeight="1">
      <c r="A6356" s="199">
        <v>45769</v>
      </c>
      <c r="B6356" s="202" t="s">
        <v>5035</v>
      </c>
      <c r="C6356" s="200" t="s">
        <v>204</v>
      </c>
      <c r="D6356" s="658">
        <v>-361200</v>
      </c>
      <c r="E6356" s="201">
        <v>45748</v>
      </c>
      <c r="F6356" s="200" t="s">
        <v>297</v>
      </c>
      <c r="G6356" s="200" t="s">
        <v>1313</v>
      </c>
      <c r="H6356" s="200" t="s">
        <v>567</v>
      </c>
    </row>
    <row r="6357" spans="1:9" ht="15" customHeight="1">
      <c r="A6357" s="199">
        <v>45769</v>
      </c>
      <c r="B6357" s="202" t="s">
        <v>5036</v>
      </c>
      <c r="C6357" s="200" t="s">
        <v>204</v>
      </c>
      <c r="D6357" s="658">
        <v>-616075</v>
      </c>
      <c r="E6357" s="201">
        <v>45748</v>
      </c>
      <c r="F6357" s="200" t="s">
        <v>296</v>
      </c>
      <c r="G6357" s="200" t="s">
        <v>1362</v>
      </c>
      <c r="H6357" s="200" t="s">
        <v>567</v>
      </c>
    </row>
    <row r="6358" spans="1:9" ht="15" customHeight="1">
      <c r="A6358" s="199">
        <v>45769</v>
      </c>
      <c r="B6358" s="202" t="s">
        <v>5036</v>
      </c>
      <c r="C6358" s="200" t="s">
        <v>204</v>
      </c>
      <c r="D6358" s="658">
        <v>-616075</v>
      </c>
      <c r="E6358" s="201">
        <v>45748</v>
      </c>
      <c r="F6358" s="200" t="s">
        <v>296</v>
      </c>
      <c r="G6358" s="200" t="s">
        <v>1124</v>
      </c>
      <c r="H6358" s="200" t="s">
        <v>567</v>
      </c>
    </row>
    <row r="6359" spans="1:9" ht="15" customHeight="1">
      <c r="A6359" s="199">
        <v>45769</v>
      </c>
      <c r="B6359" s="202" t="s">
        <v>5036</v>
      </c>
      <c r="C6359" s="200" t="s">
        <v>204</v>
      </c>
      <c r="D6359" s="658">
        <v>-616075</v>
      </c>
      <c r="E6359" s="201">
        <v>45748</v>
      </c>
      <c r="F6359" s="200" t="s">
        <v>296</v>
      </c>
      <c r="G6359" s="200" t="s">
        <v>44</v>
      </c>
      <c r="H6359" s="200" t="s">
        <v>338</v>
      </c>
    </row>
    <row r="6360" spans="1:9" ht="15" customHeight="1">
      <c r="A6360" s="199">
        <v>45769</v>
      </c>
      <c r="B6360" s="202" t="s">
        <v>5036</v>
      </c>
      <c r="C6360" s="200" t="s">
        <v>204</v>
      </c>
      <c r="D6360" s="658">
        <v>-616075</v>
      </c>
      <c r="E6360" s="201">
        <v>45748</v>
      </c>
      <c r="F6360" s="200" t="s">
        <v>297</v>
      </c>
      <c r="G6360" s="200" t="s">
        <v>1313</v>
      </c>
      <c r="H6360" s="200" t="s">
        <v>567</v>
      </c>
    </row>
    <row r="6361" spans="1:9" ht="15" customHeight="1">
      <c r="A6361" s="199">
        <v>45769</v>
      </c>
      <c r="B6361" s="202" t="s">
        <v>5037</v>
      </c>
      <c r="C6361" s="200" t="s">
        <v>204</v>
      </c>
      <c r="D6361" s="658">
        <v>-464400</v>
      </c>
      <c r="E6361" s="201">
        <v>45748</v>
      </c>
      <c r="F6361" s="200" t="s">
        <v>296</v>
      </c>
      <c r="G6361" s="200" t="s">
        <v>1362</v>
      </c>
      <c r="H6361" s="200" t="s">
        <v>567</v>
      </c>
    </row>
    <row r="6362" spans="1:9" ht="15" customHeight="1">
      <c r="A6362" s="199">
        <v>45769</v>
      </c>
      <c r="B6362" s="202" t="s">
        <v>5037</v>
      </c>
      <c r="C6362" s="200" t="s">
        <v>204</v>
      </c>
      <c r="D6362" s="658">
        <v>-464400</v>
      </c>
      <c r="E6362" s="201">
        <v>45748</v>
      </c>
      <c r="F6362" s="200" t="s">
        <v>296</v>
      </c>
      <c r="G6362" s="200" t="s">
        <v>1735</v>
      </c>
      <c r="H6362" s="200" t="s">
        <v>567</v>
      </c>
    </row>
    <row r="6363" spans="1:9" ht="15" customHeight="1">
      <c r="A6363" s="199">
        <v>45769</v>
      </c>
      <c r="B6363" s="202" t="s">
        <v>5038</v>
      </c>
      <c r="C6363" s="200" t="s">
        <v>204</v>
      </c>
      <c r="D6363" s="658">
        <v>-846000</v>
      </c>
      <c r="E6363" s="201">
        <v>45748</v>
      </c>
      <c r="F6363" s="200" t="s">
        <v>296</v>
      </c>
      <c r="G6363" s="200" t="s">
        <v>57</v>
      </c>
      <c r="H6363" s="200" t="s">
        <v>121</v>
      </c>
    </row>
    <row r="6364" spans="1:9" ht="15" customHeight="1">
      <c r="A6364" s="199">
        <v>45769</v>
      </c>
      <c r="B6364" s="202" t="s">
        <v>5039</v>
      </c>
      <c r="C6364" s="200" t="s">
        <v>204</v>
      </c>
      <c r="D6364" s="658">
        <v>-217200</v>
      </c>
      <c r="E6364" s="201">
        <v>45748</v>
      </c>
      <c r="F6364" s="200" t="s">
        <v>296</v>
      </c>
      <c r="G6364" s="200" t="s">
        <v>390</v>
      </c>
      <c r="H6364" s="200" t="s">
        <v>567</v>
      </c>
      <c r="I6364" s="648" t="s">
        <v>329</v>
      </c>
    </row>
    <row r="6365" spans="1:9" ht="15" customHeight="1">
      <c r="A6365" s="199">
        <v>45769</v>
      </c>
      <c r="B6365" s="202" t="s">
        <v>5039</v>
      </c>
      <c r="C6365" s="200" t="s">
        <v>204</v>
      </c>
      <c r="D6365" s="658">
        <v>-217200</v>
      </c>
      <c r="E6365" s="201">
        <v>45748</v>
      </c>
      <c r="F6365" s="200" t="s">
        <v>296</v>
      </c>
      <c r="G6365" s="200" t="s">
        <v>392</v>
      </c>
      <c r="H6365" s="200" t="s">
        <v>567</v>
      </c>
      <c r="I6365" s="648" t="s">
        <v>329</v>
      </c>
    </row>
    <row r="6366" spans="1:9" ht="15" customHeight="1">
      <c r="A6366" s="199">
        <v>45769</v>
      </c>
      <c r="B6366" s="202" t="s">
        <v>5039</v>
      </c>
      <c r="C6366" s="200" t="s">
        <v>204</v>
      </c>
      <c r="D6366" s="658">
        <v>-217200</v>
      </c>
      <c r="E6366" s="201">
        <v>45748</v>
      </c>
      <c r="F6366" s="200" t="s">
        <v>297</v>
      </c>
      <c r="G6366" s="200" t="s">
        <v>1313</v>
      </c>
      <c r="H6366" s="200" t="s">
        <v>567</v>
      </c>
    </row>
    <row r="6367" spans="1:9" ht="15" customHeight="1">
      <c r="A6367" s="199">
        <v>45769</v>
      </c>
      <c r="B6367" s="202" t="s">
        <v>5040</v>
      </c>
      <c r="C6367" s="200" t="s">
        <v>204</v>
      </c>
      <c r="D6367" s="658">
        <v>-440900</v>
      </c>
      <c r="E6367" s="201">
        <v>45748</v>
      </c>
      <c r="F6367" s="200" t="s">
        <v>256</v>
      </c>
      <c r="G6367" s="200" t="s">
        <v>107</v>
      </c>
      <c r="H6367" s="200" t="s">
        <v>121</v>
      </c>
    </row>
    <row r="6368" spans="1:9" ht="15" customHeight="1">
      <c r="A6368" s="199">
        <v>45769</v>
      </c>
      <c r="B6368" s="202" t="s">
        <v>5041</v>
      </c>
      <c r="C6368" s="200" t="s">
        <v>204</v>
      </c>
      <c r="D6368" s="658">
        <v>-247700</v>
      </c>
      <c r="E6368" s="201">
        <v>45748</v>
      </c>
      <c r="F6368" s="200" t="s">
        <v>296</v>
      </c>
      <c r="G6368" s="200" t="s">
        <v>337</v>
      </c>
      <c r="H6368" s="200" t="s">
        <v>338</v>
      </c>
    </row>
    <row r="6369" spans="1:9" ht="15" customHeight="1">
      <c r="A6369" s="199">
        <v>45769</v>
      </c>
      <c r="B6369" s="202" t="s">
        <v>5041</v>
      </c>
      <c r="C6369" s="200" t="s">
        <v>204</v>
      </c>
      <c r="D6369" s="658">
        <v>-247700</v>
      </c>
      <c r="E6369" s="201">
        <v>45748</v>
      </c>
      <c r="F6369" s="200" t="s">
        <v>296</v>
      </c>
      <c r="G6369" s="200" t="s">
        <v>44</v>
      </c>
      <c r="H6369" s="200" t="s">
        <v>338</v>
      </c>
    </row>
    <row r="6370" spans="1:9" ht="15" customHeight="1">
      <c r="A6370" s="199">
        <v>45769</v>
      </c>
      <c r="B6370" s="202" t="s">
        <v>5041</v>
      </c>
      <c r="C6370" s="200" t="s">
        <v>204</v>
      </c>
      <c r="D6370" s="658">
        <v>-247700</v>
      </c>
      <c r="E6370" s="201">
        <v>45748</v>
      </c>
      <c r="F6370" s="200" t="s">
        <v>296</v>
      </c>
      <c r="G6370" s="200" t="s">
        <v>522</v>
      </c>
      <c r="H6370" s="200" t="s">
        <v>338</v>
      </c>
    </row>
    <row r="6371" spans="1:9" ht="15" customHeight="1">
      <c r="A6371" s="199">
        <v>45769</v>
      </c>
      <c r="B6371" s="202" t="s">
        <v>5042</v>
      </c>
      <c r="C6371" s="200" t="s">
        <v>204</v>
      </c>
      <c r="D6371" s="658">
        <v>-269400</v>
      </c>
      <c r="E6371" s="201">
        <v>45748</v>
      </c>
      <c r="F6371" s="200" t="s">
        <v>296</v>
      </c>
      <c r="G6371" s="200" t="s">
        <v>2994</v>
      </c>
      <c r="H6371" s="200" t="s">
        <v>567</v>
      </c>
    </row>
    <row r="6372" spans="1:9" ht="15" customHeight="1">
      <c r="A6372" s="199">
        <v>45769</v>
      </c>
      <c r="B6372" s="202" t="s">
        <v>5042</v>
      </c>
      <c r="C6372" s="200" t="s">
        <v>204</v>
      </c>
      <c r="D6372" s="658">
        <v>-269400</v>
      </c>
      <c r="E6372" s="201">
        <v>45748</v>
      </c>
      <c r="F6372" s="200" t="s">
        <v>297</v>
      </c>
      <c r="G6372" s="200" t="s">
        <v>1313</v>
      </c>
      <c r="H6372" s="200" t="s">
        <v>567</v>
      </c>
    </row>
    <row r="6373" spans="1:9" ht="15" customHeight="1">
      <c r="A6373" s="199">
        <v>45769</v>
      </c>
      <c r="B6373" s="202" t="s">
        <v>5043</v>
      </c>
      <c r="C6373" s="200" t="s">
        <v>204</v>
      </c>
      <c r="D6373" s="658">
        <v>-1021700</v>
      </c>
      <c r="E6373" s="201">
        <v>45748</v>
      </c>
      <c r="F6373" s="200" t="s">
        <v>256</v>
      </c>
      <c r="G6373" s="200" t="s">
        <v>107</v>
      </c>
      <c r="H6373" s="200" t="s">
        <v>121</v>
      </c>
    </row>
    <row r="6374" spans="1:9" ht="15" customHeight="1">
      <c r="A6374" s="199">
        <v>45769</v>
      </c>
      <c r="B6374" s="202" t="s">
        <v>5044</v>
      </c>
      <c r="C6374" s="200" t="s">
        <v>204</v>
      </c>
      <c r="D6374" s="658">
        <v>-464400</v>
      </c>
      <c r="E6374" s="201">
        <v>45748</v>
      </c>
      <c r="F6374" s="200" t="s">
        <v>296</v>
      </c>
      <c r="G6374" s="200" t="s">
        <v>1362</v>
      </c>
      <c r="H6374" s="200" t="s">
        <v>567</v>
      </c>
    </row>
    <row r="6375" spans="1:9" ht="15" customHeight="1">
      <c r="A6375" s="199">
        <v>45769</v>
      </c>
      <c r="B6375" s="202" t="s">
        <v>5044</v>
      </c>
      <c r="C6375" s="200" t="s">
        <v>204</v>
      </c>
      <c r="D6375" s="658">
        <v>-464400</v>
      </c>
      <c r="E6375" s="201">
        <v>45748</v>
      </c>
      <c r="F6375" s="200" t="s">
        <v>296</v>
      </c>
      <c r="G6375" s="200" t="s">
        <v>1735</v>
      </c>
      <c r="H6375" s="200" t="s">
        <v>567</v>
      </c>
      <c r="I6375" s="648" t="s">
        <v>329</v>
      </c>
    </row>
    <row r="6376" spans="1:9" ht="15" customHeight="1">
      <c r="A6376" s="199">
        <v>45769</v>
      </c>
      <c r="B6376" s="202" t="s">
        <v>5045</v>
      </c>
      <c r="C6376" s="200" t="s">
        <v>204</v>
      </c>
      <c r="D6376" s="658">
        <v>-309600</v>
      </c>
      <c r="E6376" s="201">
        <v>45748</v>
      </c>
      <c r="F6376" s="200" t="s">
        <v>296</v>
      </c>
      <c r="G6376" s="200" t="s">
        <v>3360</v>
      </c>
      <c r="H6376" s="200" t="s">
        <v>567</v>
      </c>
    </row>
    <row r="6377" spans="1:9" ht="15" customHeight="1">
      <c r="A6377" s="199">
        <v>45769</v>
      </c>
      <c r="B6377" s="202" t="s">
        <v>5045</v>
      </c>
      <c r="C6377" s="200" t="s">
        <v>204</v>
      </c>
      <c r="D6377" s="658">
        <v>-309600</v>
      </c>
      <c r="E6377" s="201">
        <v>45748</v>
      </c>
      <c r="F6377" s="200" t="s">
        <v>297</v>
      </c>
      <c r="G6377" s="200" t="s">
        <v>3892</v>
      </c>
      <c r="H6377" s="200" t="s">
        <v>567</v>
      </c>
    </row>
    <row r="6378" spans="1:9" ht="15" customHeight="1">
      <c r="A6378" s="199">
        <v>45769</v>
      </c>
      <c r="B6378" s="202" t="s">
        <v>5045</v>
      </c>
      <c r="C6378" s="200" t="s">
        <v>204</v>
      </c>
      <c r="D6378" s="658">
        <v>-309600</v>
      </c>
      <c r="E6378" s="201">
        <v>45748</v>
      </c>
      <c r="F6378" s="200" t="s">
        <v>296</v>
      </c>
      <c r="G6378" s="200" t="s">
        <v>1124</v>
      </c>
      <c r="H6378" s="200" t="s">
        <v>567</v>
      </c>
    </row>
    <row r="6379" spans="1:9" ht="15" customHeight="1">
      <c r="A6379" s="199">
        <v>45769</v>
      </c>
      <c r="B6379" s="202" t="s">
        <v>5046</v>
      </c>
      <c r="C6379" s="200" t="s">
        <v>204</v>
      </c>
      <c r="D6379" s="658">
        <v>-1021700</v>
      </c>
      <c r="E6379" s="201">
        <v>45748</v>
      </c>
      <c r="F6379" s="200" t="s">
        <v>296</v>
      </c>
      <c r="G6379" s="200" t="s">
        <v>337</v>
      </c>
      <c r="H6379" s="200" t="s">
        <v>338</v>
      </c>
    </row>
    <row r="6380" spans="1:9" ht="15" customHeight="1">
      <c r="A6380" s="199">
        <v>45769</v>
      </c>
      <c r="B6380" s="202" t="s">
        <v>5047</v>
      </c>
      <c r="C6380" s="200" t="s">
        <v>204</v>
      </c>
      <c r="D6380" s="658">
        <v>-1083600</v>
      </c>
      <c r="E6380" s="201">
        <v>45748</v>
      </c>
      <c r="F6380" s="200" t="s">
        <v>297</v>
      </c>
      <c r="G6380" s="200" t="s">
        <v>1578</v>
      </c>
      <c r="H6380" s="200" t="s">
        <v>567</v>
      </c>
    </row>
    <row r="6381" spans="1:9" ht="15" customHeight="1">
      <c r="A6381" s="199">
        <v>45769</v>
      </c>
      <c r="B6381" s="202" t="s">
        <v>5048</v>
      </c>
      <c r="C6381" s="200" t="s">
        <v>204</v>
      </c>
      <c r="D6381" s="658">
        <v>-836000</v>
      </c>
      <c r="E6381" s="201">
        <v>45748</v>
      </c>
      <c r="F6381" s="200" t="s">
        <v>297</v>
      </c>
      <c r="G6381" s="200" t="s">
        <v>1578</v>
      </c>
      <c r="H6381" s="200" t="s">
        <v>567</v>
      </c>
    </row>
    <row r="6382" spans="1:9" ht="15" customHeight="1">
      <c r="A6382" s="199">
        <v>45769</v>
      </c>
      <c r="B6382" s="202" t="s">
        <v>5049</v>
      </c>
      <c r="C6382" s="200" t="s">
        <v>204</v>
      </c>
      <c r="D6382" s="658">
        <v>-340566.66666666669</v>
      </c>
      <c r="E6382" s="201">
        <v>45748</v>
      </c>
      <c r="F6382" s="200" t="s">
        <v>296</v>
      </c>
      <c r="G6382" s="200" t="s">
        <v>3360</v>
      </c>
      <c r="H6382" s="200" t="s">
        <v>567</v>
      </c>
      <c r="I6382" s="648" t="s">
        <v>329</v>
      </c>
    </row>
    <row r="6383" spans="1:9" ht="15" customHeight="1">
      <c r="A6383" s="199">
        <v>45769</v>
      </c>
      <c r="B6383" s="202" t="s">
        <v>5049</v>
      </c>
      <c r="C6383" s="200" t="s">
        <v>204</v>
      </c>
      <c r="D6383" s="658">
        <v>-340566.66666666669</v>
      </c>
      <c r="E6383" s="201">
        <v>45748</v>
      </c>
      <c r="F6383" s="200" t="s">
        <v>297</v>
      </c>
      <c r="G6383" s="200" t="s">
        <v>3892</v>
      </c>
      <c r="H6383" s="200" t="s">
        <v>567</v>
      </c>
    </row>
    <row r="6384" spans="1:9" ht="15" customHeight="1">
      <c r="A6384" s="199">
        <v>45769</v>
      </c>
      <c r="B6384" s="202" t="s">
        <v>5049</v>
      </c>
      <c r="C6384" s="200" t="s">
        <v>204</v>
      </c>
      <c r="D6384" s="658">
        <v>-340566.66666666669</v>
      </c>
      <c r="E6384" s="201">
        <v>45748</v>
      </c>
      <c r="F6384" s="200" t="s">
        <v>296</v>
      </c>
      <c r="G6384" s="200" t="s">
        <v>1124</v>
      </c>
      <c r="H6384" s="200" t="s">
        <v>567</v>
      </c>
    </row>
    <row r="6385" spans="1:8" ht="15" customHeight="1">
      <c r="A6385" s="199">
        <v>45769</v>
      </c>
      <c r="B6385" s="202" t="s">
        <v>5050</v>
      </c>
      <c r="C6385" s="200" t="s">
        <v>204</v>
      </c>
      <c r="D6385" s="658">
        <v>-897900</v>
      </c>
      <c r="E6385" s="201">
        <v>45748</v>
      </c>
      <c r="F6385" s="200" t="s">
        <v>256</v>
      </c>
      <c r="G6385" s="200" t="s">
        <v>5051</v>
      </c>
      <c r="H6385" s="200" t="s">
        <v>121</v>
      </c>
    </row>
    <row r="6386" spans="1:8" ht="15" customHeight="1">
      <c r="A6386" s="199">
        <v>45769</v>
      </c>
      <c r="B6386" s="202" t="s">
        <v>5052</v>
      </c>
      <c r="C6386" s="200" t="s">
        <v>204</v>
      </c>
      <c r="D6386" s="658">
        <v>-440900</v>
      </c>
      <c r="E6386" s="201">
        <v>45748</v>
      </c>
      <c r="F6386" s="200" t="s">
        <v>256</v>
      </c>
      <c r="G6386" s="200" t="s">
        <v>5051</v>
      </c>
      <c r="H6386" s="200" t="s">
        <v>121</v>
      </c>
    </row>
    <row r="6387" spans="1:8" ht="15" customHeight="1">
      <c r="A6387" s="199">
        <v>45769</v>
      </c>
      <c r="B6387" s="202" t="s">
        <v>5053</v>
      </c>
      <c r="C6387" s="200" t="s">
        <v>204</v>
      </c>
      <c r="D6387" s="658">
        <v>-793100</v>
      </c>
      <c r="E6387" s="201">
        <v>45748</v>
      </c>
      <c r="F6387" s="200" t="s">
        <v>296</v>
      </c>
      <c r="G6387" s="200" t="s">
        <v>57</v>
      </c>
      <c r="H6387" s="200" t="s">
        <v>121</v>
      </c>
    </row>
    <row r="6388" spans="1:8" ht="15" customHeight="1">
      <c r="A6388" s="199">
        <v>45769</v>
      </c>
      <c r="B6388" s="202" t="s">
        <v>5054</v>
      </c>
      <c r="C6388" s="200" t="s">
        <v>204</v>
      </c>
      <c r="D6388" s="658">
        <v>-1189700</v>
      </c>
      <c r="E6388" s="201">
        <v>45748</v>
      </c>
      <c r="F6388" s="200" t="s">
        <v>296</v>
      </c>
      <c r="G6388" s="200" t="s">
        <v>57</v>
      </c>
      <c r="H6388" s="200" t="s">
        <v>121</v>
      </c>
    </row>
    <row r="6389" spans="1:8" ht="15" customHeight="1">
      <c r="A6389" s="199">
        <v>45769</v>
      </c>
      <c r="B6389" s="202" t="s">
        <v>5055</v>
      </c>
      <c r="C6389" s="200" t="s">
        <v>204</v>
      </c>
      <c r="D6389" s="658">
        <v>-907400</v>
      </c>
      <c r="E6389" s="201">
        <v>45748</v>
      </c>
      <c r="F6389" s="200" t="s">
        <v>296</v>
      </c>
      <c r="G6389" s="200" t="s">
        <v>453</v>
      </c>
      <c r="H6389" s="200" t="s">
        <v>121</v>
      </c>
    </row>
    <row r="6390" spans="1:8" ht="15" customHeight="1">
      <c r="A6390" s="199">
        <v>45769</v>
      </c>
      <c r="B6390" s="202" t="s">
        <v>5056</v>
      </c>
      <c r="C6390" s="200" t="s">
        <v>204</v>
      </c>
      <c r="D6390" s="658">
        <v>-440900</v>
      </c>
      <c r="E6390" s="201">
        <v>45748</v>
      </c>
      <c r="F6390" s="200" t="s">
        <v>256</v>
      </c>
      <c r="G6390" s="200" t="s">
        <v>256</v>
      </c>
      <c r="H6390" s="200" t="s">
        <v>121</v>
      </c>
    </row>
    <row r="6391" spans="1:8" ht="15" customHeight="1">
      <c r="A6391" s="199">
        <v>45769</v>
      </c>
      <c r="B6391" s="202" t="s">
        <v>5057</v>
      </c>
      <c r="C6391" s="200" t="s">
        <v>204</v>
      </c>
      <c r="D6391" s="658">
        <v>-564100</v>
      </c>
      <c r="E6391" s="201">
        <v>45748</v>
      </c>
      <c r="F6391" s="200" t="s">
        <v>256</v>
      </c>
      <c r="G6391" s="200" t="s">
        <v>256</v>
      </c>
      <c r="H6391" s="200" t="s">
        <v>121</v>
      </c>
    </row>
    <row r="6392" spans="1:8" ht="15" customHeight="1">
      <c r="A6392" s="199">
        <v>45769</v>
      </c>
      <c r="B6392" s="202" t="s">
        <v>5058</v>
      </c>
      <c r="C6392" s="200" t="s">
        <v>204</v>
      </c>
      <c r="D6392" s="658">
        <v>-1390600</v>
      </c>
      <c r="E6392" s="201">
        <v>45748</v>
      </c>
      <c r="F6392" s="200" t="s">
        <v>256</v>
      </c>
      <c r="G6392" s="200" t="s">
        <v>256</v>
      </c>
      <c r="H6392" s="200" t="s">
        <v>121</v>
      </c>
    </row>
    <row r="6393" spans="1:8" ht="15" customHeight="1">
      <c r="A6393" s="199">
        <v>45769</v>
      </c>
      <c r="B6393" s="202" t="s">
        <v>5059</v>
      </c>
      <c r="C6393" s="200" t="s">
        <v>204</v>
      </c>
      <c r="D6393" s="658">
        <v>-1342000</v>
      </c>
      <c r="E6393" s="201">
        <v>45748</v>
      </c>
      <c r="F6393" s="200" t="s">
        <v>256</v>
      </c>
      <c r="G6393" s="200" t="s">
        <v>107</v>
      </c>
      <c r="H6393" s="200" t="s">
        <v>121</v>
      </c>
    </row>
    <row r="6394" spans="1:8" ht="15" customHeight="1">
      <c r="A6394" s="199">
        <v>45769</v>
      </c>
      <c r="B6394" s="202" t="s">
        <v>5060</v>
      </c>
      <c r="C6394" s="200" t="s">
        <v>204</v>
      </c>
      <c r="D6394" s="658">
        <v>-735700</v>
      </c>
      <c r="E6394" s="201">
        <v>45748</v>
      </c>
      <c r="F6394" s="200" t="s">
        <v>256</v>
      </c>
      <c r="G6394" s="200" t="s">
        <v>256</v>
      </c>
      <c r="H6394" s="200" t="s">
        <v>121</v>
      </c>
    </row>
    <row r="6395" spans="1:8" ht="15" customHeight="1">
      <c r="A6395" s="199">
        <v>45769</v>
      </c>
      <c r="B6395" s="202" t="s">
        <v>5061</v>
      </c>
      <c r="C6395" s="200" t="s">
        <v>204</v>
      </c>
      <c r="D6395" s="658">
        <v>-380100</v>
      </c>
      <c r="E6395" s="201">
        <v>45748</v>
      </c>
      <c r="F6395" s="200" t="s">
        <v>256</v>
      </c>
      <c r="G6395" s="200" t="s">
        <v>256</v>
      </c>
      <c r="H6395" s="200" t="s">
        <v>121</v>
      </c>
    </row>
    <row r="6396" spans="1:8" ht="15" customHeight="1">
      <c r="A6396" s="199">
        <v>45769</v>
      </c>
      <c r="B6396" s="202" t="s">
        <v>5062</v>
      </c>
      <c r="C6396" s="200" t="s">
        <v>204</v>
      </c>
      <c r="D6396" s="658">
        <v>-416900</v>
      </c>
      <c r="E6396" s="201">
        <v>45748</v>
      </c>
      <c r="F6396" s="200" t="s">
        <v>256</v>
      </c>
      <c r="G6396" s="200" t="s">
        <v>256</v>
      </c>
      <c r="H6396" s="200" t="s">
        <v>121</v>
      </c>
    </row>
    <row r="6397" spans="1:8" ht="15" customHeight="1">
      <c r="A6397" s="199">
        <v>45769</v>
      </c>
      <c r="B6397" s="202" t="s">
        <v>5063</v>
      </c>
      <c r="C6397" s="200" t="s">
        <v>204</v>
      </c>
      <c r="D6397" s="658">
        <v>-330100</v>
      </c>
      <c r="E6397" s="201">
        <v>45748</v>
      </c>
      <c r="F6397" s="200" t="s">
        <v>256</v>
      </c>
      <c r="G6397" s="200" t="s">
        <v>256</v>
      </c>
      <c r="H6397" s="200" t="s">
        <v>121</v>
      </c>
    </row>
    <row r="6398" spans="1:8" ht="15" customHeight="1">
      <c r="A6398" s="199">
        <v>45769</v>
      </c>
      <c r="B6398" s="202" t="s">
        <v>5064</v>
      </c>
      <c r="C6398" s="200" t="s">
        <v>204</v>
      </c>
      <c r="D6398" s="658">
        <v>-349300</v>
      </c>
      <c r="E6398" s="201">
        <v>45748</v>
      </c>
      <c r="F6398" s="200" t="s">
        <v>256</v>
      </c>
      <c r="G6398" s="200" t="s">
        <v>256</v>
      </c>
      <c r="H6398" s="200" t="s">
        <v>121</v>
      </c>
    </row>
    <row r="6399" spans="1:8" ht="15" customHeight="1">
      <c r="A6399" s="199">
        <v>45769</v>
      </c>
      <c r="B6399" s="202" t="s">
        <v>5065</v>
      </c>
      <c r="C6399" s="200" t="s">
        <v>204</v>
      </c>
      <c r="D6399" s="658">
        <v>-557300</v>
      </c>
      <c r="E6399" s="201">
        <v>45748</v>
      </c>
      <c r="F6399" s="200" t="s">
        <v>256</v>
      </c>
      <c r="G6399" s="200" t="s">
        <v>256</v>
      </c>
      <c r="H6399" s="200" t="s">
        <v>121</v>
      </c>
    </row>
    <row r="6400" spans="1:8" ht="15" customHeight="1">
      <c r="A6400" s="199">
        <v>45769</v>
      </c>
      <c r="B6400" s="202" t="s">
        <v>5066</v>
      </c>
      <c r="C6400" s="200" t="s">
        <v>204</v>
      </c>
      <c r="D6400" s="658">
        <v>-3429500</v>
      </c>
      <c r="E6400" s="201">
        <v>45748</v>
      </c>
      <c r="F6400" s="200" t="s">
        <v>256</v>
      </c>
      <c r="G6400" s="200" t="s">
        <v>256</v>
      </c>
      <c r="H6400" s="200" t="s">
        <v>121</v>
      </c>
    </row>
    <row r="6401" spans="1:8" ht="15" customHeight="1">
      <c r="A6401" s="199">
        <v>45769</v>
      </c>
      <c r="B6401" s="202" t="s">
        <v>5067</v>
      </c>
      <c r="C6401" s="200" t="s">
        <v>204</v>
      </c>
      <c r="D6401" s="658">
        <v>-858300</v>
      </c>
      <c r="E6401" s="201">
        <v>45748</v>
      </c>
      <c r="F6401" s="200" t="s">
        <v>256</v>
      </c>
      <c r="G6401" s="200" t="s">
        <v>256</v>
      </c>
      <c r="H6401" s="200" t="s">
        <v>121</v>
      </c>
    </row>
    <row r="6402" spans="1:8" ht="15" customHeight="1">
      <c r="A6402" s="199">
        <v>45769</v>
      </c>
      <c r="B6402" s="202" t="s">
        <v>5068</v>
      </c>
      <c r="C6402" s="200" t="s">
        <v>204</v>
      </c>
      <c r="D6402" s="658">
        <v>-1226100</v>
      </c>
      <c r="E6402" s="201">
        <v>45748</v>
      </c>
      <c r="F6402" s="200" t="s">
        <v>256</v>
      </c>
      <c r="G6402" s="200" t="s">
        <v>256</v>
      </c>
      <c r="H6402" s="200" t="s">
        <v>121</v>
      </c>
    </row>
    <row r="6403" spans="1:8" ht="15" customHeight="1">
      <c r="A6403" s="199">
        <v>45769</v>
      </c>
      <c r="B6403" s="202" t="s">
        <v>5069</v>
      </c>
      <c r="C6403" s="200" t="s">
        <v>204</v>
      </c>
      <c r="D6403" s="658">
        <v>-613100</v>
      </c>
      <c r="E6403" s="201">
        <v>45748</v>
      </c>
      <c r="F6403" s="200" t="s">
        <v>256</v>
      </c>
      <c r="G6403" s="200" t="s">
        <v>256</v>
      </c>
      <c r="H6403" s="200" t="s">
        <v>121</v>
      </c>
    </row>
    <row r="6404" spans="1:8" ht="15" customHeight="1">
      <c r="A6404" s="199">
        <v>45769</v>
      </c>
      <c r="B6404" s="202" t="s">
        <v>5070</v>
      </c>
      <c r="C6404" s="200" t="s">
        <v>204</v>
      </c>
      <c r="D6404" s="658">
        <v>-784800</v>
      </c>
      <c r="E6404" s="201">
        <v>45748</v>
      </c>
      <c r="F6404" s="200" t="s">
        <v>256</v>
      </c>
      <c r="G6404" s="200" t="s">
        <v>107</v>
      </c>
      <c r="H6404" s="200" t="s">
        <v>121</v>
      </c>
    </row>
    <row r="6405" spans="1:8" ht="15" customHeight="1">
      <c r="A6405" s="199">
        <v>45769</v>
      </c>
      <c r="B6405" s="202" t="s">
        <v>5071</v>
      </c>
      <c r="C6405" s="200" t="s">
        <v>204</v>
      </c>
      <c r="D6405" s="658">
        <v>-441400</v>
      </c>
      <c r="E6405" s="201">
        <v>45748</v>
      </c>
      <c r="F6405" s="200" t="s">
        <v>296</v>
      </c>
      <c r="G6405" s="200" t="s">
        <v>453</v>
      </c>
      <c r="H6405" s="200" t="s">
        <v>121</v>
      </c>
    </row>
    <row r="6406" spans="1:8" ht="15" customHeight="1">
      <c r="A6406" s="199">
        <v>45769</v>
      </c>
      <c r="B6406" s="202" t="s">
        <v>5072</v>
      </c>
      <c r="C6406" s="200" t="s">
        <v>204</v>
      </c>
      <c r="D6406" s="658">
        <v>-428900</v>
      </c>
      <c r="E6406" s="201">
        <v>45748</v>
      </c>
      <c r="F6406" s="200" t="s">
        <v>256</v>
      </c>
      <c r="G6406" s="200" t="s">
        <v>256</v>
      </c>
      <c r="H6406" s="200" t="s">
        <v>121</v>
      </c>
    </row>
    <row r="6407" spans="1:8" ht="15" customHeight="1">
      <c r="A6407" s="199">
        <v>45769</v>
      </c>
      <c r="B6407" s="202" t="s">
        <v>5073</v>
      </c>
      <c r="C6407" s="200" t="s">
        <v>204</v>
      </c>
      <c r="D6407" s="658">
        <v>-349300</v>
      </c>
      <c r="E6407" s="201">
        <v>45748</v>
      </c>
      <c r="F6407" s="200" t="s">
        <v>256</v>
      </c>
      <c r="G6407" s="200" t="s">
        <v>256</v>
      </c>
      <c r="H6407" s="200" t="s">
        <v>121</v>
      </c>
    </row>
    <row r="6408" spans="1:8" ht="15" customHeight="1">
      <c r="A6408" s="199">
        <v>45769</v>
      </c>
      <c r="B6408" s="202" t="s">
        <v>5074</v>
      </c>
      <c r="C6408" s="200" t="s">
        <v>204</v>
      </c>
      <c r="D6408" s="658">
        <v>-3190300</v>
      </c>
      <c r="E6408" s="201">
        <v>45748</v>
      </c>
      <c r="F6408" s="200" t="s">
        <v>256</v>
      </c>
      <c r="G6408" s="200" t="s">
        <v>256</v>
      </c>
      <c r="H6408" s="200" t="s">
        <v>121</v>
      </c>
    </row>
    <row r="6409" spans="1:8" ht="15" customHeight="1">
      <c r="A6409" s="199">
        <v>45769</v>
      </c>
      <c r="B6409" s="202" t="s">
        <v>5075</v>
      </c>
      <c r="C6409" s="200" t="s">
        <v>204</v>
      </c>
      <c r="D6409" s="658">
        <v>-349300</v>
      </c>
      <c r="E6409" s="201">
        <v>45748</v>
      </c>
      <c r="F6409" s="200" t="s">
        <v>256</v>
      </c>
      <c r="G6409" s="200" t="s">
        <v>256</v>
      </c>
      <c r="H6409" s="200" t="s">
        <v>121</v>
      </c>
    </row>
    <row r="6410" spans="1:8" ht="15" customHeight="1">
      <c r="A6410" s="199">
        <v>45769</v>
      </c>
      <c r="B6410" s="202" t="s">
        <v>5076</v>
      </c>
      <c r="C6410" s="200" t="s">
        <v>204</v>
      </c>
      <c r="D6410" s="658">
        <v>-801200</v>
      </c>
      <c r="E6410" s="201">
        <v>45748</v>
      </c>
      <c r="F6410" s="200" t="s">
        <v>256</v>
      </c>
      <c r="G6410" s="200" t="s">
        <v>256</v>
      </c>
      <c r="H6410" s="200" t="s">
        <v>121</v>
      </c>
    </row>
    <row r="6411" spans="1:8" ht="15" customHeight="1">
      <c r="A6411" s="199">
        <v>45769</v>
      </c>
      <c r="B6411" s="202" t="s">
        <v>5077</v>
      </c>
      <c r="C6411" s="200" t="s">
        <v>204</v>
      </c>
      <c r="D6411" s="658">
        <v>-9896600</v>
      </c>
      <c r="E6411" s="201">
        <v>45748</v>
      </c>
      <c r="F6411" s="200" t="s">
        <v>256</v>
      </c>
      <c r="G6411" s="200" t="s">
        <v>107</v>
      </c>
      <c r="H6411" s="200" t="s">
        <v>121</v>
      </c>
    </row>
    <row r="6412" spans="1:8" ht="15" customHeight="1">
      <c r="A6412" s="199">
        <v>45769</v>
      </c>
      <c r="B6412" s="202" t="s">
        <v>5078</v>
      </c>
      <c r="C6412" s="200" t="s">
        <v>204</v>
      </c>
      <c r="D6412" s="658">
        <v>-212700</v>
      </c>
      <c r="E6412" s="201">
        <v>45748</v>
      </c>
      <c r="F6412" s="200" t="s">
        <v>256</v>
      </c>
      <c r="G6412" s="200" t="s">
        <v>256</v>
      </c>
      <c r="H6412" s="200" t="s">
        <v>121</v>
      </c>
    </row>
    <row r="6413" spans="1:8" ht="15" customHeight="1">
      <c r="A6413" s="199">
        <v>45769</v>
      </c>
      <c r="B6413" s="202" t="s">
        <v>5079</v>
      </c>
      <c r="C6413" s="200" t="s">
        <v>204</v>
      </c>
      <c r="D6413" s="658">
        <v>-440900</v>
      </c>
      <c r="E6413" s="201">
        <v>45748</v>
      </c>
      <c r="F6413" s="200" t="s">
        <v>296</v>
      </c>
      <c r="G6413" s="200" t="s">
        <v>44</v>
      </c>
      <c r="H6413" s="200" t="s">
        <v>421</v>
      </c>
    </row>
    <row r="6414" spans="1:8" ht="15" customHeight="1">
      <c r="A6414" s="199">
        <v>45769</v>
      </c>
      <c r="B6414" s="202" t="s">
        <v>5080</v>
      </c>
      <c r="C6414" s="200" t="s">
        <v>204</v>
      </c>
      <c r="D6414" s="658">
        <v>-440900</v>
      </c>
      <c r="E6414" s="201">
        <v>45748</v>
      </c>
      <c r="F6414" s="200" t="s">
        <v>296</v>
      </c>
      <c r="G6414" s="200" t="s">
        <v>44</v>
      </c>
      <c r="H6414" s="200" t="s">
        <v>421</v>
      </c>
    </row>
    <row r="6415" spans="1:8" ht="15" customHeight="1">
      <c r="A6415" s="199">
        <v>45769</v>
      </c>
      <c r="B6415" s="202" t="s">
        <v>5081</v>
      </c>
      <c r="C6415" s="200" t="s">
        <v>204</v>
      </c>
      <c r="D6415" s="658">
        <v>-650200</v>
      </c>
      <c r="E6415" s="201">
        <v>45748</v>
      </c>
      <c r="F6415" s="200" t="s">
        <v>296</v>
      </c>
      <c r="G6415" s="200" t="s">
        <v>44</v>
      </c>
      <c r="H6415" s="200" t="s">
        <v>421</v>
      </c>
    </row>
    <row r="6416" spans="1:8" ht="15" customHeight="1">
      <c r="A6416" s="199">
        <v>45769</v>
      </c>
      <c r="B6416" s="202" t="s">
        <v>5082</v>
      </c>
      <c r="C6416" s="200" t="s">
        <v>204</v>
      </c>
      <c r="D6416" s="658">
        <v>-443300</v>
      </c>
      <c r="E6416" s="201">
        <v>45748</v>
      </c>
      <c r="F6416" s="200" t="s">
        <v>296</v>
      </c>
      <c r="G6416" s="200" t="s">
        <v>44</v>
      </c>
      <c r="H6416" s="200" t="s">
        <v>421</v>
      </c>
    </row>
    <row r="6417" spans="1:8" ht="15" customHeight="1">
      <c r="A6417" s="199">
        <v>45769</v>
      </c>
      <c r="B6417" s="202" t="s">
        <v>5083</v>
      </c>
      <c r="C6417" s="200" t="s">
        <v>204</v>
      </c>
      <c r="D6417" s="658">
        <v>-440900</v>
      </c>
      <c r="E6417" s="201">
        <v>45748</v>
      </c>
      <c r="F6417" s="200" t="s">
        <v>296</v>
      </c>
      <c r="G6417" s="200" t="s">
        <v>44</v>
      </c>
      <c r="H6417" s="200" t="s">
        <v>421</v>
      </c>
    </row>
    <row r="6418" spans="1:8" ht="15" customHeight="1">
      <c r="A6418" s="199">
        <v>45769</v>
      </c>
      <c r="B6418" s="202" t="s">
        <v>5084</v>
      </c>
      <c r="C6418" s="200" t="s">
        <v>204</v>
      </c>
      <c r="D6418" s="658">
        <v>-443300</v>
      </c>
      <c r="E6418" s="201">
        <v>45748</v>
      </c>
      <c r="F6418" s="200" t="s">
        <v>296</v>
      </c>
      <c r="G6418" s="200" t="s">
        <v>44</v>
      </c>
      <c r="H6418" s="200" t="s">
        <v>421</v>
      </c>
    </row>
    <row r="6419" spans="1:8" ht="15" customHeight="1">
      <c r="A6419" s="199">
        <v>45769</v>
      </c>
      <c r="B6419" s="202" t="s">
        <v>5085</v>
      </c>
      <c r="C6419" s="200" t="s">
        <v>204</v>
      </c>
      <c r="D6419" s="658">
        <v>-440900</v>
      </c>
      <c r="E6419" s="201">
        <v>45748</v>
      </c>
      <c r="F6419" s="200" t="s">
        <v>296</v>
      </c>
      <c r="G6419" s="200" t="s">
        <v>44</v>
      </c>
      <c r="H6419" s="200" t="s">
        <v>421</v>
      </c>
    </row>
    <row r="6420" spans="1:8" ht="15" customHeight="1">
      <c r="A6420" s="199">
        <v>45769</v>
      </c>
      <c r="B6420" s="202" t="s">
        <v>5086</v>
      </c>
      <c r="C6420" s="200" t="s">
        <v>204</v>
      </c>
      <c r="D6420" s="658">
        <v>-440900</v>
      </c>
      <c r="E6420" s="201">
        <v>45748</v>
      </c>
      <c r="F6420" s="200" t="s">
        <v>296</v>
      </c>
      <c r="G6420" s="200" t="s">
        <v>44</v>
      </c>
      <c r="H6420" s="200" t="s">
        <v>421</v>
      </c>
    </row>
    <row r="6421" spans="1:8" ht="15" customHeight="1">
      <c r="A6421" s="199">
        <v>45769</v>
      </c>
      <c r="B6421" s="202" t="s">
        <v>5087</v>
      </c>
      <c r="C6421" s="200" t="s">
        <v>204</v>
      </c>
      <c r="D6421" s="658">
        <v>-440900</v>
      </c>
      <c r="E6421" s="201">
        <v>45748</v>
      </c>
      <c r="F6421" s="200" t="s">
        <v>296</v>
      </c>
      <c r="G6421" s="200" t="s">
        <v>44</v>
      </c>
      <c r="H6421" s="200" t="s">
        <v>421</v>
      </c>
    </row>
    <row r="6422" spans="1:8" ht="15" customHeight="1">
      <c r="A6422" s="199">
        <v>45769</v>
      </c>
      <c r="B6422" s="202" t="s">
        <v>5088</v>
      </c>
      <c r="C6422" s="200" t="s">
        <v>204</v>
      </c>
      <c r="D6422" s="658">
        <v>-440900</v>
      </c>
      <c r="E6422" s="201">
        <v>45748</v>
      </c>
      <c r="F6422" s="200" t="s">
        <v>296</v>
      </c>
      <c r="G6422" s="200" t="s">
        <v>44</v>
      </c>
      <c r="H6422" s="200" t="s">
        <v>421</v>
      </c>
    </row>
    <row r="6423" spans="1:8" ht="15" customHeight="1">
      <c r="A6423" s="199">
        <v>45769</v>
      </c>
      <c r="B6423" s="202" t="s">
        <v>5089</v>
      </c>
      <c r="C6423" s="200" t="s">
        <v>204</v>
      </c>
      <c r="D6423" s="658">
        <v>-440900</v>
      </c>
      <c r="E6423" s="201">
        <v>45748</v>
      </c>
      <c r="F6423" s="200" t="s">
        <v>296</v>
      </c>
      <c r="G6423" s="200" t="s">
        <v>44</v>
      </c>
      <c r="H6423" s="200" t="s">
        <v>421</v>
      </c>
    </row>
    <row r="6424" spans="1:8" ht="15" customHeight="1">
      <c r="A6424" s="199">
        <v>45769</v>
      </c>
      <c r="B6424" s="202" t="s">
        <v>5090</v>
      </c>
      <c r="C6424" s="200" t="s">
        <v>204</v>
      </c>
      <c r="D6424" s="658">
        <v>-1021700</v>
      </c>
      <c r="E6424" s="201">
        <v>45748</v>
      </c>
      <c r="F6424" s="200" t="s">
        <v>296</v>
      </c>
      <c r="G6424" s="200" t="s">
        <v>44</v>
      </c>
      <c r="H6424" s="200" t="s">
        <v>421</v>
      </c>
    </row>
    <row r="6425" spans="1:8" ht="15" customHeight="1">
      <c r="A6425" s="199">
        <v>45769</v>
      </c>
      <c r="B6425" s="202" t="s">
        <v>5091</v>
      </c>
      <c r="C6425" s="200" t="s">
        <v>204</v>
      </c>
      <c r="D6425" s="658">
        <v>-440900</v>
      </c>
      <c r="E6425" s="201">
        <v>45748</v>
      </c>
      <c r="F6425" s="200" t="s">
        <v>296</v>
      </c>
      <c r="G6425" s="200" t="s">
        <v>44</v>
      </c>
      <c r="H6425" s="200" t="s">
        <v>421</v>
      </c>
    </row>
    <row r="6426" spans="1:8" ht="15" customHeight="1">
      <c r="A6426" s="199">
        <v>45769</v>
      </c>
      <c r="B6426" s="202" t="s">
        <v>5092</v>
      </c>
      <c r="C6426" s="200" t="s">
        <v>204</v>
      </c>
      <c r="D6426" s="658">
        <v>-440900</v>
      </c>
      <c r="E6426" s="201">
        <v>45748</v>
      </c>
      <c r="F6426" s="200" t="s">
        <v>296</v>
      </c>
      <c r="G6426" s="200" t="s">
        <v>44</v>
      </c>
      <c r="H6426" s="200" t="s">
        <v>421</v>
      </c>
    </row>
    <row r="6427" spans="1:8" ht="15" customHeight="1">
      <c r="A6427" s="199">
        <v>45769</v>
      </c>
      <c r="B6427" s="202" t="s">
        <v>5093</v>
      </c>
      <c r="C6427" s="200" t="s">
        <v>204</v>
      </c>
      <c r="D6427" s="658">
        <v>-440900</v>
      </c>
      <c r="E6427" s="201">
        <v>45748</v>
      </c>
      <c r="F6427" s="200" t="s">
        <v>296</v>
      </c>
      <c r="G6427" s="200" t="s">
        <v>44</v>
      </c>
      <c r="H6427" s="200" t="s">
        <v>421</v>
      </c>
    </row>
    <row r="6428" spans="1:8" ht="15" customHeight="1">
      <c r="A6428" s="199">
        <v>45769</v>
      </c>
      <c r="B6428" s="202" t="s">
        <v>5094</v>
      </c>
      <c r="C6428" s="200" t="s">
        <v>204</v>
      </c>
      <c r="D6428" s="658">
        <v>-650200</v>
      </c>
      <c r="E6428" s="201">
        <v>45748</v>
      </c>
      <c r="F6428" s="200" t="s">
        <v>296</v>
      </c>
      <c r="G6428" s="200" t="s">
        <v>44</v>
      </c>
      <c r="H6428" s="200" t="s">
        <v>421</v>
      </c>
    </row>
    <row r="6429" spans="1:8" ht="15" customHeight="1">
      <c r="A6429" s="199">
        <v>45769</v>
      </c>
      <c r="B6429" s="202" t="s">
        <v>5095</v>
      </c>
      <c r="C6429" s="200" t="s">
        <v>204</v>
      </c>
      <c r="D6429" s="658">
        <v>-440900</v>
      </c>
      <c r="E6429" s="201">
        <v>45748</v>
      </c>
      <c r="F6429" s="200" t="s">
        <v>296</v>
      </c>
      <c r="G6429" s="200" t="s">
        <v>44</v>
      </c>
      <c r="H6429" s="200" t="s">
        <v>421</v>
      </c>
    </row>
    <row r="6430" spans="1:8" ht="15" customHeight="1">
      <c r="A6430" s="199">
        <v>45769</v>
      </c>
      <c r="B6430" s="202" t="s">
        <v>5096</v>
      </c>
      <c r="C6430" s="200" t="s">
        <v>204</v>
      </c>
      <c r="D6430" s="658">
        <v>-440900</v>
      </c>
      <c r="E6430" s="201">
        <v>45748</v>
      </c>
      <c r="F6430" s="200" t="s">
        <v>296</v>
      </c>
      <c r="G6430" s="200" t="s">
        <v>44</v>
      </c>
      <c r="H6430" s="200" t="s">
        <v>421</v>
      </c>
    </row>
    <row r="6431" spans="1:8" ht="15" customHeight="1">
      <c r="A6431" s="199">
        <v>45769</v>
      </c>
      <c r="B6431" s="202" t="s">
        <v>5097</v>
      </c>
      <c r="C6431" s="200" t="s">
        <v>204</v>
      </c>
      <c r="D6431" s="658">
        <v>-440900</v>
      </c>
      <c r="E6431" s="201">
        <v>45748</v>
      </c>
      <c r="F6431" s="200" t="s">
        <v>296</v>
      </c>
      <c r="G6431" s="200" t="s">
        <v>44</v>
      </c>
      <c r="H6431" s="200" t="s">
        <v>421</v>
      </c>
    </row>
    <row r="6432" spans="1:8" ht="15" customHeight="1">
      <c r="A6432" s="199">
        <v>45769</v>
      </c>
      <c r="B6432" s="202" t="s">
        <v>5098</v>
      </c>
      <c r="C6432" s="200" t="s">
        <v>204</v>
      </c>
      <c r="D6432" s="658">
        <v>-443300</v>
      </c>
      <c r="E6432" s="201">
        <v>45748</v>
      </c>
      <c r="F6432" s="200" t="s">
        <v>296</v>
      </c>
      <c r="G6432" s="200" t="s">
        <v>44</v>
      </c>
      <c r="H6432" s="200" t="s">
        <v>421</v>
      </c>
    </row>
    <row r="6433" spans="1:8" ht="15" customHeight="1">
      <c r="A6433" s="199">
        <v>45769</v>
      </c>
      <c r="B6433" s="202" t="s">
        <v>5099</v>
      </c>
      <c r="C6433" s="200" t="s">
        <v>204</v>
      </c>
      <c r="D6433" s="658">
        <v>-440900</v>
      </c>
      <c r="E6433" s="201">
        <v>45748</v>
      </c>
      <c r="F6433" s="200" t="s">
        <v>296</v>
      </c>
      <c r="G6433" s="200" t="s">
        <v>44</v>
      </c>
      <c r="H6433" s="200" t="s">
        <v>421</v>
      </c>
    </row>
    <row r="6434" spans="1:8" ht="15" customHeight="1">
      <c r="A6434" s="199">
        <v>45769</v>
      </c>
      <c r="B6434" s="202" t="s">
        <v>5100</v>
      </c>
      <c r="C6434" s="200" t="s">
        <v>204</v>
      </c>
      <c r="D6434" s="658">
        <v>-440900</v>
      </c>
      <c r="E6434" s="201">
        <v>45748</v>
      </c>
      <c r="F6434" s="200" t="s">
        <v>296</v>
      </c>
      <c r="G6434" s="200" t="s">
        <v>44</v>
      </c>
      <c r="H6434" s="200" t="s">
        <v>421</v>
      </c>
    </row>
    <row r="6435" spans="1:8" ht="15" customHeight="1">
      <c r="A6435" s="199">
        <v>45769</v>
      </c>
      <c r="B6435" s="202" t="s">
        <v>5101</v>
      </c>
      <c r="C6435" s="200" t="s">
        <v>204</v>
      </c>
      <c r="D6435" s="658">
        <v>-433800</v>
      </c>
      <c r="E6435" s="201">
        <v>45748</v>
      </c>
      <c r="F6435" s="200" t="s">
        <v>296</v>
      </c>
      <c r="G6435" s="200" t="s">
        <v>44</v>
      </c>
      <c r="H6435" s="200" t="s">
        <v>421</v>
      </c>
    </row>
    <row r="6436" spans="1:8" ht="15" customHeight="1">
      <c r="A6436" s="199">
        <v>45769</v>
      </c>
      <c r="B6436" s="202" t="s">
        <v>5102</v>
      </c>
      <c r="C6436" s="200" t="s">
        <v>204</v>
      </c>
      <c r="D6436" s="658">
        <v>-774000</v>
      </c>
      <c r="E6436" s="201">
        <v>45748</v>
      </c>
      <c r="F6436" s="200" t="s">
        <v>296</v>
      </c>
      <c r="G6436" s="200" t="s">
        <v>337</v>
      </c>
      <c r="H6436" s="200" t="s">
        <v>421</v>
      </c>
    </row>
    <row r="6437" spans="1:8" ht="15" customHeight="1">
      <c r="A6437" s="199">
        <v>45769</v>
      </c>
      <c r="B6437" s="202" t="s">
        <v>5103</v>
      </c>
      <c r="C6437" s="200" t="s">
        <v>204</v>
      </c>
      <c r="D6437" s="658">
        <v>-526400</v>
      </c>
      <c r="E6437" s="201">
        <v>45748</v>
      </c>
      <c r="F6437" s="200" t="s">
        <v>296</v>
      </c>
      <c r="G6437" s="200" t="s">
        <v>337</v>
      </c>
      <c r="H6437" s="200" t="s">
        <v>421</v>
      </c>
    </row>
    <row r="6438" spans="1:8" ht="15" customHeight="1">
      <c r="A6438" s="199">
        <v>45769</v>
      </c>
      <c r="B6438" s="202" t="s">
        <v>5104</v>
      </c>
      <c r="C6438" s="200" t="s">
        <v>204</v>
      </c>
      <c r="D6438" s="658">
        <v>-440900</v>
      </c>
      <c r="E6438" s="201">
        <v>45748</v>
      </c>
      <c r="F6438" s="200" t="s">
        <v>296</v>
      </c>
      <c r="G6438" s="200" t="s">
        <v>337</v>
      </c>
      <c r="H6438" s="200" t="s">
        <v>421</v>
      </c>
    </row>
    <row r="6439" spans="1:8" ht="15" customHeight="1">
      <c r="A6439" s="199">
        <v>45769</v>
      </c>
      <c r="B6439" s="202" t="s">
        <v>5105</v>
      </c>
      <c r="C6439" s="200" t="s">
        <v>204</v>
      </c>
      <c r="D6439" s="658">
        <v>-1393200</v>
      </c>
      <c r="E6439" s="201">
        <v>45748</v>
      </c>
      <c r="F6439" s="200" t="s">
        <v>296</v>
      </c>
      <c r="G6439" s="200" t="s">
        <v>337</v>
      </c>
      <c r="H6439" s="200" t="s">
        <v>421</v>
      </c>
    </row>
    <row r="6440" spans="1:8" ht="15" customHeight="1">
      <c r="A6440" s="199">
        <v>45769</v>
      </c>
      <c r="B6440" s="202" t="s">
        <v>5106</v>
      </c>
      <c r="C6440" s="200" t="s">
        <v>204</v>
      </c>
      <c r="D6440" s="658">
        <v>-440900</v>
      </c>
      <c r="E6440" s="201">
        <v>45748</v>
      </c>
      <c r="F6440" s="200" t="s">
        <v>296</v>
      </c>
      <c r="G6440" s="200" t="s">
        <v>337</v>
      </c>
      <c r="H6440" s="200" t="s">
        <v>421</v>
      </c>
    </row>
    <row r="6441" spans="1:8" ht="15" customHeight="1">
      <c r="A6441" s="199">
        <v>45769</v>
      </c>
      <c r="B6441" s="202" t="s">
        <v>5107</v>
      </c>
      <c r="C6441" s="200" t="s">
        <v>204</v>
      </c>
      <c r="D6441" s="658">
        <v>-132400</v>
      </c>
      <c r="E6441" s="201">
        <v>45748</v>
      </c>
      <c r="F6441" s="200" t="s">
        <v>296</v>
      </c>
      <c r="G6441" s="200" t="s">
        <v>337</v>
      </c>
      <c r="H6441" s="200" t="s">
        <v>421</v>
      </c>
    </row>
    <row r="6442" spans="1:8" ht="15" customHeight="1">
      <c r="A6442" s="199">
        <v>45769</v>
      </c>
      <c r="B6442" s="202" t="s">
        <v>5108</v>
      </c>
      <c r="C6442" s="200" t="s">
        <v>204</v>
      </c>
      <c r="D6442" s="658">
        <v>-526400</v>
      </c>
      <c r="E6442" s="201">
        <v>45748</v>
      </c>
      <c r="F6442" s="200" t="s">
        <v>296</v>
      </c>
      <c r="G6442" s="200" t="s">
        <v>337</v>
      </c>
      <c r="H6442" s="200" t="s">
        <v>421</v>
      </c>
    </row>
    <row r="6443" spans="1:8" ht="15" customHeight="1">
      <c r="A6443" s="199">
        <v>45769</v>
      </c>
      <c r="B6443" s="202" t="s">
        <v>5109</v>
      </c>
      <c r="C6443" s="200" t="s">
        <v>204</v>
      </c>
      <c r="D6443" s="658">
        <v>-132400</v>
      </c>
      <c r="E6443" s="201">
        <v>45748</v>
      </c>
      <c r="F6443" s="200" t="s">
        <v>296</v>
      </c>
      <c r="G6443" s="200" t="s">
        <v>337</v>
      </c>
      <c r="H6443" s="200" t="s">
        <v>421</v>
      </c>
    </row>
    <row r="6444" spans="1:8" ht="15" customHeight="1">
      <c r="A6444" s="199">
        <v>45769</v>
      </c>
      <c r="B6444" s="202" t="s">
        <v>5110</v>
      </c>
      <c r="C6444" s="200" t="s">
        <v>204</v>
      </c>
      <c r="D6444" s="658">
        <v>-526400</v>
      </c>
      <c r="E6444" s="201">
        <v>45748</v>
      </c>
      <c r="F6444" s="200" t="s">
        <v>296</v>
      </c>
      <c r="G6444" s="200" t="s">
        <v>337</v>
      </c>
      <c r="H6444" s="200" t="s">
        <v>421</v>
      </c>
    </row>
    <row r="6445" spans="1:8" ht="15" customHeight="1">
      <c r="A6445" s="199">
        <v>45769</v>
      </c>
      <c r="B6445" s="202" t="s">
        <v>5111</v>
      </c>
      <c r="C6445" s="200" t="s">
        <v>204</v>
      </c>
      <c r="D6445" s="658">
        <v>-440900</v>
      </c>
      <c r="E6445" s="201">
        <v>45748</v>
      </c>
      <c r="F6445" s="200" t="s">
        <v>296</v>
      </c>
      <c r="G6445" s="200" t="s">
        <v>337</v>
      </c>
      <c r="H6445" s="200" t="s">
        <v>421</v>
      </c>
    </row>
    <row r="6446" spans="1:8" ht="15" customHeight="1">
      <c r="A6446" s="199">
        <v>45769</v>
      </c>
      <c r="B6446" s="202" t="s">
        <v>5112</v>
      </c>
      <c r="C6446" s="200" t="s">
        <v>204</v>
      </c>
      <c r="D6446" s="658">
        <v>-440900</v>
      </c>
      <c r="E6446" s="201">
        <v>45748</v>
      </c>
      <c r="F6446" s="200" t="s">
        <v>296</v>
      </c>
      <c r="G6446" s="200" t="s">
        <v>337</v>
      </c>
      <c r="H6446" s="200" t="s">
        <v>421</v>
      </c>
    </row>
    <row r="6447" spans="1:8" ht="15" customHeight="1">
      <c r="A6447" s="199">
        <v>45769</v>
      </c>
      <c r="B6447" s="202" t="s">
        <v>5113</v>
      </c>
      <c r="C6447" s="200" t="s">
        <v>204</v>
      </c>
      <c r="D6447" s="658">
        <v>-774000</v>
      </c>
      <c r="E6447" s="201">
        <v>45748</v>
      </c>
      <c r="F6447" s="200" t="s">
        <v>296</v>
      </c>
      <c r="G6447" s="200" t="s">
        <v>337</v>
      </c>
      <c r="H6447" s="200" t="s">
        <v>338</v>
      </c>
    </row>
    <row r="6448" spans="1:8" ht="15" customHeight="1">
      <c r="A6448" s="199">
        <v>45769</v>
      </c>
      <c r="B6448" s="202" t="s">
        <v>5114</v>
      </c>
      <c r="C6448" s="200" t="s">
        <v>204</v>
      </c>
      <c r="D6448" s="658">
        <v>-440900</v>
      </c>
      <c r="E6448" s="201">
        <v>45748</v>
      </c>
      <c r="F6448" s="200" t="s">
        <v>296</v>
      </c>
      <c r="G6448" s="200" t="s">
        <v>337</v>
      </c>
      <c r="H6448" s="200" t="s">
        <v>421</v>
      </c>
    </row>
    <row r="6449" spans="1:8" ht="15" customHeight="1">
      <c r="A6449" s="199">
        <v>45769</v>
      </c>
      <c r="B6449" s="202" t="s">
        <v>5115</v>
      </c>
      <c r="C6449" s="200" t="s">
        <v>204</v>
      </c>
      <c r="D6449" s="658">
        <v>-440900</v>
      </c>
      <c r="E6449" s="201">
        <v>45748</v>
      </c>
      <c r="F6449" s="200" t="s">
        <v>296</v>
      </c>
      <c r="G6449" s="200" t="s">
        <v>337</v>
      </c>
      <c r="H6449" s="200" t="s">
        <v>421</v>
      </c>
    </row>
    <row r="6450" spans="1:8" ht="15" customHeight="1">
      <c r="A6450" s="199">
        <v>45769</v>
      </c>
      <c r="B6450" s="202" t="s">
        <v>5116</v>
      </c>
      <c r="C6450" s="200" t="s">
        <v>204</v>
      </c>
      <c r="D6450" s="658">
        <v>-440900</v>
      </c>
      <c r="E6450" s="201">
        <v>45748</v>
      </c>
      <c r="F6450" s="200" t="s">
        <v>296</v>
      </c>
      <c r="G6450" s="200" t="s">
        <v>337</v>
      </c>
      <c r="H6450" s="200" t="s">
        <v>421</v>
      </c>
    </row>
    <row r="6451" spans="1:8" ht="15" customHeight="1">
      <c r="A6451" s="199">
        <v>45769</v>
      </c>
      <c r="B6451" s="202" t="s">
        <v>5117</v>
      </c>
      <c r="C6451" s="200" t="s">
        <v>204</v>
      </c>
      <c r="D6451" s="658">
        <v>-440900</v>
      </c>
      <c r="E6451" s="201">
        <v>45748</v>
      </c>
      <c r="F6451" s="200" t="s">
        <v>296</v>
      </c>
      <c r="G6451" s="200" t="s">
        <v>337</v>
      </c>
      <c r="H6451" s="200" t="s">
        <v>421</v>
      </c>
    </row>
    <row r="6452" spans="1:8" ht="15" customHeight="1">
      <c r="A6452" s="199">
        <v>45769</v>
      </c>
      <c r="B6452" s="202" t="s">
        <v>5118</v>
      </c>
      <c r="C6452" s="200" t="s">
        <v>204</v>
      </c>
      <c r="D6452" s="658">
        <v>-897900</v>
      </c>
      <c r="E6452" s="201">
        <v>45748</v>
      </c>
      <c r="F6452" s="200" t="s">
        <v>296</v>
      </c>
      <c r="G6452" s="200" t="s">
        <v>337</v>
      </c>
      <c r="H6452" s="200" t="s">
        <v>421</v>
      </c>
    </row>
    <row r="6453" spans="1:8" ht="15" customHeight="1">
      <c r="A6453" s="199">
        <v>45769</v>
      </c>
      <c r="B6453" s="202" t="s">
        <v>5119</v>
      </c>
      <c r="C6453" s="200" t="s">
        <v>204</v>
      </c>
      <c r="D6453" s="658">
        <v>-440900</v>
      </c>
      <c r="E6453" s="201">
        <v>45748</v>
      </c>
      <c r="F6453" s="200" t="s">
        <v>296</v>
      </c>
      <c r="G6453" s="200" t="s">
        <v>337</v>
      </c>
      <c r="H6453" s="200" t="s">
        <v>421</v>
      </c>
    </row>
    <row r="6454" spans="1:8" ht="15" customHeight="1">
      <c r="A6454" s="199">
        <v>45769</v>
      </c>
      <c r="B6454" s="202" t="s">
        <v>5120</v>
      </c>
      <c r="C6454" s="200" t="s">
        <v>204</v>
      </c>
      <c r="D6454" s="658">
        <v>-132400</v>
      </c>
      <c r="E6454" s="201">
        <v>45748</v>
      </c>
      <c r="F6454" s="200" t="s">
        <v>296</v>
      </c>
      <c r="G6454" s="200" t="s">
        <v>337</v>
      </c>
      <c r="H6454" s="200" t="s">
        <v>421</v>
      </c>
    </row>
    <row r="6455" spans="1:8" ht="15" customHeight="1">
      <c r="A6455" s="199">
        <v>45769</v>
      </c>
      <c r="B6455" s="202" t="s">
        <v>5121</v>
      </c>
      <c r="C6455" s="200" t="s">
        <v>204</v>
      </c>
      <c r="D6455" s="658">
        <v>-409800</v>
      </c>
      <c r="E6455" s="201">
        <v>45748</v>
      </c>
      <c r="F6455" s="200" t="s">
        <v>296</v>
      </c>
      <c r="G6455" s="200" t="s">
        <v>337</v>
      </c>
      <c r="H6455" s="200" t="s">
        <v>421</v>
      </c>
    </row>
    <row r="6456" spans="1:8" ht="15" customHeight="1">
      <c r="A6456" s="199">
        <v>45769</v>
      </c>
      <c r="B6456" s="202" t="s">
        <v>5122</v>
      </c>
      <c r="C6456" s="200" t="s">
        <v>204</v>
      </c>
      <c r="D6456" s="658">
        <v>-440900</v>
      </c>
      <c r="E6456" s="201">
        <v>45748</v>
      </c>
      <c r="F6456" s="200" t="s">
        <v>296</v>
      </c>
      <c r="G6456" s="200" t="s">
        <v>337</v>
      </c>
      <c r="H6456" s="200" t="s">
        <v>421</v>
      </c>
    </row>
    <row r="6457" spans="1:8" ht="15" customHeight="1">
      <c r="A6457" s="199">
        <v>45769</v>
      </c>
      <c r="B6457" s="202" t="s">
        <v>5123</v>
      </c>
      <c r="C6457" s="200" t="s">
        <v>204</v>
      </c>
      <c r="D6457" s="658">
        <v>-474200</v>
      </c>
      <c r="E6457" s="201">
        <v>45748</v>
      </c>
      <c r="F6457" s="200" t="s">
        <v>296</v>
      </c>
      <c r="G6457" s="200" t="s">
        <v>337</v>
      </c>
      <c r="H6457" s="200" t="s">
        <v>421</v>
      </c>
    </row>
    <row r="6458" spans="1:8" ht="15" customHeight="1">
      <c r="A6458" s="199">
        <v>45769</v>
      </c>
      <c r="B6458" s="202" t="s">
        <v>5124</v>
      </c>
      <c r="C6458" s="200" t="s">
        <v>204</v>
      </c>
      <c r="D6458" s="658">
        <v>-443300</v>
      </c>
      <c r="E6458" s="201">
        <v>45748</v>
      </c>
      <c r="F6458" s="200" t="s">
        <v>296</v>
      </c>
      <c r="G6458" s="200" t="s">
        <v>337</v>
      </c>
      <c r="H6458" s="200" t="s">
        <v>421</v>
      </c>
    </row>
    <row r="6459" spans="1:8" ht="15" customHeight="1">
      <c r="A6459" s="199">
        <v>45769</v>
      </c>
      <c r="B6459" s="202" t="s">
        <v>5125</v>
      </c>
      <c r="C6459" s="200" t="s">
        <v>204</v>
      </c>
      <c r="D6459" s="658">
        <v>-928800</v>
      </c>
      <c r="E6459" s="201">
        <v>45748</v>
      </c>
      <c r="F6459" s="200" t="s">
        <v>296</v>
      </c>
      <c r="G6459" s="200" t="s">
        <v>337</v>
      </c>
      <c r="H6459" s="200" t="s">
        <v>421</v>
      </c>
    </row>
    <row r="6460" spans="1:8" ht="15" customHeight="1">
      <c r="A6460" s="199">
        <v>45769</v>
      </c>
      <c r="B6460" s="202" t="s">
        <v>5126</v>
      </c>
      <c r="C6460" s="200" t="s">
        <v>204</v>
      </c>
      <c r="D6460" s="658">
        <v>-526400</v>
      </c>
      <c r="E6460" s="201">
        <v>45748</v>
      </c>
      <c r="F6460" s="200" t="s">
        <v>296</v>
      </c>
      <c r="G6460" s="200" t="s">
        <v>522</v>
      </c>
      <c r="H6460" s="200" t="s">
        <v>429</v>
      </c>
    </row>
    <row r="6461" spans="1:8" ht="15" customHeight="1">
      <c r="A6461" s="199">
        <v>45769</v>
      </c>
      <c r="B6461" s="202" t="s">
        <v>5127</v>
      </c>
      <c r="C6461" s="200" t="s">
        <v>204</v>
      </c>
      <c r="D6461" s="658">
        <v>-440900</v>
      </c>
      <c r="E6461" s="201">
        <v>45748</v>
      </c>
      <c r="F6461" s="200" t="s">
        <v>296</v>
      </c>
      <c r="G6461" s="200" t="s">
        <v>522</v>
      </c>
      <c r="H6461" s="200" t="s">
        <v>429</v>
      </c>
    </row>
    <row r="6462" spans="1:8" ht="15" customHeight="1">
      <c r="A6462" s="199">
        <v>45769</v>
      </c>
      <c r="B6462" s="202" t="s">
        <v>5128</v>
      </c>
      <c r="C6462" s="200" t="s">
        <v>204</v>
      </c>
      <c r="D6462" s="658">
        <v>-443300</v>
      </c>
      <c r="E6462" s="201">
        <v>45748</v>
      </c>
      <c r="F6462" s="200" t="s">
        <v>296</v>
      </c>
      <c r="G6462" s="200" t="s">
        <v>522</v>
      </c>
      <c r="H6462" s="200" t="s">
        <v>429</v>
      </c>
    </row>
    <row r="6463" spans="1:8" ht="15" customHeight="1">
      <c r="A6463" s="199">
        <v>45769</v>
      </c>
      <c r="B6463" s="202" t="s">
        <v>5129</v>
      </c>
      <c r="C6463" s="200" t="s">
        <v>204</v>
      </c>
      <c r="D6463" s="658">
        <v>-443300</v>
      </c>
      <c r="E6463" s="201">
        <v>45748</v>
      </c>
      <c r="F6463" s="200" t="s">
        <v>296</v>
      </c>
      <c r="G6463" s="200" t="s">
        <v>522</v>
      </c>
      <c r="H6463" s="200" t="s">
        <v>429</v>
      </c>
    </row>
    <row r="6464" spans="1:8" ht="15" customHeight="1">
      <c r="A6464" s="199">
        <v>45769</v>
      </c>
      <c r="B6464" s="202" t="s">
        <v>5130</v>
      </c>
      <c r="C6464" s="200" t="s">
        <v>204</v>
      </c>
      <c r="D6464" s="658">
        <v>-440900</v>
      </c>
      <c r="E6464" s="201">
        <v>45748</v>
      </c>
      <c r="F6464" s="200" t="s">
        <v>296</v>
      </c>
      <c r="G6464" s="200" t="s">
        <v>522</v>
      </c>
      <c r="H6464" s="200" t="s">
        <v>429</v>
      </c>
    </row>
    <row r="6465" spans="1:9" ht="15" customHeight="1">
      <c r="A6465" s="199">
        <v>45769</v>
      </c>
      <c r="B6465" s="202" t="s">
        <v>5131</v>
      </c>
      <c r="C6465" s="200" t="s">
        <v>204</v>
      </c>
      <c r="D6465" s="658">
        <v>-440900</v>
      </c>
      <c r="E6465" s="201">
        <v>45748</v>
      </c>
      <c r="F6465" s="200" t="s">
        <v>296</v>
      </c>
      <c r="G6465" s="200" t="s">
        <v>522</v>
      </c>
      <c r="H6465" s="200" t="s">
        <v>429</v>
      </c>
    </row>
    <row r="6466" spans="1:9" ht="15" customHeight="1">
      <c r="A6466" s="199">
        <v>45769</v>
      </c>
      <c r="B6466" s="202" t="s">
        <v>5132</v>
      </c>
      <c r="C6466" s="200" t="s">
        <v>204</v>
      </c>
      <c r="D6466" s="658">
        <v>-443300</v>
      </c>
      <c r="E6466" s="201">
        <v>45748</v>
      </c>
      <c r="F6466" s="200" t="s">
        <v>296</v>
      </c>
      <c r="G6466" s="200" t="s">
        <v>522</v>
      </c>
      <c r="H6466" s="200" t="s">
        <v>429</v>
      </c>
    </row>
    <row r="6467" spans="1:9" ht="15" customHeight="1">
      <c r="A6467" s="199">
        <v>45769</v>
      </c>
      <c r="B6467" s="202" t="s">
        <v>5133</v>
      </c>
      <c r="C6467" s="200" t="s">
        <v>204</v>
      </c>
      <c r="D6467" s="658">
        <v>-928800</v>
      </c>
      <c r="E6467" s="201">
        <v>45748</v>
      </c>
      <c r="F6467" s="200" t="s">
        <v>296</v>
      </c>
      <c r="G6467" s="200" t="s">
        <v>522</v>
      </c>
      <c r="H6467" s="200" t="s">
        <v>429</v>
      </c>
    </row>
    <row r="6468" spans="1:9" ht="15" customHeight="1">
      <c r="A6468" s="199">
        <v>45769</v>
      </c>
      <c r="B6468" s="202" t="s">
        <v>5134</v>
      </c>
      <c r="C6468" s="200" t="s">
        <v>204</v>
      </c>
      <c r="D6468" s="658">
        <v>-284900</v>
      </c>
      <c r="E6468" s="201">
        <v>45748</v>
      </c>
      <c r="F6468" s="200" t="s">
        <v>296</v>
      </c>
      <c r="G6468" s="200" t="s">
        <v>522</v>
      </c>
      <c r="H6468" s="200" t="s">
        <v>429</v>
      </c>
    </row>
    <row r="6469" spans="1:9" ht="15" customHeight="1">
      <c r="A6469" s="199">
        <v>45769</v>
      </c>
      <c r="B6469" s="202" t="s">
        <v>5135</v>
      </c>
      <c r="C6469" s="200" t="s">
        <v>204</v>
      </c>
      <c r="D6469" s="658">
        <v>-443300</v>
      </c>
      <c r="E6469" s="201">
        <v>45748</v>
      </c>
      <c r="F6469" s="200" t="s">
        <v>296</v>
      </c>
      <c r="G6469" s="200" t="s">
        <v>522</v>
      </c>
      <c r="H6469" s="200" t="s">
        <v>429</v>
      </c>
    </row>
    <row r="6470" spans="1:9" ht="15" customHeight="1">
      <c r="A6470" s="199">
        <v>45769</v>
      </c>
      <c r="B6470" s="202" t="s">
        <v>5136</v>
      </c>
      <c r="C6470" s="200" t="s">
        <v>204</v>
      </c>
      <c r="D6470" s="658">
        <v>-440900</v>
      </c>
      <c r="E6470" s="201">
        <v>45748</v>
      </c>
      <c r="F6470" s="200" t="s">
        <v>296</v>
      </c>
      <c r="G6470" s="200" t="s">
        <v>522</v>
      </c>
      <c r="H6470" s="200" t="s">
        <v>429</v>
      </c>
    </row>
    <row r="6471" spans="1:9" ht="15" customHeight="1">
      <c r="A6471" s="199">
        <v>45769</v>
      </c>
      <c r="B6471" s="202" t="s">
        <v>5137</v>
      </c>
      <c r="C6471" s="200" t="s">
        <v>204</v>
      </c>
      <c r="D6471" s="658">
        <v>-440900</v>
      </c>
      <c r="E6471" s="201">
        <v>45748</v>
      </c>
      <c r="F6471" s="200" t="s">
        <v>296</v>
      </c>
      <c r="G6471" s="200" t="s">
        <v>522</v>
      </c>
      <c r="H6471" s="200" t="s">
        <v>429</v>
      </c>
    </row>
    <row r="6472" spans="1:9" ht="15" customHeight="1">
      <c r="A6472" s="199">
        <v>45769</v>
      </c>
      <c r="B6472" s="202" t="s">
        <v>5138</v>
      </c>
      <c r="C6472" s="200" t="s">
        <v>204</v>
      </c>
      <c r="D6472" s="658">
        <v>-440900</v>
      </c>
      <c r="E6472" s="201">
        <v>45748</v>
      </c>
      <c r="F6472" s="200" t="s">
        <v>296</v>
      </c>
      <c r="G6472" s="200" t="s">
        <v>522</v>
      </c>
      <c r="H6472" s="200" t="s">
        <v>429</v>
      </c>
    </row>
    <row r="6473" spans="1:9" ht="15" customHeight="1">
      <c r="A6473" s="199">
        <v>45769</v>
      </c>
      <c r="B6473" s="202" t="s">
        <v>5139</v>
      </c>
      <c r="C6473" s="200" t="s">
        <v>204</v>
      </c>
      <c r="D6473" s="658">
        <v>-443300</v>
      </c>
      <c r="E6473" s="201">
        <v>45748</v>
      </c>
      <c r="F6473" s="200" t="s">
        <v>296</v>
      </c>
      <c r="G6473" s="200" t="s">
        <v>522</v>
      </c>
      <c r="H6473" s="200" t="s">
        <v>429</v>
      </c>
    </row>
    <row r="6474" spans="1:9" ht="15" customHeight="1">
      <c r="A6474" s="199">
        <v>45769</v>
      </c>
      <c r="B6474" s="202" t="s">
        <v>5140</v>
      </c>
      <c r="C6474" s="200" t="s">
        <v>204</v>
      </c>
      <c r="D6474" s="658">
        <v>-440900</v>
      </c>
      <c r="E6474" s="201">
        <v>45748</v>
      </c>
      <c r="F6474" s="200" t="s">
        <v>296</v>
      </c>
      <c r="G6474" s="200" t="s">
        <v>522</v>
      </c>
      <c r="H6474" s="200" t="s">
        <v>429</v>
      </c>
    </row>
    <row r="6475" spans="1:9" ht="15" customHeight="1">
      <c r="A6475" s="199">
        <v>45769</v>
      </c>
      <c r="B6475" s="202" t="s">
        <v>5141</v>
      </c>
      <c r="C6475" s="200" t="s">
        <v>204</v>
      </c>
      <c r="D6475" s="658">
        <v>-440900</v>
      </c>
      <c r="E6475" s="201">
        <v>45748</v>
      </c>
      <c r="F6475" s="200" t="s">
        <v>297</v>
      </c>
      <c r="G6475" s="200" t="s">
        <v>1578</v>
      </c>
      <c r="H6475" s="200" t="s">
        <v>342</v>
      </c>
    </row>
    <row r="6476" spans="1:9" ht="15" customHeight="1">
      <c r="A6476" s="199">
        <v>45769</v>
      </c>
      <c r="B6476" s="202" t="s">
        <v>5142</v>
      </c>
      <c r="C6476" s="200" t="s">
        <v>204</v>
      </c>
      <c r="D6476" s="658">
        <v>-440900</v>
      </c>
      <c r="E6476" s="201">
        <v>45748</v>
      </c>
      <c r="F6476" s="200" t="s">
        <v>297</v>
      </c>
      <c r="G6476" s="200" t="s">
        <v>1578</v>
      </c>
      <c r="H6476" s="200" t="s">
        <v>342</v>
      </c>
    </row>
    <row r="6477" spans="1:9" ht="15" customHeight="1">
      <c r="A6477" s="199">
        <v>45769</v>
      </c>
      <c r="B6477" s="202" t="s">
        <v>5143</v>
      </c>
      <c r="C6477" s="200" t="s">
        <v>204</v>
      </c>
      <c r="D6477" s="658">
        <v>-440900</v>
      </c>
      <c r="E6477" s="201">
        <v>45748</v>
      </c>
      <c r="F6477" s="200" t="s">
        <v>297</v>
      </c>
      <c r="G6477" s="200" t="s">
        <v>1578</v>
      </c>
      <c r="H6477" s="200" t="s">
        <v>342</v>
      </c>
    </row>
    <row r="6478" spans="1:9" ht="15" customHeight="1">
      <c r="A6478" s="199">
        <v>45769</v>
      </c>
      <c r="B6478" s="202" t="s">
        <v>5144</v>
      </c>
      <c r="C6478" s="200" t="s">
        <v>136</v>
      </c>
      <c r="D6478" s="658">
        <v>-437600</v>
      </c>
      <c r="E6478" s="201">
        <v>45748</v>
      </c>
      <c r="F6478" s="200" t="s">
        <v>395</v>
      </c>
      <c r="G6478" s="531" t="s">
        <v>395</v>
      </c>
      <c r="H6478" s="200" t="s">
        <v>342</v>
      </c>
      <c r="I6478" s="673"/>
    </row>
    <row r="6479" spans="1:9" ht="15" customHeight="1">
      <c r="A6479" s="199">
        <v>45769</v>
      </c>
      <c r="B6479" s="202" t="s">
        <v>5145</v>
      </c>
      <c r="C6479" s="200" t="s">
        <v>136</v>
      </c>
      <c r="D6479" s="658">
        <v>-407500</v>
      </c>
      <c r="E6479" s="201">
        <v>45748</v>
      </c>
      <c r="F6479" s="200" t="s">
        <v>296</v>
      </c>
      <c r="G6479" s="200" t="s">
        <v>2994</v>
      </c>
      <c r="H6479" s="200" t="s">
        <v>342</v>
      </c>
    </row>
    <row r="6480" spans="1:9" ht="15" customHeight="1">
      <c r="A6480" s="199">
        <v>45769</v>
      </c>
      <c r="B6480" s="202" t="s">
        <v>5146</v>
      </c>
      <c r="C6480" s="200" t="s">
        <v>136</v>
      </c>
      <c r="D6480" s="658">
        <v>-682500</v>
      </c>
      <c r="E6480" s="201">
        <v>45748</v>
      </c>
      <c r="F6480" s="200" t="s">
        <v>297</v>
      </c>
      <c r="G6480" s="200" t="s">
        <v>1578</v>
      </c>
      <c r="H6480" s="200" t="s">
        <v>342</v>
      </c>
    </row>
    <row r="6481" spans="1:9" ht="15" customHeight="1">
      <c r="A6481" s="199">
        <v>45769</v>
      </c>
      <c r="B6481" s="202" t="s">
        <v>5147</v>
      </c>
      <c r="C6481" s="200" t="s">
        <v>136</v>
      </c>
      <c r="D6481" s="658">
        <v>-772500</v>
      </c>
      <c r="E6481" s="201">
        <v>45748</v>
      </c>
      <c r="F6481" s="200" t="s">
        <v>395</v>
      </c>
      <c r="G6481" s="531" t="s">
        <v>395</v>
      </c>
      <c r="H6481" s="200" t="s">
        <v>342</v>
      </c>
      <c r="I6481" s="673"/>
    </row>
    <row r="6482" spans="1:9" ht="15" customHeight="1">
      <c r="A6482" s="199">
        <v>45769</v>
      </c>
      <c r="B6482" s="202" t="s">
        <v>5148</v>
      </c>
      <c r="C6482" s="200" t="s">
        <v>136</v>
      </c>
      <c r="D6482" s="658">
        <v>-504900</v>
      </c>
      <c r="E6482" s="201">
        <v>45748</v>
      </c>
      <c r="F6482" s="200" t="s">
        <v>297</v>
      </c>
      <c r="G6482" s="200" t="s">
        <v>1313</v>
      </c>
      <c r="H6482" s="200" t="s">
        <v>342</v>
      </c>
    </row>
    <row r="6483" spans="1:9" ht="15" customHeight="1">
      <c r="A6483" s="199">
        <v>45769</v>
      </c>
      <c r="B6483" s="202" t="s">
        <v>5149</v>
      </c>
      <c r="C6483" s="200" t="s">
        <v>136</v>
      </c>
      <c r="D6483" s="658">
        <v>-440900</v>
      </c>
      <c r="E6483" s="201">
        <v>45748</v>
      </c>
      <c r="F6483" s="200" t="s">
        <v>296</v>
      </c>
      <c r="G6483" s="200" t="s">
        <v>2994</v>
      </c>
      <c r="H6483" s="200" t="s">
        <v>342</v>
      </c>
      <c r="I6483" s="648" t="s">
        <v>329</v>
      </c>
    </row>
    <row r="6484" spans="1:9" ht="15" customHeight="1">
      <c r="A6484" s="199">
        <v>45769</v>
      </c>
      <c r="B6484" s="202" t="s">
        <v>5150</v>
      </c>
      <c r="C6484" s="200" t="s">
        <v>136</v>
      </c>
      <c r="D6484" s="658">
        <v>-440900</v>
      </c>
      <c r="E6484" s="201">
        <v>45748</v>
      </c>
      <c r="F6484" s="200" t="s">
        <v>297</v>
      </c>
      <c r="G6484" s="200" t="s">
        <v>1313</v>
      </c>
      <c r="H6484" s="200" t="s">
        <v>342</v>
      </c>
    </row>
    <row r="6485" spans="1:9" ht="15" customHeight="1">
      <c r="A6485" s="199">
        <v>45769</v>
      </c>
      <c r="B6485" s="202" t="s">
        <v>5151</v>
      </c>
      <c r="C6485" s="200" t="s">
        <v>136</v>
      </c>
      <c r="D6485" s="658">
        <v>-495400</v>
      </c>
      <c r="E6485" s="201">
        <v>45748</v>
      </c>
      <c r="F6485" s="200" t="s">
        <v>297</v>
      </c>
      <c r="G6485" s="200" t="s">
        <v>1313</v>
      </c>
      <c r="H6485" s="200" t="s">
        <v>342</v>
      </c>
    </row>
    <row r="6486" spans="1:9" ht="15" customHeight="1">
      <c r="A6486" s="199">
        <v>45769</v>
      </c>
      <c r="B6486" s="202" t="s">
        <v>5152</v>
      </c>
      <c r="C6486" s="200" t="s">
        <v>136</v>
      </c>
      <c r="D6486" s="658">
        <v>-416900</v>
      </c>
      <c r="E6486" s="201">
        <v>45748</v>
      </c>
      <c r="F6486" s="200" t="s">
        <v>256</v>
      </c>
      <c r="G6486" s="200" t="s">
        <v>256</v>
      </c>
      <c r="H6486" s="200" t="s">
        <v>121</v>
      </c>
    </row>
    <row r="6487" spans="1:9" ht="15" customHeight="1">
      <c r="A6487" s="199">
        <v>45769</v>
      </c>
      <c r="B6487" s="202" t="s">
        <v>5153</v>
      </c>
      <c r="C6487" s="200" t="s">
        <v>136</v>
      </c>
      <c r="D6487" s="658">
        <v>-440900</v>
      </c>
      <c r="E6487" s="201">
        <v>45748</v>
      </c>
      <c r="F6487" s="200" t="s">
        <v>297</v>
      </c>
      <c r="G6487" s="200" t="s">
        <v>1313</v>
      </c>
      <c r="H6487" s="200" t="s">
        <v>342</v>
      </c>
    </row>
    <row r="6488" spans="1:9" ht="15" customHeight="1">
      <c r="A6488" s="199">
        <v>45769</v>
      </c>
      <c r="B6488" s="202" t="s">
        <v>5154</v>
      </c>
      <c r="C6488" s="200" t="s">
        <v>136</v>
      </c>
      <c r="D6488" s="658">
        <v>-509600</v>
      </c>
      <c r="E6488" s="201">
        <v>45748</v>
      </c>
      <c r="F6488" s="200" t="s">
        <v>256</v>
      </c>
      <c r="G6488" s="200" t="s">
        <v>256</v>
      </c>
      <c r="H6488" s="200" t="s">
        <v>121</v>
      </c>
    </row>
    <row r="6489" spans="1:9" ht="15" customHeight="1">
      <c r="A6489" s="199">
        <v>45769</v>
      </c>
      <c r="B6489" s="202" t="s">
        <v>5155</v>
      </c>
      <c r="C6489" s="200" t="s">
        <v>136</v>
      </c>
      <c r="D6489" s="658">
        <v>-437600</v>
      </c>
      <c r="E6489" s="201">
        <v>45748</v>
      </c>
      <c r="F6489" s="200" t="s">
        <v>395</v>
      </c>
      <c r="G6489" s="531" t="s">
        <v>395</v>
      </c>
      <c r="H6489" s="200" t="s">
        <v>342</v>
      </c>
      <c r="I6489" s="673"/>
    </row>
    <row r="6490" spans="1:9" ht="15" customHeight="1">
      <c r="A6490" s="199">
        <v>45769</v>
      </c>
      <c r="B6490" s="202" t="s">
        <v>5156</v>
      </c>
      <c r="C6490" s="200" t="s">
        <v>136</v>
      </c>
      <c r="D6490" s="658">
        <v>-492000</v>
      </c>
      <c r="E6490" s="201">
        <v>45748</v>
      </c>
      <c r="F6490" s="200" t="s">
        <v>395</v>
      </c>
      <c r="G6490" s="531" t="s">
        <v>395</v>
      </c>
      <c r="H6490" s="200" t="s">
        <v>342</v>
      </c>
      <c r="I6490" s="673"/>
    </row>
    <row r="6491" spans="1:9" ht="15" customHeight="1">
      <c r="A6491" s="199">
        <v>45769</v>
      </c>
      <c r="B6491" s="202" t="s">
        <v>5157</v>
      </c>
      <c r="C6491" s="200" t="s">
        <v>136</v>
      </c>
      <c r="D6491" s="658">
        <v>-435700</v>
      </c>
      <c r="E6491" s="201">
        <v>45748</v>
      </c>
      <c r="F6491" s="200" t="s">
        <v>395</v>
      </c>
      <c r="G6491" s="531" t="s">
        <v>395</v>
      </c>
      <c r="H6491" s="200" t="s">
        <v>342</v>
      </c>
      <c r="I6491" s="673"/>
    </row>
    <row r="6492" spans="1:9" ht="15" customHeight="1">
      <c r="A6492" s="199">
        <v>45769</v>
      </c>
      <c r="B6492" s="202" t="s">
        <v>5158</v>
      </c>
      <c r="C6492" s="200" t="s">
        <v>136</v>
      </c>
      <c r="D6492" s="658">
        <v>-440900</v>
      </c>
      <c r="E6492" s="201">
        <v>45748</v>
      </c>
      <c r="F6492" s="200" t="s">
        <v>297</v>
      </c>
      <c r="G6492" s="200" t="s">
        <v>1313</v>
      </c>
      <c r="H6492" s="200" t="s">
        <v>342</v>
      </c>
    </row>
    <row r="6493" spans="1:9" ht="15" customHeight="1">
      <c r="A6493" s="199">
        <v>45769</v>
      </c>
      <c r="B6493" s="202" t="s">
        <v>5159</v>
      </c>
      <c r="C6493" s="200" t="s">
        <v>136</v>
      </c>
      <c r="D6493" s="658">
        <v>-440900</v>
      </c>
      <c r="E6493" s="201">
        <v>45748</v>
      </c>
      <c r="F6493" s="200" t="s">
        <v>297</v>
      </c>
      <c r="G6493" s="200" t="s">
        <v>1313</v>
      </c>
      <c r="H6493" s="200" t="s">
        <v>342</v>
      </c>
      <c r="I6493" s="648" t="s">
        <v>329</v>
      </c>
    </row>
    <row r="6494" spans="1:9" ht="15" customHeight="1">
      <c r="A6494" s="199">
        <v>45769</v>
      </c>
      <c r="B6494" s="202" t="s">
        <v>5160</v>
      </c>
      <c r="C6494" s="200" t="s">
        <v>136</v>
      </c>
      <c r="D6494" s="658">
        <v>-648000</v>
      </c>
      <c r="E6494" s="201">
        <v>45748</v>
      </c>
      <c r="F6494" s="200" t="s">
        <v>256</v>
      </c>
      <c r="G6494" s="200" t="s">
        <v>107</v>
      </c>
      <c r="H6494" s="200" t="s">
        <v>121</v>
      </c>
    </row>
    <row r="6495" spans="1:9" ht="15" customHeight="1">
      <c r="A6495" s="199">
        <v>45769</v>
      </c>
      <c r="B6495" s="202" t="s">
        <v>5161</v>
      </c>
      <c r="C6495" s="200" t="s">
        <v>136</v>
      </c>
      <c r="D6495" s="658">
        <v>-681200</v>
      </c>
      <c r="E6495" s="201">
        <v>45748</v>
      </c>
      <c r="F6495" s="200" t="s">
        <v>256</v>
      </c>
      <c r="G6495" s="200" t="s">
        <v>107</v>
      </c>
      <c r="H6495" s="200" t="s">
        <v>121</v>
      </c>
    </row>
    <row r="6496" spans="1:9" ht="15" customHeight="1">
      <c r="A6496" s="199">
        <v>45769</v>
      </c>
      <c r="B6496" s="202" t="s">
        <v>5162</v>
      </c>
      <c r="C6496" s="200" t="s">
        <v>136</v>
      </c>
      <c r="D6496" s="658">
        <v>-507400</v>
      </c>
      <c r="E6496" s="201">
        <v>45748</v>
      </c>
      <c r="F6496" s="200" t="s">
        <v>296</v>
      </c>
      <c r="G6496" s="200" t="s">
        <v>1124</v>
      </c>
      <c r="H6496" s="200" t="s">
        <v>342</v>
      </c>
    </row>
    <row r="6497" spans="1:9" ht="15" customHeight="1">
      <c r="A6497" s="199">
        <v>45769</v>
      </c>
      <c r="B6497" s="202" t="s">
        <v>5163</v>
      </c>
      <c r="C6497" s="200" t="s">
        <v>136</v>
      </c>
      <c r="D6497" s="658">
        <v>-812700</v>
      </c>
      <c r="E6497" s="201">
        <v>45748</v>
      </c>
      <c r="F6497" s="200" t="s">
        <v>296</v>
      </c>
      <c r="G6497" s="200" t="s">
        <v>1124</v>
      </c>
      <c r="H6497" s="200" t="s">
        <v>342</v>
      </c>
    </row>
    <row r="6498" spans="1:9" ht="15" customHeight="1">
      <c r="A6498" s="199">
        <v>45769</v>
      </c>
      <c r="B6498" s="202" t="s">
        <v>5164</v>
      </c>
      <c r="C6498" s="200" t="s">
        <v>136</v>
      </c>
      <c r="D6498" s="658">
        <v>-464400</v>
      </c>
      <c r="E6498" s="201">
        <v>45748</v>
      </c>
      <c r="F6498" s="200" t="s">
        <v>296</v>
      </c>
      <c r="G6498" s="200" t="s">
        <v>1124</v>
      </c>
      <c r="H6498" s="200" t="s">
        <v>342</v>
      </c>
    </row>
    <row r="6499" spans="1:9" ht="15" customHeight="1">
      <c r="A6499" s="199">
        <v>45769</v>
      </c>
      <c r="B6499" s="202" t="s">
        <v>5165</v>
      </c>
      <c r="C6499" s="200" t="s">
        <v>136</v>
      </c>
      <c r="D6499" s="658">
        <v>-507400</v>
      </c>
      <c r="E6499" s="201">
        <v>45748</v>
      </c>
      <c r="F6499" s="200" t="s">
        <v>296</v>
      </c>
      <c r="G6499" s="200" t="s">
        <v>1124</v>
      </c>
      <c r="H6499" s="200" t="s">
        <v>342</v>
      </c>
    </row>
    <row r="6500" spans="1:9" ht="15" customHeight="1">
      <c r="A6500" s="199">
        <v>45769</v>
      </c>
      <c r="B6500" s="202" t="s">
        <v>5166</v>
      </c>
      <c r="C6500" s="200" t="s">
        <v>136</v>
      </c>
      <c r="D6500" s="658">
        <v>-507400</v>
      </c>
      <c r="E6500" s="201">
        <v>45748</v>
      </c>
      <c r="F6500" s="200" t="s">
        <v>296</v>
      </c>
      <c r="G6500" s="200" t="s">
        <v>1124</v>
      </c>
      <c r="H6500" s="200" t="s">
        <v>342</v>
      </c>
    </row>
    <row r="6501" spans="1:9" ht="15" customHeight="1">
      <c r="A6501" s="199">
        <v>45769</v>
      </c>
      <c r="B6501" s="202" t="s">
        <v>5167</v>
      </c>
      <c r="C6501" s="200" t="s">
        <v>204</v>
      </c>
      <c r="D6501" s="658">
        <v>-554400</v>
      </c>
      <c r="E6501" s="201">
        <v>45748</v>
      </c>
      <c r="F6501" s="200" t="s">
        <v>296</v>
      </c>
      <c r="G6501" s="200" t="s">
        <v>44</v>
      </c>
      <c r="H6501" s="200" t="s">
        <v>326</v>
      </c>
    </row>
    <row r="6502" spans="1:9" ht="15" customHeight="1">
      <c r="A6502" s="199">
        <v>45769</v>
      </c>
      <c r="B6502" s="202" t="s">
        <v>5168</v>
      </c>
      <c r="C6502" s="200" t="s">
        <v>372</v>
      </c>
      <c r="D6502" s="204">
        <v>-5600</v>
      </c>
      <c r="E6502" s="201">
        <v>45748</v>
      </c>
      <c r="F6502" s="200" t="s">
        <v>296</v>
      </c>
      <c r="G6502" s="200" t="s">
        <v>44</v>
      </c>
      <c r="H6502" s="200" t="s">
        <v>326</v>
      </c>
    </row>
    <row r="6503" spans="1:9" ht="15" customHeight="1">
      <c r="A6503" s="199">
        <v>45770</v>
      </c>
      <c r="B6503" s="202" t="s">
        <v>5169</v>
      </c>
      <c r="C6503" s="200" t="s">
        <v>204</v>
      </c>
      <c r="D6503" s="658">
        <v>-37031477</v>
      </c>
      <c r="E6503" s="201">
        <v>45748</v>
      </c>
      <c r="F6503" s="200" t="s">
        <v>296</v>
      </c>
      <c r="G6503" s="200" t="s">
        <v>522</v>
      </c>
      <c r="H6503" s="200" t="s">
        <v>848</v>
      </c>
    </row>
    <row r="6504" spans="1:9" ht="15" customHeight="1">
      <c r="A6504" s="199">
        <v>45770</v>
      </c>
      <c r="B6504" s="202" t="s">
        <v>5170</v>
      </c>
      <c r="C6504" s="200" t="s">
        <v>372</v>
      </c>
      <c r="D6504" s="204">
        <v>-3087521</v>
      </c>
      <c r="E6504" s="201">
        <v>45748</v>
      </c>
      <c r="F6504" s="200" t="s">
        <v>296</v>
      </c>
      <c r="G6504" s="200" t="s">
        <v>522</v>
      </c>
      <c r="H6504" s="200" t="s">
        <v>848</v>
      </c>
    </row>
    <row r="6505" spans="1:9" ht="15" customHeight="1">
      <c r="A6505" s="199">
        <v>45770</v>
      </c>
      <c r="B6505" s="202" t="s">
        <v>5171</v>
      </c>
      <c r="C6505" s="200" t="s">
        <v>204</v>
      </c>
      <c r="D6505" s="658">
        <v>-6933537</v>
      </c>
      <c r="E6505" s="201">
        <v>45748</v>
      </c>
      <c r="F6505" s="200" t="s">
        <v>296</v>
      </c>
      <c r="G6505" s="200" t="s">
        <v>1825</v>
      </c>
      <c r="H6505" s="200" t="s">
        <v>386</v>
      </c>
    </row>
    <row r="6506" spans="1:9" ht="15" customHeight="1">
      <c r="A6506" s="199">
        <v>45770</v>
      </c>
      <c r="B6506" s="202" t="s">
        <v>5172</v>
      </c>
      <c r="C6506" s="200" t="s">
        <v>204</v>
      </c>
      <c r="D6506" s="658">
        <v>-6949075</v>
      </c>
      <c r="E6506" s="201">
        <v>45748</v>
      </c>
      <c r="F6506" s="200" t="s">
        <v>296</v>
      </c>
      <c r="G6506" s="200" t="s">
        <v>807</v>
      </c>
      <c r="H6506" s="200" t="s">
        <v>386</v>
      </c>
    </row>
    <row r="6507" spans="1:9" ht="15" customHeight="1">
      <c r="A6507" s="199">
        <v>45770</v>
      </c>
      <c r="B6507" s="202" t="s">
        <v>5173</v>
      </c>
      <c r="C6507" s="200" t="s">
        <v>204</v>
      </c>
      <c r="D6507" s="658">
        <v>-821101</v>
      </c>
      <c r="E6507" s="201">
        <v>45748</v>
      </c>
      <c r="F6507" s="200" t="s">
        <v>296</v>
      </c>
      <c r="G6507" s="200" t="s">
        <v>1124</v>
      </c>
      <c r="H6507" s="200" t="s">
        <v>386</v>
      </c>
      <c r="I6507" s="648" t="s">
        <v>329</v>
      </c>
    </row>
    <row r="6508" spans="1:9" ht="15" customHeight="1">
      <c r="A6508" s="199">
        <v>45770</v>
      </c>
      <c r="B6508" s="202" t="s">
        <v>5174</v>
      </c>
      <c r="C6508" s="200" t="s">
        <v>204</v>
      </c>
      <c r="D6508" s="658">
        <v>-340000</v>
      </c>
      <c r="E6508" s="201">
        <v>45748</v>
      </c>
      <c r="F6508" s="200" t="s">
        <v>296</v>
      </c>
      <c r="G6508" s="200" t="s">
        <v>1362</v>
      </c>
      <c r="H6508" s="200" t="s">
        <v>342</v>
      </c>
    </row>
    <row r="6509" spans="1:9" ht="15" customHeight="1">
      <c r="A6509" s="199">
        <v>45770</v>
      </c>
      <c r="B6509" s="202" t="s">
        <v>5175</v>
      </c>
      <c r="C6509" s="200" t="s">
        <v>372</v>
      </c>
      <c r="D6509" s="204">
        <v>-12332</v>
      </c>
      <c r="E6509" s="201">
        <v>45748</v>
      </c>
      <c r="F6509" s="200" t="s">
        <v>296</v>
      </c>
      <c r="G6509" s="200" t="s">
        <v>1362</v>
      </c>
      <c r="H6509" s="200" t="s">
        <v>342</v>
      </c>
    </row>
    <row r="6510" spans="1:9" ht="15" customHeight="1">
      <c r="A6510" s="199">
        <v>45771</v>
      </c>
      <c r="B6510" s="202" t="s">
        <v>5176</v>
      </c>
      <c r="C6510" s="200" t="s">
        <v>204</v>
      </c>
      <c r="D6510" s="658">
        <v>-650000</v>
      </c>
      <c r="E6510" s="665">
        <v>45748</v>
      </c>
      <c r="F6510" s="648" t="s">
        <v>256</v>
      </c>
      <c r="G6510" s="648" t="s">
        <v>256</v>
      </c>
      <c r="H6510" s="648" t="s">
        <v>266</v>
      </c>
    </row>
    <row r="6511" spans="1:9" ht="15" customHeight="1">
      <c r="A6511" s="199">
        <v>45771</v>
      </c>
      <c r="B6511" s="202" t="s">
        <v>5177</v>
      </c>
      <c r="C6511" s="200" t="s">
        <v>204</v>
      </c>
      <c r="D6511" s="658">
        <v>-1380240</v>
      </c>
      <c r="E6511" s="201">
        <v>45748</v>
      </c>
      <c r="F6511" s="200" t="s">
        <v>256</v>
      </c>
      <c r="G6511" s="200" t="s">
        <v>107</v>
      </c>
      <c r="H6511" s="200" t="s">
        <v>777</v>
      </c>
    </row>
    <row r="6512" spans="1:9" ht="15" customHeight="1">
      <c r="A6512" s="199">
        <v>45771</v>
      </c>
      <c r="B6512" s="202" t="s">
        <v>5178</v>
      </c>
      <c r="C6512" s="200" t="s">
        <v>204</v>
      </c>
      <c r="D6512" s="658">
        <v>-200000</v>
      </c>
      <c r="E6512" s="201">
        <v>45748</v>
      </c>
      <c r="F6512" s="200" t="s">
        <v>256</v>
      </c>
      <c r="G6512" s="200" t="s">
        <v>107</v>
      </c>
      <c r="H6512" s="200" t="s">
        <v>9</v>
      </c>
    </row>
    <row r="6513" spans="1:8" ht="15" customHeight="1">
      <c r="A6513" s="199">
        <v>45771</v>
      </c>
      <c r="B6513" s="202" t="s">
        <v>5179</v>
      </c>
      <c r="C6513" s="200" t="s">
        <v>204</v>
      </c>
      <c r="D6513" s="658">
        <v>-4855496</v>
      </c>
      <c r="E6513" s="201">
        <v>45748</v>
      </c>
      <c r="F6513" s="200" t="s">
        <v>296</v>
      </c>
      <c r="G6513" s="200" t="s">
        <v>522</v>
      </c>
      <c r="H6513" s="200" t="s">
        <v>2715</v>
      </c>
    </row>
    <row r="6514" spans="1:8" ht="15" customHeight="1">
      <c r="A6514" s="199">
        <v>45771</v>
      </c>
      <c r="B6514" s="202" t="s">
        <v>5180</v>
      </c>
      <c r="C6514" s="200" t="s">
        <v>204</v>
      </c>
      <c r="D6514" s="658">
        <v>-4805665</v>
      </c>
      <c r="E6514" s="201">
        <v>45748</v>
      </c>
      <c r="F6514" s="648" t="s">
        <v>296</v>
      </c>
      <c r="G6514" s="648" t="s">
        <v>522</v>
      </c>
      <c r="H6514" s="648" t="s">
        <v>2715</v>
      </c>
    </row>
    <row r="6515" spans="1:8" ht="15" customHeight="1">
      <c r="A6515" s="199">
        <v>45771</v>
      </c>
      <c r="B6515" s="202" t="s">
        <v>5180</v>
      </c>
      <c r="C6515" s="200" t="s">
        <v>204</v>
      </c>
      <c r="D6515" s="658">
        <v>-4805665</v>
      </c>
      <c r="E6515" s="201">
        <v>45748</v>
      </c>
      <c r="F6515" s="648" t="s">
        <v>296</v>
      </c>
      <c r="G6515" s="648" t="s">
        <v>807</v>
      </c>
      <c r="H6515" s="648" t="s">
        <v>2715</v>
      </c>
    </row>
    <row r="6516" spans="1:8" ht="15" customHeight="1">
      <c r="A6516" s="199">
        <v>45771</v>
      </c>
      <c r="B6516" s="202" t="s">
        <v>5181</v>
      </c>
      <c r="C6516" s="200" t="s">
        <v>204</v>
      </c>
      <c r="D6516" s="658">
        <v>-9527097</v>
      </c>
      <c r="E6516" s="201">
        <v>45748</v>
      </c>
      <c r="F6516" s="202" t="s">
        <v>2714</v>
      </c>
      <c r="G6516" s="200" t="s">
        <v>337</v>
      </c>
      <c r="H6516" s="200" t="s">
        <v>2715</v>
      </c>
    </row>
    <row r="6517" spans="1:8" ht="15" customHeight="1">
      <c r="A6517" s="199">
        <v>45771</v>
      </c>
      <c r="B6517" s="202" t="s">
        <v>5182</v>
      </c>
      <c r="C6517" s="200" t="s">
        <v>204</v>
      </c>
      <c r="D6517" s="658">
        <v>-5517620</v>
      </c>
      <c r="E6517" s="201">
        <v>45748</v>
      </c>
      <c r="F6517" s="648" t="s">
        <v>296</v>
      </c>
      <c r="G6517" s="648" t="s">
        <v>44</v>
      </c>
      <c r="H6517" s="648" t="s">
        <v>2715</v>
      </c>
    </row>
    <row r="6518" spans="1:8" ht="15" customHeight="1">
      <c r="A6518" s="199">
        <v>45771</v>
      </c>
      <c r="B6518" s="202" t="s">
        <v>5182</v>
      </c>
      <c r="C6518" s="200" t="s">
        <v>204</v>
      </c>
      <c r="D6518" s="658">
        <v>-5517620</v>
      </c>
      <c r="E6518" s="201">
        <v>45748</v>
      </c>
      <c r="F6518" s="648" t="s">
        <v>296</v>
      </c>
      <c r="G6518" s="648" t="s">
        <v>1825</v>
      </c>
      <c r="H6518" s="648" t="s">
        <v>2715</v>
      </c>
    </row>
    <row r="6519" spans="1:8" ht="15" customHeight="1">
      <c r="A6519" s="199">
        <v>45771</v>
      </c>
      <c r="B6519" s="202" t="s">
        <v>5183</v>
      </c>
      <c r="C6519" s="200" t="s">
        <v>204</v>
      </c>
      <c r="D6519" s="658">
        <v>-4805665</v>
      </c>
      <c r="E6519" s="201">
        <v>45748</v>
      </c>
      <c r="F6519" s="648" t="s">
        <v>296</v>
      </c>
      <c r="G6519" s="648" t="s">
        <v>522</v>
      </c>
      <c r="H6519" s="648" t="s">
        <v>2715</v>
      </c>
    </row>
    <row r="6520" spans="1:8" ht="15" customHeight="1">
      <c r="A6520" s="199">
        <v>45771</v>
      </c>
      <c r="B6520" s="202" t="s">
        <v>5183</v>
      </c>
      <c r="C6520" s="200" t="s">
        <v>204</v>
      </c>
      <c r="D6520" s="658">
        <v>-4805665</v>
      </c>
      <c r="E6520" s="201">
        <v>45748</v>
      </c>
      <c r="F6520" s="648" t="s">
        <v>296</v>
      </c>
      <c r="G6520" s="648" t="s">
        <v>807</v>
      </c>
      <c r="H6520" s="648" t="s">
        <v>2715</v>
      </c>
    </row>
    <row r="6521" spans="1:8" ht="15" customHeight="1">
      <c r="A6521" s="199">
        <v>45771</v>
      </c>
      <c r="B6521" s="202" t="s">
        <v>5184</v>
      </c>
      <c r="C6521" s="200" t="s">
        <v>204</v>
      </c>
      <c r="D6521" s="658">
        <v>-4805665</v>
      </c>
      <c r="E6521" s="201">
        <v>45748</v>
      </c>
      <c r="F6521" s="648" t="s">
        <v>296</v>
      </c>
      <c r="G6521" s="648" t="s">
        <v>522</v>
      </c>
      <c r="H6521" s="648" t="s">
        <v>2715</v>
      </c>
    </row>
    <row r="6522" spans="1:8" ht="15" customHeight="1">
      <c r="A6522" s="199">
        <v>45771</v>
      </c>
      <c r="B6522" s="202" t="s">
        <v>5184</v>
      </c>
      <c r="C6522" s="200" t="s">
        <v>204</v>
      </c>
      <c r="D6522" s="658">
        <v>-4805665</v>
      </c>
      <c r="E6522" s="201">
        <v>45748</v>
      </c>
      <c r="F6522" s="648" t="s">
        <v>296</v>
      </c>
      <c r="G6522" s="648" t="s">
        <v>807</v>
      </c>
      <c r="H6522" s="648" t="s">
        <v>2715</v>
      </c>
    </row>
    <row r="6523" spans="1:8" ht="15" customHeight="1">
      <c r="A6523" s="199">
        <v>45771</v>
      </c>
      <c r="B6523" s="202" t="s">
        <v>5185</v>
      </c>
      <c r="C6523" s="200" t="s">
        <v>204</v>
      </c>
      <c r="D6523" s="658">
        <v>-131000</v>
      </c>
      <c r="E6523" s="201">
        <v>45748</v>
      </c>
      <c r="F6523" s="200" t="s">
        <v>256</v>
      </c>
      <c r="G6523" s="200" t="s">
        <v>256</v>
      </c>
      <c r="H6523" s="200" t="s">
        <v>265</v>
      </c>
    </row>
    <row r="6524" spans="1:8" ht="15" customHeight="1">
      <c r="A6524" s="199">
        <v>45769</v>
      </c>
      <c r="B6524" s="202" t="s">
        <v>5186</v>
      </c>
      <c r="C6524" s="200" t="s">
        <v>136</v>
      </c>
      <c r="D6524" s="658">
        <v>-115200</v>
      </c>
      <c r="E6524" s="201">
        <v>45748</v>
      </c>
      <c r="F6524" s="200" t="s">
        <v>296</v>
      </c>
      <c r="G6524" s="200" t="s">
        <v>1362</v>
      </c>
      <c r="H6524" s="200" t="s">
        <v>379</v>
      </c>
    </row>
    <row r="6525" spans="1:8" ht="15" customHeight="1">
      <c r="A6525" s="199">
        <v>45769</v>
      </c>
      <c r="B6525" s="202" t="s">
        <v>5186</v>
      </c>
      <c r="C6525" s="200" t="s">
        <v>136</v>
      </c>
      <c r="D6525" s="658">
        <v>-60000</v>
      </c>
      <c r="E6525" s="201">
        <v>45748</v>
      </c>
      <c r="F6525" s="200" t="s">
        <v>296</v>
      </c>
      <c r="G6525" s="200" t="s">
        <v>1362</v>
      </c>
      <c r="H6525" s="200" t="s">
        <v>379</v>
      </c>
    </row>
    <row r="6526" spans="1:8" ht="15" customHeight="1">
      <c r="A6526" s="199">
        <v>45769</v>
      </c>
      <c r="B6526" s="202" t="s">
        <v>5187</v>
      </c>
      <c r="C6526" s="200" t="s">
        <v>136</v>
      </c>
      <c r="D6526" s="658">
        <v>-2262123</v>
      </c>
      <c r="E6526" s="201">
        <v>45748</v>
      </c>
      <c r="F6526" s="200" t="s">
        <v>296</v>
      </c>
      <c r="G6526" s="200" t="s">
        <v>337</v>
      </c>
      <c r="H6526" s="200" t="s">
        <v>421</v>
      </c>
    </row>
    <row r="6527" spans="1:8" ht="15" customHeight="1">
      <c r="A6527" s="199">
        <v>45769</v>
      </c>
      <c r="B6527" s="202" t="s">
        <v>5188</v>
      </c>
      <c r="C6527" s="200" t="s">
        <v>136</v>
      </c>
      <c r="D6527" s="658">
        <v>-114395</v>
      </c>
      <c r="E6527" s="201">
        <v>45748</v>
      </c>
      <c r="F6527" s="200" t="s">
        <v>296</v>
      </c>
      <c r="G6527" s="200" t="s">
        <v>1362</v>
      </c>
      <c r="H6527" s="200" t="s">
        <v>364</v>
      </c>
    </row>
    <row r="6528" spans="1:8" ht="15" customHeight="1">
      <c r="A6528" s="199">
        <v>45769</v>
      </c>
      <c r="B6528" s="202" t="s">
        <v>5189</v>
      </c>
      <c r="C6528" s="200" t="s">
        <v>136</v>
      </c>
      <c r="D6528" s="658">
        <v>-616420</v>
      </c>
      <c r="E6528" s="201">
        <v>45748</v>
      </c>
      <c r="F6528" s="200" t="s">
        <v>297</v>
      </c>
      <c r="G6528" s="200" t="s">
        <v>71</v>
      </c>
      <c r="H6528" s="200" t="s">
        <v>837</v>
      </c>
    </row>
    <row r="6529" spans="1:9" ht="15" customHeight="1">
      <c r="A6529" s="199">
        <v>45769</v>
      </c>
      <c r="B6529" s="202" t="s">
        <v>5190</v>
      </c>
      <c r="C6529" s="200" t="s">
        <v>136</v>
      </c>
      <c r="D6529" s="658">
        <v>-2397570</v>
      </c>
      <c r="E6529" s="201">
        <v>45748</v>
      </c>
      <c r="F6529" s="200" t="s">
        <v>296</v>
      </c>
      <c r="G6529" s="200" t="s">
        <v>415</v>
      </c>
      <c r="H6529" s="200" t="s">
        <v>837</v>
      </c>
    </row>
    <row r="6530" spans="1:9" ht="15" customHeight="1">
      <c r="A6530" s="199">
        <v>45769</v>
      </c>
      <c r="B6530" s="202" t="s">
        <v>5191</v>
      </c>
      <c r="C6530" s="200" t="s">
        <v>372</v>
      </c>
      <c r="D6530" s="204">
        <v>-51450</v>
      </c>
      <c r="E6530" s="201">
        <v>45748</v>
      </c>
      <c r="F6530" s="200" t="s">
        <v>296</v>
      </c>
      <c r="G6530" s="200" t="s">
        <v>415</v>
      </c>
      <c r="H6530" s="200" t="s">
        <v>837</v>
      </c>
      <c r="I6530" s="648" t="s">
        <v>329</v>
      </c>
    </row>
    <row r="6531" spans="1:9" ht="15" customHeight="1">
      <c r="A6531" s="199">
        <v>45769</v>
      </c>
      <c r="B6531" s="202" t="s">
        <v>5192</v>
      </c>
      <c r="C6531" s="200" t="s">
        <v>136</v>
      </c>
      <c r="D6531" s="658">
        <v>-12449956</v>
      </c>
      <c r="E6531" s="201">
        <v>45748</v>
      </c>
      <c r="F6531" s="200" t="s">
        <v>297</v>
      </c>
      <c r="G6531" s="200" t="s">
        <v>3892</v>
      </c>
      <c r="H6531" s="200" t="s">
        <v>377</v>
      </c>
    </row>
    <row r="6532" spans="1:9" ht="15" customHeight="1">
      <c r="A6532" s="199">
        <v>45769</v>
      </c>
      <c r="B6532" s="202" t="s">
        <v>5193</v>
      </c>
      <c r="C6532" s="200" t="s">
        <v>136</v>
      </c>
      <c r="D6532" s="658">
        <v>-65000</v>
      </c>
      <c r="E6532" s="201">
        <v>45748</v>
      </c>
      <c r="F6532" s="200" t="s">
        <v>296</v>
      </c>
      <c r="G6532" s="200" t="s">
        <v>1362</v>
      </c>
      <c r="H6532" s="200" t="s">
        <v>379</v>
      </c>
    </row>
    <row r="6533" spans="1:9" ht="15" customHeight="1">
      <c r="A6533" s="199">
        <v>45769</v>
      </c>
      <c r="B6533" s="202" t="s">
        <v>5194</v>
      </c>
      <c r="C6533" s="200" t="s">
        <v>136</v>
      </c>
      <c r="D6533" s="658">
        <v>-676115</v>
      </c>
      <c r="E6533" s="201">
        <v>45748</v>
      </c>
      <c r="F6533" s="200" t="s">
        <v>296</v>
      </c>
      <c r="G6533" s="200" t="s">
        <v>1362</v>
      </c>
      <c r="H6533" s="200" t="s">
        <v>364</v>
      </c>
    </row>
    <row r="6534" spans="1:9" ht="15" customHeight="1">
      <c r="A6534" s="199">
        <v>45769</v>
      </c>
      <c r="B6534" s="202" t="s">
        <v>5195</v>
      </c>
      <c r="C6534" s="200" t="s">
        <v>136</v>
      </c>
      <c r="D6534" s="658">
        <v>-12662343</v>
      </c>
      <c r="E6534" s="201">
        <v>45748</v>
      </c>
      <c r="F6534" s="200" t="s">
        <v>297</v>
      </c>
      <c r="G6534" s="200" t="s">
        <v>71</v>
      </c>
      <c r="H6534" s="200" t="s">
        <v>364</v>
      </c>
    </row>
    <row r="6535" spans="1:9" ht="15" customHeight="1">
      <c r="A6535" s="199">
        <v>45769</v>
      </c>
      <c r="B6535" s="202" t="s">
        <v>5196</v>
      </c>
      <c r="C6535" s="200" t="s">
        <v>136</v>
      </c>
      <c r="D6535" s="658">
        <v>-400000</v>
      </c>
      <c r="E6535" s="201">
        <v>45748</v>
      </c>
      <c r="F6535" s="200" t="s">
        <v>256</v>
      </c>
      <c r="G6535" s="200" t="s">
        <v>256</v>
      </c>
      <c r="H6535" s="200" t="s">
        <v>257</v>
      </c>
    </row>
    <row r="6536" spans="1:9" ht="15" customHeight="1">
      <c r="A6536" s="199">
        <v>45769</v>
      </c>
      <c r="B6536" s="202" t="s">
        <v>5197</v>
      </c>
      <c r="C6536" s="200" t="s">
        <v>136</v>
      </c>
      <c r="D6536" s="658">
        <v>-16380000</v>
      </c>
      <c r="E6536" s="665">
        <v>45748</v>
      </c>
      <c r="F6536" s="648" t="s">
        <v>296</v>
      </c>
      <c r="G6536" s="648" t="s">
        <v>57</v>
      </c>
      <c r="H6536" s="648" t="s">
        <v>103</v>
      </c>
    </row>
    <row r="6537" spans="1:9" ht="15" customHeight="1">
      <c r="A6537" s="199">
        <v>45769</v>
      </c>
      <c r="B6537" s="202" t="s">
        <v>5198</v>
      </c>
      <c r="C6537" s="200" t="s">
        <v>136</v>
      </c>
      <c r="D6537" s="658">
        <v>-2734899</v>
      </c>
      <c r="E6537" s="201">
        <v>45748</v>
      </c>
      <c r="F6537" s="200" t="s">
        <v>296</v>
      </c>
      <c r="G6537" s="200" t="s">
        <v>1980</v>
      </c>
      <c r="H6537" s="200" t="s">
        <v>322</v>
      </c>
    </row>
    <row r="6538" spans="1:9" ht="15" customHeight="1">
      <c r="A6538" s="199">
        <v>45769</v>
      </c>
      <c r="B6538" s="202" t="s">
        <v>5199</v>
      </c>
      <c r="C6538" s="200" t="s">
        <v>372</v>
      </c>
      <c r="D6538" s="204">
        <v>-58993</v>
      </c>
      <c r="E6538" s="201">
        <v>45748</v>
      </c>
      <c r="F6538" s="200" t="s">
        <v>296</v>
      </c>
      <c r="G6538" s="200" t="s">
        <v>1980</v>
      </c>
      <c r="H6538" s="200" t="s">
        <v>322</v>
      </c>
    </row>
    <row r="6539" spans="1:9" ht="15" customHeight="1">
      <c r="A6539" s="199">
        <v>45769</v>
      </c>
      <c r="B6539" s="202" t="s">
        <v>5200</v>
      </c>
      <c r="C6539" s="200" t="s">
        <v>372</v>
      </c>
      <c r="D6539" s="204">
        <v>-14158</v>
      </c>
      <c r="E6539" s="201">
        <v>45748</v>
      </c>
      <c r="F6539" s="200" t="s">
        <v>296</v>
      </c>
      <c r="G6539" s="200" t="s">
        <v>1980</v>
      </c>
      <c r="H6539" s="200" t="s">
        <v>322</v>
      </c>
    </row>
    <row r="6540" spans="1:9" ht="15" customHeight="1">
      <c r="A6540" s="199">
        <v>45769</v>
      </c>
      <c r="B6540" s="202" t="s">
        <v>5198</v>
      </c>
      <c r="C6540" s="200" t="s">
        <v>136</v>
      </c>
      <c r="D6540" s="658">
        <v>-9074</v>
      </c>
      <c r="E6540" s="201">
        <v>45748</v>
      </c>
      <c r="F6540" s="200" t="s">
        <v>296</v>
      </c>
      <c r="G6540" s="200" t="s">
        <v>1825</v>
      </c>
      <c r="H6540" s="200" t="s">
        <v>322</v>
      </c>
    </row>
    <row r="6541" spans="1:9" ht="15" customHeight="1">
      <c r="A6541" s="199">
        <v>45769</v>
      </c>
      <c r="B6541" s="202" t="s">
        <v>5199</v>
      </c>
      <c r="C6541" s="200" t="s">
        <v>372</v>
      </c>
      <c r="D6541" s="204">
        <v>-223</v>
      </c>
      <c r="E6541" s="201">
        <v>45748</v>
      </c>
      <c r="F6541" s="200" t="s">
        <v>296</v>
      </c>
      <c r="G6541" s="200" t="s">
        <v>1825</v>
      </c>
      <c r="H6541" s="200" t="s">
        <v>322</v>
      </c>
    </row>
    <row r="6542" spans="1:9" ht="15" customHeight="1">
      <c r="A6542" s="199">
        <v>45769</v>
      </c>
      <c r="B6542" s="202" t="s">
        <v>5200</v>
      </c>
      <c r="C6542" s="200" t="s">
        <v>372</v>
      </c>
      <c r="D6542" s="204">
        <v>-53</v>
      </c>
      <c r="E6542" s="201">
        <v>45748</v>
      </c>
      <c r="F6542" s="200" t="s">
        <v>296</v>
      </c>
      <c r="G6542" s="200" t="s">
        <v>1825</v>
      </c>
      <c r="H6542" s="200" t="s">
        <v>322</v>
      </c>
    </row>
    <row r="6543" spans="1:9" ht="15" customHeight="1">
      <c r="A6543" s="199">
        <v>45769</v>
      </c>
      <c r="B6543" s="202" t="s">
        <v>5198</v>
      </c>
      <c r="C6543" s="200" t="s">
        <v>136</v>
      </c>
      <c r="D6543" s="658">
        <v>-9074</v>
      </c>
      <c r="E6543" s="201">
        <v>45748</v>
      </c>
      <c r="F6543" s="200" t="s">
        <v>296</v>
      </c>
      <c r="G6543" s="200" t="s">
        <v>522</v>
      </c>
      <c r="H6543" s="200" t="s">
        <v>322</v>
      </c>
    </row>
    <row r="6544" spans="1:9" ht="15" customHeight="1">
      <c r="A6544" s="199">
        <v>45769</v>
      </c>
      <c r="B6544" s="202" t="s">
        <v>5199</v>
      </c>
      <c r="C6544" s="200" t="s">
        <v>372</v>
      </c>
      <c r="D6544" s="204">
        <v>-223</v>
      </c>
      <c r="E6544" s="201">
        <v>45748</v>
      </c>
      <c r="F6544" s="200" t="s">
        <v>296</v>
      </c>
      <c r="G6544" s="200" t="s">
        <v>522</v>
      </c>
      <c r="H6544" s="200" t="s">
        <v>322</v>
      </c>
    </row>
    <row r="6545" spans="1:8" ht="15" customHeight="1">
      <c r="A6545" s="199">
        <v>45769</v>
      </c>
      <c r="B6545" s="202" t="s">
        <v>5200</v>
      </c>
      <c r="C6545" s="200" t="s">
        <v>372</v>
      </c>
      <c r="D6545" s="204">
        <v>-53</v>
      </c>
      <c r="E6545" s="201">
        <v>45748</v>
      </c>
      <c r="F6545" s="200" t="s">
        <v>296</v>
      </c>
      <c r="G6545" s="200" t="s">
        <v>522</v>
      </c>
      <c r="H6545" s="200" t="s">
        <v>322</v>
      </c>
    </row>
    <row r="6546" spans="1:8" ht="15" customHeight="1">
      <c r="A6546" s="199">
        <v>45769</v>
      </c>
      <c r="B6546" s="202" t="s">
        <v>5201</v>
      </c>
      <c r="C6546" s="200" t="s">
        <v>136</v>
      </c>
      <c r="D6546" s="658">
        <v>-110446</v>
      </c>
      <c r="E6546" s="201">
        <v>45748</v>
      </c>
      <c r="F6546" s="200" t="s">
        <v>297</v>
      </c>
      <c r="G6546" s="200" t="s">
        <v>71</v>
      </c>
      <c r="H6546" s="200" t="s">
        <v>350</v>
      </c>
    </row>
    <row r="6547" spans="1:8" ht="15" customHeight="1">
      <c r="A6547" s="199">
        <v>45769</v>
      </c>
      <c r="B6547" s="202" t="s">
        <v>5202</v>
      </c>
      <c r="C6547" s="200" t="s">
        <v>372</v>
      </c>
      <c r="D6547" s="204">
        <v>-2382</v>
      </c>
      <c r="E6547" s="201">
        <v>45748</v>
      </c>
      <c r="F6547" s="200" t="s">
        <v>297</v>
      </c>
      <c r="G6547" s="200" t="s">
        <v>71</v>
      </c>
      <c r="H6547" s="200" t="s">
        <v>350</v>
      </c>
    </row>
    <row r="6548" spans="1:8" ht="15" customHeight="1">
      <c r="A6548" s="199">
        <v>45769</v>
      </c>
      <c r="B6548" s="202" t="s">
        <v>5203</v>
      </c>
      <c r="C6548" s="200" t="s">
        <v>372</v>
      </c>
      <c r="D6548" s="204">
        <v>-572</v>
      </c>
      <c r="E6548" s="201">
        <v>45748</v>
      </c>
      <c r="F6548" s="200" t="s">
        <v>297</v>
      </c>
      <c r="G6548" s="200" t="s">
        <v>71</v>
      </c>
      <c r="H6548" s="200" t="s">
        <v>350</v>
      </c>
    </row>
    <row r="6549" spans="1:8" ht="15" customHeight="1">
      <c r="A6549" s="199">
        <v>45769</v>
      </c>
      <c r="B6549" s="202" t="s">
        <v>5204</v>
      </c>
      <c r="C6549" s="200" t="s">
        <v>136</v>
      </c>
      <c r="D6549" s="658">
        <v>-830000</v>
      </c>
      <c r="E6549" s="201">
        <v>45748</v>
      </c>
      <c r="F6549" s="200" t="s">
        <v>296</v>
      </c>
      <c r="G6549" s="200" t="s">
        <v>522</v>
      </c>
      <c r="H6549" s="200" t="s">
        <v>326</v>
      </c>
    </row>
    <row r="6550" spans="1:8" ht="15" customHeight="1">
      <c r="A6550" s="199">
        <v>45769</v>
      </c>
      <c r="B6550" s="202" t="s">
        <v>5205</v>
      </c>
      <c r="C6550" s="200" t="s">
        <v>372</v>
      </c>
      <c r="D6550" s="204">
        <v>-30104</v>
      </c>
      <c r="E6550" s="201">
        <v>45748</v>
      </c>
      <c r="F6550" s="200" t="s">
        <v>296</v>
      </c>
      <c r="G6550" s="200" t="s">
        <v>522</v>
      </c>
      <c r="H6550" s="200" t="s">
        <v>326</v>
      </c>
    </row>
    <row r="6551" spans="1:8" ht="15" customHeight="1">
      <c r="A6551" s="199">
        <v>45771</v>
      </c>
      <c r="B6551" s="202" t="s">
        <v>5206</v>
      </c>
      <c r="C6551" s="200" t="s">
        <v>204</v>
      </c>
      <c r="D6551" s="658">
        <v>-1550941</v>
      </c>
      <c r="E6551" s="201">
        <v>45748</v>
      </c>
      <c r="F6551" s="200" t="s">
        <v>296</v>
      </c>
      <c r="G6551" s="200" t="s">
        <v>1980</v>
      </c>
      <c r="H6551" s="200" t="s">
        <v>322</v>
      </c>
    </row>
    <row r="6552" spans="1:8" ht="15" customHeight="1">
      <c r="A6552" s="199">
        <v>45771</v>
      </c>
      <c r="B6552" s="202" t="s">
        <v>5207</v>
      </c>
      <c r="C6552" s="200" t="s">
        <v>372</v>
      </c>
      <c r="D6552" s="204">
        <v>-7859</v>
      </c>
      <c r="E6552" s="201">
        <v>45748</v>
      </c>
      <c r="F6552" s="200" t="s">
        <v>296</v>
      </c>
      <c r="G6552" s="200" t="s">
        <v>1980</v>
      </c>
      <c r="H6552" s="200" t="s">
        <v>322</v>
      </c>
    </row>
    <row r="6553" spans="1:8" ht="15" customHeight="1">
      <c r="A6553" s="199">
        <v>45771</v>
      </c>
      <c r="B6553" s="202" t="s">
        <v>5208</v>
      </c>
      <c r="C6553" s="200" t="s">
        <v>204</v>
      </c>
      <c r="D6553" s="658">
        <v>-81599</v>
      </c>
      <c r="E6553" s="201">
        <v>45748</v>
      </c>
      <c r="F6553" s="200" t="s">
        <v>296</v>
      </c>
      <c r="G6553" s="200" t="s">
        <v>1980</v>
      </c>
      <c r="H6553" s="200" t="s">
        <v>322</v>
      </c>
    </row>
    <row r="6554" spans="1:8" ht="15" customHeight="1">
      <c r="A6554" s="199">
        <v>45771</v>
      </c>
      <c r="B6554" s="202" t="s">
        <v>5209</v>
      </c>
      <c r="C6554" s="200" t="s">
        <v>204</v>
      </c>
      <c r="D6554" s="658">
        <v>-141600</v>
      </c>
      <c r="E6554" s="201">
        <v>45748</v>
      </c>
      <c r="F6554" s="200" t="s">
        <v>296</v>
      </c>
      <c r="G6554" s="200" t="s">
        <v>1980</v>
      </c>
      <c r="H6554" s="200" t="s">
        <v>322</v>
      </c>
    </row>
    <row r="6555" spans="1:8" ht="15" customHeight="1">
      <c r="A6555" s="199">
        <v>45771</v>
      </c>
      <c r="B6555" s="202" t="s">
        <v>5210</v>
      </c>
      <c r="C6555" s="200" t="s">
        <v>204</v>
      </c>
      <c r="D6555" s="658">
        <v>-1389408</v>
      </c>
      <c r="E6555" s="201">
        <v>45748</v>
      </c>
      <c r="F6555" s="200" t="s">
        <v>296</v>
      </c>
      <c r="G6555" s="200" t="s">
        <v>57</v>
      </c>
      <c r="H6555" s="200" t="s">
        <v>99</v>
      </c>
    </row>
    <row r="6556" spans="1:8" ht="15" customHeight="1">
      <c r="A6556" s="199">
        <v>45768</v>
      </c>
      <c r="B6556" s="202" t="s">
        <v>5211</v>
      </c>
      <c r="C6556" s="200" t="s">
        <v>204</v>
      </c>
      <c r="D6556" s="204">
        <v>300000000</v>
      </c>
      <c r="E6556" s="201">
        <v>45748</v>
      </c>
      <c r="F6556" s="200" t="s">
        <v>652</v>
      </c>
      <c r="G6556" s="200" t="s">
        <v>807</v>
      </c>
    </row>
    <row r="6557" spans="1:8" ht="15" customHeight="1">
      <c r="A6557" s="199">
        <v>45769</v>
      </c>
      <c r="B6557" s="202" t="s">
        <v>5212</v>
      </c>
      <c r="C6557" s="200" t="s">
        <v>136</v>
      </c>
      <c r="D6557" s="658">
        <v>-1918800</v>
      </c>
      <c r="E6557" s="201">
        <v>45748</v>
      </c>
      <c r="F6557" s="200" t="s">
        <v>296</v>
      </c>
      <c r="G6557" s="200" t="s">
        <v>1980</v>
      </c>
      <c r="H6557" s="200" t="s">
        <v>490</v>
      </c>
    </row>
    <row r="6558" spans="1:8" ht="15" customHeight="1">
      <c r="A6558" s="199">
        <v>45769</v>
      </c>
      <c r="B6558" s="202" t="s">
        <v>5213</v>
      </c>
      <c r="C6558" s="200" t="s">
        <v>372</v>
      </c>
      <c r="D6558" s="204">
        <v>-19500</v>
      </c>
      <c r="E6558" s="201">
        <v>45748</v>
      </c>
      <c r="F6558" s="200" t="s">
        <v>296</v>
      </c>
      <c r="G6558" s="200" t="s">
        <v>1980</v>
      </c>
      <c r="H6558" s="200" t="s">
        <v>490</v>
      </c>
    </row>
    <row r="6559" spans="1:8" ht="15" customHeight="1">
      <c r="A6559" s="199">
        <v>45769</v>
      </c>
      <c r="B6559" s="202" t="s">
        <v>5214</v>
      </c>
      <c r="C6559" s="200" t="s">
        <v>372</v>
      </c>
      <c r="D6559" s="204">
        <v>-11700</v>
      </c>
      <c r="E6559" s="201">
        <v>45748</v>
      </c>
      <c r="F6559" s="200" t="s">
        <v>296</v>
      </c>
      <c r="G6559" s="200" t="s">
        <v>1980</v>
      </c>
      <c r="H6559" s="200" t="s">
        <v>490</v>
      </c>
    </row>
    <row r="6560" spans="1:8" ht="15" customHeight="1">
      <c r="A6560" s="199">
        <v>45769</v>
      </c>
      <c r="B6560" s="202" t="s">
        <v>5215</v>
      </c>
      <c r="C6560" s="200" t="s">
        <v>136</v>
      </c>
      <c r="D6560" s="658">
        <v>-2460000</v>
      </c>
      <c r="E6560" s="201">
        <v>45748</v>
      </c>
      <c r="F6560" s="200" t="s">
        <v>296</v>
      </c>
      <c r="G6560" s="200" t="s">
        <v>1980</v>
      </c>
      <c r="H6560" s="200" t="s">
        <v>1079</v>
      </c>
    </row>
    <row r="6561" spans="1:9" ht="15" customHeight="1">
      <c r="A6561" s="199">
        <v>45769</v>
      </c>
      <c r="B6561" s="202" t="s">
        <v>5216</v>
      </c>
      <c r="C6561" s="200" t="s">
        <v>372</v>
      </c>
      <c r="D6561" s="204">
        <v>-25000</v>
      </c>
      <c r="E6561" s="201">
        <v>45748</v>
      </c>
      <c r="F6561" s="200" t="s">
        <v>296</v>
      </c>
      <c r="G6561" s="200" t="s">
        <v>1980</v>
      </c>
      <c r="H6561" s="200" t="s">
        <v>1079</v>
      </c>
    </row>
    <row r="6562" spans="1:9" ht="15" customHeight="1">
      <c r="A6562" s="199">
        <v>45769</v>
      </c>
      <c r="B6562" s="202" t="s">
        <v>5217</v>
      </c>
      <c r="C6562" s="200" t="s">
        <v>372</v>
      </c>
      <c r="D6562" s="204">
        <v>-15000</v>
      </c>
      <c r="E6562" s="201">
        <v>45748</v>
      </c>
      <c r="F6562" s="200" t="s">
        <v>296</v>
      </c>
      <c r="G6562" s="200" t="s">
        <v>1980</v>
      </c>
      <c r="H6562" s="200" t="s">
        <v>1079</v>
      </c>
    </row>
    <row r="6563" spans="1:9" ht="15" customHeight="1">
      <c r="A6563" s="199">
        <v>45769</v>
      </c>
      <c r="B6563" s="202" t="s">
        <v>5218</v>
      </c>
      <c r="C6563" s="200" t="s">
        <v>136</v>
      </c>
      <c r="D6563" s="658">
        <v>-570720</v>
      </c>
      <c r="E6563" s="201">
        <v>45748</v>
      </c>
      <c r="F6563" s="200" t="s">
        <v>296</v>
      </c>
      <c r="G6563" s="200" t="s">
        <v>522</v>
      </c>
      <c r="H6563" s="200" t="s">
        <v>811</v>
      </c>
    </row>
    <row r="6564" spans="1:9" ht="15" customHeight="1">
      <c r="A6564" s="199">
        <v>45769</v>
      </c>
      <c r="B6564" s="202" t="s">
        <v>5219</v>
      </c>
      <c r="C6564" s="200" t="s">
        <v>372</v>
      </c>
      <c r="D6564" s="204">
        <v>-5800</v>
      </c>
      <c r="E6564" s="201">
        <v>45748</v>
      </c>
      <c r="F6564" s="200" t="s">
        <v>296</v>
      </c>
      <c r="G6564" s="200" t="s">
        <v>522</v>
      </c>
      <c r="H6564" s="200" t="s">
        <v>811</v>
      </c>
    </row>
    <row r="6565" spans="1:9" ht="15" customHeight="1">
      <c r="A6565" s="199">
        <v>45769</v>
      </c>
      <c r="B6565" s="202" t="s">
        <v>5220</v>
      </c>
      <c r="C6565" s="200" t="s">
        <v>372</v>
      </c>
      <c r="D6565" s="204">
        <v>-3480</v>
      </c>
      <c r="E6565" s="201">
        <v>45748</v>
      </c>
      <c r="F6565" s="200" t="s">
        <v>296</v>
      </c>
      <c r="G6565" s="200" t="s">
        <v>522</v>
      </c>
      <c r="H6565" s="200" t="s">
        <v>811</v>
      </c>
    </row>
    <row r="6566" spans="1:9" ht="15" customHeight="1">
      <c r="A6566" s="199">
        <v>45769</v>
      </c>
      <c r="B6566" s="202" t="s">
        <v>5221</v>
      </c>
      <c r="C6566" s="200" t="s">
        <v>136</v>
      </c>
      <c r="D6566" s="658">
        <v>-511680</v>
      </c>
      <c r="E6566" s="201">
        <v>45748</v>
      </c>
      <c r="F6566" s="200" t="s">
        <v>296</v>
      </c>
      <c r="G6566" s="200" t="s">
        <v>807</v>
      </c>
      <c r="H6566" s="200" t="s">
        <v>811</v>
      </c>
    </row>
    <row r="6567" spans="1:9" ht="15" customHeight="1">
      <c r="A6567" s="199">
        <v>45769</v>
      </c>
      <c r="B6567" s="202" t="s">
        <v>5222</v>
      </c>
      <c r="C6567" s="200" t="s">
        <v>372</v>
      </c>
      <c r="D6567" s="204">
        <v>-5200</v>
      </c>
      <c r="E6567" s="201">
        <v>45748</v>
      </c>
      <c r="F6567" s="200" t="s">
        <v>296</v>
      </c>
      <c r="G6567" s="200" t="s">
        <v>807</v>
      </c>
      <c r="H6567" s="200" t="s">
        <v>811</v>
      </c>
    </row>
    <row r="6568" spans="1:9" ht="15" customHeight="1">
      <c r="A6568" s="199">
        <v>45769</v>
      </c>
      <c r="B6568" s="202" t="s">
        <v>5223</v>
      </c>
      <c r="C6568" s="200" t="s">
        <v>372</v>
      </c>
      <c r="D6568" s="204">
        <v>-3120</v>
      </c>
      <c r="E6568" s="201">
        <v>45748</v>
      </c>
      <c r="F6568" s="200" t="s">
        <v>296</v>
      </c>
      <c r="G6568" s="200" t="s">
        <v>807</v>
      </c>
      <c r="H6568" s="200" t="s">
        <v>811</v>
      </c>
    </row>
    <row r="6569" spans="1:9" ht="15" customHeight="1">
      <c r="A6569" s="199">
        <v>45769</v>
      </c>
      <c r="B6569" s="202" t="s">
        <v>4759</v>
      </c>
      <c r="C6569" s="200" t="s">
        <v>136</v>
      </c>
      <c r="D6569" s="658">
        <v>-1025602</v>
      </c>
      <c r="E6569" s="201">
        <v>45748</v>
      </c>
      <c r="F6569" s="200" t="s">
        <v>296</v>
      </c>
      <c r="G6569" s="200" t="s">
        <v>1362</v>
      </c>
      <c r="H6569" s="200" t="s">
        <v>342</v>
      </c>
    </row>
    <row r="6570" spans="1:9" ht="15" customHeight="1">
      <c r="A6570" s="199">
        <v>45769</v>
      </c>
      <c r="B6570" s="202" t="s">
        <v>5224</v>
      </c>
      <c r="C6570" s="200" t="s">
        <v>372</v>
      </c>
      <c r="D6570" s="204">
        <v>-37198</v>
      </c>
      <c r="E6570" s="201">
        <v>45748</v>
      </c>
      <c r="F6570" s="200" t="s">
        <v>296</v>
      </c>
      <c r="G6570" s="200" t="s">
        <v>1362</v>
      </c>
      <c r="H6570" s="200" t="s">
        <v>342</v>
      </c>
    </row>
    <row r="6571" spans="1:9" ht="15" customHeight="1">
      <c r="A6571" s="199">
        <v>45769</v>
      </c>
      <c r="B6571" s="202" t="s">
        <v>4759</v>
      </c>
      <c r="C6571" s="200" t="s">
        <v>136</v>
      </c>
      <c r="D6571" s="658">
        <v>-364770</v>
      </c>
      <c r="E6571" s="201">
        <v>45748</v>
      </c>
      <c r="F6571" s="200" t="s">
        <v>296</v>
      </c>
      <c r="G6571" s="200" t="s">
        <v>1362</v>
      </c>
      <c r="H6571" s="200" t="s">
        <v>342</v>
      </c>
    </row>
    <row r="6572" spans="1:9" ht="15" customHeight="1">
      <c r="A6572" s="199">
        <v>45769</v>
      </c>
      <c r="B6572" s="202" t="s">
        <v>5224</v>
      </c>
      <c r="C6572" s="200" t="s">
        <v>372</v>
      </c>
      <c r="D6572" s="204">
        <v>-13230</v>
      </c>
      <c r="E6572" s="201">
        <v>45748</v>
      </c>
      <c r="F6572" s="200" t="s">
        <v>296</v>
      </c>
      <c r="G6572" s="200" t="s">
        <v>1362</v>
      </c>
      <c r="H6572" s="200" t="s">
        <v>342</v>
      </c>
      <c r="I6572" s="648" t="s">
        <v>329</v>
      </c>
    </row>
    <row r="6573" spans="1:9" ht="15" customHeight="1">
      <c r="A6573" s="199">
        <v>45769</v>
      </c>
      <c r="B6573" s="202" t="s">
        <v>5225</v>
      </c>
      <c r="C6573" s="200" t="s">
        <v>136</v>
      </c>
      <c r="D6573" s="658">
        <v>-18066767</v>
      </c>
      <c r="E6573" s="201">
        <v>45748</v>
      </c>
      <c r="F6573" s="200" t="s">
        <v>296</v>
      </c>
      <c r="G6573" s="200" t="s">
        <v>1825</v>
      </c>
      <c r="H6573" s="200" t="s">
        <v>811</v>
      </c>
    </row>
    <row r="6574" spans="1:9" ht="15" customHeight="1">
      <c r="A6574" s="199">
        <v>45769</v>
      </c>
      <c r="B6574" s="202" t="s">
        <v>5226</v>
      </c>
      <c r="C6574" s="200" t="s">
        <v>372</v>
      </c>
      <c r="D6574" s="204">
        <v>-389706</v>
      </c>
      <c r="E6574" s="201">
        <v>45748</v>
      </c>
      <c r="F6574" s="200" t="s">
        <v>296</v>
      </c>
      <c r="G6574" s="200" t="s">
        <v>1825</v>
      </c>
      <c r="H6574" s="200" t="s">
        <v>811</v>
      </c>
    </row>
    <row r="6575" spans="1:9" ht="15" customHeight="1">
      <c r="A6575" s="199">
        <v>45769</v>
      </c>
      <c r="B6575" s="202" t="s">
        <v>5227</v>
      </c>
      <c r="C6575" s="200" t="s">
        <v>372</v>
      </c>
      <c r="D6575" s="204">
        <v>-93529</v>
      </c>
      <c r="E6575" s="201">
        <v>45748</v>
      </c>
      <c r="F6575" s="200" t="s">
        <v>296</v>
      </c>
      <c r="G6575" s="200" t="s">
        <v>1825</v>
      </c>
      <c r="H6575" s="200" t="s">
        <v>811</v>
      </c>
    </row>
    <row r="6576" spans="1:9" ht="15" customHeight="1">
      <c r="A6576" s="199">
        <v>45769</v>
      </c>
      <c r="B6576" s="202" t="s">
        <v>5228</v>
      </c>
      <c r="C6576" s="200" t="s">
        <v>136</v>
      </c>
      <c r="D6576" s="658">
        <v>-4132800</v>
      </c>
      <c r="E6576" s="201">
        <v>45748</v>
      </c>
      <c r="F6576" s="200" t="s">
        <v>296</v>
      </c>
      <c r="G6576" s="200" t="s">
        <v>1825</v>
      </c>
      <c r="H6576" s="200" t="s">
        <v>442</v>
      </c>
    </row>
    <row r="6577" spans="1:8" ht="15" customHeight="1">
      <c r="A6577" s="199">
        <v>45769</v>
      </c>
      <c r="B6577" s="202" t="s">
        <v>5229</v>
      </c>
      <c r="C6577" s="200" t="s">
        <v>372</v>
      </c>
      <c r="D6577" s="204">
        <v>-42000</v>
      </c>
      <c r="E6577" s="201">
        <v>45748</v>
      </c>
      <c r="F6577" s="200" t="s">
        <v>296</v>
      </c>
      <c r="G6577" s="200" t="s">
        <v>1825</v>
      </c>
      <c r="H6577" s="200" t="s">
        <v>442</v>
      </c>
    </row>
    <row r="6578" spans="1:8" ht="15" customHeight="1">
      <c r="A6578" s="199">
        <v>45769</v>
      </c>
      <c r="B6578" s="202" t="s">
        <v>5230</v>
      </c>
      <c r="C6578" s="200" t="s">
        <v>372</v>
      </c>
      <c r="D6578" s="204">
        <v>-25200</v>
      </c>
      <c r="E6578" s="201">
        <v>45748</v>
      </c>
      <c r="F6578" s="200" t="s">
        <v>296</v>
      </c>
      <c r="G6578" s="200" t="s">
        <v>1825</v>
      </c>
      <c r="H6578" s="200" t="s">
        <v>442</v>
      </c>
    </row>
    <row r="6579" spans="1:8" ht="15" customHeight="1">
      <c r="A6579" s="199">
        <v>45769</v>
      </c>
      <c r="B6579" s="202" t="s">
        <v>5231</v>
      </c>
      <c r="C6579" s="200" t="s">
        <v>136</v>
      </c>
      <c r="D6579" s="658">
        <v>-2340029</v>
      </c>
      <c r="E6579" s="201">
        <v>45748</v>
      </c>
      <c r="F6579" s="200" t="s">
        <v>296</v>
      </c>
      <c r="G6579" s="200" t="s">
        <v>522</v>
      </c>
      <c r="H6579" s="200" t="s">
        <v>326</v>
      </c>
    </row>
    <row r="6580" spans="1:8" ht="15" customHeight="1">
      <c r="A6580" s="199">
        <v>45769</v>
      </c>
      <c r="B6580" s="202" t="s">
        <v>5232</v>
      </c>
      <c r="C6580" s="200" t="s">
        <v>372</v>
      </c>
      <c r="D6580" s="204">
        <v>-84872</v>
      </c>
      <c r="E6580" s="201">
        <v>45748</v>
      </c>
      <c r="F6580" s="200" t="s">
        <v>296</v>
      </c>
      <c r="G6580" s="200" t="s">
        <v>522</v>
      </c>
      <c r="H6580" s="200" t="s">
        <v>326</v>
      </c>
    </row>
    <row r="6581" spans="1:8" ht="15" customHeight="1">
      <c r="A6581" s="199">
        <v>45769</v>
      </c>
      <c r="B6581" s="202" t="s">
        <v>5233</v>
      </c>
      <c r="C6581" s="200" t="s">
        <v>136</v>
      </c>
      <c r="D6581" s="658">
        <v>-7380000</v>
      </c>
      <c r="E6581" s="201">
        <v>45748</v>
      </c>
      <c r="F6581" s="200" t="s">
        <v>296</v>
      </c>
      <c r="G6581" s="200" t="s">
        <v>807</v>
      </c>
      <c r="H6581" s="200" t="s">
        <v>1079</v>
      </c>
    </row>
    <row r="6582" spans="1:8" ht="15" customHeight="1">
      <c r="A6582" s="199">
        <v>45769</v>
      </c>
      <c r="B6582" s="202" t="s">
        <v>5234</v>
      </c>
      <c r="C6582" s="200" t="s">
        <v>372</v>
      </c>
      <c r="D6582" s="204">
        <v>-75000</v>
      </c>
      <c r="E6582" s="201">
        <v>45748</v>
      </c>
      <c r="F6582" s="200" t="s">
        <v>296</v>
      </c>
      <c r="G6582" s="200" t="s">
        <v>807</v>
      </c>
      <c r="H6582" s="200" t="s">
        <v>1079</v>
      </c>
    </row>
    <row r="6583" spans="1:8" ht="15" customHeight="1">
      <c r="A6583" s="199">
        <v>45769</v>
      </c>
      <c r="B6583" s="202" t="s">
        <v>5235</v>
      </c>
      <c r="C6583" s="200" t="s">
        <v>372</v>
      </c>
      <c r="D6583" s="204">
        <v>-45000</v>
      </c>
      <c r="E6583" s="201">
        <v>45748</v>
      </c>
      <c r="F6583" s="200" t="s">
        <v>296</v>
      </c>
      <c r="G6583" s="200" t="s">
        <v>807</v>
      </c>
      <c r="H6583" s="200" t="s">
        <v>1079</v>
      </c>
    </row>
    <row r="6584" spans="1:8" ht="15" customHeight="1">
      <c r="A6584" s="199">
        <v>45769</v>
      </c>
      <c r="B6584" s="202" t="s">
        <v>5236</v>
      </c>
      <c r="C6584" s="200" t="s">
        <v>136</v>
      </c>
      <c r="D6584" s="658">
        <v>-7380000</v>
      </c>
      <c r="E6584" s="201">
        <v>45748</v>
      </c>
      <c r="F6584" s="200" t="s">
        <v>296</v>
      </c>
      <c r="G6584" s="200" t="s">
        <v>1825</v>
      </c>
      <c r="H6584" s="200" t="s">
        <v>1079</v>
      </c>
    </row>
    <row r="6585" spans="1:8" ht="15" customHeight="1">
      <c r="A6585" s="199">
        <v>45769</v>
      </c>
      <c r="B6585" s="202" t="s">
        <v>5234</v>
      </c>
      <c r="C6585" s="200" t="s">
        <v>372</v>
      </c>
      <c r="D6585" s="204">
        <v>-75000</v>
      </c>
      <c r="E6585" s="201">
        <v>45748</v>
      </c>
      <c r="F6585" s="200" t="s">
        <v>296</v>
      </c>
      <c r="G6585" s="200" t="s">
        <v>1825</v>
      </c>
      <c r="H6585" s="200" t="s">
        <v>1079</v>
      </c>
    </row>
    <row r="6586" spans="1:8" ht="15" customHeight="1">
      <c r="A6586" s="199">
        <v>45769</v>
      </c>
      <c r="B6586" s="202" t="s">
        <v>5235</v>
      </c>
      <c r="C6586" s="200" t="s">
        <v>372</v>
      </c>
      <c r="D6586" s="204">
        <v>-45000</v>
      </c>
      <c r="E6586" s="201">
        <v>45748</v>
      </c>
      <c r="F6586" s="200" t="s">
        <v>296</v>
      </c>
      <c r="G6586" s="200" t="s">
        <v>1825</v>
      </c>
      <c r="H6586" s="200" t="s">
        <v>1079</v>
      </c>
    </row>
    <row r="6587" spans="1:8" ht="15" customHeight="1">
      <c r="A6587" s="199">
        <v>45769</v>
      </c>
      <c r="B6587" s="202" t="s">
        <v>5237</v>
      </c>
      <c r="C6587" s="200" t="s">
        <v>136</v>
      </c>
      <c r="D6587" s="658">
        <v>-5000000</v>
      </c>
      <c r="E6587" s="201">
        <v>45748</v>
      </c>
      <c r="F6587" s="200" t="s">
        <v>296</v>
      </c>
      <c r="G6587" s="200" t="s">
        <v>57</v>
      </c>
      <c r="H6587" s="200" t="s">
        <v>103</v>
      </c>
    </row>
    <row r="6588" spans="1:8" ht="15" customHeight="1">
      <c r="A6588" s="199">
        <v>45769</v>
      </c>
      <c r="B6588" s="202" t="s">
        <v>5238</v>
      </c>
      <c r="C6588" s="200" t="s">
        <v>136</v>
      </c>
      <c r="D6588" s="658">
        <v>-1186407</v>
      </c>
      <c r="E6588" s="201">
        <v>45748</v>
      </c>
      <c r="F6588" s="200" t="s">
        <v>296</v>
      </c>
      <c r="G6588" s="200" t="s">
        <v>1980</v>
      </c>
      <c r="H6588" s="200" t="s">
        <v>322</v>
      </c>
    </row>
    <row r="6589" spans="1:8" ht="15" customHeight="1">
      <c r="A6589" s="199">
        <v>45769</v>
      </c>
      <c r="B6589" s="202" t="s">
        <v>5239</v>
      </c>
      <c r="C6589" s="200" t="s">
        <v>136</v>
      </c>
      <c r="D6589" s="658">
        <v>-776725</v>
      </c>
      <c r="E6589" s="201">
        <v>45748</v>
      </c>
      <c r="F6589" s="200" t="s">
        <v>296</v>
      </c>
      <c r="G6589" s="200" t="s">
        <v>1980</v>
      </c>
      <c r="H6589" s="200" t="s">
        <v>322</v>
      </c>
    </row>
    <row r="6590" spans="1:8" ht="15" customHeight="1">
      <c r="A6590" s="199">
        <v>45769</v>
      </c>
      <c r="B6590" s="202" t="s">
        <v>5240</v>
      </c>
      <c r="C6590" s="200" t="s">
        <v>372</v>
      </c>
      <c r="D6590" s="204">
        <v>-16754</v>
      </c>
      <c r="E6590" s="201">
        <v>45748</v>
      </c>
      <c r="F6590" s="200" t="s">
        <v>296</v>
      </c>
      <c r="G6590" s="200" t="s">
        <v>1980</v>
      </c>
      <c r="H6590" s="200" t="s">
        <v>322</v>
      </c>
    </row>
    <row r="6591" spans="1:8" ht="15" customHeight="1">
      <c r="A6591" s="199">
        <v>45769</v>
      </c>
      <c r="B6591" s="202" t="s">
        <v>5241</v>
      </c>
      <c r="C6591" s="200" t="s">
        <v>372</v>
      </c>
      <c r="D6591" s="204">
        <v>-4021</v>
      </c>
      <c r="E6591" s="201">
        <v>45748</v>
      </c>
      <c r="F6591" s="200" t="s">
        <v>296</v>
      </c>
      <c r="G6591" s="200" t="s">
        <v>1980</v>
      </c>
      <c r="H6591" s="200" t="s">
        <v>322</v>
      </c>
    </row>
    <row r="6592" spans="1:8" ht="15" customHeight="1">
      <c r="A6592" s="199">
        <v>45769</v>
      </c>
      <c r="B6592" s="202" t="s">
        <v>5239</v>
      </c>
      <c r="C6592" s="200" t="s">
        <v>136</v>
      </c>
      <c r="D6592" s="658">
        <v>-776725</v>
      </c>
      <c r="E6592" s="201">
        <v>45748</v>
      </c>
      <c r="F6592" s="200" t="s">
        <v>296</v>
      </c>
      <c r="G6592" s="200" t="s">
        <v>1983</v>
      </c>
      <c r="H6592" s="200" t="s">
        <v>322</v>
      </c>
    </row>
    <row r="6593" spans="1:9" ht="15" customHeight="1">
      <c r="A6593" s="199">
        <v>45769</v>
      </c>
      <c r="B6593" s="202" t="s">
        <v>5240</v>
      </c>
      <c r="C6593" s="200" t="s">
        <v>372</v>
      </c>
      <c r="D6593" s="204">
        <v>-16754</v>
      </c>
      <c r="E6593" s="201">
        <v>45748</v>
      </c>
      <c r="F6593" s="200" t="s">
        <v>296</v>
      </c>
      <c r="G6593" s="200" t="s">
        <v>1983</v>
      </c>
      <c r="H6593" s="200" t="s">
        <v>322</v>
      </c>
    </row>
    <row r="6594" spans="1:9" ht="15" customHeight="1">
      <c r="A6594" s="199">
        <v>45769</v>
      </c>
      <c r="B6594" s="202" t="s">
        <v>5241</v>
      </c>
      <c r="C6594" s="200" t="s">
        <v>372</v>
      </c>
      <c r="D6594" s="204">
        <v>-4021</v>
      </c>
      <c r="E6594" s="201">
        <v>45748</v>
      </c>
      <c r="F6594" s="200" t="s">
        <v>296</v>
      </c>
      <c r="G6594" s="200" t="s">
        <v>1983</v>
      </c>
      <c r="H6594" s="200" t="s">
        <v>322</v>
      </c>
    </row>
    <row r="6595" spans="1:9" ht="15" customHeight="1">
      <c r="A6595" s="199">
        <v>45769</v>
      </c>
      <c r="B6595" s="202" t="s">
        <v>5242</v>
      </c>
      <c r="C6595" s="200" t="s">
        <v>136</v>
      </c>
      <c r="D6595" s="658">
        <v>-450000</v>
      </c>
      <c r="E6595" s="201">
        <v>45748</v>
      </c>
      <c r="F6595" s="200" t="s">
        <v>256</v>
      </c>
      <c r="G6595" s="200" t="s">
        <v>107</v>
      </c>
      <c r="H6595" s="200" t="s">
        <v>777</v>
      </c>
    </row>
    <row r="6596" spans="1:9" ht="15" customHeight="1">
      <c r="A6596" s="199">
        <v>45769</v>
      </c>
      <c r="B6596" s="202" t="s">
        <v>5243</v>
      </c>
      <c r="C6596" s="200" t="s">
        <v>136</v>
      </c>
      <c r="D6596" s="658">
        <v>-69433633</v>
      </c>
      <c r="E6596" s="201">
        <v>45748</v>
      </c>
      <c r="F6596" s="200" t="s">
        <v>296</v>
      </c>
      <c r="G6596" s="200" t="s">
        <v>44</v>
      </c>
      <c r="H6596" s="200" t="s">
        <v>1651</v>
      </c>
    </row>
    <row r="6597" spans="1:9" ht="15" customHeight="1">
      <c r="A6597" s="199">
        <v>45769</v>
      </c>
      <c r="B6597" s="202" t="s">
        <v>5244</v>
      </c>
      <c r="C6597" s="200" t="s">
        <v>372</v>
      </c>
      <c r="D6597" s="204">
        <v>-7363486</v>
      </c>
      <c r="E6597" s="201">
        <v>45748</v>
      </c>
      <c r="F6597" s="200" t="s">
        <v>296</v>
      </c>
      <c r="G6597" s="200" t="s">
        <v>44</v>
      </c>
      <c r="H6597" s="200" t="s">
        <v>1651</v>
      </c>
    </row>
    <row r="6598" spans="1:9" ht="15" customHeight="1">
      <c r="A6598" s="199">
        <v>45769</v>
      </c>
      <c r="B6598" s="202" t="s">
        <v>5245</v>
      </c>
      <c r="C6598" s="200" t="s">
        <v>136</v>
      </c>
      <c r="D6598" s="658">
        <v>-1308197</v>
      </c>
      <c r="E6598" s="201">
        <v>45748</v>
      </c>
      <c r="F6598" s="200" t="s">
        <v>297</v>
      </c>
      <c r="G6598" s="200" t="s">
        <v>1578</v>
      </c>
      <c r="H6598" s="200" t="s">
        <v>342</v>
      </c>
    </row>
    <row r="6599" spans="1:9" ht="15" customHeight="1">
      <c r="A6599" s="199">
        <v>45769</v>
      </c>
      <c r="B6599" s="202" t="s">
        <v>5246</v>
      </c>
      <c r="C6599" s="200" t="s">
        <v>314</v>
      </c>
      <c r="D6599" s="204">
        <v>-364167</v>
      </c>
      <c r="E6599" s="201">
        <v>45748</v>
      </c>
      <c r="F6599" s="200" t="s">
        <v>296</v>
      </c>
      <c r="G6599" s="200" t="s">
        <v>1980</v>
      </c>
      <c r="H6599" s="200" t="s">
        <v>326</v>
      </c>
    </row>
    <row r="6600" spans="1:9" ht="15" customHeight="1">
      <c r="A6600" s="199">
        <v>45769</v>
      </c>
      <c r="B6600" s="202" t="s">
        <v>5247</v>
      </c>
      <c r="C6600" s="200" t="s">
        <v>372</v>
      </c>
      <c r="D6600" s="204">
        <v>-13208</v>
      </c>
      <c r="E6600" s="201">
        <v>45748</v>
      </c>
      <c r="F6600" s="200" t="s">
        <v>296</v>
      </c>
      <c r="G6600" s="200" t="s">
        <v>1980</v>
      </c>
      <c r="H6600" s="200" t="s">
        <v>326</v>
      </c>
    </row>
    <row r="6601" spans="1:9" ht="15" customHeight="1">
      <c r="A6601" s="199">
        <v>45769</v>
      </c>
      <c r="B6601" s="202" t="s">
        <v>5246</v>
      </c>
      <c r="C6601" s="200" t="s">
        <v>314</v>
      </c>
      <c r="D6601" s="204">
        <v>-364167</v>
      </c>
      <c r="E6601" s="201">
        <v>45748</v>
      </c>
      <c r="F6601" s="200" t="s">
        <v>296</v>
      </c>
      <c r="G6601" s="200" t="s">
        <v>1983</v>
      </c>
      <c r="H6601" s="200" t="s">
        <v>326</v>
      </c>
    </row>
    <row r="6602" spans="1:9" ht="15" customHeight="1">
      <c r="A6602" s="199">
        <v>45769</v>
      </c>
      <c r="B6602" s="202" t="s">
        <v>5247</v>
      </c>
      <c r="C6602" s="200" t="s">
        <v>372</v>
      </c>
      <c r="D6602" s="204">
        <v>-13208</v>
      </c>
      <c r="E6602" s="201">
        <v>45748</v>
      </c>
      <c r="F6602" s="200" t="s">
        <v>296</v>
      </c>
      <c r="G6602" s="200" t="s">
        <v>1983</v>
      </c>
      <c r="H6602" s="200" t="s">
        <v>326</v>
      </c>
      <c r="I6602" s="648" t="s">
        <v>329</v>
      </c>
    </row>
    <row r="6603" spans="1:9" ht="15" customHeight="1">
      <c r="A6603" s="199">
        <v>45769</v>
      </c>
      <c r="B6603" s="202" t="s">
        <v>5248</v>
      </c>
      <c r="C6603" s="200" t="s">
        <v>136</v>
      </c>
      <c r="D6603" s="658">
        <v>-28682</v>
      </c>
      <c r="E6603" s="201">
        <v>45748</v>
      </c>
      <c r="F6603" s="200" t="s">
        <v>296</v>
      </c>
      <c r="G6603" s="200" t="s">
        <v>513</v>
      </c>
      <c r="H6603" s="200" t="s">
        <v>421</v>
      </c>
    </row>
    <row r="6604" spans="1:9" ht="15" customHeight="1">
      <c r="A6604" s="199">
        <v>45769</v>
      </c>
      <c r="B6604" s="202" t="s">
        <v>5248</v>
      </c>
      <c r="C6604" s="200" t="s">
        <v>136</v>
      </c>
      <c r="D6604" s="658">
        <v>-327267</v>
      </c>
      <c r="E6604" s="201">
        <v>45748</v>
      </c>
      <c r="F6604" s="200" t="s">
        <v>296</v>
      </c>
      <c r="G6604" s="200" t="s">
        <v>321</v>
      </c>
      <c r="H6604" s="200" t="s">
        <v>421</v>
      </c>
    </row>
    <row r="6605" spans="1:9" ht="15" customHeight="1">
      <c r="A6605" s="199">
        <v>45769</v>
      </c>
      <c r="B6605" s="202" t="s">
        <v>5249</v>
      </c>
      <c r="C6605" s="200" t="s">
        <v>136</v>
      </c>
      <c r="D6605" s="658">
        <v>-343410</v>
      </c>
      <c r="E6605" s="201">
        <v>45748</v>
      </c>
      <c r="F6605" s="200" t="s">
        <v>296</v>
      </c>
      <c r="G6605" s="200" t="s">
        <v>1311</v>
      </c>
      <c r="H6605" s="200" t="s">
        <v>350</v>
      </c>
    </row>
    <row r="6606" spans="1:9" ht="15" customHeight="1">
      <c r="A6606" s="199">
        <v>45745</v>
      </c>
      <c r="B6606" s="202" t="s">
        <v>5250</v>
      </c>
      <c r="C6606" s="200" t="s">
        <v>307</v>
      </c>
      <c r="D6606" s="204">
        <v>-150011</v>
      </c>
      <c r="E6606" s="201">
        <v>45748</v>
      </c>
      <c r="F6606" s="200" t="s">
        <v>296</v>
      </c>
      <c r="G6606" s="200" t="s">
        <v>522</v>
      </c>
      <c r="H6606" s="200" t="s">
        <v>326</v>
      </c>
      <c r="I6606" s="200" t="s">
        <v>2962</v>
      </c>
    </row>
    <row r="6607" spans="1:9" ht="15" customHeight="1">
      <c r="A6607" s="199">
        <v>45745</v>
      </c>
      <c r="B6607" s="202" t="s">
        <v>1890</v>
      </c>
      <c r="C6607" s="200" t="s">
        <v>307</v>
      </c>
      <c r="D6607" s="204">
        <v>-14500</v>
      </c>
      <c r="E6607" s="201">
        <v>45748</v>
      </c>
      <c r="F6607" s="200" t="s">
        <v>296</v>
      </c>
      <c r="G6607" s="200" t="s">
        <v>522</v>
      </c>
      <c r="H6607" s="200" t="s">
        <v>326</v>
      </c>
      <c r="I6607" s="200" t="s">
        <v>2962</v>
      </c>
    </row>
    <row r="6608" spans="1:9" ht="15" customHeight="1">
      <c r="A6608" s="199">
        <v>45746</v>
      </c>
      <c r="B6608" s="202" t="s">
        <v>1892</v>
      </c>
      <c r="C6608" s="200" t="s">
        <v>307</v>
      </c>
      <c r="D6608" s="204">
        <v>-14500</v>
      </c>
      <c r="E6608" s="201">
        <v>45748</v>
      </c>
      <c r="F6608" s="200" t="s">
        <v>296</v>
      </c>
      <c r="G6608" s="200" t="s">
        <v>522</v>
      </c>
      <c r="H6608" s="200" t="s">
        <v>326</v>
      </c>
      <c r="I6608" s="200" t="s">
        <v>2962</v>
      </c>
    </row>
    <row r="6609" spans="1:9" ht="15" customHeight="1">
      <c r="A6609" s="199">
        <v>45747</v>
      </c>
      <c r="B6609" s="202" t="s">
        <v>5251</v>
      </c>
      <c r="C6609" s="200" t="s">
        <v>307</v>
      </c>
      <c r="D6609" s="204">
        <v>-190000</v>
      </c>
      <c r="E6609" s="201">
        <v>45748</v>
      </c>
      <c r="F6609" s="200" t="s">
        <v>296</v>
      </c>
      <c r="G6609" s="200" t="s">
        <v>522</v>
      </c>
      <c r="H6609" s="200" t="s">
        <v>326</v>
      </c>
      <c r="I6609" s="200" t="s">
        <v>2962</v>
      </c>
    </row>
    <row r="6610" spans="1:9" ht="15" customHeight="1">
      <c r="A6610" s="199">
        <v>45748</v>
      </c>
      <c r="B6610" s="202" t="s">
        <v>5252</v>
      </c>
      <c r="C6610" s="200" t="s">
        <v>307</v>
      </c>
      <c r="D6610" s="204">
        <v>-145008</v>
      </c>
      <c r="E6610" s="201">
        <v>45748</v>
      </c>
      <c r="F6610" s="200" t="s">
        <v>296</v>
      </c>
      <c r="G6610" s="200" t="s">
        <v>1825</v>
      </c>
      <c r="H6610" s="200" t="s">
        <v>326</v>
      </c>
      <c r="I6610" s="200" t="s">
        <v>3500</v>
      </c>
    </row>
    <row r="6611" spans="1:9" ht="15" customHeight="1">
      <c r="A6611" s="199">
        <v>45748</v>
      </c>
      <c r="B6611" s="202" t="s">
        <v>5253</v>
      </c>
      <c r="C6611" s="200" t="s">
        <v>307</v>
      </c>
      <c r="D6611" s="204">
        <v>-20000</v>
      </c>
      <c r="E6611" s="201">
        <v>45748</v>
      </c>
      <c r="F6611" s="200" t="s">
        <v>296</v>
      </c>
      <c r="G6611" s="200" t="s">
        <v>1825</v>
      </c>
      <c r="H6611" s="200" t="s">
        <v>326</v>
      </c>
      <c r="I6611" s="200" t="s">
        <v>3500</v>
      </c>
    </row>
    <row r="6612" spans="1:9" ht="15" customHeight="1">
      <c r="A6612" s="199">
        <v>45749</v>
      </c>
      <c r="B6612" s="202" t="s">
        <v>5254</v>
      </c>
      <c r="C6612" s="200" t="s">
        <v>307</v>
      </c>
      <c r="D6612" s="204">
        <v>-30000</v>
      </c>
      <c r="E6612" s="201">
        <v>45748</v>
      </c>
      <c r="F6612" s="200" t="s">
        <v>296</v>
      </c>
      <c r="G6612" s="200" t="s">
        <v>1825</v>
      </c>
      <c r="H6612" s="200" t="s">
        <v>326</v>
      </c>
      <c r="I6612" s="200" t="s">
        <v>3500</v>
      </c>
    </row>
    <row r="6613" spans="1:9" ht="15" customHeight="1">
      <c r="A6613" s="199">
        <v>45749</v>
      </c>
      <c r="B6613" s="202" t="s">
        <v>5255</v>
      </c>
      <c r="C6613" s="200" t="s">
        <v>307</v>
      </c>
      <c r="D6613" s="204">
        <v>-39882</v>
      </c>
      <c r="E6613" s="201">
        <v>45748</v>
      </c>
      <c r="F6613" s="200" t="s">
        <v>296</v>
      </c>
      <c r="G6613" s="200" t="s">
        <v>1825</v>
      </c>
      <c r="H6613" s="200" t="s">
        <v>488</v>
      </c>
      <c r="I6613" s="200" t="s">
        <v>3500</v>
      </c>
    </row>
    <row r="6614" spans="1:9" ht="15" customHeight="1">
      <c r="A6614" s="199">
        <v>45751</v>
      </c>
      <c r="B6614" s="202" t="s">
        <v>5256</v>
      </c>
      <c r="C6614" s="200" t="s">
        <v>307</v>
      </c>
      <c r="D6614" s="204">
        <v>-626500</v>
      </c>
      <c r="E6614" s="201">
        <v>45748</v>
      </c>
      <c r="F6614" s="200" t="s">
        <v>296</v>
      </c>
      <c r="G6614" s="200" t="s">
        <v>1825</v>
      </c>
      <c r="H6614" s="200" t="s">
        <v>488</v>
      </c>
      <c r="I6614" s="200" t="s">
        <v>3500</v>
      </c>
    </row>
    <row r="6615" spans="1:9" ht="15" customHeight="1">
      <c r="A6615" s="199">
        <v>45754</v>
      </c>
      <c r="B6615" s="202" t="s">
        <v>5252</v>
      </c>
      <c r="C6615" s="200" t="s">
        <v>307</v>
      </c>
      <c r="D6615" s="204">
        <v>-160004</v>
      </c>
      <c r="E6615" s="201">
        <v>45748</v>
      </c>
      <c r="F6615" s="200" t="s">
        <v>296</v>
      </c>
      <c r="G6615" s="200" t="s">
        <v>1825</v>
      </c>
      <c r="H6615" s="200" t="s">
        <v>326</v>
      </c>
      <c r="I6615" s="200" t="s">
        <v>3500</v>
      </c>
    </row>
    <row r="6616" spans="1:9" ht="15" customHeight="1">
      <c r="A6616" s="199">
        <v>45754</v>
      </c>
      <c r="B6616" s="202" t="s">
        <v>5257</v>
      </c>
      <c r="C6616" s="200" t="s">
        <v>307</v>
      </c>
      <c r="D6616" s="204">
        <v>-15022</v>
      </c>
      <c r="E6616" s="201">
        <v>45748</v>
      </c>
      <c r="F6616" s="200" t="s">
        <v>296</v>
      </c>
      <c r="G6616" s="200" t="s">
        <v>1825</v>
      </c>
      <c r="H6616" s="200" t="s">
        <v>490</v>
      </c>
      <c r="I6616" s="200" t="s">
        <v>3500</v>
      </c>
    </row>
    <row r="6617" spans="1:9" ht="15" customHeight="1">
      <c r="A6617" s="199">
        <v>45755</v>
      </c>
      <c r="B6617" s="202" t="s">
        <v>4279</v>
      </c>
      <c r="C6617" s="200" t="s">
        <v>307</v>
      </c>
      <c r="D6617" s="204">
        <v>-40000</v>
      </c>
      <c r="E6617" s="201">
        <v>45748</v>
      </c>
      <c r="F6617" s="200" t="s">
        <v>296</v>
      </c>
      <c r="G6617" s="200" t="s">
        <v>1825</v>
      </c>
      <c r="H6617" s="200" t="s">
        <v>326</v>
      </c>
      <c r="I6617" s="648" t="s">
        <v>329</v>
      </c>
    </row>
    <row r="6618" spans="1:9" ht="15" customHeight="1">
      <c r="A6618" s="199">
        <v>45755</v>
      </c>
      <c r="B6618" s="202" t="s">
        <v>5258</v>
      </c>
      <c r="C6618" s="200" t="s">
        <v>307</v>
      </c>
      <c r="D6618" s="204">
        <v>-250000</v>
      </c>
      <c r="E6618" s="201">
        <v>45748</v>
      </c>
      <c r="F6618" s="200" t="s">
        <v>296</v>
      </c>
      <c r="G6618" s="200" t="s">
        <v>1825</v>
      </c>
      <c r="H6618" s="200" t="s">
        <v>1104</v>
      </c>
      <c r="I6618" s="200" t="s">
        <v>3500</v>
      </c>
    </row>
    <row r="6619" spans="1:9" ht="15" customHeight="1">
      <c r="A6619" s="199">
        <v>45756</v>
      </c>
      <c r="B6619" s="202" t="s">
        <v>5259</v>
      </c>
      <c r="C6619" s="200" t="s">
        <v>307</v>
      </c>
      <c r="D6619" s="204">
        <v>-16016</v>
      </c>
      <c r="E6619" s="201">
        <v>45748</v>
      </c>
      <c r="F6619" s="200" t="s">
        <v>296</v>
      </c>
      <c r="G6619" s="200" t="s">
        <v>1825</v>
      </c>
      <c r="H6619" s="200" t="s">
        <v>488</v>
      </c>
      <c r="I6619" s="200" t="s">
        <v>3500</v>
      </c>
    </row>
    <row r="6620" spans="1:9" ht="15" customHeight="1">
      <c r="A6620" s="199">
        <v>45756</v>
      </c>
      <c r="B6620" s="202" t="s">
        <v>5260</v>
      </c>
      <c r="C6620" s="200" t="s">
        <v>307</v>
      </c>
      <c r="D6620" s="204">
        <v>-7400</v>
      </c>
      <c r="E6620" s="201">
        <v>45748</v>
      </c>
      <c r="F6620" s="200" t="s">
        <v>296</v>
      </c>
      <c r="G6620" s="200" t="s">
        <v>1825</v>
      </c>
      <c r="H6620" s="200" t="s">
        <v>429</v>
      </c>
      <c r="I6620" s="200" t="s">
        <v>3500</v>
      </c>
    </row>
    <row r="6621" spans="1:9" ht="15" customHeight="1">
      <c r="A6621" s="199">
        <v>45757</v>
      </c>
      <c r="B6621" s="202" t="s">
        <v>5261</v>
      </c>
      <c r="C6621" s="200" t="s">
        <v>307</v>
      </c>
      <c r="D6621" s="204">
        <v>-283500</v>
      </c>
      <c r="E6621" s="201">
        <v>45748</v>
      </c>
      <c r="F6621" s="200" t="s">
        <v>296</v>
      </c>
      <c r="G6621" s="200" t="s">
        <v>44</v>
      </c>
      <c r="H6621" s="200" t="s">
        <v>488</v>
      </c>
      <c r="I6621" s="200" t="s">
        <v>3500</v>
      </c>
    </row>
    <row r="6622" spans="1:9" ht="15" customHeight="1">
      <c r="A6622" s="199">
        <v>45757</v>
      </c>
      <c r="B6622" s="202" t="s">
        <v>5262</v>
      </c>
      <c r="C6622" s="200" t="s">
        <v>307</v>
      </c>
      <c r="D6622" s="204">
        <v>-276500</v>
      </c>
      <c r="E6622" s="201">
        <v>45748</v>
      </c>
      <c r="F6622" s="200" t="s">
        <v>296</v>
      </c>
      <c r="G6622" s="200" t="s">
        <v>1825</v>
      </c>
      <c r="H6622" s="200" t="s">
        <v>421</v>
      </c>
      <c r="I6622" s="648" t="s">
        <v>329</v>
      </c>
    </row>
    <row r="6623" spans="1:9" ht="15" customHeight="1">
      <c r="A6623" s="199">
        <v>45748</v>
      </c>
      <c r="B6623" s="202" t="s">
        <v>4292</v>
      </c>
      <c r="C6623" s="200" t="s">
        <v>307</v>
      </c>
      <c r="D6623" s="204">
        <v>-40028</v>
      </c>
      <c r="E6623" s="201">
        <v>45748</v>
      </c>
      <c r="F6623" s="200" t="s">
        <v>296</v>
      </c>
      <c r="G6623" s="200" t="s">
        <v>522</v>
      </c>
      <c r="H6623" s="200" t="s">
        <v>429</v>
      </c>
      <c r="I6623" s="200" t="s">
        <v>2962</v>
      </c>
    </row>
    <row r="6624" spans="1:9" ht="15" customHeight="1">
      <c r="A6624" s="199">
        <v>45748</v>
      </c>
      <c r="B6624" s="202" t="s">
        <v>2637</v>
      </c>
      <c r="C6624" s="200" t="s">
        <v>307</v>
      </c>
      <c r="D6624" s="204">
        <v>-40000</v>
      </c>
      <c r="E6624" s="201">
        <v>45748</v>
      </c>
      <c r="F6624" s="200" t="s">
        <v>296</v>
      </c>
      <c r="G6624" s="200" t="s">
        <v>522</v>
      </c>
      <c r="H6624" s="200" t="s">
        <v>326</v>
      </c>
      <c r="I6624" s="200" t="s">
        <v>2962</v>
      </c>
    </row>
    <row r="6625" spans="1:9" ht="15" customHeight="1">
      <c r="A6625" s="199">
        <v>45748</v>
      </c>
      <c r="B6625" s="202" t="s">
        <v>5263</v>
      </c>
      <c r="C6625" s="200" t="s">
        <v>307</v>
      </c>
      <c r="D6625" s="204">
        <v>-28000</v>
      </c>
      <c r="E6625" s="201">
        <v>45748</v>
      </c>
      <c r="F6625" s="200" t="s">
        <v>296</v>
      </c>
      <c r="G6625" s="200" t="s">
        <v>522</v>
      </c>
      <c r="H6625" s="200" t="s">
        <v>429</v>
      </c>
      <c r="I6625" s="200" t="s">
        <v>2962</v>
      </c>
    </row>
    <row r="6626" spans="1:9" ht="15" customHeight="1">
      <c r="A6626" s="199">
        <v>45749</v>
      </c>
      <c r="B6626" s="202" t="s">
        <v>2637</v>
      </c>
      <c r="C6626" s="200" t="s">
        <v>307</v>
      </c>
      <c r="D6626" s="204">
        <v>-23000</v>
      </c>
      <c r="E6626" s="201">
        <v>45748</v>
      </c>
      <c r="F6626" s="200" t="s">
        <v>296</v>
      </c>
      <c r="G6626" s="200" t="s">
        <v>522</v>
      </c>
      <c r="H6626" s="200" t="s">
        <v>326</v>
      </c>
      <c r="I6626" s="200" t="s">
        <v>2962</v>
      </c>
    </row>
    <row r="6627" spans="1:9" ht="15" customHeight="1">
      <c r="A6627" s="199">
        <v>45750</v>
      </c>
      <c r="B6627" s="202" t="s">
        <v>5264</v>
      </c>
      <c r="C6627" s="200" t="s">
        <v>307</v>
      </c>
      <c r="D6627" s="204">
        <v>-38000</v>
      </c>
      <c r="E6627" s="201">
        <v>45748</v>
      </c>
      <c r="F6627" s="200" t="s">
        <v>296</v>
      </c>
      <c r="G6627" s="200" t="s">
        <v>522</v>
      </c>
      <c r="H6627" s="200" t="s">
        <v>429</v>
      </c>
      <c r="I6627" s="200" t="s">
        <v>2962</v>
      </c>
    </row>
    <row r="6628" spans="1:9" ht="15" customHeight="1">
      <c r="A6628" s="199">
        <v>45751</v>
      </c>
      <c r="B6628" s="202" t="s">
        <v>4294</v>
      </c>
      <c r="C6628" s="200" t="s">
        <v>307</v>
      </c>
      <c r="D6628" s="204">
        <v>-175012</v>
      </c>
      <c r="E6628" s="201">
        <v>45748</v>
      </c>
      <c r="F6628" s="200" t="s">
        <v>296</v>
      </c>
      <c r="G6628" s="200" t="s">
        <v>522</v>
      </c>
      <c r="H6628" s="200" t="s">
        <v>326</v>
      </c>
      <c r="I6628" s="200" t="s">
        <v>2962</v>
      </c>
    </row>
    <row r="6629" spans="1:9" ht="15" customHeight="1">
      <c r="A6629" s="199">
        <v>45754</v>
      </c>
      <c r="B6629" s="202" t="s">
        <v>5265</v>
      </c>
      <c r="C6629" s="200" t="s">
        <v>307</v>
      </c>
      <c r="D6629" s="204">
        <v>-70000</v>
      </c>
      <c r="E6629" s="201">
        <v>45748</v>
      </c>
      <c r="F6629" s="200" t="s">
        <v>296</v>
      </c>
      <c r="G6629" s="200" t="s">
        <v>522</v>
      </c>
      <c r="H6629" s="200" t="s">
        <v>326</v>
      </c>
      <c r="I6629" s="200" t="s">
        <v>2962</v>
      </c>
    </row>
    <row r="6630" spans="1:9" ht="15" customHeight="1">
      <c r="A6630" s="199">
        <v>45754</v>
      </c>
      <c r="B6630" s="202" t="s">
        <v>5266</v>
      </c>
      <c r="C6630" s="200" t="s">
        <v>307</v>
      </c>
      <c r="D6630" s="204">
        <v>-100000</v>
      </c>
      <c r="E6630" s="201">
        <v>45748</v>
      </c>
      <c r="F6630" s="200" t="s">
        <v>296</v>
      </c>
      <c r="G6630" s="200" t="s">
        <v>522</v>
      </c>
      <c r="H6630" s="200" t="s">
        <v>326</v>
      </c>
      <c r="I6630" s="200" t="s">
        <v>2962</v>
      </c>
    </row>
    <row r="6631" spans="1:9" ht="15" customHeight="1">
      <c r="A6631" s="199">
        <v>45754</v>
      </c>
      <c r="B6631" s="202" t="s">
        <v>5267</v>
      </c>
      <c r="C6631" s="200" t="s">
        <v>307</v>
      </c>
      <c r="D6631" s="204">
        <v>-415600</v>
      </c>
      <c r="E6631" s="201">
        <v>45748</v>
      </c>
      <c r="F6631" s="200" t="s">
        <v>296</v>
      </c>
      <c r="G6631" s="200" t="s">
        <v>522</v>
      </c>
      <c r="H6631" s="200" t="s">
        <v>429</v>
      </c>
      <c r="I6631" s="200" t="s">
        <v>2962</v>
      </c>
    </row>
    <row r="6632" spans="1:9" ht="15" customHeight="1">
      <c r="A6632" s="199">
        <v>45755</v>
      </c>
      <c r="B6632" s="202" t="s">
        <v>4292</v>
      </c>
      <c r="C6632" s="200" t="s">
        <v>307</v>
      </c>
      <c r="D6632" s="204">
        <v>-40046</v>
      </c>
      <c r="E6632" s="201">
        <v>45748</v>
      </c>
      <c r="F6632" s="200" t="s">
        <v>296</v>
      </c>
      <c r="G6632" s="200" t="s">
        <v>522</v>
      </c>
      <c r="H6632" s="200" t="s">
        <v>429</v>
      </c>
      <c r="I6632" s="200" t="s">
        <v>2962</v>
      </c>
    </row>
    <row r="6633" spans="1:9" ht="15" customHeight="1">
      <c r="A6633" s="199">
        <v>45755</v>
      </c>
      <c r="B6633" s="202" t="s">
        <v>2637</v>
      </c>
      <c r="C6633" s="200" t="s">
        <v>307</v>
      </c>
      <c r="D6633" s="204">
        <v>-40000</v>
      </c>
      <c r="E6633" s="201">
        <v>45748</v>
      </c>
      <c r="F6633" s="200" t="s">
        <v>296</v>
      </c>
      <c r="G6633" s="200" t="s">
        <v>522</v>
      </c>
      <c r="H6633" s="200" t="s">
        <v>326</v>
      </c>
      <c r="I6633" s="200" t="s">
        <v>2962</v>
      </c>
    </row>
    <row r="6634" spans="1:9" ht="15" customHeight="1">
      <c r="A6634" s="199">
        <v>45756</v>
      </c>
      <c r="B6634" s="202" t="s">
        <v>2637</v>
      </c>
      <c r="C6634" s="200" t="s">
        <v>307</v>
      </c>
      <c r="D6634" s="204">
        <v>-30000</v>
      </c>
      <c r="E6634" s="201">
        <v>45748</v>
      </c>
      <c r="F6634" s="200" t="s">
        <v>296</v>
      </c>
      <c r="G6634" s="200" t="s">
        <v>522</v>
      </c>
      <c r="H6634" s="200" t="s">
        <v>326</v>
      </c>
      <c r="I6634" s="200" t="s">
        <v>2962</v>
      </c>
    </row>
    <row r="6635" spans="1:9" ht="15" customHeight="1">
      <c r="A6635" s="199">
        <v>45756</v>
      </c>
      <c r="B6635" s="202" t="s">
        <v>5268</v>
      </c>
      <c r="C6635" s="200" t="s">
        <v>307</v>
      </c>
      <c r="D6635" s="204">
        <v>-33000</v>
      </c>
      <c r="E6635" s="201">
        <v>45748</v>
      </c>
      <c r="F6635" s="200" t="s">
        <v>296</v>
      </c>
      <c r="G6635" s="200" t="s">
        <v>522</v>
      </c>
      <c r="H6635" s="200" t="s">
        <v>326</v>
      </c>
      <c r="I6635" s="200" t="s">
        <v>2962</v>
      </c>
    </row>
    <row r="6636" spans="1:9" ht="15" customHeight="1">
      <c r="A6636" s="199">
        <v>45757</v>
      </c>
      <c r="B6636" s="202" t="s">
        <v>4294</v>
      </c>
      <c r="C6636" s="200" t="s">
        <v>307</v>
      </c>
      <c r="D6636" s="204">
        <v>-176012</v>
      </c>
      <c r="E6636" s="201">
        <v>45748</v>
      </c>
      <c r="F6636" s="200" t="s">
        <v>296</v>
      </c>
      <c r="G6636" s="200" t="s">
        <v>522</v>
      </c>
      <c r="H6636" s="200" t="s">
        <v>326</v>
      </c>
      <c r="I6636" s="200" t="s">
        <v>2962</v>
      </c>
    </row>
    <row r="6637" spans="1:9" ht="15" customHeight="1">
      <c r="A6637" s="199">
        <v>45757</v>
      </c>
      <c r="B6637" s="202" t="s">
        <v>2637</v>
      </c>
      <c r="C6637" s="200" t="s">
        <v>307</v>
      </c>
      <c r="D6637" s="204">
        <v>-30000</v>
      </c>
      <c r="E6637" s="201">
        <v>45748</v>
      </c>
      <c r="F6637" s="200" t="s">
        <v>296</v>
      </c>
      <c r="G6637" s="200" t="s">
        <v>522</v>
      </c>
      <c r="H6637" s="200" t="s">
        <v>326</v>
      </c>
      <c r="I6637" s="200" t="s">
        <v>2962</v>
      </c>
    </row>
    <row r="6638" spans="1:9" ht="15" customHeight="1">
      <c r="A6638" s="199">
        <v>45759</v>
      </c>
      <c r="B6638" s="202" t="s">
        <v>5269</v>
      </c>
      <c r="C6638" s="200" t="s">
        <v>307</v>
      </c>
      <c r="D6638" s="204">
        <v>-100000</v>
      </c>
      <c r="E6638" s="201">
        <v>45748</v>
      </c>
      <c r="F6638" s="200" t="s">
        <v>296</v>
      </c>
      <c r="G6638" s="200" t="s">
        <v>522</v>
      </c>
      <c r="H6638" s="200" t="s">
        <v>326</v>
      </c>
      <c r="I6638" s="200" t="s">
        <v>2962</v>
      </c>
    </row>
    <row r="6639" spans="1:9" ht="15" customHeight="1">
      <c r="A6639" s="199">
        <v>45759</v>
      </c>
      <c r="B6639" s="202" t="s">
        <v>1890</v>
      </c>
      <c r="C6639" s="200" t="s">
        <v>307</v>
      </c>
      <c r="D6639" s="204">
        <v>-14800</v>
      </c>
      <c r="E6639" s="201">
        <v>45748</v>
      </c>
      <c r="F6639" s="200" t="s">
        <v>296</v>
      </c>
      <c r="G6639" s="200" t="s">
        <v>522</v>
      </c>
      <c r="H6639" s="200" t="s">
        <v>326</v>
      </c>
      <c r="I6639" s="200" t="s">
        <v>2962</v>
      </c>
    </row>
    <row r="6640" spans="1:9" ht="15" customHeight="1">
      <c r="A6640" s="199">
        <v>45761</v>
      </c>
      <c r="B6640" s="202" t="s">
        <v>4292</v>
      </c>
      <c r="C6640" s="200" t="s">
        <v>307</v>
      </c>
      <c r="D6640" s="204">
        <v>-40026</v>
      </c>
      <c r="E6640" s="201">
        <v>45748</v>
      </c>
      <c r="F6640" s="200" t="s">
        <v>296</v>
      </c>
      <c r="G6640" s="200" t="s">
        <v>522</v>
      </c>
      <c r="H6640" s="200" t="s">
        <v>429</v>
      </c>
      <c r="I6640" s="200" t="s">
        <v>2962</v>
      </c>
    </row>
    <row r="6641" spans="1:9" ht="15" customHeight="1">
      <c r="A6641" s="199">
        <v>45761</v>
      </c>
      <c r="B6641" s="202" t="s">
        <v>2637</v>
      </c>
      <c r="C6641" s="200" t="s">
        <v>307</v>
      </c>
      <c r="D6641" s="204">
        <v>-10000</v>
      </c>
      <c r="E6641" s="201">
        <v>45748</v>
      </c>
      <c r="F6641" s="200" t="s">
        <v>296</v>
      </c>
      <c r="G6641" s="200" t="s">
        <v>522</v>
      </c>
      <c r="H6641" s="200" t="s">
        <v>326</v>
      </c>
      <c r="I6641" s="200" t="s">
        <v>2962</v>
      </c>
    </row>
    <row r="6642" spans="1:9" ht="15" customHeight="1">
      <c r="A6642" s="199">
        <v>45762</v>
      </c>
      <c r="B6642" s="202" t="s">
        <v>2637</v>
      </c>
      <c r="C6642" s="200" t="s">
        <v>307</v>
      </c>
      <c r="D6642" s="204">
        <v>-30000</v>
      </c>
      <c r="E6642" s="201">
        <v>45748</v>
      </c>
      <c r="F6642" s="200" t="s">
        <v>296</v>
      </c>
      <c r="G6642" s="200" t="s">
        <v>522</v>
      </c>
      <c r="H6642" s="200" t="s">
        <v>326</v>
      </c>
      <c r="I6642" s="200" t="s">
        <v>2962</v>
      </c>
    </row>
    <row r="6643" spans="1:9" ht="15" customHeight="1">
      <c r="A6643" s="199">
        <v>45762</v>
      </c>
      <c r="B6643" s="202" t="s">
        <v>5270</v>
      </c>
      <c r="C6643" s="200" t="s">
        <v>307</v>
      </c>
      <c r="D6643" s="204">
        <v>-784600</v>
      </c>
      <c r="E6643" s="201">
        <v>45748</v>
      </c>
      <c r="F6643" s="200" t="s">
        <v>296</v>
      </c>
      <c r="G6643" s="200" t="s">
        <v>522</v>
      </c>
      <c r="H6643" s="200" t="s">
        <v>488</v>
      </c>
      <c r="I6643" s="200" t="s">
        <v>2962</v>
      </c>
    </row>
    <row r="6644" spans="1:9" ht="15" customHeight="1">
      <c r="A6644" s="199">
        <v>45763</v>
      </c>
      <c r="B6644" s="202" t="s">
        <v>5271</v>
      </c>
      <c r="C6644" s="200" t="s">
        <v>307</v>
      </c>
      <c r="D6644" s="204">
        <v>-12000</v>
      </c>
      <c r="E6644" s="201">
        <v>45748</v>
      </c>
      <c r="F6644" s="200" t="s">
        <v>296</v>
      </c>
      <c r="G6644" s="200" t="s">
        <v>522</v>
      </c>
      <c r="H6644" s="200" t="s">
        <v>322</v>
      </c>
      <c r="I6644" s="200" t="s">
        <v>2962</v>
      </c>
    </row>
    <row r="6645" spans="1:9" ht="15" customHeight="1">
      <c r="A6645" s="199">
        <v>45763</v>
      </c>
      <c r="B6645" s="202" t="s">
        <v>4294</v>
      </c>
      <c r="C6645" s="200" t="s">
        <v>307</v>
      </c>
      <c r="D6645" s="204">
        <v>-50005</v>
      </c>
      <c r="E6645" s="201">
        <v>45748</v>
      </c>
      <c r="F6645" s="200" t="s">
        <v>296</v>
      </c>
      <c r="G6645" s="200" t="s">
        <v>522</v>
      </c>
      <c r="H6645" s="200" t="s">
        <v>326</v>
      </c>
      <c r="I6645" s="200" t="s">
        <v>2962</v>
      </c>
    </row>
    <row r="6646" spans="1:9" ht="15" customHeight="1">
      <c r="A6646" s="199">
        <v>45745</v>
      </c>
      <c r="B6646" s="202" t="s">
        <v>5272</v>
      </c>
      <c r="C6646" s="200" t="s">
        <v>307</v>
      </c>
      <c r="D6646" s="204">
        <v>-18000</v>
      </c>
      <c r="E6646" s="201">
        <v>45748</v>
      </c>
      <c r="F6646" s="200" t="s">
        <v>296</v>
      </c>
      <c r="G6646" s="200" t="s">
        <v>1980</v>
      </c>
      <c r="H6646" s="200" t="s">
        <v>326</v>
      </c>
      <c r="I6646" s="200" t="s">
        <v>2951</v>
      </c>
    </row>
    <row r="6647" spans="1:9" ht="15" customHeight="1">
      <c r="A6647" s="199">
        <v>45747</v>
      </c>
      <c r="B6647" s="202" t="s">
        <v>5273</v>
      </c>
      <c r="C6647" s="200" t="s">
        <v>307</v>
      </c>
      <c r="D6647" s="204">
        <v>-100004</v>
      </c>
      <c r="E6647" s="201">
        <v>45748</v>
      </c>
      <c r="F6647" s="200" t="s">
        <v>296</v>
      </c>
      <c r="G6647" s="200" t="s">
        <v>1980</v>
      </c>
      <c r="H6647" s="200" t="s">
        <v>326</v>
      </c>
      <c r="I6647" s="200" t="s">
        <v>2951</v>
      </c>
    </row>
    <row r="6648" spans="1:9" ht="15" customHeight="1">
      <c r="A6648" s="199">
        <v>45747</v>
      </c>
      <c r="B6648" s="202" t="s">
        <v>4271</v>
      </c>
      <c r="C6648" s="200" t="s">
        <v>307</v>
      </c>
      <c r="D6648" s="204">
        <v>-50000</v>
      </c>
      <c r="E6648" s="201">
        <v>45748</v>
      </c>
      <c r="F6648" s="200" t="s">
        <v>296</v>
      </c>
      <c r="G6648" s="200" t="s">
        <v>1980</v>
      </c>
      <c r="H6648" s="200" t="s">
        <v>1079</v>
      </c>
      <c r="I6648" s="200" t="s">
        <v>2951</v>
      </c>
    </row>
    <row r="6649" spans="1:9" ht="15" customHeight="1">
      <c r="A6649" s="199">
        <v>45747</v>
      </c>
      <c r="B6649" s="202" t="s">
        <v>5274</v>
      </c>
      <c r="C6649" s="200" t="s">
        <v>307</v>
      </c>
      <c r="D6649" s="204">
        <v>-27000</v>
      </c>
      <c r="E6649" s="201">
        <v>45748</v>
      </c>
      <c r="F6649" s="200" t="s">
        <v>296</v>
      </c>
      <c r="G6649" s="200" t="s">
        <v>1980</v>
      </c>
      <c r="H6649" s="200" t="s">
        <v>1079</v>
      </c>
      <c r="I6649" s="200" t="s">
        <v>2951</v>
      </c>
    </row>
    <row r="6650" spans="1:9" ht="15" customHeight="1">
      <c r="A6650" s="199">
        <v>45747</v>
      </c>
      <c r="B6650" s="202" t="s">
        <v>5275</v>
      </c>
      <c r="C6650" s="200" t="s">
        <v>307</v>
      </c>
      <c r="D6650" s="204">
        <v>-300000</v>
      </c>
      <c r="E6650" s="201">
        <v>45748</v>
      </c>
      <c r="F6650" s="200" t="s">
        <v>296</v>
      </c>
      <c r="G6650" s="200" t="s">
        <v>1980</v>
      </c>
      <c r="H6650" s="200" t="s">
        <v>1079</v>
      </c>
      <c r="I6650" s="200" t="s">
        <v>2951</v>
      </c>
    </row>
    <row r="6651" spans="1:9" ht="15" customHeight="1">
      <c r="A6651" s="199">
        <v>45747</v>
      </c>
      <c r="B6651" s="202" t="s">
        <v>5276</v>
      </c>
      <c r="C6651" s="200" t="s">
        <v>307</v>
      </c>
      <c r="D6651" s="204">
        <v>-44999.99</v>
      </c>
      <c r="E6651" s="201">
        <v>45748</v>
      </c>
      <c r="F6651" s="200" t="s">
        <v>296</v>
      </c>
      <c r="G6651" s="200" t="s">
        <v>1980</v>
      </c>
      <c r="H6651" s="200" t="s">
        <v>322</v>
      </c>
      <c r="I6651" s="200" t="s">
        <v>2951</v>
      </c>
    </row>
    <row r="6652" spans="1:9" ht="15" customHeight="1">
      <c r="A6652" s="199">
        <v>45748</v>
      </c>
      <c r="B6652" s="202" t="s">
        <v>4786</v>
      </c>
      <c r="C6652" s="200" t="s">
        <v>307</v>
      </c>
      <c r="D6652" s="204">
        <v>-10000</v>
      </c>
      <c r="E6652" s="201">
        <v>45748</v>
      </c>
      <c r="F6652" s="200" t="s">
        <v>296</v>
      </c>
      <c r="G6652" s="200" t="s">
        <v>1980</v>
      </c>
      <c r="H6652" s="200" t="s">
        <v>326</v>
      </c>
      <c r="I6652" s="200" t="s">
        <v>2951</v>
      </c>
    </row>
    <row r="6653" spans="1:9" ht="15" customHeight="1">
      <c r="A6653" s="199">
        <v>45749</v>
      </c>
      <c r="B6653" s="202" t="s">
        <v>5277</v>
      </c>
      <c r="C6653" s="200" t="s">
        <v>307</v>
      </c>
      <c r="D6653" s="204">
        <v>-71000</v>
      </c>
      <c r="E6653" s="201">
        <v>45748</v>
      </c>
      <c r="F6653" s="200" t="s">
        <v>296</v>
      </c>
      <c r="G6653" s="200" t="s">
        <v>1980</v>
      </c>
      <c r="H6653" s="200" t="s">
        <v>1079</v>
      </c>
      <c r="I6653" s="200" t="s">
        <v>2951</v>
      </c>
    </row>
    <row r="6654" spans="1:9" ht="15" customHeight="1">
      <c r="A6654" s="199">
        <v>45749</v>
      </c>
      <c r="B6654" s="202" t="s">
        <v>5278</v>
      </c>
      <c r="C6654" s="200" t="s">
        <v>307</v>
      </c>
      <c r="D6654" s="204">
        <v>-22000</v>
      </c>
      <c r="E6654" s="201">
        <v>45748</v>
      </c>
      <c r="F6654" s="200" t="s">
        <v>296</v>
      </c>
      <c r="G6654" s="200" t="s">
        <v>1980</v>
      </c>
      <c r="H6654" s="200" t="s">
        <v>442</v>
      </c>
      <c r="I6654" s="200" t="s">
        <v>2951</v>
      </c>
    </row>
    <row r="6655" spans="1:9" ht="15" customHeight="1">
      <c r="A6655" s="199">
        <v>45749</v>
      </c>
      <c r="B6655" s="202" t="s">
        <v>4786</v>
      </c>
      <c r="C6655" s="200" t="s">
        <v>307</v>
      </c>
      <c r="D6655" s="204">
        <v>-10000</v>
      </c>
      <c r="E6655" s="201">
        <v>45748</v>
      </c>
      <c r="F6655" s="200" t="s">
        <v>296</v>
      </c>
      <c r="G6655" s="200" t="s">
        <v>1980</v>
      </c>
      <c r="H6655" s="200" t="s">
        <v>326</v>
      </c>
      <c r="I6655" s="200" t="s">
        <v>2951</v>
      </c>
    </row>
    <row r="6656" spans="1:9" ht="15" customHeight="1">
      <c r="A6656" s="199">
        <v>45750</v>
      </c>
      <c r="B6656" s="202" t="s">
        <v>5279</v>
      </c>
      <c r="C6656" s="200" t="s">
        <v>307</v>
      </c>
      <c r="D6656" s="204">
        <v>-64000</v>
      </c>
      <c r="E6656" s="201">
        <v>45748</v>
      </c>
      <c r="F6656" s="200" t="s">
        <v>296</v>
      </c>
      <c r="G6656" s="200" t="s">
        <v>1980</v>
      </c>
      <c r="H6656" s="200" t="s">
        <v>326</v>
      </c>
      <c r="I6656" s="200" t="s">
        <v>2951</v>
      </c>
    </row>
    <row r="6657" spans="1:9" ht="15" customHeight="1">
      <c r="A6657" s="199">
        <v>45750</v>
      </c>
      <c r="B6657" s="202" t="s">
        <v>5279</v>
      </c>
      <c r="C6657" s="200" t="s">
        <v>307</v>
      </c>
      <c r="D6657" s="204">
        <v>-64000</v>
      </c>
      <c r="E6657" s="201">
        <v>45748</v>
      </c>
      <c r="F6657" s="200" t="s">
        <v>296</v>
      </c>
      <c r="G6657" s="200" t="s">
        <v>1980</v>
      </c>
      <c r="H6657" s="200" t="s">
        <v>326</v>
      </c>
      <c r="I6657" s="200" t="s">
        <v>2951</v>
      </c>
    </row>
    <row r="6658" spans="1:9" ht="15" customHeight="1">
      <c r="A6658" s="199">
        <v>45750</v>
      </c>
      <c r="B6658" s="202" t="s">
        <v>5280</v>
      </c>
      <c r="C6658" s="200" t="s">
        <v>307</v>
      </c>
      <c r="D6658" s="204">
        <v>-25000</v>
      </c>
      <c r="E6658" s="201">
        <v>45748</v>
      </c>
      <c r="F6658" s="200" t="s">
        <v>296</v>
      </c>
      <c r="G6658" s="200" t="s">
        <v>1980</v>
      </c>
      <c r="H6658" s="200" t="s">
        <v>1079</v>
      </c>
      <c r="I6658" s="200" t="s">
        <v>2951</v>
      </c>
    </row>
    <row r="6659" spans="1:9" ht="15" customHeight="1">
      <c r="A6659" s="199">
        <v>45750</v>
      </c>
      <c r="B6659" s="202" t="s">
        <v>5281</v>
      </c>
      <c r="C6659" s="200" t="s">
        <v>307</v>
      </c>
      <c r="D6659" s="204">
        <v>-12000</v>
      </c>
      <c r="E6659" s="201">
        <v>45748</v>
      </c>
      <c r="F6659" s="200" t="s">
        <v>296</v>
      </c>
      <c r="G6659" s="200" t="s">
        <v>1980</v>
      </c>
      <c r="H6659" s="200" t="s">
        <v>1079</v>
      </c>
      <c r="I6659" s="200" t="s">
        <v>2951</v>
      </c>
    </row>
    <row r="6660" spans="1:9" ht="15" customHeight="1">
      <c r="A6660" s="199">
        <v>45750</v>
      </c>
      <c r="B6660" s="202" t="s">
        <v>4786</v>
      </c>
      <c r="C6660" s="200" t="s">
        <v>307</v>
      </c>
      <c r="D6660" s="204">
        <v>-15000</v>
      </c>
      <c r="E6660" s="201">
        <v>45748</v>
      </c>
      <c r="F6660" s="200" t="s">
        <v>296</v>
      </c>
      <c r="G6660" s="200" t="s">
        <v>1980</v>
      </c>
      <c r="H6660" s="200" t="s">
        <v>326</v>
      </c>
      <c r="I6660" s="200" t="s">
        <v>2951</v>
      </c>
    </row>
    <row r="6661" spans="1:9" ht="15" customHeight="1">
      <c r="A6661" s="199">
        <v>45751</v>
      </c>
      <c r="B6661" s="202" t="s">
        <v>5282</v>
      </c>
      <c r="C6661" s="200" t="s">
        <v>307</v>
      </c>
      <c r="D6661" s="204">
        <v>-25000</v>
      </c>
      <c r="E6661" s="201">
        <v>45748</v>
      </c>
      <c r="F6661" s="200" t="s">
        <v>296</v>
      </c>
      <c r="G6661" s="200" t="s">
        <v>1980</v>
      </c>
      <c r="H6661" s="200" t="s">
        <v>1079</v>
      </c>
      <c r="I6661" s="200" t="s">
        <v>2951</v>
      </c>
    </row>
    <row r="6662" spans="1:9" ht="15" customHeight="1">
      <c r="A6662" s="199">
        <v>45751</v>
      </c>
      <c r="B6662" s="202" t="s">
        <v>5283</v>
      </c>
      <c r="C6662" s="200" t="s">
        <v>307</v>
      </c>
      <c r="D6662" s="204">
        <v>-320400</v>
      </c>
      <c r="E6662" s="201">
        <v>45748</v>
      </c>
      <c r="F6662" s="200" t="s">
        <v>296</v>
      </c>
      <c r="G6662" s="200" t="s">
        <v>1980</v>
      </c>
      <c r="H6662" s="200" t="s">
        <v>1079</v>
      </c>
      <c r="I6662" s="200" t="s">
        <v>2951</v>
      </c>
    </row>
    <row r="6663" spans="1:9" ht="15" customHeight="1">
      <c r="A6663" s="199">
        <v>45751</v>
      </c>
      <c r="B6663" s="202" t="s">
        <v>5284</v>
      </c>
      <c r="C6663" s="200" t="s">
        <v>307</v>
      </c>
      <c r="D6663" s="204">
        <v>-123000</v>
      </c>
      <c r="E6663" s="201">
        <v>45748</v>
      </c>
      <c r="F6663" s="200" t="s">
        <v>296</v>
      </c>
      <c r="G6663" s="200" t="s">
        <v>1980</v>
      </c>
      <c r="H6663" s="200" t="s">
        <v>1079</v>
      </c>
      <c r="I6663" s="200" t="s">
        <v>2951</v>
      </c>
    </row>
    <row r="6664" spans="1:9" ht="15" customHeight="1">
      <c r="A6664" s="199">
        <v>45751</v>
      </c>
      <c r="B6664" s="202" t="s">
        <v>5273</v>
      </c>
      <c r="C6664" s="200" t="s">
        <v>307</v>
      </c>
      <c r="D6664" s="204">
        <v>-140071</v>
      </c>
      <c r="E6664" s="201">
        <v>45748</v>
      </c>
      <c r="F6664" s="200" t="s">
        <v>296</v>
      </c>
      <c r="G6664" s="200" t="s">
        <v>1980</v>
      </c>
      <c r="H6664" s="200" t="s">
        <v>326</v>
      </c>
      <c r="I6664" s="200" t="s">
        <v>2951</v>
      </c>
    </row>
    <row r="6665" spans="1:9" ht="15" customHeight="1">
      <c r="A6665" s="199">
        <v>45751</v>
      </c>
      <c r="B6665" s="202" t="s">
        <v>5285</v>
      </c>
      <c r="C6665" s="200" t="s">
        <v>307</v>
      </c>
      <c r="D6665" s="204">
        <v>-55088.98</v>
      </c>
      <c r="E6665" s="201">
        <v>45748</v>
      </c>
      <c r="F6665" s="200" t="s">
        <v>296</v>
      </c>
      <c r="G6665" s="200" t="s">
        <v>1980</v>
      </c>
      <c r="H6665" s="200" t="s">
        <v>1079</v>
      </c>
      <c r="I6665" s="200" t="s">
        <v>2951</v>
      </c>
    </row>
    <row r="6666" spans="1:9" ht="15" customHeight="1">
      <c r="A6666" s="199">
        <v>45751</v>
      </c>
      <c r="B6666" s="202" t="s">
        <v>5286</v>
      </c>
      <c r="C6666" s="200" t="s">
        <v>307</v>
      </c>
      <c r="D6666" s="204">
        <v>-50089.98</v>
      </c>
      <c r="E6666" s="201">
        <v>45748</v>
      </c>
      <c r="F6666" s="200" t="s">
        <v>296</v>
      </c>
      <c r="G6666" s="200" t="s">
        <v>1980</v>
      </c>
      <c r="H6666" s="200" t="s">
        <v>1079</v>
      </c>
      <c r="I6666" s="200" t="s">
        <v>2951</v>
      </c>
    </row>
    <row r="6667" spans="1:9" ht="15" customHeight="1">
      <c r="A6667" s="199">
        <v>45751</v>
      </c>
      <c r="B6667" s="202" t="s">
        <v>5287</v>
      </c>
      <c r="C6667" s="200" t="s">
        <v>307</v>
      </c>
      <c r="D6667" s="204">
        <v>-74103.75</v>
      </c>
      <c r="E6667" s="201">
        <v>45748</v>
      </c>
      <c r="F6667" s="200" t="s">
        <v>296</v>
      </c>
      <c r="G6667" s="200" t="s">
        <v>1980</v>
      </c>
      <c r="H6667" s="200" t="s">
        <v>1079</v>
      </c>
      <c r="I6667" s="200" t="s">
        <v>2951</v>
      </c>
    </row>
    <row r="6668" spans="1:9" ht="15" customHeight="1">
      <c r="A6668" s="199">
        <v>45751</v>
      </c>
      <c r="B6668" s="202" t="s">
        <v>5288</v>
      </c>
      <c r="C6668" s="200" t="s">
        <v>307</v>
      </c>
      <c r="D6668" s="204">
        <v>-53089.38</v>
      </c>
      <c r="E6668" s="201">
        <v>45748</v>
      </c>
      <c r="F6668" s="200" t="s">
        <v>296</v>
      </c>
      <c r="G6668" s="200" t="s">
        <v>1980</v>
      </c>
      <c r="H6668" s="200" t="s">
        <v>1079</v>
      </c>
      <c r="I6668" s="200" t="s">
        <v>2951</v>
      </c>
    </row>
    <row r="6669" spans="1:9" ht="15" customHeight="1">
      <c r="A6669" s="199">
        <v>45752</v>
      </c>
      <c r="B6669" s="202" t="s">
        <v>5289</v>
      </c>
      <c r="C6669" s="200" t="s">
        <v>307</v>
      </c>
      <c r="D6669" s="204">
        <v>-12000</v>
      </c>
      <c r="E6669" s="201">
        <v>45748</v>
      </c>
      <c r="F6669" s="200" t="s">
        <v>296</v>
      </c>
      <c r="G6669" s="200" t="s">
        <v>1980</v>
      </c>
      <c r="H6669" s="200" t="s">
        <v>1079</v>
      </c>
      <c r="I6669" s="200" t="s">
        <v>2951</v>
      </c>
    </row>
    <row r="6670" spans="1:9" ht="15" customHeight="1">
      <c r="A6670" s="199">
        <v>45753</v>
      </c>
      <c r="B6670" s="202" t="s">
        <v>5290</v>
      </c>
      <c r="C6670" s="200" t="s">
        <v>307</v>
      </c>
      <c r="D6670" s="204">
        <v>-49998</v>
      </c>
      <c r="E6670" s="201">
        <v>45748</v>
      </c>
      <c r="F6670" s="200" t="s">
        <v>296</v>
      </c>
      <c r="G6670" s="200" t="s">
        <v>1980</v>
      </c>
      <c r="H6670" s="200" t="s">
        <v>326</v>
      </c>
      <c r="I6670" s="200" t="s">
        <v>2951</v>
      </c>
    </row>
    <row r="6671" spans="1:9" ht="15" customHeight="1">
      <c r="A6671" s="199">
        <v>45754</v>
      </c>
      <c r="B6671" s="202" t="s">
        <v>5291</v>
      </c>
      <c r="C6671" s="200" t="s">
        <v>307</v>
      </c>
      <c r="D6671" s="204">
        <v>-57200</v>
      </c>
      <c r="E6671" s="201">
        <v>45748</v>
      </c>
      <c r="F6671" s="200" t="s">
        <v>296</v>
      </c>
      <c r="G6671" s="200" t="s">
        <v>1980</v>
      </c>
      <c r="H6671" s="200" t="s">
        <v>326</v>
      </c>
      <c r="I6671" s="200" t="s">
        <v>2951</v>
      </c>
    </row>
    <row r="6672" spans="1:9" ht="15" customHeight="1">
      <c r="A6672" s="199">
        <v>45755</v>
      </c>
      <c r="B6672" s="202" t="s">
        <v>4786</v>
      </c>
      <c r="C6672" s="200" t="s">
        <v>307</v>
      </c>
      <c r="D6672" s="204">
        <v>-40000</v>
      </c>
      <c r="E6672" s="201">
        <v>45748</v>
      </c>
      <c r="F6672" s="200" t="s">
        <v>296</v>
      </c>
      <c r="G6672" s="200" t="s">
        <v>1980</v>
      </c>
      <c r="H6672" s="200" t="s">
        <v>326</v>
      </c>
      <c r="I6672" s="200" t="s">
        <v>2951</v>
      </c>
    </row>
    <row r="6673" spans="1:9" ht="15" customHeight="1">
      <c r="A6673" s="199">
        <v>45758</v>
      </c>
      <c r="B6673" s="202" t="s">
        <v>5275</v>
      </c>
      <c r="C6673" s="200" t="s">
        <v>307</v>
      </c>
      <c r="D6673" s="204">
        <v>-578100</v>
      </c>
      <c r="E6673" s="201">
        <v>45748</v>
      </c>
      <c r="F6673" s="200" t="s">
        <v>296</v>
      </c>
      <c r="G6673" s="200" t="s">
        <v>1980</v>
      </c>
      <c r="H6673" s="200" t="s">
        <v>1079</v>
      </c>
      <c r="I6673" s="200" t="s">
        <v>2951</v>
      </c>
    </row>
    <row r="6674" spans="1:9" ht="15" customHeight="1">
      <c r="A6674" s="199">
        <v>45758</v>
      </c>
      <c r="B6674" s="202" t="s">
        <v>5292</v>
      </c>
      <c r="C6674" s="200" t="s">
        <v>307</v>
      </c>
      <c r="D6674" s="204">
        <v>-725000</v>
      </c>
      <c r="E6674" s="201">
        <v>45748</v>
      </c>
      <c r="F6674" s="200" t="s">
        <v>296</v>
      </c>
      <c r="G6674" s="200" t="s">
        <v>1980</v>
      </c>
      <c r="H6674" s="200" t="s">
        <v>1079</v>
      </c>
      <c r="I6674" s="200" t="s">
        <v>2951</v>
      </c>
    </row>
    <row r="6675" spans="1:9" ht="15" customHeight="1">
      <c r="A6675" s="199">
        <v>45758</v>
      </c>
      <c r="B6675" s="202" t="s">
        <v>1937</v>
      </c>
      <c r="C6675" s="200" t="s">
        <v>307</v>
      </c>
      <c r="D6675" s="204">
        <v>-7000</v>
      </c>
      <c r="E6675" s="201">
        <v>45748</v>
      </c>
      <c r="F6675" s="200" t="s">
        <v>296</v>
      </c>
      <c r="G6675" s="200" t="s">
        <v>328</v>
      </c>
      <c r="H6675" s="200" t="s">
        <v>268</v>
      </c>
      <c r="I6675" s="200" t="s">
        <v>5293</v>
      </c>
    </row>
    <row r="6676" spans="1:9" ht="15" customHeight="1">
      <c r="A6676" s="199">
        <v>45761</v>
      </c>
      <c r="B6676" s="202" t="s">
        <v>5294</v>
      </c>
      <c r="C6676" s="200" t="s">
        <v>307</v>
      </c>
      <c r="D6676" s="204">
        <v>-49940</v>
      </c>
      <c r="E6676" s="201">
        <v>45748</v>
      </c>
      <c r="F6676" s="200" t="s">
        <v>297</v>
      </c>
      <c r="G6676" s="200" t="s">
        <v>71</v>
      </c>
      <c r="H6676" s="200" t="s">
        <v>377</v>
      </c>
      <c r="I6676" s="200" t="s">
        <v>5293</v>
      </c>
    </row>
    <row r="6677" spans="1:9" ht="15" customHeight="1">
      <c r="A6677" s="199">
        <v>45761</v>
      </c>
      <c r="B6677" s="202" t="s">
        <v>5295</v>
      </c>
      <c r="C6677" s="200" t="s">
        <v>307</v>
      </c>
      <c r="D6677" s="204">
        <v>-144000</v>
      </c>
      <c r="E6677" s="201">
        <v>45748</v>
      </c>
      <c r="F6677" s="200" t="s">
        <v>297</v>
      </c>
      <c r="G6677" s="200" t="s">
        <v>71</v>
      </c>
      <c r="H6677" s="200" t="s">
        <v>377</v>
      </c>
      <c r="I6677" s="648" t="s">
        <v>329</v>
      </c>
    </row>
    <row r="6678" spans="1:9" ht="15" customHeight="1">
      <c r="A6678" s="199">
        <v>45762</v>
      </c>
      <c r="B6678" s="202" t="s">
        <v>5296</v>
      </c>
      <c r="C6678" s="200" t="s">
        <v>307</v>
      </c>
      <c r="D6678" s="204">
        <v>-9000</v>
      </c>
      <c r="E6678" s="201">
        <v>45748</v>
      </c>
      <c r="F6678" s="200" t="s">
        <v>296</v>
      </c>
      <c r="G6678" s="200" t="s">
        <v>328</v>
      </c>
      <c r="H6678" s="200" t="s">
        <v>350</v>
      </c>
      <c r="I6678" s="200" t="s">
        <v>5293</v>
      </c>
    </row>
    <row r="6679" spans="1:9" ht="15" customHeight="1">
      <c r="A6679" s="199">
        <v>45762</v>
      </c>
      <c r="B6679" s="202" t="s">
        <v>5297</v>
      </c>
      <c r="C6679" s="200" t="s">
        <v>307</v>
      </c>
      <c r="D6679" s="204">
        <v>-34000</v>
      </c>
      <c r="E6679" s="201">
        <v>45748</v>
      </c>
      <c r="F6679" s="200" t="s">
        <v>256</v>
      </c>
      <c r="G6679" s="200" t="s">
        <v>256</v>
      </c>
      <c r="H6679" s="200" t="s">
        <v>263</v>
      </c>
      <c r="I6679" s="200" t="s">
        <v>5293</v>
      </c>
    </row>
    <row r="6680" spans="1:9" ht="15" customHeight="1">
      <c r="A6680" s="199">
        <v>45762</v>
      </c>
      <c r="B6680" s="202" t="s">
        <v>5298</v>
      </c>
      <c r="C6680" s="200" t="s">
        <v>307</v>
      </c>
      <c r="D6680" s="204">
        <v>-6000</v>
      </c>
      <c r="E6680" s="201">
        <v>45748</v>
      </c>
      <c r="F6680" s="200" t="s">
        <v>256</v>
      </c>
      <c r="G6680" s="200" t="s">
        <v>256</v>
      </c>
      <c r="H6680" s="200" t="s">
        <v>263</v>
      </c>
      <c r="I6680" s="200" t="s">
        <v>5293</v>
      </c>
    </row>
    <row r="6681" spans="1:9" ht="15" customHeight="1">
      <c r="A6681" s="199">
        <v>45762</v>
      </c>
      <c r="B6681" s="202" t="s">
        <v>5299</v>
      </c>
      <c r="C6681" s="200" t="s">
        <v>307</v>
      </c>
      <c r="D6681" s="204">
        <v>-91600</v>
      </c>
      <c r="E6681" s="201">
        <v>45748</v>
      </c>
      <c r="F6681" s="200" t="s">
        <v>256</v>
      </c>
      <c r="G6681" s="200" t="s">
        <v>256</v>
      </c>
      <c r="H6681" s="200" t="s">
        <v>263</v>
      </c>
      <c r="I6681" s="200" t="s">
        <v>5293</v>
      </c>
    </row>
    <row r="6682" spans="1:9" ht="15" customHeight="1">
      <c r="A6682" s="199">
        <v>45763</v>
      </c>
      <c r="B6682" s="202" t="s">
        <v>5300</v>
      </c>
      <c r="C6682" s="200" t="s">
        <v>307</v>
      </c>
      <c r="D6682" s="204">
        <v>-26099.77</v>
      </c>
      <c r="E6682" s="201">
        <v>45748</v>
      </c>
      <c r="F6682" s="200" t="s">
        <v>256</v>
      </c>
      <c r="G6682" s="200" t="s">
        <v>256</v>
      </c>
      <c r="H6682" s="200" t="s">
        <v>263</v>
      </c>
      <c r="I6682" s="200" t="s">
        <v>5293</v>
      </c>
    </row>
    <row r="6683" spans="1:9" ht="15" customHeight="1">
      <c r="A6683" s="199">
        <v>45763</v>
      </c>
      <c r="B6683" s="202" t="s">
        <v>5301</v>
      </c>
      <c r="C6683" s="200" t="s">
        <v>307</v>
      </c>
      <c r="D6683" s="204">
        <v>-22999.72</v>
      </c>
      <c r="E6683" s="201">
        <v>45748</v>
      </c>
      <c r="F6683" s="200" t="s">
        <v>256</v>
      </c>
      <c r="G6683" s="200" t="s">
        <v>256</v>
      </c>
      <c r="H6683" s="200" t="s">
        <v>263</v>
      </c>
      <c r="I6683" s="200" t="s">
        <v>5293</v>
      </c>
    </row>
    <row r="6684" spans="1:9" ht="15" customHeight="1">
      <c r="A6684" s="199">
        <v>45763</v>
      </c>
      <c r="B6684" s="202" t="s">
        <v>5302</v>
      </c>
      <c r="C6684" s="200" t="s">
        <v>307</v>
      </c>
      <c r="D6684" s="204">
        <v>-9600</v>
      </c>
      <c r="E6684" s="201">
        <v>45748</v>
      </c>
      <c r="F6684" s="200" t="s">
        <v>296</v>
      </c>
      <c r="G6684" s="200" t="s">
        <v>328</v>
      </c>
      <c r="H6684" s="200" t="s">
        <v>350</v>
      </c>
      <c r="I6684" s="200" t="s">
        <v>5293</v>
      </c>
    </row>
    <row r="6685" spans="1:9" ht="15" customHeight="1">
      <c r="A6685" s="199">
        <v>45763</v>
      </c>
      <c r="B6685" s="202" t="s">
        <v>5303</v>
      </c>
      <c r="C6685" s="200" t="s">
        <v>307</v>
      </c>
      <c r="D6685" s="204">
        <v>-45200</v>
      </c>
      <c r="E6685" s="201">
        <v>45748</v>
      </c>
      <c r="F6685" s="200" t="s">
        <v>296</v>
      </c>
      <c r="G6685" s="200" t="s">
        <v>328</v>
      </c>
      <c r="H6685" s="200" t="s">
        <v>350</v>
      </c>
      <c r="I6685" s="200" t="s">
        <v>5293</v>
      </c>
    </row>
    <row r="6686" spans="1:9" ht="15" customHeight="1">
      <c r="A6686" s="199">
        <v>45757</v>
      </c>
      <c r="B6686" s="202" t="s">
        <v>5304</v>
      </c>
      <c r="C6686" s="200" t="s">
        <v>307</v>
      </c>
      <c r="D6686" s="204">
        <v>-25000</v>
      </c>
      <c r="E6686" s="201">
        <v>45748</v>
      </c>
      <c r="F6686" s="200" t="s">
        <v>296</v>
      </c>
      <c r="G6686" s="200" t="s">
        <v>337</v>
      </c>
      <c r="H6686" s="200" t="s">
        <v>326</v>
      </c>
      <c r="I6686" s="200" t="s">
        <v>5293</v>
      </c>
    </row>
    <row r="6687" spans="1:9" ht="15" customHeight="1">
      <c r="A6687" s="199">
        <v>45757</v>
      </c>
      <c r="B6687" s="202" t="s">
        <v>5305</v>
      </c>
      <c r="C6687" s="200" t="s">
        <v>307</v>
      </c>
      <c r="D6687" s="204">
        <v>-9500</v>
      </c>
      <c r="E6687" s="201">
        <v>45748</v>
      </c>
      <c r="F6687" s="200" t="s">
        <v>296</v>
      </c>
      <c r="G6687" s="200" t="s">
        <v>337</v>
      </c>
      <c r="H6687" s="200" t="s">
        <v>421</v>
      </c>
      <c r="I6687" s="648" t="s">
        <v>329</v>
      </c>
    </row>
    <row r="6688" spans="1:9" ht="15" customHeight="1">
      <c r="A6688" s="199">
        <v>45758</v>
      </c>
      <c r="B6688" s="202" t="s">
        <v>1666</v>
      </c>
      <c r="C6688" s="200" t="s">
        <v>307</v>
      </c>
      <c r="D6688" s="204">
        <v>-20000</v>
      </c>
      <c r="E6688" s="201">
        <v>45748</v>
      </c>
      <c r="F6688" s="200" t="s">
        <v>296</v>
      </c>
      <c r="G6688" s="200" t="s">
        <v>513</v>
      </c>
      <c r="H6688" s="200" t="s">
        <v>326</v>
      </c>
      <c r="I6688" s="200" t="s">
        <v>5293</v>
      </c>
    </row>
    <row r="6689" spans="1:9" ht="15" customHeight="1">
      <c r="A6689" s="199">
        <v>45758</v>
      </c>
      <c r="B6689" s="202" t="s">
        <v>5306</v>
      </c>
      <c r="C6689" s="200" t="s">
        <v>307</v>
      </c>
      <c r="D6689" s="204">
        <v>-4800</v>
      </c>
      <c r="E6689" s="201">
        <v>45748</v>
      </c>
      <c r="F6689" s="200" t="s">
        <v>296</v>
      </c>
      <c r="G6689" s="200" t="s">
        <v>513</v>
      </c>
      <c r="H6689" s="200" t="s">
        <v>366</v>
      </c>
      <c r="I6689" s="200" t="s">
        <v>5293</v>
      </c>
    </row>
    <row r="6690" spans="1:9" ht="15" customHeight="1">
      <c r="A6690" s="199">
        <v>45758</v>
      </c>
      <c r="B6690" s="202" t="s">
        <v>5307</v>
      </c>
      <c r="C6690" s="200" t="s">
        <v>307</v>
      </c>
      <c r="D6690" s="204">
        <v>-68415</v>
      </c>
      <c r="E6690" s="201">
        <v>45748</v>
      </c>
      <c r="F6690" s="200" t="s">
        <v>296</v>
      </c>
      <c r="G6690" s="200" t="s">
        <v>44</v>
      </c>
      <c r="H6690" s="200" t="s">
        <v>421</v>
      </c>
      <c r="I6690" s="200" t="s">
        <v>5293</v>
      </c>
    </row>
    <row r="6691" spans="1:9" ht="15" customHeight="1">
      <c r="A6691" s="199">
        <v>45761</v>
      </c>
      <c r="B6691" s="202" t="s">
        <v>5308</v>
      </c>
      <c r="C6691" s="200" t="s">
        <v>307</v>
      </c>
      <c r="D6691" s="204">
        <v>-5000</v>
      </c>
      <c r="E6691" s="201">
        <v>45748</v>
      </c>
      <c r="F6691" s="200" t="s">
        <v>296</v>
      </c>
      <c r="G6691" s="200" t="s">
        <v>513</v>
      </c>
      <c r="H6691" s="200" t="s">
        <v>326</v>
      </c>
      <c r="I6691" s="200" t="s">
        <v>5293</v>
      </c>
    </row>
    <row r="6692" spans="1:9" ht="15" customHeight="1">
      <c r="A6692" s="199">
        <v>45761</v>
      </c>
      <c r="B6692" s="202" t="s">
        <v>5309</v>
      </c>
      <c r="C6692" s="200" t="s">
        <v>307</v>
      </c>
      <c r="D6692" s="204">
        <v>-10000</v>
      </c>
      <c r="E6692" s="201">
        <v>45748</v>
      </c>
      <c r="F6692" s="200" t="s">
        <v>296</v>
      </c>
      <c r="G6692" s="200" t="s">
        <v>1980</v>
      </c>
      <c r="H6692" s="200" t="s">
        <v>442</v>
      </c>
      <c r="I6692" s="648" t="s">
        <v>329</v>
      </c>
    </row>
    <row r="6693" spans="1:9" ht="15" customHeight="1">
      <c r="A6693" s="199">
        <v>45761</v>
      </c>
      <c r="B6693" s="202" t="s">
        <v>5310</v>
      </c>
      <c r="C6693" s="200" t="s">
        <v>307</v>
      </c>
      <c r="D6693" s="204">
        <v>-13000</v>
      </c>
      <c r="E6693" s="201">
        <v>45748</v>
      </c>
      <c r="F6693" s="200" t="s">
        <v>296</v>
      </c>
      <c r="G6693" s="200" t="s">
        <v>513</v>
      </c>
      <c r="H6693" s="200" t="s">
        <v>366</v>
      </c>
      <c r="I6693" s="200" t="s">
        <v>5293</v>
      </c>
    </row>
    <row r="6694" spans="1:9" ht="15" customHeight="1">
      <c r="A6694" s="199">
        <v>45762</v>
      </c>
      <c r="B6694" s="202" t="s">
        <v>5311</v>
      </c>
      <c r="C6694" s="200" t="s">
        <v>307</v>
      </c>
      <c r="D6694" s="204">
        <v>-15000</v>
      </c>
      <c r="E6694" s="201">
        <v>45748</v>
      </c>
      <c r="F6694" s="200" t="s">
        <v>296</v>
      </c>
      <c r="G6694" s="200" t="s">
        <v>44</v>
      </c>
      <c r="H6694" s="200" t="s">
        <v>442</v>
      </c>
      <c r="I6694" s="200" t="s">
        <v>5293</v>
      </c>
    </row>
    <row r="6695" spans="1:9" ht="15" customHeight="1">
      <c r="A6695" s="199">
        <v>45762</v>
      </c>
      <c r="B6695" s="202" t="s">
        <v>5311</v>
      </c>
      <c r="C6695" s="200" t="s">
        <v>307</v>
      </c>
      <c r="D6695" s="204">
        <v>-15000</v>
      </c>
      <c r="E6695" s="201">
        <v>45748</v>
      </c>
      <c r="F6695" s="200" t="s">
        <v>296</v>
      </c>
      <c r="G6695" s="200" t="s">
        <v>522</v>
      </c>
      <c r="H6695" s="200" t="s">
        <v>442</v>
      </c>
      <c r="I6695" s="200" t="s">
        <v>5293</v>
      </c>
    </row>
    <row r="6696" spans="1:9" ht="15" customHeight="1">
      <c r="A6696" s="199">
        <v>45762</v>
      </c>
      <c r="B6696" s="202" t="s">
        <v>5312</v>
      </c>
      <c r="C6696" s="200" t="s">
        <v>307</v>
      </c>
      <c r="D6696" s="204">
        <v>-46000</v>
      </c>
      <c r="E6696" s="201">
        <v>45748</v>
      </c>
      <c r="F6696" s="200" t="s">
        <v>296</v>
      </c>
      <c r="G6696" s="200" t="s">
        <v>44</v>
      </c>
      <c r="H6696" s="200" t="s">
        <v>366</v>
      </c>
      <c r="I6696" s="200" t="s">
        <v>5293</v>
      </c>
    </row>
    <row r="6697" spans="1:9" ht="15" customHeight="1">
      <c r="A6697" s="199">
        <v>45763</v>
      </c>
      <c r="B6697" s="202" t="s">
        <v>5313</v>
      </c>
      <c r="C6697" s="200" t="s">
        <v>307</v>
      </c>
      <c r="D6697" s="204">
        <v>-30000</v>
      </c>
      <c r="E6697" s="201">
        <v>45748</v>
      </c>
      <c r="F6697" s="200" t="s">
        <v>296</v>
      </c>
      <c r="G6697" s="200" t="s">
        <v>513</v>
      </c>
      <c r="H6697" s="200" t="s">
        <v>442</v>
      </c>
      <c r="I6697" s="200" t="s">
        <v>5293</v>
      </c>
    </row>
    <row r="6698" spans="1:9" ht="15" customHeight="1">
      <c r="A6698" s="199">
        <v>45761</v>
      </c>
      <c r="B6698" s="202" t="s">
        <v>5314</v>
      </c>
      <c r="C6698" s="200" t="s">
        <v>307</v>
      </c>
      <c r="D6698" s="204">
        <v>-20000</v>
      </c>
      <c r="E6698" s="201">
        <v>45748</v>
      </c>
      <c r="F6698" s="200" t="s">
        <v>296</v>
      </c>
      <c r="G6698" s="200" t="s">
        <v>44</v>
      </c>
      <c r="H6698" s="200" t="s">
        <v>326</v>
      </c>
      <c r="I6698" s="200" t="s">
        <v>4612</v>
      </c>
    </row>
    <row r="6699" spans="1:9" ht="15" customHeight="1">
      <c r="A6699" s="199">
        <v>45763</v>
      </c>
      <c r="B6699" s="202" t="s">
        <v>5315</v>
      </c>
      <c r="C6699" s="200" t="s">
        <v>307</v>
      </c>
      <c r="D6699" s="204">
        <v>-22190</v>
      </c>
      <c r="E6699" s="201">
        <v>45748</v>
      </c>
      <c r="F6699" s="200" t="s">
        <v>296</v>
      </c>
      <c r="G6699" s="200" t="s">
        <v>44</v>
      </c>
      <c r="H6699" s="200" t="s">
        <v>322</v>
      </c>
      <c r="I6699" s="200" t="s">
        <v>4612</v>
      </c>
    </row>
    <row r="6700" spans="1:9" ht="15" customHeight="1">
      <c r="A6700" s="199">
        <v>45763</v>
      </c>
      <c r="B6700" s="202" t="s">
        <v>729</v>
      </c>
      <c r="C6700" s="200" t="s">
        <v>307</v>
      </c>
      <c r="D6700" s="204">
        <v>-4800</v>
      </c>
      <c r="E6700" s="201">
        <v>45748</v>
      </c>
      <c r="F6700" s="200" t="s">
        <v>296</v>
      </c>
      <c r="G6700" s="200" t="s">
        <v>522</v>
      </c>
      <c r="H6700" s="200" t="s">
        <v>326</v>
      </c>
      <c r="I6700" s="648" t="s">
        <v>329</v>
      </c>
    </row>
    <row r="6701" spans="1:9" ht="15" customHeight="1">
      <c r="A6701" s="199">
        <v>45763</v>
      </c>
      <c r="B6701" s="202" t="s">
        <v>5316</v>
      </c>
      <c r="C6701" s="200" t="s">
        <v>307</v>
      </c>
      <c r="D6701" s="204">
        <v>-180000</v>
      </c>
      <c r="E6701" s="201">
        <v>45748</v>
      </c>
      <c r="F6701" s="200" t="s">
        <v>297</v>
      </c>
      <c r="G6701" s="200" t="s">
        <v>3892</v>
      </c>
      <c r="H6701" s="200" t="s">
        <v>268</v>
      </c>
      <c r="I6701" s="200" t="s">
        <v>329</v>
      </c>
    </row>
    <row r="6702" spans="1:9" ht="15" customHeight="1">
      <c r="A6702" s="199">
        <v>45756</v>
      </c>
      <c r="B6702" s="202" t="s">
        <v>5317</v>
      </c>
      <c r="C6702" s="200" t="s">
        <v>307</v>
      </c>
      <c r="D6702" s="204">
        <v>-17000</v>
      </c>
      <c r="E6702" s="201">
        <v>45748</v>
      </c>
      <c r="F6702" s="200" t="s">
        <v>297</v>
      </c>
      <c r="G6702" s="200" t="s">
        <v>1578</v>
      </c>
      <c r="H6702" s="200" t="s">
        <v>268</v>
      </c>
      <c r="I6702" s="200" t="s">
        <v>3185</v>
      </c>
    </row>
    <row r="6703" spans="1:9" ht="15" customHeight="1">
      <c r="A6703" s="199">
        <v>45757</v>
      </c>
      <c r="B6703" s="202" t="s">
        <v>5318</v>
      </c>
      <c r="C6703" s="200" t="s">
        <v>307</v>
      </c>
      <c r="D6703" s="204">
        <v>-6500</v>
      </c>
      <c r="E6703" s="201">
        <v>45748</v>
      </c>
      <c r="F6703" s="200" t="s">
        <v>297</v>
      </c>
      <c r="G6703" s="200" t="s">
        <v>1578</v>
      </c>
      <c r="H6703" s="200" t="s">
        <v>268</v>
      </c>
      <c r="I6703" s="200" t="s">
        <v>3185</v>
      </c>
    </row>
    <row r="6704" spans="1:9" ht="15" customHeight="1">
      <c r="A6704" s="199">
        <v>45758</v>
      </c>
      <c r="B6704" s="202" t="s">
        <v>5319</v>
      </c>
      <c r="C6704" s="200" t="s">
        <v>307</v>
      </c>
      <c r="D6704" s="204">
        <v>-6500</v>
      </c>
      <c r="E6704" s="201">
        <v>45748</v>
      </c>
      <c r="F6704" s="200" t="s">
        <v>297</v>
      </c>
      <c r="G6704" s="200" t="s">
        <v>1578</v>
      </c>
      <c r="H6704" s="200" t="s">
        <v>268</v>
      </c>
      <c r="I6704" s="200" t="s">
        <v>3185</v>
      </c>
    </row>
    <row r="6705" spans="1:9" ht="15" customHeight="1">
      <c r="A6705" s="199">
        <v>45758</v>
      </c>
      <c r="B6705" s="202" t="s">
        <v>5320</v>
      </c>
      <c r="C6705" s="200" t="s">
        <v>307</v>
      </c>
      <c r="D6705" s="204">
        <v>-17000</v>
      </c>
      <c r="E6705" s="201">
        <v>45748</v>
      </c>
      <c r="F6705" s="200" t="s">
        <v>297</v>
      </c>
      <c r="G6705" s="200" t="s">
        <v>1578</v>
      </c>
      <c r="H6705" s="200" t="s">
        <v>268</v>
      </c>
      <c r="I6705" s="648" t="s">
        <v>329</v>
      </c>
    </row>
    <row r="6706" spans="1:9" ht="15" customHeight="1">
      <c r="A6706" s="199">
        <v>45771</v>
      </c>
      <c r="B6706" s="202" t="s">
        <v>4394</v>
      </c>
      <c r="C6706" s="200" t="s">
        <v>307</v>
      </c>
      <c r="D6706" s="204">
        <v>-28000</v>
      </c>
      <c r="E6706" s="201">
        <v>45748</v>
      </c>
      <c r="F6706" s="200" t="s">
        <v>296</v>
      </c>
      <c r="G6706" s="200" t="s">
        <v>44</v>
      </c>
      <c r="H6706" s="200" t="s">
        <v>442</v>
      </c>
      <c r="I6706" s="648" t="s">
        <v>329</v>
      </c>
    </row>
    <row r="6707" spans="1:9" ht="15" customHeight="1">
      <c r="A6707" s="199">
        <v>45771</v>
      </c>
      <c r="B6707" s="202" t="s">
        <v>4394</v>
      </c>
      <c r="C6707" s="200" t="s">
        <v>307</v>
      </c>
      <c r="D6707" s="204">
        <v>-47192</v>
      </c>
      <c r="E6707" s="201">
        <v>45748</v>
      </c>
      <c r="F6707" s="200" t="s">
        <v>296</v>
      </c>
      <c r="G6707" s="200" t="s">
        <v>1311</v>
      </c>
      <c r="H6707" s="200" t="s">
        <v>268</v>
      </c>
    </row>
    <row r="6708" spans="1:9" ht="15" customHeight="1">
      <c r="A6708" s="199">
        <v>45771</v>
      </c>
      <c r="B6708" s="202" t="s">
        <v>4394</v>
      </c>
      <c r="C6708" s="200" t="s">
        <v>307</v>
      </c>
      <c r="D6708" s="204">
        <v>-14000</v>
      </c>
      <c r="E6708" s="201">
        <v>45748</v>
      </c>
      <c r="F6708" s="200" t="s">
        <v>256</v>
      </c>
      <c r="G6708" s="200" t="s">
        <v>256</v>
      </c>
      <c r="H6708" s="200" t="s">
        <v>268</v>
      </c>
    </row>
    <row r="6709" spans="1:9" ht="15" customHeight="1">
      <c r="A6709" s="199">
        <v>45771</v>
      </c>
      <c r="B6709" s="202" t="s">
        <v>4394</v>
      </c>
      <c r="C6709" s="200" t="s">
        <v>307</v>
      </c>
      <c r="D6709" s="204">
        <v>-22000</v>
      </c>
      <c r="E6709" s="201">
        <v>45748</v>
      </c>
      <c r="F6709" s="200" t="s">
        <v>296</v>
      </c>
      <c r="G6709" s="200" t="s">
        <v>328</v>
      </c>
      <c r="H6709" s="200" t="s">
        <v>268</v>
      </c>
      <c r="I6709" s="648" t="s">
        <v>329</v>
      </c>
    </row>
    <row r="6710" spans="1:9" ht="15" customHeight="1">
      <c r="A6710" s="199">
        <v>45771</v>
      </c>
      <c r="B6710" s="202" t="s">
        <v>4395</v>
      </c>
      <c r="C6710" s="200" t="s">
        <v>372</v>
      </c>
      <c r="D6710" s="204">
        <v>-1130</v>
      </c>
      <c r="E6710" s="201">
        <v>45748</v>
      </c>
      <c r="F6710" s="200" t="s">
        <v>296</v>
      </c>
      <c r="G6710" s="200" t="s">
        <v>1311</v>
      </c>
      <c r="H6710" s="200" t="s">
        <v>268</v>
      </c>
    </row>
    <row r="6711" spans="1:9" ht="15" customHeight="1">
      <c r="A6711" s="199">
        <v>45771</v>
      </c>
      <c r="B6711" s="202" t="s">
        <v>4396</v>
      </c>
      <c r="C6711" s="200" t="s">
        <v>372</v>
      </c>
      <c r="D6711" s="204">
        <v>-678</v>
      </c>
      <c r="E6711" s="201">
        <v>45748</v>
      </c>
      <c r="F6711" s="200" t="s">
        <v>296</v>
      </c>
      <c r="G6711" s="200" t="s">
        <v>1311</v>
      </c>
      <c r="H6711" s="200" t="s">
        <v>268</v>
      </c>
      <c r="I6711" s="648" t="s">
        <v>329</v>
      </c>
    </row>
    <row r="6712" spans="1:9" ht="15" customHeight="1">
      <c r="A6712" s="199">
        <v>45767</v>
      </c>
      <c r="B6712" s="202" t="s">
        <v>5321</v>
      </c>
      <c r="C6712" s="200" t="s">
        <v>307</v>
      </c>
      <c r="D6712" s="204">
        <v>-63000</v>
      </c>
      <c r="E6712" s="201">
        <v>45748</v>
      </c>
      <c r="F6712" s="200" t="s">
        <v>256</v>
      </c>
      <c r="G6712" s="200" t="s">
        <v>256</v>
      </c>
      <c r="H6712" s="200" t="s">
        <v>267</v>
      </c>
      <c r="I6712" s="200" t="s">
        <v>718</v>
      </c>
    </row>
    <row r="6713" spans="1:9" ht="15" customHeight="1">
      <c r="A6713" s="199">
        <v>45768</v>
      </c>
      <c r="B6713" s="202" t="s">
        <v>5322</v>
      </c>
      <c r="C6713" s="200" t="s">
        <v>307</v>
      </c>
      <c r="D6713" s="204">
        <v>-138000</v>
      </c>
      <c r="E6713" s="201">
        <v>45748</v>
      </c>
      <c r="F6713" s="202" t="s">
        <v>2714</v>
      </c>
    </row>
    <row r="6714" spans="1:9" ht="15" customHeight="1">
      <c r="A6714" s="199">
        <v>45768</v>
      </c>
      <c r="B6714" s="202" t="s">
        <v>5323</v>
      </c>
      <c r="C6714" s="200" t="s">
        <v>314</v>
      </c>
      <c r="D6714" s="204">
        <v>-696500</v>
      </c>
      <c r="E6714" s="201">
        <v>45748</v>
      </c>
      <c r="F6714" s="202" t="s">
        <v>2714</v>
      </c>
    </row>
    <row r="6715" spans="1:9" ht="15" customHeight="1">
      <c r="A6715" s="199">
        <v>45768</v>
      </c>
      <c r="B6715" s="202" t="s">
        <v>5324</v>
      </c>
      <c r="C6715" s="200" t="s">
        <v>307</v>
      </c>
      <c r="D6715" s="204">
        <v>-69000</v>
      </c>
      <c r="E6715" s="201">
        <v>45748</v>
      </c>
      <c r="F6715" s="202" t="s">
        <v>2714</v>
      </c>
    </row>
    <row r="6716" spans="1:9" ht="15" customHeight="1">
      <c r="A6716" s="199">
        <v>45768</v>
      </c>
      <c r="B6716" s="202" t="s">
        <v>5325</v>
      </c>
      <c r="C6716" s="200" t="s">
        <v>314</v>
      </c>
      <c r="D6716" s="204">
        <v>-696500</v>
      </c>
      <c r="E6716" s="201">
        <v>45748</v>
      </c>
      <c r="F6716" s="202" t="s">
        <v>2714</v>
      </c>
    </row>
    <row r="6717" spans="1:9" ht="15" customHeight="1">
      <c r="A6717" s="199">
        <v>45771</v>
      </c>
      <c r="B6717" s="202" t="s">
        <v>5210</v>
      </c>
      <c r="C6717" s="200" t="s">
        <v>204</v>
      </c>
      <c r="D6717" s="658">
        <v>-1389408</v>
      </c>
      <c r="E6717" s="201">
        <v>45748</v>
      </c>
      <c r="F6717" s="200" t="s">
        <v>296</v>
      </c>
      <c r="G6717" s="200" t="s">
        <v>57</v>
      </c>
      <c r="H6717" s="200" t="s">
        <v>99</v>
      </c>
    </row>
    <row r="6718" spans="1:9" ht="15" customHeight="1">
      <c r="A6718" s="199">
        <v>45772</v>
      </c>
      <c r="B6718" s="202" t="s">
        <v>5237</v>
      </c>
      <c r="C6718" s="200" t="s">
        <v>204</v>
      </c>
      <c r="D6718" s="658">
        <v>-1000000</v>
      </c>
      <c r="E6718" s="201">
        <v>45748</v>
      </c>
      <c r="F6718" s="200" t="s">
        <v>296</v>
      </c>
      <c r="G6718" s="200" t="s">
        <v>57</v>
      </c>
      <c r="H6718" s="200" t="s">
        <v>103</v>
      </c>
    </row>
    <row r="6719" spans="1:9" ht="15" customHeight="1">
      <c r="A6719" s="199">
        <v>45769</v>
      </c>
      <c r="B6719" s="202" t="s">
        <v>4935</v>
      </c>
      <c r="C6719" s="200" t="s">
        <v>136</v>
      </c>
      <c r="D6719" s="204">
        <v>100000000</v>
      </c>
      <c r="E6719" s="201">
        <v>45748</v>
      </c>
      <c r="F6719" s="200" t="s">
        <v>652</v>
      </c>
      <c r="G6719" s="200" t="s">
        <v>337</v>
      </c>
    </row>
    <row r="6720" spans="1:9" ht="15" customHeight="1">
      <c r="A6720" s="199">
        <v>45770</v>
      </c>
      <c r="B6720" s="202" t="s">
        <v>5326</v>
      </c>
      <c r="C6720" s="200" t="s">
        <v>136</v>
      </c>
      <c r="D6720" s="204">
        <v>70000000</v>
      </c>
      <c r="E6720" s="201">
        <v>45748</v>
      </c>
      <c r="F6720" s="200" t="s">
        <v>652</v>
      </c>
      <c r="G6720" s="200" t="s">
        <v>337</v>
      </c>
    </row>
    <row r="6721" spans="1:9" ht="15" customHeight="1">
      <c r="A6721" s="199">
        <v>45770</v>
      </c>
      <c r="B6721" s="202" t="s">
        <v>5211</v>
      </c>
      <c r="C6721" s="200" t="s">
        <v>204</v>
      </c>
      <c r="D6721" s="204">
        <v>70000000</v>
      </c>
      <c r="E6721" s="201">
        <v>45748</v>
      </c>
      <c r="F6721" s="200" t="s">
        <v>652</v>
      </c>
      <c r="G6721" s="200" t="s">
        <v>807</v>
      </c>
    </row>
    <row r="6722" spans="1:9" ht="15" customHeight="1">
      <c r="A6722" s="199">
        <v>45771</v>
      </c>
      <c r="B6722" s="202" t="s">
        <v>5327</v>
      </c>
      <c r="C6722" s="200" t="s">
        <v>204</v>
      </c>
      <c r="D6722" s="204">
        <v>200000000</v>
      </c>
      <c r="E6722" s="201">
        <v>45748</v>
      </c>
      <c r="F6722" s="200" t="s">
        <v>652</v>
      </c>
      <c r="G6722" s="200" t="s">
        <v>1825</v>
      </c>
    </row>
    <row r="6723" spans="1:9" ht="15" customHeight="1">
      <c r="A6723" s="199">
        <v>45771</v>
      </c>
      <c r="B6723" s="202" t="s">
        <v>5328</v>
      </c>
      <c r="C6723" s="200" t="s">
        <v>204</v>
      </c>
      <c r="D6723" s="204">
        <v>106200000</v>
      </c>
      <c r="E6723" s="201">
        <v>45748</v>
      </c>
      <c r="F6723" s="200" t="s">
        <v>983</v>
      </c>
      <c r="G6723" s="200" t="s">
        <v>3360</v>
      </c>
      <c r="I6723" s="648" t="s">
        <v>329</v>
      </c>
    </row>
    <row r="6724" spans="1:9" ht="15" customHeight="1">
      <c r="A6724" s="199">
        <v>45768</v>
      </c>
      <c r="B6724" s="202" t="s">
        <v>2007</v>
      </c>
      <c r="C6724" s="200" t="s">
        <v>314</v>
      </c>
      <c r="D6724" s="658">
        <v>432000</v>
      </c>
      <c r="E6724" s="201">
        <v>45748</v>
      </c>
      <c r="F6724" s="200" t="s">
        <v>295</v>
      </c>
    </row>
    <row r="6725" spans="1:9" ht="15" customHeight="1">
      <c r="A6725" s="199">
        <v>45769</v>
      </c>
      <c r="B6725" s="202" t="s">
        <v>5329</v>
      </c>
      <c r="C6725" s="200" t="s">
        <v>314</v>
      </c>
      <c r="D6725" s="658">
        <v>2744745</v>
      </c>
      <c r="E6725" s="201">
        <v>45748</v>
      </c>
      <c r="F6725" s="200" t="s">
        <v>295</v>
      </c>
    </row>
    <row r="6726" spans="1:9" ht="15" customHeight="1">
      <c r="A6726" s="199">
        <v>45769</v>
      </c>
      <c r="B6726" s="202" t="s">
        <v>5330</v>
      </c>
      <c r="C6726" s="200" t="s">
        <v>314</v>
      </c>
      <c r="D6726" s="658">
        <v>1465064</v>
      </c>
      <c r="E6726" s="201">
        <v>45748</v>
      </c>
      <c r="F6726" s="200" t="s">
        <v>295</v>
      </c>
    </row>
    <row r="6727" spans="1:9" ht="15" customHeight="1">
      <c r="A6727" s="199">
        <v>45768</v>
      </c>
      <c r="B6727" s="202" t="s">
        <v>5331</v>
      </c>
      <c r="C6727" s="200" t="s">
        <v>136</v>
      </c>
      <c r="D6727" s="204">
        <v>1324963</v>
      </c>
      <c r="E6727" s="201">
        <v>45748</v>
      </c>
      <c r="F6727" s="200" t="s">
        <v>295</v>
      </c>
    </row>
    <row r="6728" spans="1:9" ht="15" customHeight="1">
      <c r="A6728" s="199">
        <v>45768</v>
      </c>
      <c r="B6728" s="202" t="s">
        <v>5332</v>
      </c>
      <c r="C6728" s="200" t="s">
        <v>136</v>
      </c>
      <c r="D6728" s="204">
        <v>427050</v>
      </c>
      <c r="E6728" s="201">
        <v>45748</v>
      </c>
      <c r="F6728" s="200" t="s">
        <v>296</v>
      </c>
      <c r="G6728" s="200" t="s">
        <v>522</v>
      </c>
      <c r="H6728" s="200" t="s">
        <v>429</v>
      </c>
    </row>
    <row r="6729" spans="1:9" ht="15" customHeight="1">
      <c r="A6729" s="199">
        <v>45769</v>
      </c>
      <c r="B6729" s="202" t="s">
        <v>5333</v>
      </c>
      <c r="C6729" s="200" t="s">
        <v>136</v>
      </c>
      <c r="D6729" s="204">
        <v>3772184</v>
      </c>
      <c r="E6729" s="201">
        <v>45748</v>
      </c>
      <c r="F6729" s="200" t="s">
        <v>295</v>
      </c>
    </row>
    <row r="6730" spans="1:9" ht="15" customHeight="1">
      <c r="A6730" s="199">
        <v>45771</v>
      </c>
      <c r="B6730" s="202" t="s">
        <v>3476</v>
      </c>
      <c r="C6730" s="200" t="s">
        <v>136</v>
      </c>
      <c r="D6730" s="204">
        <v>2247673.34</v>
      </c>
      <c r="E6730" s="201">
        <v>45748</v>
      </c>
      <c r="F6730" s="200" t="s">
        <v>295</v>
      </c>
    </row>
    <row r="6731" spans="1:9" ht="15" customHeight="1">
      <c r="A6731" s="199">
        <v>45768</v>
      </c>
      <c r="B6731" s="202" t="s">
        <v>5334</v>
      </c>
      <c r="C6731" s="200" t="s">
        <v>398</v>
      </c>
      <c r="D6731" s="204">
        <v>-75000</v>
      </c>
      <c r="E6731" s="201">
        <v>45748</v>
      </c>
      <c r="F6731" s="200" t="s">
        <v>256</v>
      </c>
      <c r="G6731" s="200" t="s">
        <v>107</v>
      </c>
      <c r="H6731" s="200" t="s">
        <v>277</v>
      </c>
    </row>
    <row r="6732" spans="1:9" ht="15" customHeight="1">
      <c r="A6732" s="199">
        <v>45769</v>
      </c>
      <c r="B6732" s="202" t="s">
        <v>5335</v>
      </c>
      <c r="C6732" s="200" t="s">
        <v>398</v>
      </c>
      <c r="D6732" s="204">
        <v>-37259</v>
      </c>
      <c r="E6732" s="201">
        <v>45748</v>
      </c>
      <c r="F6732" s="200" t="s">
        <v>256</v>
      </c>
      <c r="G6732" s="200" t="s">
        <v>107</v>
      </c>
      <c r="H6732" s="200" t="s">
        <v>277</v>
      </c>
    </row>
    <row r="6733" spans="1:9" ht="15" customHeight="1">
      <c r="A6733" s="199">
        <v>45770</v>
      </c>
      <c r="B6733" s="202" t="s">
        <v>5336</v>
      </c>
      <c r="C6733" s="200" t="s">
        <v>398</v>
      </c>
      <c r="D6733" s="204">
        <v>-73204</v>
      </c>
      <c r="E6733" s="201">
        <v>45748</v>
      </c>
      <c r="F6733" s="200" t="s">
        <v>256</v>
      </c>
      <c r="G6733" s="200" t="s">
        <v>107</v>
      </c>
      <c r="H6733" s="200" t="s">
        <v>277</v>
      </c>
    </row>
    <row r="6734" spans="1:9" ht="15" customHeight="1">
      <c r="A6734" s="199">
        <v>45769</v>
      </c>
      <c r="B6734" s="202" t="s">
        <v>5337</v>
      </c>
      <c r="C6734" s="200" t="s">
        <v>398</v>
      </c>
      <c r="D6734" s="204">
        <v>-70000</v>
      </c>
      <c r="E6734" s="201">
        <v>45748</v>
      </c>
      <c r="F6734" s="200" t="s">
        <v>256</v>
      </c>
      <c r="G6734" s="200" t="s">
        <v>107</v>
      </c>
      <c r="H6734" s="200" t="s">
        <v>277</v>
      </c>
    </row>
    <row r="6735" spans="1:9" ht="15" customHeight="1">
      <c r="A6735" s="199">
        <v>45770</v>
      </c>
      <c r="B6735" s="202" t="s">
        <v>959</v>
      </c>
      <c r="C6735" s="200" t="s">
        <v>398</v>
      </c>
      <c r="D6735" s="204">
        <v>-189318.32</v>
      </c>
      <c r="E6735" s="201">
        <v>45748</v>
      </c>
      <c r="F6735" s="200" t="s">
        <v>256</v>
      </c>
      <c r="G6735" s="200" t="s">
        <v>256</v>
      </c>
      <c r="H6735" s="200" t="s">
        <v>266</v>
      </c>
    </row>
    <row r="6736" spans="1:9" ht="15" customHeight="1">
      <c r="A6736" s="199">
        <v>45772</v>
      </c>
      <c r="B6736" s="202" t="s">
        <v>5338</v>
      </c>
      <c r="C6736" s="200" t="s">
        <v>398</v>
      </c>
      <c r="D6736" s="204">
        <v>4505095.71</v>
      </c>
      <c r="E6736" s="201">
        <v>45748</v>
      </c>
      <c r="F6736" s="200" t="s">
        <v>295</v>
      </c>
    </row>
    <row r="6737" spans="1:9" ht="15" customHeight="1">
      <c r="A6737" s="199">
        <v>45754</v>
      </c>
      <c r="B6737" s="202" t="s">
        <v>5339</v>
      </c>
      <c r="C6737" s="200" t="s">
        <v>307</v>
      </c>
      <c r="D6737" s="204">
        <v>-25000</v>
      </c>
      <c r="E6737" s="201">
        <v>45748</v>
      </c>
      <c r="F6737" s="200" t="s">
        <v>296</v>
      </c>
      <c r="G6737" s="200" t="s">
        <v>57</v>
      </c>
      <c r="H6737" s="200" t="s">
        <v>97</v>
      </c>
      <c r="I6737" s="200" t="s">
        <v>1901</v>
      </c>
    </row>
    <row r="6738" spans="1:9" ht="15" customHeight="1">
      <c r="A6738" s="199">
        <v>45754</v>
      </c>
      <c r="B6738" s="202" t="s">
        <v>5340</v>
      </c>
      <c r="C6738" s="200" t="s">
        <v>307</v>
      </c>
      <c r="D6738" s="204">
        <v>-13500</v>
      </c>
      <c r="E6738" s="201">
        <v>45748</v>
      </c>
      <c r="F6738" s="200" t="s">
        <v>296</v>
      </c>
      <c r="G6738" s="200" t="s">
        <v>57</v>
      </c>
      <c r="H6738" s="200" t="s">
        <v>97</v>
      </c>
      <c r="I6738" s="200" t="s">
        <v>1901</v>
      </c>
    </row>
    <row r="6739" spans="1:9" ht="15" customHeight="1">
      <c r="A6739" s="199">
        <v>45754</v>
      </c>
      <c r="B6739" s="202" t="s">
        <v>5341</v>
      </c>
      <c r="C6739" s="200" t="s">
        <v>307</v>
      </c>
      <c r="D6739" s="204">
        <v>-15500</v>
      </c>
      <c r="E6739" s="201">
        <v>45748</v>
      </c>
      <c r="F6739" s="200" t="s">
        <v>296</v>
      </c>
      <c r="G6739" s="200" t="s">
        <v>57</v>
      </c>
      <c r="H6739" s="200" t="s">
        <v>97</v>
      </c>
      <c r="I6739" s="200" t="s">
        <v>1901</v>
      </c>
    </row>
    <row r="6740" spans="1:9" ht="15" customHeight="1">
      <c r="A6740" s="199">
        <v>45754</v>
      </c>
      <c r="B6740" s="202" t="s">
        <v>5342</v>
      </c>
      <c r="C6740" s="200" t="s">
        <v>307</v>
      </c>
      <c r="D6740" s="204">
        <v>-9000</v>
      </c>
      <c r="E6740" s="201">
        <v>45748</v>
      </c>
      <c r="F6740" s="200" t="s">
        <v>296</v>
      </c>
      <c r="G6740" s="200" t="s">
        <v>57</v>
      </c>
      <c r="H6740" s="200" t="s">
        <v>97</v>
      </c>
      <c r="I6740" s="200" t="s">
        <v>1901</v>
      </c>
    </row>
    <row r="6741" spans="1:9" ht="15" customHeight="1">
      <c r="A6741" s="199">
        <v>45754</v>
      </c>
      <c r="B6741" s="202" t="s">
        <v>5343</v>
      </c>
      <c r="C6741" s="200" t="s">
        <v>307</v>
      </c>
      <c r="D6741" s="204">
        <v>-19500</v>
      </c>
      <c r="E6741" s="201">
        <v>45748</v>
      </c>
      <c r="F6741" s="200" t="s">
        <v>296</v>
      </c>
      <c r="G6741" s="200" t="s">
        <v>57</v>
      </c>
      <c r="H6741" s="200" t="s">
        <v>97</v>
      </c>
      <c r="I6741" s="200" t="s">
        <v>1901</v>
      </c>
    </row>
    <row r="6742" spans="1:9" ht="15" customHeight="1">
      <c r="A6742" s="199">
        <v>45754</v>
      </c>
      <c r="B6742" s="202" t="s">
        <v>498</v>
      </c>
      <c r="C6742" s="200" t="s">
        <v>307</v>
      </c>
      <c r="D6742" s="204">
        <v>-10000</v>
      </c>
      <c r="E6742" s="201">
        <v>45748</v>
      </c>
      <c r="F6742" s="200" t="s">
        <v>296</v>
      </c>
      <c r="G6742" s="200" t="s">
        <v>57</v>
      </c>
      <c r="H6742" s="200" t="s">
        <v>97</v>
      </c>
      <c r="I6742" s="200" t="s">
        <v>1901</v>
      </c>
    </row>
    <row r="6743" spans="1:9" ht="15" customHeight="1">
      <c r="A6743" s="199">
        <v>45754</v>
      </c>
      <c r="B6743" s="202" t="s">
        <v>1743</v>
      </c>
      <c r="C6743" s="200" t="s">
        <v>307</v>
      </c>
      <c r="D6743" s="204">
        <v>-35000</v>
      </c>
      <c r="E6743" s="201">
        <v>45748</v>
      </c>
      <c r="F6743" s="200" t="s">
        <v>296</v>
      </c>
      <c r="G6743" s="200" t="s">
        <v>57</v>
      </c>
      <c r="H6743" s="200" t="s">
        <v>97</v>
      </c>
      <c r="I6743" s="200" t="s">
        <v>1901</v>
      </c>
    </row>
    <row r="6744" spans="1:9" ht="15" customHeight="1">
      <c r="A6744" s="199">
        <v>45755</v>
      </c>
      <c r="B6744" s="202" t="s">
        <v>5344</v>
      </c>
      <c r="C6744" s="200" t="s">
        <v>307</v>
      </c>
      <c r="D6744" s="204">
        <v>-19500</v>
      </c>
      <c r="E6744" s="201">
        <v>45748</v>
      </c>
      <c r="F6744" s="200" t="s">
        <v>296</v>
      </c>
      <c r="G6744" s="200" t="s">
        <v>57</v>
      </c>
      <c r="H6744" s="200" t="s">
        <v>97</v>
      </c>
      <c r="I6744" s="200" t="s">
        <v>1901</v>
      </c>
    </row>
    <row r="6745" spans="1:9" ht="15" customHeight="1">
      <c r="A6745" s="199">
        <v>45755</v>
      </c>
      <c r="B6745" s="202" t="s">
        <v>5345</v>
      </c>
      <c r="C6745" s="200" t="s">
        <v>307</v>
      </c>
      <c r="D6745" s="204">
        <v>-14000</v>
      </c>
      <c r="E6745" s="201">
        <v>45748</v>
      </c>
      <c r="F6745" s="200" t="s">
        <v>296</v>
      </c>
      <c r="G6745" s="200" t="s">
        <v>57</v>
      </c>
      <c r="H6745" s="200" t="s">
        <v>97</v>
      </c>
      <c r="I6745" s="200" t="s">
        <v>1901</v>
      </c>
    </row>
    <row r="6746" spans="1:9" ht="15" customHeight="1">
      <c r="A6746" s="199">
        <v>45755</v>
      </c>
      <c r="B6746" s="202" t="s">
        <v>498</v>
      </c>
      <c r="C6746" s="200" t="s">
        <v>307</v>
      </c>
      <c r="D6746" s="204">
        <v>-15000</v>
      </c>
      <c r="E6746" s="201">
        <v>45748</v>
      </c>
      <c r="F6746" s="200" t="s">
        <v>296</v>
      </c>
      <c r="G6746" s="200" t="s">
        <v>57</v>
      </c>
      <c r="H6746" s="200" t="s">
        <v>97</v>
      </c>
      <c r="I6746" s="200" t="s">
        <v>1901</v>
      </c>
    </row>
    <row r="6747" spans="1:9" ht="15" customHeight="1">
      <c r="A6747" s="199">
        <v>45755</v>
      </c>
      <c r="B6747" s="202" t="s">
        <v>1743</v>
      </c>
      <c r="C6747" s="200" t="s">
        <v>307</v>
      </c>
      <c r="D6747" s="204">
        <v>-35000</v>
      </c>
      <c r="E6747" s="201">
        <v>45748</v>
      </c>
      <c r="F6747" s="200" t="s">
        <v>296</v>
      </c>
      <c r="G6747" s="200" t="s">
        <v>57</v>
      </c>
      <c r="H6747" s="200" t="s">
        <v>97</v>
      </c>
      <c r="I6747" s="200" t="s">
        <v>1901</v>
      </c>
    </row>
    <row r="6748" spans="1:9" ht="15" customHeight="1">
      <c r="A6748" s="199">
        <v>45756</v>
      </c>
      <c r="B6748" s="202" t="s">
        <v>1745</v>
      </c>
      <c r="C6748" s="200" t="s">
        <v>307</v>
      </c>
      <c r="D6748" s="204">
        <v>-35000</v>
      </c>
      <c r="E6748" s="201">
        <v>45748</v>
      </c>
      <c r="F6748" s="200" t="s">
        <v>296</v>
      </c>
      <c r="G6748" s="200" t="s">
        <v>57</v>
      </c>
      <c r="H6748" s="200" t="s">
        <v>97</v>
      </c>
      <c r="I6748" s="200" t="s">
        <v>1901</v>
      </c>
    </row>
    <row r="6749" spans="1:9" ht="15" customHeight="1">
      <c r="A6749" s="199">
        <v>45756</v>
      </c>
      <c r="B6749" s="202" t="s">
        <v>5346</v>
      </c>
      <c r="C6749" s="200" t="s">
        <v>307</v>
      </c>
      <c r="D6749" s="204">
        <v>-10000</v>
      </c>
      <c r="E6749" s="201">
        <v>45748</v>
      </c>
      <c r="F6749" s="200" t="s">
        <v>296</v>
      </c>
      <c r="G6749" s="200" t="s">
        <v>57</v>
      </c>
      <c r="H6749" s="200" t="s">
        <v>97</v>
      </c>
      <c r="I6749" s="200" t="s">
        <v>1901</v>
      </c>
    </row>
    <row r="6750" spans="1:9" ht="15" customHeight="1">
      <c r="A6750" s="199">
        <v>45756</v>
      </c>
      <c r="B6750" s="202" t="s">
        <v>498</v>
      </c>
      <c r="C6750" s="200" t="s">
        <v>307</v>
      </c>
      <c r="D6750" s="204">
        <v>-10000</v>
      </c>
      <c r="E6750" s="201">
        <v>45748</v>
      </c>
      <c r="F6750" s="200" t="s">
        <v>296</v>
      </c>
      <c r="G6750" s="200" t="s">
        <v>57</v>
      </c>
      <c r="H6750" s="200" t="s">
        <v>97</v>
      </c>
      <c r="I6750" s="200" t="s">
        <v>1901</v>
      </c>
    </row>
    <row r="6751" spans="1:9" ht="15" customHeight="1">
      <c r="A6751" s="199">
        <v>45756</v>
      </c>
      <c r="B6751" s="202" t="s">
        <v>1743</v>
      </c>
      <c r="C6751" s="200" t="s">
        <v>307</v>
      </c>
      <c r="D6751" s="204">
        <v>-35000</v>
      </c>
      <c r="E6751" s="201">
        <v>45748</v>
      </c>
      <c r="F6751" s="200" t="s">
        <v>296</v>
      </c>
      <c r="G6751" s="200" t="s">
        <v>57</v>
      </c>
      <c r="H6751" s="200" t="s">
        <v>97</v>
      </c>
      <c r="I6751" s="200" t="s">
        <v>1901</v>
      </c>
    </row>
    <row r="6752" spans="1:9" ht="15" customHeight="1">
      <c r="A6752" s="199">
        <v>45757</v>
      </c>
      <c r="B6752" s="202" t="s">
        <v>4504</v>
      </c>
      <c r="C6752" s="200" t="s">
        <v>307</v>
      </c>
      <c r="D6752" s="204">
        <v>-16000</v>
      </c>
      <c r="E6752" s="201">
        <v>45748</v>
      </c>
      <c r="F6752" s="200" t="s">
        <v>296</v>
      </c>
      <c r="G6752" s="200" t="s">
        <v>57</v>
      </c>
      <c r="H6752" s="200" t="s">
        <v>97</v>
      </c>
      <c r="I6752" s="200" t="s">
        <v>1901</v>
      </c>
    </row>
    <row r="6753" spans="1:10" ht="15" customHeight="1">
      <c r="A6753" s="199">
        <v>45757</v>
      </c>
      <c r="B6753" s="202" t="s">
        <v>1745</v>
      </c>
      <c r="C6753" s="200" t="s">
        <v>307</v>
      </c>
      <c r="D6753" s="204">
        <v>-35000</v>
      </c>
      <c r="E6753" s="201">
        <v>45748</v>
      </c>
      <c r="F6753" s="200" t="s">
        <v>296</v>
      </c>
      <c r="G6753" s="200" t="s">
        <v>57</v>
      </c>
      <c r="H6753" s="200" t="s">
        <v>97</v>
      </c>
      <c r="I6753" s="200" t="s">
        <v>1901</v>
      </c>
    </row>
    <row r="6754" spans="1:10" ht="15" customHeight="1">
      <c r="A6754" s="199">
        <v>45757</v>
      </c>
      <c r="B6754" s="202" t="s">
        <v>498</v>
      </c>
      <c r="C6754" s="200" t="s">
        <v>307</v>
      </c>
      <c r="D6754" s="204">
        <v>-10000</v>
      </c>
      <c r="E6754" s="201">
        <v>45748</v>
      </c>
      <c r="F6754" s="200" t="s">
        <v>296</v>
      </c>
      <c r="G6754" s="200" t="s">
        <v>57</v>
      </c>
      <c r="H6754" s="200" t="s">
        <v>97</v>
      </c>
      <c r="I6754" s="200" t="s">
        <v>1901</v>
      </c>
    </row>
    <row r="6755" spans="1:10" ht="15" customHeight="1">
      <c r="A6755" s="199">
        <v>45757</v>
      </c>
      <c r="B6755" s="202" t="s">
        <v>1743</v>
      </c>
      <c r="C6755" s="200" t="s">
        <v>307</v>
      </c>
      <c r="D6755" s="204">
        <v>-35000</v>
      </c>
      <c r="E6755" s="201">
        <v>45748</v>
      </c>
      <c r="F6755" s="200" t="s">
        <v>296</v>
      </c>
      <c r="G6755" s="200" t="s">
        <v>57</v>
      </c>
      <c r="H6755" s="200" t="s">
        <v>97</v>
      </c>
      <c r="I6755" s="200" t="s">
        <v>1901</v>
      </c>
    </row>
    <row r="6756" spans="1:10" ht="15" customHeight="1">
      <c r="A6756" s="199">
        <v>45757</v>
      </c>
      <c r="B6756" s="202" t="s">
        <v>5347</v>
      </c>
      <c r="C6756" s="200" t="s">
        <v>307</v>
      </c>
      <c r="D6756" s="204">
        <v>-15500</v>
      </c>
      <c r="E6756" s="201">
        <v>45748</v>
      </c>
      <c r="F6756" s="200" t="s">
        <v>296</v>
      </c>
      <c r="G6756" s="200" t="s">
        <v>57</v>
      </c>
      <c r="H6756" s="200" t="s">
        <v>97</v>
      </c>
      <c r="I6756" s="200" t="s">
        <v>1901</v>
      </c>
    </row>
    <row r="6757" spans="1:10" ht="15" customHeight="1">
      <c r="A6757" s="199">
        <v>45758</v>
      </c>
      <c r="B6757" s="202" t="s">
        <v>5348</v>
      </c>
      <c r="C6757" s="200" t="s">
        <v>307</v>
      </c>
      <c r="D6757" s="204">
        <v>-8000</v>
      </c>
      <c r="E6757" s="201">
        <v>45748</v>
      </c>
      <c r="F6757" s="200" t="s">
        <v>296</v>
      </c>
      <c r="G6757" s="200" t="s">
        <v>57</v>
      </c>
      <c r="H6757" s="200" t="s">
        <v>97</v>
      </c>
      <c r="I6757" s="200" t="s">
        <v>1901</v>
      </c>
    </row>
    <row r="6758" spans="1:10" ht="15" customHeight="1">
      <c r="A6758" s="199">
        <v>45758</v>
      </c>
      <c r="B6758" s="202" t="s">
        <v>5349</v>
      </c>
      <c r="C6758" s="200" t="s">
        <v>307</v>
      </c>
      <c r="D6758" s="204">
        <v>-25000</v>
      </c>
      <c r="E6758" s="201">
        <v>45748</v>
      </c>
      <c r="F6758" s="200" t="s">
        <v>296</v>
      </c>
      <c r="G6758" s="200" t="s">
        <v>57</v>
      </c>
      <c r="H6758" s="200" t="s">
        <v>97</v>
      </c>
      <c r="I6758" s="200" t="s">
        <v>1901</v>
      </c>
    </row>
    <row r="6759" spans="1:10" ht="15" customHeight="1">
      <c r="A6759" s="199">
        <v>45758</v>
      </c>
      <c r="B6759" s="202" t="s">
        <v>5350</v>
      </c>
      <c r="C6759" s="200" t="s">
        <v>307</v>
      </c>
      <c r="D6759" s="204">
        <v>-10000</v>
      </c>
      <c r="E6759" s="201">
        <v>45748</v>
      </c>
      <c r="F6759" s="200" t="s">
        <v>296</v>
      </c>
      <c r="G6759" s="200" t="s">
        <v>57</v>
      </c>
      <c r="H6759" s="200" t="s">
        <v>97</v>
      </c>
      <c r="I6759" s="200" t="s">
        <v>1901</v>
      </c>
    </row>
    <row r="6760" spans="1:10" ht="15" customHeight="1">
      <c r="A6760" s="199">
        <v>45758</v>
      </c>
      <c r="B6760" s="202" t="s">
        <v>1745</v>
      </c>
      <c r="C6760" s="200" t="s">
        <v>307</v>
      </c>
      <c r="D6760" s="204">
        <v>-13000</v>
      </c>
      <c r="E6760" s="201">
        <v>45748</v>
      </c>
      <c r="F6760" s="200" t="s">
        <v>296</v>
      </c>
      <c r="G6760" s="200" t="s">
        <v>57</v>
      </c>
      <c r="H6760" s="200" t="s">
        <v>97</v>
      </c>
      <c r="I6760" s="200" t="s">
        <v>1901</v>
      </c>
    </row>
    <row r="6761" spans="1:10" s="767" customFormat="1" ht="15" customHeight="1">
      <c r="A6761" s="763">
        <v>45758</v>
      </c>
      <c r="B6761" s="764" t="s">
        <v>5351</v>
      </c>
      <c r="C6761" s="764" t="s">
        <v>307</v>
      </c>
      <c r="D6761" s="765">
        <v>-25000</v>
      </c>
      <c r="E6761" s="766">
        <v>45748</v>
      </c>
      <c r="F6761" s="764" t="s">
        <v>296</v>
      </c>
      <c r="G6761" s="764" t="s">
        <v>57</v>
      </c>
      <c r="H6761" s="764" t="s">
        <v>97</v>
      </c>
      <c r="I6761" s="764" t="s">
        <v>1901</v>
      </c>
      <c r="J6761" s="767" t="s">
        <v>5352</v>
      </c>
    </row>
    <row r="6762" spans="1:10" s="664" customFormat="1" ht="15" customHeight="1">
      <c r="A6762" s="663">
        <v>45772</v>
      </c>
      <c r="B6762" s="648" t="s">
        <v>5353</v>
      </c>
      <c r="C6762" s="648" t="s">
        <v>204</v>
      </c>
      <c r="D6762" s="775">
        <v>-450000</v>
      </c>
      <c r="E6762" s="665">
        <v>45748</v>
      </c>
      <c r="F6762" s="781" t="s">
        <v>296</v>
      </c>
      <c r="G6762" s="781" t="s">
        <v>1980</v>
      </c>
      <c r="H6762" s="781" t="s">
        <v>322</v>
      </c>
      <c r="I6762" s="648"/>
      <c r="J6762" s="664" t="s">
        <v>5354</v>
      </c>
    </row>
    <row r="6763" spans="1:10" ht="15" customHeight="1">
      <c r="A6763" s="199">
        <v>45772</v>
      </c>
      <c r="B6763" s="202" t="s">
        <v>5355</v>
      </c>
      <c r="C6763" s="200" t="s">
        <v>372</v>
      </c>
      <c r="D6763" s="204">
        <v>-16321</v>
      </c>
      <c r="E6763" s="201">
        <v>45748</v>
      </c>
      <c r="F6763" s="781" t="s">
        <v>296</v>
      </c>
      <c r="G6763" s="781" t="s">
        <v>1980</v>
      </c>
      <c r="H6763" s="781" t="s">
        <v>322</v>
      </c>
    </row>
    <row r="6764" spans="1:10" ht="15" customHeight="1">
      <c r="A6764" s="199">
        <v>45751</v>
      </c>
      <c r="B6764" s="202" t="s">
        <v>5356</v>
      </c>
      <c r="C6764" s="200" t="s">
        <v>204</v>
      </c>
      <c r="D6764" s="775">
        <v>-68000</v>
      </c>
      <c r="E6764" s="201">
        <v>45748</v>
      </c>
      <c r="F6764" s="781" t="s">
        <v>296</v>
      </c>
      <c r="G6764" s="781" t="s">
        <v>57</v>
      </c>
      <c r="H6764" s="781" t="s">
        <v>97</v>
      </c>
      <c r="I6764" s="200" t="s">
        <v>5357</v>
      </c>
    </row>
    <row r="6765" spans="1:10" ht="15" customHeight="1">
      <c r="A6765" s="199">
        <v>45751</v>
      </c>
      <c r="B6765" s="202" t="s">
        <v>5358</v>
      </c>
      <c r="C6765" s="200" t="s">
        <v>204</v>
      </c>
      <c r="D6765" s="775">
        <v>-20000</v>
      </c>
      <c r="E6765" s="201">
        <v>45748</v>
      </c>
      <c r="F6765" s="781" t="s">
        <v>296</v>
      </c>
      <c r="G6765" s="781" t="s">
        <v>57</v>
      </c>
      <c r="H6765" s="781" t="s">
        <v>97</v>
      </c>
      <c r="I6765" s="200" t="s">
        <v>5357</v>
      </c>
    </row>
    <row r="6766" spans="1:10" ht="15" customHeight="1">
      <c r="A6766" s="199">
        <v>45752</v>
      </c>
      <c r="B6766" s="202" t="s">
        <v>5359</v>
      </c>
      <c r="C6766" s="200" t="s">
        <v>204</v>
      </c>
      <c r="D6766" s="775">
        <v>-98400</v>
      </c>
      <c r="E6766" s="201">
        <v>45748</v>
      </c>
      <c r="F6766" s="781" t="s">
        <v>296</v>
      </c>
      <c r="G6766" s="781" t="s">
        <v>57</v>
      </c>
      <c r="H6766" s="781" t="s">
        <v>97</v>
      </c>
      <c r="I6766" s="200" t="s">
        <v>5357</v>
      </c>
    </row>
    <row r="6767" spans="1:10" ht="15" customHeight="1">
      <c r="A6767" s="199">
        <v>45752</v>
      </c>
      <c r="B6767" s="202" t="s">
        <v>5360</v>
      </c>
      <c r="C6767" s="200" t="s">
        <v>204</v>
      </c>
      <c r="D6767" s="775">
        <v>-40000</v>
      </c>
      <c r="E6767" s="201">
        <v>45748</v>
      </c>
      <c r="F6767" s="781" t="s">
        <v>296</v>
      </c>
      <c r="G6767" s="781" t="s">
        <v>57</v>
      </c>
      <c r="H6767" s="781" t="s">
        <v>97</v>
      </c>
      <c r="I6767" s="200" t="s">
        <v>5357</v>
      </c>
    </row>
    <row r="6768" spans="1:10" ht="15" customHeight="1">
      <c r="A6768" s="199">
        <v>45752</v>
      </c>
      <c r="B6768" s="202" t="s">
        <v>5361</v>
      </c>
      <c r="C6768" s="200" t="s">
        <v>204</v>
      </c>
      <c r="D6768" s="775">
        <v>-10900</v>
      </c>
      <c r="E6768" s="201">
        <v>45748</v>
      </c>
      <c r="F6768" s="781" t="s">
        <v>296</v>
      </c>
      <c r="G6768" s="781" t="s">
        <v>57</v>
      </c>
      <c r="H6768" s="781" t="s">
        <v>97</v>
      </c>
      <c r="I6768" s="200" t="s">
        <v>5357</v>
      </c>
    </row>
    <row r="6769" spans="1:9" ht="15" customHeight="1">
      <c r="A6769" s="199">
        <v>45758</v>
      </c>
      <c r="B6769" s="202" t="s">
        <v>5362</v>
      </c>
      <c r="C6769" s="200" t="s">
        <v>204</v>
      </c>
      <c r="D6769" s="775">
        <v>-92948</v>
      </c>
      <c r="E6769" s="201">
        <v>45748</v>
      </c>
      <c r="F6769" s="781" t="s">
        <v>296</v>
      </c>
      <c r="G6769" s="781" t="s">
        <v>57</v>
      </c>
      <c r="H6769" s="781" t="s">
        <v>97</v>
      </c>
      <c r="I6769" s="200" t="s">
        <v>5357</v>
      </c>
    </row>
    <row r="6770" spans="1:9" ht="15" customHeight="1">
      <c r="A6770" s="199">
        <v>45758</v>
      </c>
      <c r="B6770" s="202" t="s">
        <v>5363</v>
      </c>
      <c r="C6770" s="200" t="s">
        <v>204</v>
      </c>
      <c r="D6770" s="775">
        <v>-15000</v>
      </c>
      <c r="E6770" s="201">
        <v>45748</v>
      </c>
      <c r="F6770" s="781" t="s">
        <v>296</v>
      </c>
      <c r="G6770" s="781" t="s">
        <v>57</v>
      </c>
      <c r="H6770" s="781" t="s">
        <v>97</v>
      </c>
      <c r="I6770" s="200" t="s">
        <v>5357</v>
      </c>
    </row>
    <row r="6771" spans="1:9" ht="15" customHeight="1">
      <c r="A6771" s="199">
        <v>45758</v>
      </c>
      <c r="B6771" s="202" t="s">
        <v>5364</v>
      </c>
      <c r="C6771" s="200" t="s">
        <v>204</v>
      </c>
      <c r="D6771" s="775">
        <v>-12400</v>
      </c>
      <c r="E6771" s="201">
        <v>45748</v>
      </c>
      <c r="F6771" s="781" t="s">
        <v>296</v>
      </c>
      <c r="G6771" s="781" t="s">
        <v>57</v>
      </c>
      <c r="H6771" s="781" t="s">
        <v>97</v>
      </c>
      <c r="I6771" s="200" t="s">
        <v>5357</v>
      </c>
    </row>
    <row r="6772" spans="1:9" ht="15" customHeight="1">
      <c r="A6772" s="199">
        <v>45758</v>
      </c>
      <c r="B6772" s="202" t="s">
        <v>5365</v>
      </c>
      <c r="C6772" s="200" t="s">
        <v>204</v>
      </c>
      <c r="D6772" s="775">
        <v>-70000</v>
      </c>
      <c r="E6772" s="201">
        <v>45748</v>
      </c>
      <c r="F6772" s="781" t="s">
        <v>296</v>
      </c>
      <c r="G6772" s="781" t="s">
        <v>57</v>
      </c>
      <c r="H6772" s="781" t="s">
        <v>97</v>
      </c>
      <c r="I6772" s="200" t="s">
        <v>5357</v>
      </c>
    </row>
    <row r="6773" spans="1:9" ht="15" customHeight="1">
      <c r="A6773" s="199">
        <v>45759</v>
      </c>
      <c r="B6773" s="202" t="s">
        <v>5366</v>
      </c>
      <c r="C6773" s="200" t="s">
        <v>204</v>
      </c>
      <c r="D6773" s="775">
        <v>-15000</v>
      </c>
      <c r="E6773" s="201">
        <v>45748</v>
      </c>
      <c r="F6773" s="781" t="s">
        <v>296</v>
      </c>
      <c r="G6773" s="781" t="s">
        <v>57</v>
      </c>
      <c r="H6773" s="781" t="s">
        <v>97</v>
      </c>
      <c r="I6773" s="200" t="s">
        <v>5357</v>
      </c>
    </row>
    <row r="6774" spans="1:9" ht="15" customHeight="1">
      <c r="A6774" s="199">
        <v>45763</v>
      </c>
      <c r="B6774" s="202" t="s">
        <v>5367</v>
      </c>
      <c r="C6774" s="200" t="s">
        <v>204</v>
      </c>
      <c r="D6774" s="775">
        <v>-10900</v>
      </c>
      <c r="E6774" s="201">
        <v>45748</v>
      </c>
      <c r="F6774" s="781" t="s">
        <v>296</v>
      </c>
      <c r="G6774" s="781" t="s">
        <v>57</v>
      </c>
      <c r="H6774" s="781" t="s">
        <v>97</v>
      </c>
      <c r="I6774" s="200" t="s">
        <v>5357</v>
      </c>
    </row>
    <row r="6775" spans="1:9" ht="15" customHeight="1">
      <c r="A6775" s="199">
        <v>45768</v>
      </c>
      <c r="B6775" s="202" t="s">
        <v>5368</v>
      </c>
      <c r="C6775" s="200" t="s">
        <v>204</v>
      </c>
      <c r="D6775" s="775">
        <v>-10900</v>
      </c>
      <c r="E6775" s="201">
        <v>45748</v>
      </c>
      <c r="F6775" s="781" t="s">
        <v>296</v>
      </c>
      <c r="G6775" s="781" t="s">
        <v>57</v>
      </c>
      <c r="H6775" s="781" t="s">
        <v>97</v>
      </c>
      <c r="I6775" s="200" t="s">
        <v>5357</v>
      </c>
    </row>
    <row r="6776" spans="1:9" ht="15" customHeight="1">
      <c r="A6776" s="199">
        <v>45768</v>
      </c>
      <c r="B6776" s="202" t="s">
        <v>5369</v>
      </c>
      <c r="C6776" s="200" t="s">
        <v>204</v>
      </c>
      <c r="D6776" s="775">
        <v>-126872</v>
      </c>
      <c r="E6776" s="201">
        <v>45748</v>
      </c>
      <c r="F6776" s="781" t="s">
        <v>296</v>
      </c>
      <c r="G6776" s="781" t="s">
        <v>57</v>
      </c>
      <c r="H6776" s="781" t="s">
        <v>97</v>
      </c>
      <c r="I6776" s="200" t="s">
        <v>5357</v>
      </c>
    </row>
    <row r="6777" spans="1:9" ht="15" customHeight="1">
      <c r="A6777" s="199">
        <v>45768</v>
      </c>
      <c r="B6777" s="202" t="s">
        <v>5370</v>
      </c>
      <c r="C6777" s="200" t="s">
        <v>204</v>
      </c>
      <c r="D6777" s="775">
        <v>-15000</v>
      </c>
      <c r="E6777" s="201">
        <v>45748</v>
      </c>
      <c r="F6777" s="781" t="s">
        <v>296</v>
      </c>
      <c r="G6777" s="781" t="s">
        <v>57</v>
      </c>
      <c r="H6777" s="781" t="s">
        <v>97</v>
      </c>
      <c r="I6777" s="200" t="s">
        <v>5357</v>
      </c>
    </row>
    <row r="6778" spans="1:9" ht="15" customHeight="1">
      <c r="A6778" s="199">
        <v>45769</v>
      </c>
      <c r="B6778" s="202" t="s">
        <v>5371</v>
      </c>
      <c r="C6778" s="200" t="s">
        <v>204</v>
      </c>
      <c r="D6778" s="775">
        <v>-33062</v>
      </c>
      <c r="E6778" s="201">
        <v>45748</v>
      </c>
      <c r="F6778" s="781" t="s">
        <v>296</v>
      </c>
      <c r="G6778" s="781" t="s">
        <v>57</v>
      </c>
      <c r="H6778" s="781" t="s">
        <v>97</v>
      </c>
      <c r="I6778" s="200" t="s">
        <v>5357</v>
      </c>
    </row>
    <row r="6779" spans="1:9" ht="15" customHeight="1">
      <c r="A6779" s="199">
        <v>45769</v>
      </c>
      <c r="B6779" s="202" t="s">
        <v>5371</v>
      </c>
      <c r="C6779" s="200" t="s">
        <v>204</v>
      </c>
      <c r="D6779" s="775">
        <v>-36007</v>
      </c>
      <c r="E6779" s="201">
        <v>45748</v>
      </c>
      <c r="F6779" s="781" t="s">
        <v>296</v>
      </c>
      <c r="G6779" s="781" t="s">
        <v>57</v>
      </c>
      <c r="H6779" s="781" t="s">
        <v>97</v>
      </c>
      <c r="I6779" s="200" t="s">
        <v>5357</v>
      </c>
    </row>
    <row r="6780" spans="1:9" ht="15" customHeight="1">
      <c r="A6780" s="199">
        <v>45769</v>
      </c>
      <c r="B6780" s="202" t="s">
        <v>5372</v>
      </c>
      <c r="C6780" s="200" t="s">
        <v>204</v>
      </c>
      <c r="D6780" s="775">
        <v>-50000</v>
      </c>
      <c r="E6780" s="201">
        <v>45748</v>
      </c>
      <c r="F6780" s="781" t="s">
        <v>296</v>
      </c>
      <c r="G6780" s="781" t="s">
        <v>57</v>
      </c>
      <c r="H6780" s="781" t="s">
        <v>97</v>
      </c>
      <c r="I6780" s="200" t="s">
        <v>5357</v>
      </c>
    </row>
    <row r="6781" spans="1:9" ht="15" customHeight="1">
      <c r="A6781" s="768">
        <v>45772</v>
      </c>
      <c r="B6781" s="769" t="s">
        <v>5373</v>
      </c>
      <c r="C6781" s="770" t="s">
        <v>204</v>
      </c>
      <c r="D6781" s="776">
        <v>-2000000</v>
      </c>
      <c r="E6781" s="771">
        <v>45748</v>
      </c>
      <c r="F6781" s="782" t="s">
        <v>296</v>
      </c>
      <c r="G6781" s="782" t="s">
        <v>1980</v>
      </c>
      <c r="H6781" s="782" t="s">
        <v>488</v>
      </c>
    </row>
    <row r="6782" spans="1:9" ht="15" customHeight="1">
      <c r="A6782" s="768">
        <v>45772</v>
      </c>
      <c r="B6782" s="769" t="s">
        <v>5373</v>
      </c>
      <c r="C6782" s="770" t="s">
        <v>204</v>
      </c>
      <c r="D6782" s="776">
        <v>-2000000</v>
      </c>
      <c r="E6782" s="771">
        <v>45748</v>
      </c>
      <c r="F6782" s="782" t="s">
        <v>296</v>
      </c>
      <c r="G6782" s="782" t="s">
        <v>1825</v>
      </c>
      <c r="H6782" s="782" t="s">
        <v>488</v>
      </c>
    </row>
    <row r="6783" spans="1:9" ht="15" customHeight="1">
      <c r="A6783" s="768">
        <v>45772</v>
      </c>
      <c r="B6783" s="769" t="s">
        <v>5373</v>
      </c>
      <c r="C6783" s="770" t="s">
        <v>204</v>
      </c>
      <c r="D6783" s="776">
        <v>-2000000</v>
      </c>
      <c r="E6783" s="771">
        <v>45748</v>
      </c>
      <c r="F6783" s="782" t="s">
        <v>296</v>
      </c>
      <c r="G6783" s="782" t="s">
        <v>522</v>
      </c>
      <c r="H6783" s="782" t="s">
        <v>488</v>
      </c>
    </row>
    <row r="6784" spans="1:9" ht="15" customHeight="1">
      <c r="A6784" s="199">
        <v>45772</v>
      </c>
      <c r="B6784" s="202" t="s">
        <v>5374</v>
      </c>
      <c r="C6784" s="200" t="s">
        <v>204</v>
      </c>
      <c r="D6784" s="775">
        <v>-204500</v>
      </c>
      <c r="E6784" s="201">
        <v>45748</v>
      </c>
      <c r="F6784" s="781" t="s">
        <v>256</v>
      </c>
      <c r="G6784" s="781" t="s">
        <v>256</v>
      </c>
      <c r="H6784" s="781" t="s">
        <v>267</v>
      </c>
    </row>
    <row r="6785" spans="1:8" ht="15" customHeight="1">
      <c r="A6785" s="199">
        <v>45772</v>
      </c>
      <c r="B6785" s="202" t="s">
        <v>5375</v>
      </c>
      <c r="C6785" s="200" t="s">
        <v>204</v>
      </c>
      <c r="D6785" s="775">
        <v>-126716</v>
      </c>
      <c r="E6785" s="201">
        <v>45748</v>
      </c>
      <c r="F6785" s="781" t="s">
        <v>296</v>
      </c>
      <c r="G6785" s="781" t="s">
        <v>1311</v>
      </c>
      <c r="H6785" s="781" t="s">
        <v>5376</v>
      </c>
    </row>
    <row r="6786" spans="1:8" ht="15" customHeight="1">
      <c r="A6786" s="199">
        <v>45772</v>
      </c>
      <c r="B6786" s="202" t="s">
        <v>5377</v>
      </c>
      <c r="C6786" s="200" t="s">
        <v>204</v>
      </c>
      <c r="D6786" s="775">
        <v>-333653</v>
      </c>
      <c r="E6786" s="201">
        <v>45748</v>
      </c>
      <c r="F6786" s="781" t="s">
        <v>296</v>
      </c>
      <c r="G6786" s="781" t="s">
        <v>1311</v>
      </c>
      <c r="H6786" s="781" t="s">
        <v>518</v>
      </c>
    </row>
    <row r="6787" spans="1:8" ht="15" customHeight="1">
      <c r="A6787" s="199">
        <v>45772</v>
      </c>
      <c r="B6787" s="202" t="s">
        <v>5378</v>
      </c>
      <c r="C6787" s="200" t="s">
        <v>204</v>
      </c>
      <c r="D6787" s="775">
        <v>-343200</v>
      </c>
      <c r="E6787" s="201">
        <v>45748</v>
      </c>
      <c r="F6787" s="781" t="s">
        <v>296</v>
      </c>
      <c r="G6787" s="781" t="s">
        <v>522</v>
      </c>
      <c r="H6787" s="781" t="s">
        <v>488</v>
      </c>
    </row>
    <row r="6788" spans="1:8" ht="15" customHeight="1">
      <c r="A6788" s="199">
        <v>45772</v>
      </c>
      <c r="B6788" s="202" t="s">
        <v>5379</v>
      </c>
      <c r="C6788" s="200" t="s">
        <v>372</v>
      </c>
      <c r="D6788" s="204">
        <v>-12000</v>
      </c>
      <c r="E6788" s="201">
        <v>45748</v>
      </c>
      <c r="F6788" s="781" t="s">
        <v>296</v>
      </c>
      <c r="G6788" s="781" t="s">
        <v>522</v>
      </c>
      <c r="H6788" s="781" t="s">
        <v>488</v>
      </c>
    </row>
    <row r="6789" spans="1:8" ht="15" customHeight="1">
      <c r="A6789" s="199">
        <v>45772</v>
      </c>
      <c r="B6789" s="202" t="s">
        <v>5380</v>
      </c>
      <c r="C6789" s="200" t="s">
        <v>372</v>
      </c>
      <c r="D6789" s="204">
        <v>-1800</v>
      </c>
      <c r="E6789" s="201">
        <v>45748</v>
      </c>
      <c r="F6789" s="781" t="s">
        <v>296</v>
      </c>
      <c r="G6789" s="781" t="s">
        <v>522</v>
      </c>
      <c r="H6789" s="781" t="s">
        <v>488</v>
      </c>
    </row>
    <row r="6790" spans="1:8" ht="15" customHeight="1">
      <c r="A6790" s="199">
        <v>45772</v>
      </c>
      <c r="B6790" s="202" t="s">
        <v>5381</v>
      </c>
      <c r="C6790" s="200" t="s">
        <v>204</v>
      </c>
      <c r="D6790" s="775">
        <v>-360000</v>
      </c>
      <c r="E6790" s="201">
        <v>45748</v>
      </c>
      <c r="F6790" s="781" t="s">
        <v>296</v>
      </c>
      <c r="G6790" s="781" t="s">
        <v>522</v>
      </c>
      <c r="H6790" s="781" t="s">
        <v>322</v>
      </c>
    </row>
    <row r="6791" spans="1:8" ht="15" customHeight="1">
      <c r="A6791" s="199">
        <v>45772</v>
      </c>
      <c r="B6791" s="202" t="s">
        <v>5382</v>
      </c>
      <c r="C6791" s="200" t="s">
        <v>204</v>
      </c>
      <c r="D6791" s="775">
        <v>-10255725</v>
      </c>
      <c r="E6791" s="201">
        <v>45748</v>
      </c>
      <c r="F6791" s="781" t="s">
        <v>296</v>
      </c>
      <c r="G6791" s="781" t="s">
        <v>1362</v>
      </c>
      <c r="H6791" s="781" t="s">
        <v>857</v>
      </c>
    </row>
    <row r="6792" spans="1:8" ht="15" customHeight="1">
      <c r="A6792" s="199">
        <v>45772</v>
      </c>
      <c r="B6792" s="202" t="s">
        <v>5383</v>
      </c>
      <c r="C6792" s="200" t="s">
        <v>204</v>
      </c>
      <c r="D6792" s="775">
        <v>-4010711</v>
      </c>
      <c r="E6792" s="201">
        <v>45748</v>
      </c>
      <c r="F6792" s="781" t="s">
        <v>297</v>
      </c>
      <c r="G6792" s="781" t="s">
        <v>3892</v>
      </c>
      <c r="H6792" s="781" t="s">
        <v>5384</v>
      </c>
    </row>
    <row r="6793" spans="1:8" ht="15" customHeight="1">
      <c r="A6793" s="199">
        <v>45772</v>
      </c>
      <c r="B6793" s="202" t="s">
        <v>5385</v>
      </c>
      <c r="C6793" s="200" t="s">
        <v>204</v>
      </c>
      <c r="D6793" s="775">
        <v>-119800</v>
      </c>
      <c r="E6793" s="201">
        <v>45748</v>
      </c>
      <c r="F6793" s="781" t="s">
        <v>297</v>
      </c>
      <c r="G6793" s="781" t="s">
        <v>3892</v>
      </c>
      <c r="H6793" s="781" t="s">
        <v>342</v>
      </c>
    </row>
    <row r="6794" spans="1:8" ht="15" customHeight="1">
      <c r="A6794" s="199">
        <v>45775</v>
      </c>
      <c r="B6794" s="202" t="s">
        <v>5386</v>
      </c>
      <c r="C6794" s="200" t="s">
        <v>204</v>
      </c>
      <c r="D6794" s="775">
        <v>-72000</v>
      </c>
      <c r="E6794" s="201">
        <v>45748</v>
      </c>
      <c r="F6794" s="781" t="s">
        <v>256</v>
      </c>
      <c r="G6794" s="781" t="s">
        <v>256</v>
      </c>
      <c r="H6794" s="781" t="s">
        <v>261</v>
      </c>
    </row>
    <row r="6795" spans="1:8" ht="15" customHeight="1">
      <c r="A6795" s="199">
        <v>45772</v>
      </c>
      <c r="B6795" s="202" t="s">
        <v>5387</v>
      </c>
      <c r="C6795" s="200" t="s">
        <v>204</v>
      </c>
      <c r="D6795" s="775">
        <v>-185805510.28</v>
      </c>
      <c r="E6795" s="201">
        <v>45748</v>
      </c>
      <c r="F6795" s="781" t="s">
        <v>298</v>
      </c>
      <c r="G6795" s="781"/>
      <c r="H6795" s="781"/>
    </row>
    <row r="6796" spans="1:8" ht="15" customHeight="1">
      <c r="A6796" s="199">
        <v>45776</v>
      </c>
      <c r="B6796" s="202" t="s">
        <v>5388</v>
      </c>
      <c r="C6796" s="200" t="s">
        <v>204</v>
      </c>
      <c r="D6796" s="775">
        <v>-1963780</v>
      </c>
      <c r="E6796" s="201">
        <v>45748</v>
      </c>
      <c r="F6796" s="781" t="s">
        <v>297</v>
      </c>
      <c r="G6796" s="781" t="s">
        <v>71</v>
      </c>
      <c r="H6796" s="781" t="s">
        <v>5389</v>
      </c>
    </row>
    <row r="6797" spans="1:8" ht="15" customHeight="1">
      <c r="A6797" s="199">
        <v>45776</v>
      </c>
      <c r="B6797" s="202" t="s">
        <v>5390</v>
      </c>
      <c r="C6797" s="200" t="s">
        <v>372</v>
      </c>
      <c r="D6797" s="204">
        <v>-42250</v>
      </c>
      <c r="E6797" s="201">
        <v>45748</v>
      </c>
      <c r="F6797" s="781" t="s">
        <v>297</v>
      </c>
      <c r="G6797" s="781" t="s">
        <v>71</v>
      </c>
      <c r="H6797" s="781" t="s">
        <v>5389</v>
      </c>
    </row>
    <row r="6798" spans="1:8" ht="15" customHeight="1">
      <c r="A6798" s="199">
        <v>45776</v>
      </c>
      <c r="B6798" s="202" t="s">
        <v>5391</v>
      </c>
      <c r="C6798" s="200" t="s">
        <v>372</v>
      </c>
      <c r="D6798" s="204">
        <v>-5070</v>
      </c>
      <c r="E6798" s="201">
        <v>45748</v>
      </c>
      <c r="F6798" s="781" t="s">
        <v>297</v>
      </c>
      <c r="G6798" s="781" t="s">
        <v>71</v>
      </c>
      <c r="H6798" s="781" t="s">
        <v>5389</v>
      </c>
    </row>
    <row r="6799" spans="1:8" ht="15" customHeight="1">
      <c r="A6799" s="199">
        <v>45776</v>
      </c>
      <c r="B6799" s="202" t="s">
        <v>5388</v>
      </c>
      <c r="C6799" s="200" t="s">
        <v>204</v>
      </c>
      <c r="D6799" s="775">
        <v>-1610532</v>
      </c>
      <c r="E6799" s="201">
        <v>45748</v>
      </c>
      <c r="F6799" s="781" t="s">
        <v>297</v>
      </c>
      <c r="G6799" s="781" t="s">
        <v>71</v>
      </c>
      <c r="H6799" s="781" t="s">
        <v>5389</v>
      </c>
    </row>
    <row r="6800" spans="1:8" ht="15" customHeight="1">
      <c r="A6800" s="199">
        <v>45776</v>
      </c>
      <c r="B6800" s="202" t="s">
        <v>5390</v>
      </c>
      <c r="C6800" s="200" t="s">
        <v>372</v>
      </c>
      <c r="D6800" s="204">
        <v>-34650</v>
      </c>
      <c r="E6800" s="201">
        <v>45748</v>
      </c>
      <c r="F6800" s="781" t="s">
        <v>297</v>
      </c>
      <c r="G6800" s="781" t="s">
        <v>71</v>
      </c>
      <c r="H6800" s="781" t="s">
        <v>5389</v>
      </c>
    </row>
    <row r="6801" spans="1:8" ht="15" customHeight="1">
      <c r="A6801" s="199">
        <v>45776</v>
      </c>
      <c r="B6801" s="202" t="s">
        <v>5391</v>
      </c>
      <c r="C6801" s="200" t="s">
        <v>372</v>
      </c>
      <c r="D6801" s="204">
        <v>-4158</v>
      </c>
      <c r="E6801" s="201">
        <v>45748</v>
      </c>
      <c r="F6801" s="781" t="s">
        <v>297</v>
      </c>
      <c r="G6801" s="781" t="s">
        <v>71</v>
      </c>
      <c r="H6801" s="781" t="s">
        <v>5389</v>
      </c>
    </row>
    <row r="6802" spans="1:8" ht="15" customHeight="1">
      <c r="A6802" s="199">
        <v>45776</v>
      </c>
      <c r="B6802" s="202" t="s">
        <v>5392</v>
      </c>
      <c r="C6802" s="200" t="s">
        <v>204</v>
      </c>
      <c r="D6802" s="775">
        <v>-193182</v>
      </c>
      <c r="E6802" s="201">
        <v>45748</v>
      </c>
      <c r="F6802" s="781" t="s">
        <v>296</v>
      </c>
      <c r="G6802" s="781" t="s">
        <v>3360</v>
      </c>
      <c r="H6802" s="781" t="s">
        <v>5376</v>
      </c>
    </row>
    <row r="6803" spans="1:8" ht="15" customHeight="1">
      <c r="A6803" s="199">
        <v>45776</v>
      </c>
      <c r="B6803" s="202" t="s">
        <v>5393</v>
      </c>
      <c r="C6803" s="200" t="s">
        <v>204</v>
      </c>
      <c r="D6803" s="775">
        <v>-830790</v>
      </c>
      <c r="E6803" s="201">
        <v>45748</v>
      </c>
      <c r="F6803" s="781" t="s">
        <v>296</v>
      </c>
      <c r="G6803" s="781" t="s">
        <v>1980</v>
      </c>
      <c r="H6803" s="781" t="s">
        <v>429</v>
      </c>
    </row>
    <row r="6804" spans="1:8" ht="15" customHeight="1">
      <c r="A6804" s="199">
        <v>45776</v>
      </c>
      <c r="B6804" s="202" t="s">
        <v>5393</v>
      </c>
      <c r="C6804" s="200" t="s">
        <v>204</v>
      </c>
      <c r="D6804" s="775">
        <v>-225000</v>
      </c>
      <c r="E6804" s="201">
        <v>45748</v>
      </c>
      <c r="F6804" s="781" t="s">
        <v>296</v>
      </c>
      <c r="G6804" s="781" t="s">
        <v>1980</v>
      </c>
      <c r="H6804" s="781" t="s">
        <v>429</v>
      </c>
    </row>
    <row r="6805" spans="1:8" ht="15" customHeight="1">
      <c r="A6805" s="199">
        <v>45776</v>
      </c>
      <c r="B6805" s="202" t="s">
        <v>5394</v>
      </c>
      <c r="C6805" s="200" t="s">
        <v>204</v>
      </c>
      <c r="D6805" s="775">
        <v>-273729</v>
      </c>
      <c r="E6805" s="201">
        <v>45748</v>
      </c>
      <c r="F6805" s="781" t="s">
        <v>296</v>
      </c>
      <c r="G6805" s="781" t="s">
        <v>1311</v>
      </c>
      <c r="H6805" s="781" t="s">
        <v>5384</v>
      </c>
    </row>
    <row r="6806" spans="1:8" ht="15" customHeight="1">
      <c r="A6806" s="199">
        <v>45776</v>
      </c>
      <c r="B6806" s="202" t="s">
        <v>5395</v>
      </c>
      <c r="C6806" s="200" t="s">
        <v>372</v>
      </c>
      <c r="D6806" s="204">
        <v>-5904</v>
      </c>
      <c r="E6806" s="201">
        <v>45748</v>
      </c>
      <c r="F6806" s="781" t="s">
        <v>296</v>
      </c>
      <c r="G6806" s="781" t="s">
        <v>1311</v>
      </c>
      <c r="H6806" s="781" t="s">
        <v>5384</v>
      </c>
    </row>
    <row r="6807" spans="1:8" ht="15" customHeight="1">
      <c r="A6807" s="199">
        <v>45776</v>
      </c>
      <c r="B6807" s="202" t="s">
        <v>5396</v>
      </c>
      <c r="C6807" s="200" t="s">
        <v>372</v>
      </c>
      <c r="D6807" s="204">
        <v>-1417</v>
      </c>
      <c r="E6807" s="201">
        <v>45748</v>
      </c>
      <c r="F6807" s="781" t="s">
        <v>296</v>
      </c>
      <c r="G6807" s="781" t="s">
        <v>1311</v>
      </c>
      <c r="H6807" s="781" t="s">
        <v>5384</v>
      </c>
    </row>
    <row r="6808" spans="1:8" ht="15" customHeight="1">
      <c r="A6808" s="199">
        <v>45776</v>
      </c>
      <c r="B6808" s="202" t="s">
        <v>5397</v>
      </c>
      <c r="C6808" s="200" t="s">
        <v>204</v>
      </c>
      <c r="D6808" s="775">
        <v>-44880</v>
      </c>
      <c r="E6808" s="201">
        <v>45748</v>
      </c>
      <c r="F6808" s="781" t="s">
        <v>296</v>
      </c>
      <c r="G6808" s="781" t="s">
        <v>1311</v>
      </c>
      <c r="H6808" s="781" t="s">
        <v>5384</v>
      </c>
    </row>
    <row r="6809" spans="1:8" ht="15" customHeight="1">
      <c r="A6809" s="199">
        <v>45776</v>
      </c>
      <c r="B6809" s="202" t="s">
        <v>5398</v>
      </c>
      <c r="C6809" s="200" t="s">
        <v>372</v>
      </c>
      <c r="D6809" s="204">
        <v>-968</v>
      </c>
      <c r="E6809" s="201">
        <v>45748</v>
      </c>
      <c r="F6809" s="781" t="s">
        <v>296</v>
      </c>
      <c r="G6809" s="781" t="s">
        <v>1311</v>
      </c>
      <c r="H6809" s="781" t="s">
        <v>5384</v>
      </c>
    </row>
    <row r="6810" spans="1:8" ht="15" customHeight="1">
      <c r="A6810" s="199">
        <v>45776</v>
      </c>
      <c r="B6810" s="202" t="s">
        <v>5399</v>
      </c>
      <c r="C6810" s="200" t="s">
        <v>372</v>
      </c>
      <c r="D6810" s="204">
        <v>-232</v>
      </c>
      <c r="E6810" s="201">
        <v>45748</v>
      </c>
      <c r="F6810" s="781" t="s">
        <v>296</v>
      </c>
      <c r="G6810" s="781" t="s">
        <v>1311</v>
      </c>
      <c r="H6810" s="781" t="s">
        <v>5384</v>
      </c>
    </row>
    <row r="6811" spans="1:8" ht="15" customHeight="1">
      <c r="A6811" s="199">
        <v>45776</v>
      </c>
      <c r="B6811" s="202" t="s">
        <v>5400</v>
      </c>
      <c r="C6811" s="200" t="s">
        <v>204</v>
      </c>
      <c r="D6811" s="775">
        <v>-2331032</v>
      </c>
      <c r="E6811" s="201">
        <v>45748</v>
      </c>
      <c r="F6811" s="781" t="s">
        <v>297</v>
      </c>
      <c r="G6811" s="781" t="s">
        <v>71</v>
      </c>
      <c r="H6811" s="781" t="s">
        <v>5384</v>
      </c>
    </row>
    <row r="6812" spans="1:8" ht="15" customHeight="1">
      <c r="A6812" s="199">
        <v>45776</v>
      </c>
      <c r="B6812" s="202" t="s">
        <v>5401</v>
      </c>
      <c r="C6812" s="200" t="s">
        <v>372</v>
      </c>
      <c r="D6812" s="204">
        <v>-50281</v>
      </c>
      <c r="E6812" s="201">
        <v>45748</v>
      </c>
      <c r="F6812" s="781" t="s">
        <v>297</v>
      </c>
      <c r="G6812" s="781" t="s">
        <v>71</v>
      </c>
      <c r="H6812" s="781" t="s">
        <v>5384</v>
      </c>
    </row>
    <row r="6813" spans="1:8" ht="15" customHeight="1">
      <c r="A6813" s="199">
        <v>45776</v>
      </c>
      <c r="B6813" s="202" t="s">
        <v>5402</v>
      </c>
      <c r="C6813" s="200" t="s">
        <v>372</v>
      </c>
      <c r="D6813" s="204">
        <v>-12067</v>
      </c>
      <c r="E6813" s="201">
        <v>45748</v>
      </c>
      <c r="F6813" s="781" t="s">
        <v>297</v>
      </c>
      <c r="G6813" s="781" t="s">
        <v>71</v>
      </c>
      <c r="H6813" s="781" t="s">
        <v>5384</v>
      </c>
    </row>
    <row r="6814" spans="1:8" ht="15" customHeight="1">
      <c r="A6814" s="199">
        <v>45776</v>
      </c>
      <c r="B6814" s="202" t="s">
        <v>5403</v>
      </c>
      <c r="C6814" s="200" t="s">
        <v>204</v>
      </c>
      <c r="D6814" s="775">
        <v>-2598960</v>
      </c>
      <c r="E6814" s="201">
        <v>45748</v>
      </c>
      <c r="F6814" s="781" t="s">
        <v>297</v>
      </c>
      <c r="G6814" s="781" t="s">
        <v>5404</v>
      </c>
      <c r="H6814" s="781" t="s">
        <v>375</v>
      </c>
    </row>
    <row r="6815" spans="1:8" ht="15" customHeight="1">
      <c r="A6815" s="199">
        <v>45776</v>
      </c>
      <c r="B6815" s="202" t="s">
        <v>5405</v>
      </c>
      <c r="C6815" s="200" t="s">
        <v>204</v>
      </c>
      <c r="D6815" s="775">
        <v>-398400</v>
      </c>
      <c r="E6815" s="201">
        <v>45748</v>
      </c>
      <c r="F6815" s="781" t="s">
        <v>296</v>
      </c>
      <c r="G6815" s="781" t="s">
        <v>1362</v>
      </c>
      <c r="H6815" s="781" t="s">
        <v>5384</v>
      </c>
    </row>
    <row r="6816" spans="1:8" ht="15" customHeight="1">
      <c r="A6816" s="199">
        <v>45776</v>
      </c>
      <c r="B6816" s="202" t="s">
        <v>5406</v>
      </c>
      <c r="C6816" s="200" t="s">
        <v>372</v>
      </c>
      <c r="D6816" s="204">
        <v>-16600</v>
      </c>
      <c r="E6816" s="201">
        <v>45748</v>
      </c>
      <c r="F6816" s="781" t="s">
        <v>296</v>
      </c>
      <c r="G6816" s="781" t="s">
        <v>1362</v>
      </c>
      <c r="H6816" s="781" t="s">
        <v>5384</v>
      </c>
    </row>
    <row r="6817" spans="1:8" ht="15" customHeight="1">
      <c r="A6817" s="199">
        <v>45776</v>
      </c>
      <c r="B6817" s="202" t="s">
        <v>5407</v>
      </c>
      <c r="C6817" s="200" t="s">
        <v>204</v>
      </c>
      <c r="D6817" s="775">
        <v>-1990000</v>
      </c>
      <c r="E6817" s="201">
        <v>45748</v>
      </c>
      <c r="F6817" s="781" t="s">
        <v>296</v>
      </c>
      <c r="G6817" s="781" t="s">
        <v>522</v>
      </c>
      <c r="H6817" s="781" t="s">
        <v>326</v>
      </c>
    </row>
    <row r="6818" spans="1:8" ht="15" customHeight="1">
      <c r="A6818" s="199">
        <v>45776</v>
      </c>
      <c r="B6818" s="202" t="s">
        <v>5408</v>
      </c>
      <c r="C6818" s="200" t="s">
        <v>372</v>
      </c>
      <c r="D6818" s="204">
        <v>-72176</v>
      </c>
      <c r="E6818" s="201">
        <v>45748</v>
      </c>
      <c r="F6818" s="781" t="s">
        <v>296</v>
      </c>
      <c r="G6818" s="781" t="s">
        <v>522</v>
      </c>
      <c r="H6818" s="781" t="s">
        <v>326</v>
      </c>
    </row>
    <row r="6819" spans="1:8" ht="15" customHeight="1">
      <c r="A6819" s="199">
        <v>45776</v>
      </c>
      <c r="B6819" s="202" t="s">
        <v>5409</v>
      </c>
      <c r="C6819" s="200" t="s">
        <v>204</v>
      </c>
      <c r="D6819" s="775">
        <v>-35521500</v>
      </c>
      <c r="E6819" s="201">
        <v>45748</v>
      </c>
      <c r="F6819" s="781" t="s">
        <v>296</v>
      </c>
      <c r="G6819" s="781" t="s">
        <v>513</v>
      </c>
      <c r="H6819" s="781" t="s">
        <v>366</v>
      </c>
    </row>
    <row r="6820" spans="1:8" ht="15" customHeight="1">
      <c r="A6820" s="199">
        <v>45776</v>
      </c>
      <c r="B6820" s="202" t="s">
        <v>5410</v>
      </c>
      <c r="C6820" s="200" t="s">
        <v>204</v>
      </c>
      <c r="D6820" s="775">
        <v>-13788000</v>
      </c>
      <c r="E6820" s="201">
        <v>45748</v>
      </c>
      <c r="F6820" s="781" t="s">
        <v>296</v>
      </c>
      <c r="G6820" s="781" t="s">
        <v>4577</v>
      </c>
      <c r="H6820" s="781" t="s">
        <v>322</v>
      </c>
    </row>
    <row r="6821" spans="1:8" ht="15" customHeight="1">
      <c r="A6821" s="199">
        <v>45776</v>
      </c>
      <c r="B6821" s="202" t="s">
        <v>5411</v>
      </c>
      <c r="C6821" s="200" t="s">
        <v>204</v>
      </c>
      <c r="D6821" s="775">
        <v>-1097885</v>
      </c>
      <c r="E6821" s="201">
        <v>45748</v>
      </c>
      <c r="F6821" s="781" t="s">
        <v>315</v>
      </c>
      <c r="G6821" s="781"/>
      <c r="H6821" s="781"/>
    </row>
    <row r="6822" spans="1:8" ht="15" customHeight="1">
      <c r="A6822" s="199">
        <v>45776</v>
      </c>
      <c r="B6822" s="202" t="s">
        <v>5411</v>
      </c>
      <c r="C6822" s="200" t="s">
        <v>204</v>
      </c>
      <c r="D6822" s="775">
        <v>-527171</v>
      </c>
      <c r="E6822" s="201">
        <v>45748</v>
      </c>
      <c r="F6822" s="781" t="s">
        <v>315</v>
      </c>
      <c r="G6822" s="781"/>
      <c r="H6822" s="781"/>
    </row>
    <row r="6823" spans="1:8" ht="15" customHeight="1">
      <c r="A6823" s="199">
        <v>45776</v>
      </c>
      <c r="B6823" s="202" t="s">
        <v>5412</v>
      </c>
      <c r="C6823" s="200" t="s">
        <v>204</v>
      </c>
      <c r="D6823" s="775">
        <v>-1963888</v>
      </c>
      <c r="E6823" s="201">
        <v>45748</v>
      </c>
      <c r="F6823" s="781" t="s">
        <v>315</v>
      </c>
      <c r="G6823" s="781"/>
      <c r="H6823" s="781"/>
    </row>
    <row r="6824" spans="1:8" ht="15" customHeight="1">
      <c r="A6824" s="199">
        <v>45776</v>
      </c>
      <c r="B6824" s="202" t="s">
        <v>5413</v>
      </c>
      <c r="C6824" s="200" t="s">
        <v>204</v>
      </c>
      <c r="D6824" s="775">
        <v>-449731</v>
      </c>
      <c r="E6824" s="201">
        <v>45748</v>
      </c>
      <c r="F6824" s="781" t="s">
        <v>296</v>
      </c>
      <c r="G6824" s="781" t="s">
        <v>3360</v>
      </c>
      <c r="H6824" s="781" t="s">
        <v>5376</v>
      </c>
    </row>
    <row r="6825" spans="1:8" ht="15" customHeight="1">
      <c r="A6825" s="199">
        <v>45776</v>
      </c>
      <c r="B6825" s="202" t="s">
        <v>5414</v>
      </c>
      <c r="C6825" s="200" t="s">
        <v>204</v>
      </c>
      <c r="D6825" s="775">
        <v>-1300000</v>
      </c>
      <c r="E6825" s="201">
        <v>45748</v>
      </c>
      <c r="F6825" s="781" t="s">
        <v>256</v>
      </c>
      <c r="G6825" s="781" t="s">
        <v>107</v>
      </c>
      <c r="H6825" s="781" t="s">
        <v>777</v>
      </c>
    </row>
    <row r="6826" spans="1:8" ht="15" customHeight="1">
      <c r="A6826" s="199">
        <v>45776</v>
      </c>
      <c r="B6826" s="202" t="s">
        <v>5415</v>
      </c>
      <c r="C6826" s="200" t="s">
        <v>204</v>
      </c>
      <c r="D6826" s="775">
        <v>-1237731</v>
      </c>
      <c r="E6826" s="201">
        <v>45748</v>
      </c>
      <c r="F6826" s="781" t="s">
        <v>296</v>
      </c>
      <c r="G6826" s="781" t="s">
        <v>57</v>
      </c>
      <c r="H6826" s="781" t="s">
        <v>99</v>
      </c>
    </row>
    <row r="6827" spans="1:8" ht="15" customHeight="1">
      <c r="A6827" s="199">
        <v>45776</v>
      </c>
      <c r="B6827" s="202" t="s">
        <v>5416</v>
      </c>
      <c r="C6827" s="200" t="s">
        <v>204</v>
      </c>
      <c r="D6827" s="775">
        <v>-1237731</v>
      </c>
      <c r="E6827" s="201">
        <v>45748</v>
      </c>
      <c r="F6827" s="781" t="s">
        <v>296</v>
      </c>
      <c r="G6827" s="781" t="s">
        <v>57</v>
      </c>
      <c r="H6827" s="781" t="s">
        <v>99</v>
      </c>
    </row>
    <row r="6828" spans="1:8" ht="15" customHeight="1">
      <c r="A6828" s="199">
        <v>45776</v>
      </c>
      <c r="B6828" s="202" t="s">
        <v>5417</v>
      </c>
      <c r="C6828" s="200" t="s">
        <v>204</v>
      </c>
      <c r="D6828" s="775">
        <v>-21529000</v>
      </c>
      <c r="E6828" s="201">
        <v>45748</v>
      </c>
      <c r="F6828" s="781" t="s">
        <v>525</v>
      </c>
      <c r="G6828" s="781"/>
      <c r="H6828" s="781"/>
    </row>
    <row r="6829" spans="1:8" ht="15" customHeight="1">
      <c r="A6829" s="199">
        <v>45776</v>
      </c>
      <c r="B6829" s="202" t="s">
        <v>5418</v>
      </c>
      <c r="C6829" s="200" t="s">
        <v>204</v>
      </c>
      <c r="D6829" s="775">
        <v>-10019659</v>
      </c>
      <c r="E6829" s="201">
        <v>45748</v>
      </c>
      <c r="F6829" s="781" t="s">
        <v>297</v>
      </c>
      <c r="G6829" s="781" t="s">
        <v>3892</v>
      </c>
      <c r="H6829" s="781" t="s">
        <v>375</v>
      </c>
    </row>
    <row r="6830" spans="1:8" ht="15" customHeight="1">
      <c r="A6830" s="199">
        <v>45776</v>
      </c>
      <c r="B6830" s="202" t="s">
        <v>5419</v>
      </c>
      <c r="C6830" s="200" t="s">
        <v>204</v>
      </c>
      <c r="D6830" s="775">
        <v>-1089208</v>
      </c>
      <c r="E6830" s="201">
        <v>45748</v>
      </c>
      <c r="F6830" s="781" t="s">
        <v>296</v>
      </c>
      <c r="G6830" s="781" t="s">
        <v>3360</v>
      </c>
      <c r="H6830" s="781" t="s">
        <v>386</v>
      </c>
    </row>
    <row r="6831" spans="1:8" ht="15" customHeight="1">
      <c r="A6831" s="199">
        <v>45776</v>
      </c>
      <c r="B6831" s="202" t="s">
        <v>5420</v>
      </c>
      <c r="C6831" s="200" t="s">
        <v>204</v>
      </c>
      <c r="D6831" s="775">
        <v>-267708</v>
      </c>
      <c r="E6831" s="201">
        <v>45748</v>
      </c>
      <c r="F6831" s="781" t="s">
        <v>296</v>
      </c>
      <c r="G6831" s="781" t="s">
        <v>3360</v>
      </c>
      <c r="H6831" s="781" t="s">
        <v>386</v>
      </c>
    </row>
    <row r="6832" spans="1:8" ht="15" customHeight="1">
      <c r="A6832" s="199">
        <v>45776</v>
      </c>
      <c r="B6832" s="202" t="s">
        <v>5421</v>
      </c>
      <c r="C6832" s="200" t="s">
        <v>204</v>
      </c>
      <c r="D6832" s="775">
        <v>-41650</v>
      </c>
      <c r="E6832" s="201">
        <v>45748</v>
      </c>
      <c r="F6832" s="781" t="s">
        <v>296</v>
      </c>
      <c r="G6832" s="781" t="s">
        <v>5422</v>
      </c>
      <c r="H6832" s="781" t="s">
        <v>386</v>
      </c>
    </row>
    <row r="6833" spans="1:9" ht="15" customHeight="1">
      <c r="A6833" s="199">
        <v>45776</v>
      </c>
      <c r="B6833" s="202" t="s">
        <v>5423</v>
      </c>
      <c r="C6833" s="200" t="s">
        <v>204</v>
      </c>
      <c r="D6833" s="775">
        <v>-47676</v>
      </c>
      <c r="E6833" s="201">
        <v>45748</v>
      </c>
      <c r="F6833" s="781" t="s">
        <v>296</v>
      </c>
      <c r="G6833" s="781" t="s">
        <v>5424</v>
      </c>
      <c r="H6833" s="781" t="s">
        <v>386</v>
      </c>
    </row>
    <row r="6834" spans="1:9" ht="15" customHeight="1">
      <c r="A6834" s="199">
        <v>45776</v>
      </c>
      <c r="B6834" s="202" t="s">
        <v>5425</v>
      </c>
      <c r="C6834" s="200" t="s">
        <v>204</v>
      </c>
      <c r="D6834" s="775">
        <v>-229427</v>
      </c>
      <c r="E6834" s="201">
        <v>45748</v>
      </c>
      <c r="F6834" s="781" t="s">
        <v>296</v>
      </c>
      <c r="G6834" s="781" t="s">
        <v>5422</v>
      </c>
      <c r="H6834" s="781" t="s">
        <v>386</v>
      </c>
      <c r="I6834" s="648" t="s">
        <v>329</v>
      </c>
    </row>
    <row r="6835" spans="1:9" ht="15" customHeight="1">
      <c r="A6835" s="199">
        <v>45776</v>
      </c>
      <c r="B6835" s="202" t="s">
        <v>5426</v>
      </c>
      <c r="C6835" s="200" t="s">
        <v>204</v>
      </c>
      <c r="D6835" s="775">
        <v>-381194</v>
      </c>
      <c r="E6835" s="201">
        <v>45748</v>
      </c>
      <c r="F6835" s="781" t="s">
        <v>296</v>
      </c>
      <c r="G6835" s="781" t="s">
        <v>5424</v>
      </c>
      <c r="H6835" s="781" t="s">
        <v>386</v>
      </c>
      <c r="I6835" s="648" t="s">
        <v>329</v>
      </c>
    </row>
    <row r="6836" spans="1:9" ht="15" customHeight="1">
      <c r="A6836" s="199">
        <v>45776</v>
      </c>
      <c r="B6836" s="202" t="s">
        <v>5427</v>
      </c>
      <c r="C6836" s="200" t="s">
        <v>204</v>
      </c>
      <c r="D6836" s="775">
        <v>-1927279</v>
      </c>
      <c r="E6836" s="201">
        <v>45748</v>
      </c>
      <c r="F6836" s="781" t="s">
        <v>296</v>
      </c>
      <c r="G6836" s="781" t="s">
        <v>522</v>
      </c>
      <c r="H6836" s="781" t="s">
        <v>429</v>
      </c>
    </row>
    <row r="6837" spans="1:9" ht="15" customHeight="1">
      <c r="A6837" s="199">
        <v>45777</v>
      </c>
      <c r="B6837" s="202" t="s">
        <v>5428</v>
      </c>
      <c r="C6837" s="200" t="s">
        <v>204</v>
      </c>
      <c r="D6837" s="775">
        <v>-1428800</v>
      </c>
      <c r="E6837" s="201">
        <v>45748</v>
      </c>
      <c r="F6837" s="781" t="s">
        <v>256</v>
      </c>
      <c r="G6837" s="781" t="s">
        <v>256</v>
      </c>
      <c r="H6837" s="781" t="s">
        <v>9</v>
      </c>
    </row>
    <row r="6838" spans="1:9" ht="15" customHeight="1">
      <c r="A6838" s="199">
        <v>45777</v>
      </c>
      <c r="B6838" s="202" t="s">
        <v>5429</v>
      </c>
      <c r="C6838" s="200" t="s">
        <v>372</v>
      </c>
      <c r="D6838" s="204">
        <v>-91200</v>
      </c>
      <c r="E6838" s="201">
        <v>45748</v>
      </c>
      <c r="F6838" s="781" t="s">
        <v>256</v>
      </c>
      <c r="G6838" s="781" t="s">
        <v>256</v>
      </c>
      <c r="H6838" s="781" t="s">
        <v>9</v>
      </c>
    </row>
    <row r="6839" spans="1:9" ht="15" customHeight="1">
      <c r="A6839" s="199">
        <v>45777</v>
      </c>
      <c r="B6839" s="202" t="s">
        <v>5430</v>
      </c>
      <c r="C6839" s="200" t="s">
        <v>204</v>
      </c>
      <c r="D6839" s="775">
        <v>-490586</v>
      </c>
      <c r="E6839" s="201">
        <v>45748</v>
      </c>
      <c r="F6839" s="781" t="s">
        <v>256</v>
      </c>
      <c r="G6839" s="781" t="s">
        <v>256</v>
      </c>
      <c r="H6839" s="781" t="s">
        <v>257</v>
      </c>
    </row>
    <row r="6840" spans="1:9" ht="15" customHeight="1">
      <c r="A6840" s="199">
        <v>45777</v>
      </c>
      <c r="B6840" s="202" t="s">
        <v>5431</v>
      </c>
      <c r="C6840" s="200" t="s">
        <v>204</v>
      </c>
      <c r="D6840" s="775">
        <v>-110000</v>
      </c>
      <c r="E6840" s="201">
        <v>45748</v>
      </c>
      <c r="F6840" s="781" t="s">
        <v>256</v>
      </c>
      <c r="G6840" s="781" t="s">
        <v>256</v>
      </c>
      <c r="H6840" s="781" t="s">
        <v>267</v>
      </c>
    </row>
    <row r="6841" spans="1:9" ht="15" customHeight="1">
      <c r="A6841" s="199">
        <v>45777</v>
      </c>
      <c r="B6841" s="202" t="s">
        <v>5432</v>
      </c>
      <c r="C6841" s="200" t="s">
        <v>204</v>
      </c>
      <c r="D6841" s="775">
        <v>-101400</v>
      </c>
      <c r="E6841" s="201">
        <v>45748</v>
      </c>
      <c r="F6841" s="781" t="s">
        <v>297</v>
      </c>
      <c r="G6841" s="781" t="s">
        <v>1313</v>
      </c>
      <c r="H6841" s="781" t="s">
        <v>5384</v>
      </c>
    </row>
    <row r="6842" spans="1:9" ht="15" customHeight="1">
      <c r="A6842" s="199">
        <v>45777</v>
      </c>
      <c r="B6842" s="202" t="s">
        <v>5433</v>
      </c>
      <c r="C6842" s="200" t="s">
        <v>204</v>
      </c>
      <c r="D6842" s="775">
        <v>-55001</v>
      </c>
      <c r="E6842" s="201">
        <v>45748</v>
      </c>
      <c r="F6842" s="781" t="s">
        <v>296</v>
      </c>
      <c r="G6842" s="781" t="s">
        <v>1980</v>
      </c>
      <c r="H6842" s="781" t="s">
        <v>322</v>
      </c>
    </row>
    <row r="6843" spans="1:9" ht="15" customHeight="1">
      <c r="A6843" s="199">
        <v>45777</v>
      </c>
      <c r="B6843" s="202" t="s">
        <v>5434</v>
      </c>
      <c r="C6843" s="200" t="s">
        <v>204</v>
      </c>
      <c r="D6843" s="775">
        <v>-300000</v>
      </c>
      <c r="E6843" s="201">
        <v>45748</v>
      </c>
      <c r="F6843" s="781" t="s">
        <v>256</v>
      </c>
      <c r="G6843" s="781" t="s">
        <v>256</v>
      </c>
      <c r="H6843" s="781" t="s">
        <v>9</v>
      </c>
    </row>
    <row r="6844" spans="1:9" ht="15" customHeight="1">
      <c r="A6844" s="199">
        <v>45777</v>
      </c>
      <c r="B6844" s="202" t="s">
        <v>5435</v>
      </c>
      <c r="C6844" s="200" t="s">
        <v>204</v>
      </c>
      <c r="D6844" s="775">
        <v>-650000</v>
      </c>
      <c r="E6844" s="201">
        <v>45748</v>
      </c>
      <c r="F6844" s="781" t="s">
        <v>256</v>
      </c>
      <c r="G6844" s="781" t="s">
        <v>107</v>
      </c>
      <c r="H6844" s="781" t="s">
        <v>777</v>
      </c>
    </row>
    <row r="6845" spans="1:9" ht="15" customHeight="1">
      <c r="A6845" s="199">
        <v>45777</v>
      </c>
      <c r="B6845" s="202" t="s">
        <v>5436</v>
      </c>
      <c r="C6845" s="200" t="s">
        <v>204</v>
      </c>
      <c r="D6845" s="775">
        <v>-487080</v>
      </c>
      <c r="E6845" s="201">
        <v>45748</v>
      </c>
      <c r="F6845" s="781" t="s">
        <v>296</v>
      </c>
      <c r="G6845" s="781" t="s">
        <v>522</v>
      </c>
      <c r="H6845" s="781" t="s">
        <v>811</v>
      </c>
    </row>
    <row r="6846" spans="1:9" ht="15" customHeight="1">
      <c r="A6846" s="199">
        <v>45777</v>
      </c>
      <c r="B6846" s="202" t="s">
        <v>5437</v>
      </c>
      <c r="C6846" s="200" t="s">
        <v>204</v>
      </c>
      <c r="D6846" s="775">
        <v>-4839200</v>
      </c>
      <c r="E6846" s="201">
        <v>45748</v>
      </c>
      <c r="F6846" s="781" t="s">
        <v>256</v>
      </c>
      <c r="G6846" s="781" t="s">
        <v>256</v>
      </c>
      <c r="H6846" s="781" t="s">
        <v>121</v>
      </c>
    </row>
    <row r="6847" spans="1:9" ht="15" customHeight="1">
      <c r="A6847" s="199">
        <v>45777</v>
      </c>
      <c r="B6847" s="202" t="s">
        <v>5438</v>
      </c>
      <c r="C6847" s="200" t="s">
        <v>204</v>
      </c>
      <c r="D6847" s="775">
        <v>-12862000.000000002</v>
      </c>
      <c r="E6847" s="201">
        <v>45748</v>
      </c>
      <c r="F6847" s="781" t="s">
        <v>256</v>
      </c>
      <c r="G6847" s="781" t="s">
        <v>256</v>
      </c>
      <c r="H6847" s="781" t="s">
        <v>121</v>
      </c>
    </row>
    <row r="6848" spans="1:9" ht="15" customHeight="1">
      <c r="A6848" s="199">
        <v>45777</v>
      </c>
      <c r="B6848" s="202" t="s">
        <v>5439</v>
      </c>
      <c r="C6848" s="200" t="s">
        <v>204</v>
      </c>
      <c r="D6848" s="775">
        <v>-12862000</v>
      </c>
      <c r="E6848" s="201">
        <v>45748</v>
      </c>
      <c r="F6848" s="781" t="s">
        <v>256</v>
      </c>
      <c r="G6848" s="781" t="s">
        <v>256</v>
      </c>
      <c r="H6848" s="781" t="s">
        <v>121</v>
      </c>
    </row>
    <row r="6849" spans="1:8" ht="15" customHeight="1">
      <c r="A6849" s="199">
        <v>45777</v>
      </c>
      <c r="B6849" s="202" t="s">
        <v>5440</v>
      </c>
      <c r="C6849" s="200" t="s">
        <v>204</v>
      </c>
      <c r="D6849" s="775">
        <v>-882000</v>
      </c>
      <c r="E6849" s="201">
        <v>45748</v>
      </c>
      <c r="F6849" s="781" t="s">
        <v>256</v>
      </c>
      <c r="G6849" s="781" t="s">
        <v>256</v>
      </c>
      <c r="H6849" s="781" t="s">
        <v>121</v>
      </c>
    </row>
    <row r="6850" spans="1:8" ht="15" customHeight="1">
      <c r="A6850" s="199">
        <v>45777</v>
      </c>
      <c r="B6850" s="202" t="s">
        <v>5441</v>
      </c>
      <c r="C6850" s="200" t="s">
        <v>204</v>
      </c>
      <c r="D6850" s="775">
        <v>-2300000</v>
      </c>
      <c r="E6850" s="201">
        <v>45748</v>
      </c>
      <c r="F6850" s="781" t="s">
        <v>256</v>
      </c>
      <c r="G6850" s="781" t="s">
        <v>256</v>
      </c>
      <c r="H6850" s="781" t="s">
        <v>121</v>
      </c>
    </row>
    <row r="6851" spans="1:8" ht="15" customHeight="1">
      <c r="A6851" s="199">
        <v>45777</v>
      </c>
      <c r="B6851" s="202" t="s">
        <v>5442</v>
      </c>
      <c r="C6851" s="200" t="s">
        <v>204</v>
      </c>
      <c r="D6851" s="775">
        <v>-804080</v>
      </c>
      <c r="E6851" s="201">
        <v>45748</v>
      </c>
      <c r="F6851" s="781" t="s">
        <v>256</v>
      </c>
      <c r="G6851" s="781" t="s">
        <v>256</v>
      </c>
      <c r="H6851" s="781" t="s">
        <v>121</v>
      </c>
    </row>
    <row r="6852" spans="1:8" ht="15" customHeight="1">
      <c r="A6852" s="199">
        <v>45777</v>
      </c>
      <c r="B6852" s="202" t="s">
        <v>5443</v>
      </c>
      <c r="C6852" s="200" t="s">
        <v>204</v>
      </c>
      <c r="D6852" s="775">
        <v>-754810</v>
      </c>
      <c r="E6852" s="201">
        <v>45748</v>
      </c>
      <c r="F6852" s="781" t="s">
        <v>256</v>
      </c>
      <c r="G6852" s="781" t="s">
        <v>256</v>
      </c>
      <c r="H6852" s="781" t="s">
        <v>121</v>
      </c>
    </row>
    <row r="6853" spans="1:8" ht="15" customHeight="1">
      <c r="A6853" s="199">
        <v>45777</v>
      </c>
      <c r="B6853" s="202" t="s">
        <v>5444</v>
      </c>
      <c r="C6853" s="200" t="s">
        <v>204</v>
      </c>
      <c r="D6853" s="775">
        <v>-3220000</v>
      </c>
      <c r="E6853" s="201">
        <v>45748</v>
      </c>
      <c r="F6853" s="781" t="s">
        <v>256</v>
      </c>
      <c r="G6853" s="781" t="s">
        <v>256</v>
      </c>
      <c r="H6853" s="781" t="s">
        <v>121</v>
      </c>
    </row>
    <row r="6854" spans="1:8" ht="15" customHeight="1">
      <c r="A6854" s="199">
        <v>45777</v>
      </c>
      <c r="B6854" s="202" t="s">
        <v>5445</v>
      </c>
      <c r="C6854" s="200" t="s">
        <v>204</v>
      </c>
      <c r="D6854" s="775">
        <v>-777500</v>
      </c>
      <c r="E6854" s="201">
        <v>45748</v>
      </c>
      <c r="F6854" s="781" t="s">
        <v>256</v>
      </c>
      <c r="G6854" s="781" t="s">
        <v>256</v>
      </c>
      <c r="H6854" s="781" t="s">
        <v>121</v>
      </c>
    </row>
    <row r="6855" spans="1:8" ht="15" customHeight="1">
      <c r="A6855" s="199">
        <v>45777</v>
      </c>
      <c r="B6855" s="202" t="s">
        <v>5446</v>
      </c>
      <c r="C6855" s="200" t="s">
        <v>204</v>
      </c>
      <c r="D6855" s="775">
        <v>-1842666.6666666667</v>
      </c>
      <c r="E6855" s="201">
        <v>45748</v>
      </c>
      <c r="F6855" s="781" t="s">
        <v>256</v>
      </c>
      <c r="G6855" s="781" t="s">
        <v>256</v>
      </c>
      <c r="H6855" s="781" t="s">
        <v>121</v>
      </c>
    </row>
    <row r="6856" spans="1:8" ht="15" customHeight="1">
      <c r="A6856" s="199">
        <v>45777</v>
      </c>
      <c r="B6856" s="202" t="s">
        <v>5447</v>
      </c>
      <c r="C6856" s="200" t="s">
        <v>204</v>
      </c>
      <c r="D6856" s="775">
        <v>-533812.5</v>
      </c>
      <c r="E6856" s="201">
        <v>45748</v>
      </c>
      <c r="F6856" s="781" t="s">
        <v>256</v>
      </c>
      <c r="G6856" s="781" t="s">
        <v>256</v>
      </c>
      <c r="H6856" s="781" t="s">
        <v>121</v>
      </c>
    </row>
    <row r="6857" spans="1:8" ht="15" customHeight="1">
      <c r="A6857" s="199">
        <v>45777</v>
      </c>
      <c r="B6857" s="202" t="s">
        <v>5448</v>
      </c>
      <c r="C6857" s="200" t="s">
        <v>204</v>
      </c>
      <c r="D6857" s="775">
        <v>-1182000</v>
      </c>
      <c r="E6857" s="201">
        <v>45748</v>
      </c>
      <c r="F6857" s="781" t="s">
        <v>256</v>
      </c>
      <c r="G6857" s="781" t="s">
        <v>256</v>
      </c>
      <c r="H6857" s="781" t="s">
        <v>121</v>
      </c>
    </row>
    <row r="6858" spans="1:8" ht="15" customHeight="1">
      <c r="A6858" s="199">
        <v>45777</v>
      </c>
      <c r="B6858" s="202" t="s">
        <v>5449</v>
      </c>
      <c r="C6858" s="200" t="s">
        <v>204</v>
      </c>
      <c r="D6858" s="775">
        <v>-754810</v>
      </c>
      <c r="E6858" s="201">
        <v>45748</v>
      </c>
      <c r="F6858" s="781" t="s">
        <v>256</v>
      </c>
      <c r="G6858" s="781" t="s">
        <v>256</v>
      </c>
      <c r="H6858" s="781" t="s">
        <v>121</v>
      </c>
    </row>
    <row r="6859" spans="1:8" ht="15" customHeight="1">
      <c r="A6859" s="199">
        <v>45777</v>
      </c>
      <c r="B6859" s="202" t="s">
        <v>5450</v>
      </c>
      <c r="C6859" s="200" t="s">
        <v>204</v>
      </c>
      <c r="D6859" s="775">
        <v>-754810</v>
      </c>
      <c r="E6859" s="201">
        <v>45748</v>
      </c>
      <c r="F6859" s="781" t="s">
        <v>256</v>
      </c>
      <c r="G6859" s="781" t="s">
        <v>256</v>
      </c>
      <c r="H6859" s="781" t="s">
        <v>121</v>
      </c>
    </row>
    <row r="6860" spans="1:8" ht="15" customHeight="1">
      <c r="A6860" s="199">
        <v>45777</v>
      </c>
      <c r="B6860" s="202" t="s">
        <v>5451</v>
      </c>
      <c r="C6860" s="200" t="s">
        <v>204</v>
      </c>
      <c r="D6860" s="775">
        <v>-2760000</v>
      </c>
      <c r="E6860" s="201">
        <v>45748</v>
      </c>
      <c r="F6860" s="781" t="s">
        <v>256</v>
      </c>
      <c r="G6860" s="781" t="s">
        <v>256</v>
      </c>
      <c r="H6860" s="781" t="s">
        <v>121</v>
      </c>
    </row>
    <row r="6861" spans="1:8" ht="15" customHeight="1">
      <c r="A6861" s="199">
        <v>45777</v>
      </c>
      <c r="B6861" s="202" t="s">
        <v>5452</v>
      </c>
      <c r="C6861" s="200" t="s">
        <v>204</v>
      </c>
      <c r="D6861" s="775">
        <v>-754810</v>
      </c>
      <c r="E6861" s="201">
        <v>45748</v>
      </c>
      <c r="F6861" s="781" t="s">
        <v>256</v>
      </c>
      <c r="G6861" s="781" t="s">
        <v>256</v>
      </c>
      <c r="H6861" s="781" t="s">
        <v>121</v>
      </c>
    </row>
    <row r="6862" spans="1:8" ht="15" customHeight="1">
      <c r="A6862" s="199">
        <v>45777</v>
      </c>
      <c r="B6862" s="202" t="s">
        <v>5453</v>
      </c>
      <c r="C6862" s="200" t="s">
        <v>204</v>
      </c>
      <c r="D6862" s="775">
        <v>-2316000</v>
      </c>
      <c r="E6862" s="201">
        <v>45748</v>
      </c>
      <c r="F6862" s="781" t="s">
        <v>256</v>
      </c>
      <c r="G6862" s="781" t="s">
        <v>256</v>
      </c>
      <c r="H6862" s="781" t="s">
        <v>121</v>
      </c>
    </row>
    <row r="6863" spans="1:8" ht="15" customHeight="1">
      <c r="A6863" s="199">
        <v>45777</v>
      </c>
      <c r="B6863" s="202" t="s">
        <v>5454</v>
      </c>
      <c r="C6863" s="200" t="s">
        <v>204</v>
      </c>
      <c r="D6863" s="775">
        <v>-882000</v>
      </c>
      <c r="E6863" s="201">
        <v>45748</v>
      </c>
      <c r="F6863" s="781" t="s">
        <v>256</v>
      </c>
      <c r="G6863" s="781" t="s">
        <v>256</v>
      </c>
      <c r="H6863" s="781" t="s">
        <v>121</v>
      </c>
    </row>
    <row r="6864" spans="1:8" ht="15" customHeight="1">
      <c r="A6864" s="199">
        <v>45777</v>
      </c>
      <c r="B6864" s="202" t="s">
        <v>5455</v>
      </c>
      <c r="C6864" s="200" t="s">
        <v>204</v>
      </c>
      <c r="D6864" s="775">
        <v>-3220000</v>
      </c>
      <c r="E6864" s="201">
        <v>45748</v>
      </c>
      <c r="F6864" s="781" t="s">
        <v>256</v>
      </c>
      <c r="G6864" s="781" t="s">
        <v>256</v>
      </c>
      <c r="H6864" s="781" t="s">
        <v>121</v>
      </c>
    </row>
    <row r="6865" spans="1:8" ht="15" customHeight="1">
      <c r="A6865" s="199">
        <v>45777</v>
      </c>
      <c r="B6865" s="202" t="s">
        <v>5456</v>
      </c>
      <c r="C6865" s="200" t="s">
        <v>204</v>
      </c>
      <c r="D6865" s="775">
        <v>-754810</v>
      </c>
      <c r="E6865" s="201">
        <v>45748</v>
      </c>
      <c r="F6865" s="781" t="s">
        <v>256</v>
      </c>
      <c r="G6865" s="781" t="s">
        <v>256</v>
      </c>
      <c r="H6865" s="781" t="s">
        <v>121</v>
      </c>
    </row>
    <row r="6866" spans="1:8" ht="15" customHeight="1">
      <c r="A6866" s="199">
        <v>45777</v>
      </c>
      <c r="B6866" s="202" t="s">
        <v>5457</v>
      </c>
      <c r="C6866" s="200" t="s">
        <v>204</v>
      </c>
      <c r="D6866" s="775">
        <v>-4066778.72</v>
      </c>
      <c r="E6866" s="201">
        <v>45748</v>
      </c>
      <c r="F6866" s="781" t="s">
        <v>256</v>
      </c>
      <c r="G6866" s="781" t="s">
        <v>107</v>
      </c>
      <c r="H6866" s="781" t="s">
        <v>121</v>
      </c>
    </row>
    <row r="6867" spans="1:8" ht="15" customHeight="1">
      <c r="A6867" s="199">
        <v>45777</v>
      </c>
      <c r="B6867" s="202" t="s">
        <v>5458</v>
      </c>
      <c r="C6867" s="200" t="s">
        <v>204</v>
      </c>
      <c r="D6867" s="775">
        <v>-5737500</v>
      </c>
      <c r="E6867" s="201">
        <v>45748</v>
      </c>
      <c r="F6867" s="781" t="s">
        <v>296</v>
      </c>
      <c r="G6867" s="781" t="s">
        <v>807</v>
      </c>
      <c r="H6867" s="781" t="s">
        <v>342</v>
      </c>
    </row>
    <row r="6868" spans="1:8" ht="15" customHeight="1">
      <c r="A6868" s="199">
        <v>45777</v>
      </c>
      <c r="B6868" s="202" t="s">
        <v>5458</v>
      </c>
      <c r="C6868" s="200" t="s">
        <v>204</v>
      </c>
      <c r="D6868" s="775">
        <v>-599582</v>
      </c>
      <c r="E6868" s="201">
        <v>45748</v>
      </c>
      <c r="F6868" s="781" t="s">
        <v>296</v>
      </c>
      <c r="G6868" s="781" t="s">
        <v>415</v>
      </c>
      <c r="H6868" s="781" t="s">
        <v>342</v>
      </c>
    </row>
    <row r="6869" spans="1:8" ht="14.1">
      <c r="A6869" s="199">
        <v>45777</v>
      </c>
      <c r="B6869" s="202" t="s">
        <v>5458</v>
      </c>
      <c r="C6869" s="200" t="s">
        <v>204</v>
      </c>
      <c r="D6869" s="775">
        <v>-1372265</v>
      </c>
      <c r="E6869" s="201">
        <v>45748</v>
      </c>
      <c r="F6869" s="781" t="s">
        <v>297</v>
      </c>
      <c r="G6869" s="781" t="s">
        <v>5404</v>
      </c>
      <c r="H6869" s="781" t="s">
        <v>342</v>
      </c>
    </row>
    <row r="6870" spans="1:8" ht="15" customHeight="1">
      <c r="A6870" s="199">
        <v>45777</v>
      </c>
      <c r="B6870" s="202" t="s">
        <v>5459</v>
      </c>
      <c r="C6870" s="200" t="s">
        <v>204</v>
      </c>
      <c r="D6870" s="775">
        <v>-4119929.57</v>
      </c>
      <c r="E6870" s="201">
        <v>45748</v>
      </c>
      <c r="F6870" s="781" t="s">
        <v>256</v>
      </c>
      <c r="G6870" s="781" t="s">
        <v>107</v>
      </c>
      <c r="H6870" s="781" t="s">
        <v>121</v>
      </c>
    </row>
    <row r="6871" spans="1:8" ht="15" customHeight="1">
      <c r="A6871" s="199">
        <v>45777</v>
      </c>
      <c r="B6871" s="202" t="s">
        <v>5460</v>
      </c>
      <c r="C6871" s="200" t="s">
        <v>204</v>
      </c>
      <c r="D6871" s="775">
        <v>-1264119</v>
      </c>
      <c r="E6871" s="201">
        <v>45748</v>
      </c>
      <c r="F6871" s="781" t="s">
        <v>296</v>
      </c>
      <c r="G6871" s="781" t="s">
        <v>1362</v>
      </c>
      <c r="H6871" s="781" t="s">
        <v>342</v>
      </c>
    </row>
    <row r="6872" spans="1:8" ht="15" customHeight="1">
      <c r="A6872" s="199">
        <v>45777</v>
      </c>
      <c r="B6872" s="202" t="s">
        <v>5460</v>
      </c>
      <c r="C6872" s="200" t="s">
        <v>204</v>
      </c>
      <c r="D6872" s="775">
        <v>-1062000</v>
      </c>
      <c r="E6872" s="201">
        <v>45748</v>
      </c>
      <c r="F6872" s="781" t="s">
        <v>296</v>
      </c>
      <c r="G6872" s="781" t="s">
        <v>3360</v>
      </c>
      <c r="H6872" s="781" t="s">
        <v>342</v>
      </c>
    </row>
    <row r="6873" spans="1:8" ht="15" customHeight="1">
      <c r="A6873" s="199">
        <v>45777</v>
      </c>
      <c r="B6873" s="202" t="s">
        <v>5461</v>
      </c>
      <c r="C6873" s="200" t="s">
        <v>204</v>
      </c>
      <c r="D6873" s="775">
        <v>-3436000</v>
      </c>
      <c r="E6873" s="201">
        <v>45748</v>
      </c>
      <c r="F6873" s="781" t="s">
        <v>256</v>
      </c>
      <c r="G6873" s="781" t="s">
        <v>107</v>
      </c>
      <c r="H6873" s="781" t="s">
        <v>121</v>
      </c>
    </row>
    <row r="6874" spans="1:8" ht="15" customHeight="1">
      <c r="A6874" s="199">
        <v>45777</v>
      </c>
      <c r="B6874" s="202" t="s">
        <v>5462</v>
      </c>
      <c r="C6874" s="200" t="s">
        <v>204</v>
      </c>
      <c r="D6874" s="775">
        <v>-2768000</v>
      </c>
      <c r="E6874" s="201">
        <v>45748</v>
      </c>
      <c r="F6874" s="781" t="s">
        <v>256</v>
      </c>
      <c r="G6874" s="781" t="s">
        <v>107</v>
      </c>
      <c r="H6874" s="781" t="s">
        <v>121</v>
      </c>
    </row>
    <row r="6875" spans="1:8" ht="15" customHeight="1">
      <c r="A6875" s="199">
        <v>45777</v>
      </c>
      <c r="B6875" s="202" t="s">
        <v>5463</v>
      </c>
      <c r="C6875" s="200" t="s">
        <v>204</v>
      </c>
      <c r="D6875" s="775">
        <v>-754810</v>
      </c>
      <c r="E6875" s="201">
        <v>45748</v>
      </c>
      <c r="F6875" s="781" t="s">
        <v>256</v>
      </c>
      <c r="G6875" s="781" t="s">
        <v>107</v>
      </c>
      <c r="H6875" s="781" t="s">
        <v>121</v>
      </c>
    </row>
    <row r="6876" spans="1:8" ht="15" customHeight="1">
      <c r="A6876" s="199">
        <v>45777</v>
      </c>
      <c r="B6876" s="202" t="s">
        <v>5464</v>
      </c>
      <c r="C6876" s="200" t="s">
        <v>204</v>
      </c>
      <c r="D6876" s="775">
        <v>-2824000</v>
      </c>
      <c r="E6876" s="201">
        <v>45748</v>
      </c>
      <c r="F6876" s="781" t="s">
        <v>256</v>
      </c>
      <c r="G6876" s="781" t="s">
        <v>107</v>
      </c>
      <c r="H6876" s="781" t="s">
        <v>121</v>
      </c>
    </row>
    <row r="6877" spans="1:8" ht="15" customHeight="1">
      <c r="A6877" s="199">
        <v>45777</v>
      </c>
      <c r="B6877" s="202" t="s">
        <v>5465</v>
      </c>
      <c r="C6877" s="200" t="s">
        <v>204</v>
      </c>
      <c r="D6877" s="775">
        <v>-325000</v>
      </c>
      <c r="E6877" s="201">
        <v>45748</v>
      </c>
      <c r="F6877" s="781" t="s">
        <v>296</v>
      </c>
      <c r="G6877" s="781" t="s">
        <v>5466</v>
      </c>
      <c r="H6877" s="781" t="s">
        <v>342</v>
      </c>
    </row>
    <row r="6878" spans="1:8" ht="15" customHeight="1">
      <c r="A6878" s="199">
        <v>45777</v>
      </c>
      <c r="B6878" s="202" t="s">
        <v>5467</v>
      </c>
      <c r="C6878" s="200" t="s">
        <v>204</v>
      </c>
      <c r="D6878" s="775">
        <v>-2324000</v>
      </c>
      <c r="E6878" s="201">
        <v>45748</v>
      </c>
      <c r="F6878" s="781" t="s">
        <v>256</v>
      </c>
      <c r="G6878" s="781" t="s">
        <v>107</v>
      </c>
      <c r="H6878" s="781" t="s">
        <v>121</v>
      </c>
    </row>
    <row r="6879" spans="1:8" ht="15" customHeight="1">
      <c r="A6879" s="199">
        <v>45777</v>
      </c>
      <c r="B6879" s="202" t="s">
        <v>5468</v>
      </c>
      <c r="C6879" s="200" t="s">
        <v>204</v>
      </c>
      <c r="D6879" s="775">
        <v>-2944000</v>
      </c>
      <c r="E6879" s="201">
        <v>45748</v>
      </c>
      <c r="F6879" s="781" t="s">
        <v>256</v>
      </c>
      <c r="G6879" s="781" t="s">
        <v>107</v>
      </c>
      <c r="H6879" s="781" t="s">
        <v>121</v>
      </c>
    </row>
    <row r="6880" spans="1:8" ht="15" customHeight="1">
      <c r="A6880" s="199">
        <v>45777</v>
      </c>
      <c r="B6880" s="202" t="s">
        <v>5469</v>
      </c>
      <c r="C6880" s="200" t="s">
        <v>204</v>
      </c>
      <c r="D6880" s="775">
        <v>-1334000</v>
      </c>
      <c r="E6880" s="201">
        <v>45748</v>
      </c>
      <c r="F6880" s="781" t="s">
        <v>296</v>
      </c>
      <c r="G6880" s="781" t="s">
        <v>44</v>
      </c>
      <c r="H6880" s="781" t="s">
        <v>421</v>
      </c>
    </row>
    <row r="6881" spans="1:8" ht="15" customHeight="1">
      <c r="A6881" s="199">
        <v>45777</v>
      </c>
      <c r="B6881" s="202" t="s">
        <v>5470</v>
      </c>
      <c r="C6881" s="200" t="s">
        <v>204</v>
      </c>
      <c r="D6881" s="775">
        <v>-1066000</v>
      </c>
      <c r="E6881" s="201">
        <v>45748</v>
      </c>
      <c r="F6881" s="781" t="s">
        <v>296</v>
      </c>
      <c r="G6881" s="781" t="s">
        <v>1825</v>
      </c>
      <c r="H6881" s="781" t="s">
        <v>429</v>
      </c>
    </row>
    <row r="6882" spans="1:8" ht="15" customHeight="1">
      <c r="A6882" s="199">
        <v>45777</v>
      </c>
      <c r="B6882" s="202" t="s">
        <v>5471</v>
      </c>
      <c r="C6882" s="200" t="s">
        <v>204</v>
      </c>
      <c r="D6882" s="775">
        <v>-882000</v>
      </c>
      <c r="E6882" s="201">
        <v>45748</v>
      </c>
      <c r="F6882" s="781" t="s">
        <v>296</v>
      </c>
      <c r="G6882" s="781" t="s">
        <v>1825</v>
      </c>
      <c r="H6882" s="781" t="s">
        <v>429</v>
      </c>
    </row>
    <row r="6883" spans="1:8" ht="15" customHeight="1">
      <c r="A6883" s="199">
        <v>45777</v>
      </c>
      <c r="B6883" s="202" t="s">
        <v>5472</v>
      </c>
      <c r="C6883" s="200" t="s">
        <v>204</v>
      </c>
      <c r="D6883" s="775">
        <v>-754810</v>
      </c>
      <c r="E6883" s="201">
        <v>45748</v>
      </c>
      <c r="F6883" s="781" t="s">
        <v>296</v>
      </c>
      <c r="G6883" s="781" t="s">
        <v>44</v>
      </c>
      <c r="H6883" s="781" t="s">
        <v>421</v>
      </c>
    </row>
    <row r="6884" spans="1:8" ht="15" customHeight="1">
      <c r="A6884" s="199">
        <v>45777</v>
      </c>
      <c r="B6884" s="202" t="s">
        <v>5473</v>
      </c>
      <c r="C6884" s="200" t="s">
        <v>204</v>
      </c>
      <c r="D6884" s="775">
        <v>-754810</v>
      </c>
      <c r="E6884" s="201">
        <v>45748</v>
      </c>
      <c r="F6884" s="781" t="s">
        <v>296</v>
      </c>
      <c r="G6884" s="781" t="s">
        <v>44</v>
      </c>
      <c r="H6884" s="781" t="s">
        <v>421</v>
      </c>
    </row>
    <row r="6885" spans="1:8" ht="15" customHeight="1">
      <c r="A6885" s="199">
        <v>45777</v>
      </c>
      <c r="B6885" s="202" t="s">
        <v>5474</v>
      </c>
      <c r="C6885" s="200" t="s">
        <v>204</v>
      </c>
      <c r="D6885" s="775">
        <v>-754810</v>
      </c>
      <c r="E6885" s="201">
        <v>45748</v>
      </c>
      <c r="F6885" s="781" t="s">
        <v>296</v>
      </c>
      <c r="G6885" s="781" t="s">
        <v>44</v>
      </c>
      <c r="H6885" s="781" t="s">
        <v>421</v>
      </c>
    </row>
    <row r="6886" spans="1:8" ht="15" customHeight="1">
      <c r="A6886" s="199">
        <v>45777</v>
      </c>
      <c r="B6886" s="202" t="s">
        <v>5475</v>
      </c>
      <c r="C6886" s="200" t="s">
        <v>204</v>
      </c>
      <c r="D6886" s="775">
        <v>-754810</v>
      </c>
      <c r="E6886" s="201">
        <v>45748</v>
      </c>
      <c r="F6886" s="781" t="s">
        <v>296</v>
      </c>
      <c r="G6886" s="781" t="s">
        <v>44</v>
      </c>
      <c r="H6886" s="781" t="s">
        <v>421</v>
      </c>
    </row>
    <row r="6887" spans="1:8" ht="15" customHeight="1">
      <c r="A6887" s="199">
        <v>45777</v>
      </c>
      <c r="B6887" s="202" t="s">
        <v>5476</v>
      </c>
      <c r="C6887" s="200" t="s">
        <v>204</v>
      </c>
      <c r="D6887" s="775">
        <v>-754810</v>
      </c>
      <c r="E6887" s="201">
        <v>45748</v>
      </c>
      <c r="F6887" s="781" t="s">
        <v>296</v>
      </c>
      <c r="G6887" s="781" t="s">
        <v>44</v>
      </c>
      <c r="H6887" s="781" t="s">
        <v>421</v>
      </c>
    </row>
    <row r="6888" spans="1:8" ht="15" customHeight="1">
      <c r="A6888" s="199">
        <v>45777</v>
      </c>
      <c r="B6888" s="202" t="s">
        <v>5477</v>
      </c>
      <c r="C6888" s="200" t="s">
        <v>204</v>
      </c>
      <c r="D6888" s="775">
        <v>-3036000</v>
      </c>
      <c r="E6888" s="201">
        <v>45748</v>
      </c>
      <c r="F6888" s="781" t="s">
        <v>296</v>
      </c>
      <c r="G6888" s="781" t="s">
        <v>1825</v>
      </c>
      <c r="H6888" s="781" t="s">
        <v>338</v>
      </c>
    </row>
    <row r="6889" spans="1:8" ht="15" customHeight="1">
      <c r="A6889" s="199">
        <v>45777</v>
      </c>
      <c r="B6889" s="202" t="s">
        <v>5478</v>
      </c>
      <c r="C6889" s="200" t="s">
        <v>204</v>
      </c>
      <c r="D6889" s="775">
        <v>-754810</v>
      </c>
      <c r="E6889" s="201">
        <v>45748</v>
      </c>
      <c r="F6889" s="781" t="s">
        <v>296</v>
      </c>
      <c r="G6889" s="781" t="s">
        <v>1825</v>
      </c>
      <c r="H6889" s="781" t="s">
        <v>429</v>
      </c>
    </row>
    <row r="6890" spans="1:8" ht="15" customHeight="1">
      <c r="A6890" s="199">
        <v>45777</v>
      </c>
      <c r="B6890" s="202" t="s">
        <v>5479</v>
      </c>
      <c r="C6890" s="200" t="s">
        <v>204</v>
      </c>
      <c r="D6890" s="775">
        <v>-1250000</v>
      </c>
      <c r="E6890" s="201">
        <v>45748</v>
      </c>
      <c r="F6890" s="781" t="s">
        <v>296</v>
      </c>
      <c r="G6890" s="781" t="s">
        <v>1825</v>
      </c>
      <c r="H6890" s="200" t="s">
        <v>338</v>
      </c>
    </row>
    <row r="6891" spans="1:8" ht="15" customHeight="1">
      <c r="A6891" s="199">
        <v>45777</v>
      </c>
      <c r="B6891" s="202" t="s">
        <v>5480</v>
      </c>
      <c r="C6891" s="200" t="s">
        <v>204</v>
      </c>
      <c r="D6891" s="775">
        <v>-754810</v>
      </c>
      <c r="E6891" s="201">
        <v>45748</v>
      </c>
      <c r="F6891" s="781" t="s">
        <v>296</v>
      </c>
      <c r="G6891" s="781" t="s">
        <v>1825</v>
      </c>
      <c r="H6891" s="781" t="s">
        <v>429</v>
      </c>
    </row>
    <row r="6892" spans="1:8" ht="15" customHeight="1">
      <c r="A6892" s="199">
        <v>45777</v>
      </c>
      <c r="B6892" s="202" t="s">
        <v>5481</v>
      </c>
      <c r="C6892" s="200" t="s">
        <v>204</v>
      </c>
      <c r="D6892" s="775">
        <v>-754810</v>
      </c>
      <c r="E6892" s="201">
        <v>45748</v>
      </c>
      <c r="F6892" s="781" t="s">
        <v>296</v>
      </c>
      <c r="G6892" s="781" t="s">
        <v>1825</v>
      </c>
      <c r="H6892" s="781" t="s">
        <v>429</v>
      </c>
    </row>
    <row r="6893" spans="1:8" ht="15" customHeight="1">
      <c r="A6893" s="199">
        <v>45777</v>
      </c>
      <c r="B6893" s="202" t="s">
        <v>5482</v>
      </c>
      <c r="C6893" s="200" t="s">
        <v>204</v>
      </c>
      <c r="D6893" s="775">
        <v>-754810</v>
      </c>
      <c r="E6893" s="201">
        <v>45748</v>
      </c>
      <c r="F6893" s="781" t="s">
        <v>296</v>
      </c>
      <c r="G6893" s="781" t="s">
        <v>1825</v>
      </c>
      <c r="H6893" s="781" t="s">
        <v>429</v>
      </c>
    </row>
    <row r="6894" spans="1:8" ht="15" customHeight="1">
      <c r="A6894" s="199">
        <v>45777</v>
      </c>
      <c r="B6894" s="202" t="s">
        <v>5483</v>
      </c>
      <c r="C6894" s="200" t="s">
        <v>204</v>
      </c>
      <c r="D6894" s="775">
        <v>-754810</v>
      </c>
      <c r="E6894" s="201">
        <v>45748</v>
      </c>
      <c r="F6894" s="781" t="s">
        <v>296</v>
      </c>
      <c r="G6894" s="781" t="s">
        <v>1825</v>
      </c>
      <c r="H6894" s="781" t="s">
        <v>429</v>
      </c>
    </row>
    <row r="6895" spans="1:8" ht="15" customHeight="1">
      <c r="A6895" s="199">
        <v>45777</v>
      </c>
      <c r="B6895" s="202" t="s">
        <v>5484</v>
      </c>
      <c r="C6895" s="200" t="s">
        <v>204</v>
      </c>
      <c r="D6895" s="775">
        <v>-754810</v>
      </c>
      <c r="E6895" s="201">
        <v>45748</v>
      </c>
      <c r="F6895" s="781" t="s">
        <v>296</v>
      </c>
      <c r="G6895" s="781" t="s">
        <v>1825</v>
      </c>
      <c r="H6895" s="781" t="s">
        <v>429</v>
      </c>
    </row>
    <row r="6896" spans="1:8" ht="15" customHeight="1">
      <c r="A6896" s="199">
        <v>45777</v>
      </c>
      <c r="B6896" s="202" t="s">
        <v>5485</v>
      </c>
      <c r="C6896" s="200" t="s">
        <v>204</v>
      </c>
      <c r="D6896" s="775">
        <v>-754810</v>
      </c>
      <c r="E6896" s="201">
        <v>45748</v>
      </c>
      <c r="F6896" s="781" t="s">
        <v>296</v>
      </c>
      <c r="G6896" s="781" t="s">
        <v>1825</v>
      </c>
      <c r="H6896" s="781" t="s">
        <v>429</v>
      </c>
    </row>
    <row r="6897" spans="1:8" ht="15" customHeight="1">
      <c r="A6897" s="199">
        <v>45777</v>
      </c>
      <c r="B6897" s="202" t="s">
        <v>5486</v>
      </c>
      <c r="C6897" s="200" t="s">
        <v>204</v>
      </c>
      <c r="D6897" s="775">
        <v>-754810</v>
      </c>
      <c r="E6897" s="201">
        <v>45748</v>
      </c>
      <c r="F6897" s="781" t="s">
        <v>296</v>
      </c>
      <c r="G6897" s="781" t="s">
        <v>1825</v>
      </c>
      <c r="H6897" s="781" t="s">
        <v>429</v>
      </c>
    </row>
    <row r="6898" spans="1:8" ht="15" customHeight="1">
      <c r="A6898" s="199">
        <v>45777</v>
      </c>
      <c r="B6898" s="202" t="s">
        <v>5487</v>
      </c>
      <c r="C6898" s="200" t="s">
        <v>204</v>
      </c>
      <c r="D6898" s="775">
        <v>-754810</v>
      </c>
      <c r="E6898" s="201">
        <v>45748</v>
      </c>
      <c r="F6898" s="781" t="s">
        <v>296</v>
      </c>
      <c r="G6898" s="781" t="s">
        <v>1825</v>
      </c>
      <c r="H6898" s="781" t="s">
        <v>429</v>
      </c>
    </row>
    <row r="6899" spans="1:8" ht="15" customHeight="1">
      <c r="A6899" s="199">
        <v>45777</v>
      </c>
      <c r="B6899" s="202" t="s">
        <v>5488</v>
      </c>
      <c r="C6899" s="200" t="s">
        <v>204</v>
      </c>
      <c r="D6899" s="775">
        <v>-754810</v>
      </c>
      <c r="E6899" s="201">
        <v>45748</v>
      </c>
      <c r="F6899" s="781" t="s">
        <v>296</v>
      </c>
      <c r="G6899" s="781" t="s">
        <v>1825</v>
      </c>
      <c r="H6899" s="781" t="s">
        <v>429</v>
      </c>
    </row>
    <row r="6900" spans="1:8" ht="15" customHeight="1">
      <c r="A6900" s="199">
        <v>45777</v>
      </c>
      <c r="B6900" s="202" t="s">
        <v>5489</v>
      </c>
      <c r="C6900" s="200" t="s">
        <v>204</v>
      </c>
      <c r="D6900" s="775">
        <v>-754810</v>
      </c>
      <c r="E6900" s="201">
        <v>45748</v>
      </c>
      <c r="F6900" s="781" t="s">
        <v>296</v>
      </c>
      <c r="G6900" s="781" t="s">
        <v>1825</v>
      </c>
      <c r="H6900" s="781" t="s">
        <v>429</v>
      </c>
    </row>
    <row r="6901" spans="1:8" ht="15" customHeight="1">
      <c r="A6901" s="199">
        <v>45777</v>
      </c>
      <c r="B6901" s="202" t="s">
        <v>5490</v>
      </c>
      <c r="C6901" s="200" t="s">
        <v>204</v>
      </c>
      <c r="D6901" s="775">
        <v>-1066000</v>
      </c>
      <c r="E6901" s="201">
        <v>45748</v>
      </c>
      <c r="F6901" s="781" t="s">
        <v>296</v>
      </c>
      <c r="G6901" s="781" t="s">
        <v>44</v>
      </c>
      <c r="H6901" s="781" t="s">
        <v>421</v>
      </c>
    </row>
    <row r="6902" spans="1:8" ht="15" customHeight="1">
      <c r="A6902" s="199">
        <v>45777</v>
      </c>
      <c r="B6902" s="202" t="s">
        <v>5491</v>
      </c>
      <c r="C6902" s="200" t="s">
        <v>204</v>
      </c>
      <c r="D6902" s="775">
        <v>-761927.5</v>
      </c>
      <c r="E6902" s="201">
        <v>45748</v>
      </c>
      <c r="F6902" s="781" t="s">
        <v>296</v>
      </c>
      <c r="G6902" s="781" t="s">
        <v>1825</v>
      </c>
      <c r="H6902" s="781" t="s">
        <v>429</v>
      </c>
    </row>
    <row r="6903" spans="1:8" ht="15" customHeight="1">
      <c r="A6903" s="199">
        <v>45777</v>
      </c>
      <c r="B6903" s="202" t="s">
        <v>5492</v>
      </c>
      <c r="C6903" s="200" t="s">
        <v>204</v>
      </c>
      <c r="D6903" s="775">
        <v>-754810</v>
      </c>
      <c r="E6903" s="201">
        <v>45748</v>
      </c>
      <c r="F6903" s="781" t="s">
        <v>296</v>
      </c>
      <c r="G6903" s="781" t="s">
        <v>44</v>
      </c>
      <c r="H6903" s="781" t="s">
        <v>421</v>
      </c>
    </row>
    <row r="6904" spans="1:8" ht="15" customHeight="1">
      <c r="A6904" s="199">
        <v>45777</v>
      </c>
      <c r="B6904" s="202" t="s">
        <v>5493</v>
      </c>
      <c r="C6904" s="200" t="s">
        <v>204</v>
      </c>
      <c r="D6904" s="775">
        <v>-754810</v>
      </c>
      <c r="E6904" s="201">
        <v>45748</v>
      </c>
      <c r="F6904" s="781" t="s">
        <v>296</v>
      </c>
      <c r="G6904" s="781" t="s">
        <v>1825</v>
      </c>
      <c r="H6904" s="781" t="s">
        <v>429</v>
      </c>
    </row>
    <row r="6905" spans="1:8" ht="15" customHeight="1">
      <c r="A6905" s="199">
        <v>45777</v>
      </c>
      <c r="B6905" s="202" t="s">
        <v>5494</v>
      </c>
      <c r="C6905" s="200" t="s">
        <v>204</v>
      </c>
      <c r="D6905" s="775">
        <v>-754810</v>
      </c>
      <c r="E6905" s="201">
        <v>45748</v>
      </c>
      <c r="F6905" s="781" t="s">
        <v>296</v>
      </c>
      <c r="G6905" s="781" t="s">
        <v>1825</v>
      </c>
      <c r="H6905" s="781" t="s">
        <v>429</v>
      </c>
    </row>
    <row r="6906" spans="1:8" ht="15" customHeight="1">
      <c r="A6906" s="199">
        <v>45777</v>
      </c>
      <c r="B6906" s="202" t="s">
        <v>5495</v>
      </c>
      <c r="C6906" s="200" t="s">
        <v>204</v>
      </c>
      <c r="D6906" s="775">
        <v>-769045</v>
      </c>
      <c r="E6906" s="201">
        <v>45748</v>
      </c>
      <c r="F6906" s="781" t="s">
        <v>296</v>
      </c>
      <c r="G6906" s="781" t="s">
        <v>1980</v>
      </c>
      <c r="H6906" s="781" t="s">
        <v>490</v>
      </c>
    </row>
    <row r="6907" spans="1:8" ht="15" customHeight="1">
      <c r="A6907" s="199">
        <v>45777</v>
      </c>
      <c r="B6907" s="202" t="s">
        <v>5496</v>
      </c>
      <c r="C6907" s="200" t="s">
        <v>204</v>
      </c>
      <c r="D6907" s="775">
        <v>-882000</v>
      </c>
      <c r="E6907" s="201">
        <v>45748</v>
      </c>
      <c r="F6907" s="781" t="s">
        <v>296</v>
      </c>
      <c r="G6907" s="781" t="s">
        <v>1980</v>
      </c>
      <c r="H6907" s="781" t="s">
        <v>490</v>
      </c>
    </row>
    <row r="6908" spans="1:8" ht="15" customHeight="1">
      <c r="A6908" s="199">
        <v>45777</v>
      </c>
      <c r="B6908" s="202" t="s">
        <v>5497</v>
      </c>
      <c r="C6908" s="200" t="s">
        <v>204</v>
      </c>
      <c r="D6908" s="775">
        <v>-2760000</v>
      </c>
      <c r="E6908" s="201">
        <v>45748</v>
      </c>
      <c r="F6908" s="781" t="s">
        <v>296</v>
      </c>
      <c r="G6908" s="781" t="s">
        <v>1980</v>
      </c>
      <c r="H6908" s="781" t="s">
        <v>338</v>
      </c>
    </row>
    <row r="6909" spans="1:8" ht="15" customHeight="1">
      <c r="A6909" s="199">
        <v>45777</v>
      </c>
      <c r="B6909" s="202" t="s">
        <v>5498</v>
      </c>
      <c r="C6909" s="200" t="s">
        <v>204</v>
      </c>
      <c r="D6909" s="775">
        <v>-754810</v>
      </c>
      <c r="E6909" s="201">
        <v>45748</v>
      </c>
      <c r="F6909" s="781" t="s">
        <v>296</v>
      </c>
      <c r="G6909" s="781" t="s">
        <v>1980</v>
      </c>
      <c r="H6909" s="781" t="s">
        <v>490</v>
      </c>
    </row>
    <row r="6910" spans="1:8" ht="15" customHeight="1">
      <c r="A6910" s="199">
        <v>45777</v>
      </c>
      <c r="B6910" s="202" t="s">
        <v>5499</v>
      </c>
      <c r="C6910" s="200" t="s">
        <v>204</v>
      </c>
      <c r="D6910" s="775">
        <v>-694810</v>
      </c>
      <c r="E6910" s="201">
        <v>45748</v>
      </c>
      <c r="F6910" s="781" t="s">
        <v>296</v>
      </c>
      <c r="G6910" s="781" t="s">
        <v>1980</v>
      </c>
      <c r="H6910" s="781" t="s">
        <v>490</v>
      </c>
    </row>
    <row r="6911" spans="1:8" ht="15" customHeight="1">
      <c r="A6911" s="199">
        <v>45777</v>
      </c>
      <c r="B6911" s="202" t="s">
        <v>5500</v>
      </c>
      <c r="C6911" s="200" t="s">
        <v>204</v>
      </c>
      <c r="D6911" s="775">
        <v>-754810</v>
      </c>
      <c r="E6911" s="201">
        <v>45748</v>
      </c>
      <c r="F6911" s="781" t="s">
        <v>296</v>
      </c>
      <c r="G6911" s="781" t="s">
        <v>1980</v>
      </c>
      <c r="H6911" s="781" t="s">
        <v>490</v>
      </c>
    </row>
    <row r="6912" spans="1:8" ht="15" customHeight="1">
      <c r="A6912" s="199">
        <v>45777</v>
      </c>
      <c r="B6912" s="202" t="s">
        <v>5501</v>
      </c>
      <c r="C6912" s="200" t="s">
        <v>204</v>
      </c>
      <c r="D6912" s="775">
        <v>-754810</v>
      </c>
      <c r="E6912" s="201">
        <v>45748</v>
      </c>
      <c r="F6912" s="781" t="s">
        <v>296</v>
      </c>
      <c r="G6912" s="781" t="s">
        <v>1980</v>
      </c>
      <c r="H6912" s="781" t="s">
        <v>490</v>
      </c>
    </row>
    <row r="6913" spans="1:9" ht="15" customHeight="1">
      <c r="A6913" s="199">
        <v>45777</v>
      </c>
      <c r="B6913" s="202" t="s">
        <v>5502</v>
      </c>
      <c r="C6913" s="200" t="s">
        <v>204</v>
      </c>
      <c r="D6913" s="775">
        <v>-754810</v>
      </c>
      <c r="E6913" s="201">
        <v>45748</v>
      </c>
      <c r="F6913" s="781" t="s">
        <v>296</v>
      </c>
      <c r="G6913" s="781" t="s">
        <v>1980</v>
      </c>
      <c r="H6913" s="781" t="s">
        <v>490</v>
      </c>
    </row>
    <row r="6914" spans="1:9" ht="15" customHeight="1">
      <c r="A6914" s="199">
        <v>45777</v>
      </c>
      <c r="B6914" s="202" t="s">
        <v>5503</v>
      </c>
      <c r="C6914" s="200" t="s">
        <v>204</v>
      </c>
      <c r="D6914" s="775">
        <v>-754810</v>
      </c>
      <c r="E6914" s="201">
        <v>45748</v>
      </c>
      <c r="F6914" s="781" t="s">
        <v>296</v>
      </c>
      <c r="G6914" s="781" t="s">
        <v>1980</v>
      </c>
      <c r="H6914" s="781" t="s">
        <v>490</v>
      </c>
    </row>
    <row r="6915" spans="1:9" ht="15" customHeight="1">
      <c r="A6915" s="199">
        <v>45777</v>
      </c>
      <c r="B6915" s="202" t="s">
        <v>5504</v>
      </c>
      <c r="C6915" s="200" t="s">
        <v>204</v>
      </c>
      <c r="D6915" s="775">
        <v>-754810</v>
      </c>
      <c r="E6915" s="201">
        <v>45748</v>
      </c>
      <c r="F6915" s="781" t="s">
        <v>296</v>
      </c>
      <c r="G6915" s="781" t="s">
        <v>1980</v>
      </c>
      <c r="H6915" s="781" t="s">
        <v>490</v>
      </c>
    </row>
    <row r="6916" spans="1:9" ht="15" customHeight="1">
      <c r="A6916" s="199">
        <v>45777</v>
      </c>
      <c r="B6916" s="202" t="s">
        <v>5505</v>
      </c>
      <c r="C6916" s="200" t="s">
        <v>204</v>
      </c>
      <c r="D6916" s="775">
        <v>-503206.66666666663</v>
      </c>
      <c r="E6916" s="201">
        <v>45748</v>
      </c>
      <c r="F6916" s="781" t="s">
        <v>296</v>
      </c>
      <c r="G6916" s="781" t="s">
        <v>1980</v>
      </c>
      <c r="H6916" s="781" t="s">
        <v>490</v>
      </c>
    </row>
    <row r="6917" spans="1:9" ht="15" customHeight="1">
      <c r="A6917" s="199">
        <v>45777</v>
      </c>
      <c r="B6917" s="202" t="s">
        <v>5506</v>
      </c>
      <c r="C6917" s="200" t="s">
        <v>204</v>
      </c>
      <c r="D6917" s="775">
        <v>-352244.66666666669</v>
      </c>
      <c r="E6917" s="201">
        <v>45748</v>
      </c>
      <c r="F6917" s="781" t="s">
        <v>296</v>
      </c>
      <c r="G6917" s="781" t="s">
        <v>1980</v>
      </c>
      <c r="H6917" s="781" t="s">
        <v>429</v>
      </c>
    </row>
    <row r="6918" spans="1:9" ht="15" customHeight="1">
      <c r="A6918" s="199">
        <v>45777</v>
      </c>
      <c r="B6918" s="202" t="s">
        <v>5507</v>
      </c>
      <c r="C6918" s="200" t="s">
        <v>204</v>
      </c>
      <c r="D6918" s="775">
        <v>-352244.66666666669</v>
      </c>
      <c r="E6918" s="201">
        <v>45748</v>
      </c>
      <c r="F6918" s="781" t="s">
        <v>296</v>
      </c>
      <c r="G6918" s="781" t="s">
        <v>1980</v>
      </c>
      <c r="H6918" s="781" t="s">
        <v>429</v>
      </c>
    </row>
    <row r="6919" spans="1:9" ht="15" customHeight="1">
      <c r="A6919" s="199">
        <v>45777</v>
      </c>
      <c r="B6919" s="202" t="s">
        <v>5508</v>
      </c>
      <c r="C6919" s="200" t="s">
        <v>204</v>
      </c>
      <c r="D6919" s="775">
        <v>-352244.66666666669</v>
      </c>
      <c r="E6919" s="201">
        <v>45748</v>
      </c>
      <c r="F6919" s="781" t="s">
        <v>296</v>
      </c>
      <c r="G6919" s="781" t="s">
        <v>1980</v>
      </c>
      <c r="H6919" s="781" t="s">
        <v>1213</v>
      </c>
    </row>
    <row r="6920" spans="1:9" ht="15" customHeight="1">
      <c r="A6920" s="199">
        <v>45777</v>
      </c>
      <c r="B6920" s="202" t="s">
        <v>5509</v>
      </c>
      <c r="C6920" s="200" t="s">
        <v>204</v>
      </c>
      <c r="D6920" s="775">
        <v>-352244.66666666669</v>
      </c>
      <c r="E6920" s="201">
        <v>45748</v>
      </c>
      <c r="F6920" s="781" t="s">
        <v>296</v>
      </c>
      <c r="G6920" s="781" t="s">
        <v>1980</v>
      </c>
      <c r="H6920" s="781" t="s">
        <v>1213</v>
      </c>
    </row>
    <row r="6921" spans="1:9" ht="15" customHeight="1">
      <c r="A6921" s="199">
        <v>45777</v>
      </c>
      <c r="B6921" s="202" t="s">
        <v>5510</v>
      </c>
      <c r="C6921" s="200" t="s">
        <v>204</v>
      </c>
      <c r="D6921" s="775">
        <v>-352244.66666666669</v>
      </c>
      <c r="E6921" s="201">
        <v>45748</v>
      </c>
      <c r="F6921" s="781" t="s">
        <v>296</v>
      </c>
      <c r="G6921" s="781" t="s">
        <v>1980</v>
      </c>
      <c r="H6921" s="781" t="s">
        <v>1213</v>
      </c>
    </row>
    <row r="6922" spans="1:9" ht="15" customHeight="1">
      <c r="A6922" s="199">
        <v>45777</v>
      </c>
      <c r="B6922" s="202" t="s">
        <v>5511</v>
      </c>
      <c r="C6922" s="200" t="s">
        <v>204</v>
      </c>
      <c r="D6922" s="775">
        <v>-352244.66666666669</v>
      </c>
      <c r="E6922" s="201">
        <v>45748</v>
      </c>
      <c r="F6922" s="781" t="s">
        <v>296</v>
      </c>
      <c r="G6922" s="781" t="s">
        <v>1980</v>
      </c>
      <c r="H6922" s="781" t="s">
        <v>1213</v>
      </c>
    </row>
    <row r="6923" spans="1:9" ht="15" customHeight="1">
      <c r="A6923" s="199">
        <v>45777</v>
      </c>
      <c r="B6923" s="202" t="s">
        <v>5512</v>
      </c>
      <c r="C6923" s="200" t="s">
        <v>204</v>
      </c>
      <c r="D6923" s="775">
        <v>-352244.66666666669</v>
      </c>
      <c r="E6923" s="201">
        <v>45748</v>
      </c>
      <c r="F6923" s="781" t="s">
        <v>296</v>
      </c>
      <c r="G6923" s="781" t="s">
        <v>1980</v>
      </c>
      <c r="H6923" s="781" t="s">
        <v>1213</v>
      </c>
    </row>
    <row r="6924" spans="1:9" ht="15" customHeight="1">
      <c r="A6924" s="199">
        <v>45777</v>
      </c>
      <c r="B6924" s="202" t="s">
        <v>5513</v>
      </c>
      <c r="C6924" s="200" t="s">
        <v>204</v>
      </c>
      <c r="D6924" s="775">
        <v>-352244.66666666669</v>
      </c>
      <c r="E6924" s="201">
        <v>45748</v>
      </c>
      <c r="F6924" s="781" t="s">
        <v>296</v>
      </c>
      <c r="G6924" s="781" t="s">
        <v>1980</v>
      </c>
      <c r="H6924" s="781" t="s">
        <v>1213</v>
      </c>
    </row>
    <row r="6925" spans="1:9" ht="15" customHeight="1">
      <c r="A6925" s="199">
        <v>45777</v>
      </c>
      <c r="B6925" s="202" t="s">
        <v>5514</v>
      </c>
      <c r="C6925" s="200" t="s">
        <v>204</v>
      </c>
      <c r="D6925" s="775">
        <v>-352244.66666666669</v>
      </c>
      <c r="E6925" s="201">
        <v>45748</v>
      </c>
      <c r="F6925" s="781" t="s">
        <v>296</v>
      </c>
      <c r="G6925" s="781" t="s">
        <v>1980</v>
      </c>
      <c r="H6925" s="781" t="s">
        <v>429</v>
      </c>
    </row>
    <row r="6926" spans="1:9" ht="15" customHeight="1">
      <c r="A6926" s="199">
        <v>45777</v>
      </c>
      <c r="B6926" s="202" t="s">
        <v>5515</v>
      </c>
      <c r="C6926" s="200" t="s">
        <v>204</v>
      </c>
      <c r="D6926" s="775">
        <v>-150962</v>
      </c>
      <c r="E6926" s="201">
        <v>45748</v>
      </c>
      <c r="F6926" s="781" t="s">
        <v>296</v>
      </c>
      <c r="G6926" s="781" t="s">
        <v>1980</v>
      </c>
      <c r="H6926" s="781" t="s">
        <v>429</v>
      </c>
    </row>
    <row r="6927" spans="1:9" ht="15" customHeight="1">
      <c r="A6927" s="199">
        <v>45777</v>
      </c>
      <c r="B6927" s="202" t="s">
        <v>5516</v>
      </c>
      <c r="C6927" s="200" t="s">
        <v>204</v>
      </c>
      <c r="D6927" s="775">
        <v>-150962</v>
      </c>
      <c r="E6927" s="201">
        <v>45748</v>
      </c>
      <c r="F6927" s="781" t="s">
        <v>296</v>
      </c>
      <c r="G6927" s="781" t="s">
        <v>1980</v>
      </c>
      <c r="H6927" s="781" t="s">
        <v>429</v>
      </c>
      <c r="I6927" s="200">
        <v>-1</v>
      </c>
    </row>
    <row r="6928" spans="1:9" ht="15" customHeight="1">
      <c r="A6928" s="199">
        <v>45777</v>
      </c>
      <c r="B6928" s="202" t="s">
        <v>5517</v>
      </c>
      <c r="C6928" s="200" t="s">
        <v>204</v>
      </c>
      <c r="D6928" s="775">
        <v>-172800.00000000003</v>
      </c>
      <c r="E6928" s="201">
        <v>45748</v>
      </c>
      <c r="F6928" s="781" t="s">
        <v>296</v>
      </c>
      <c r="G6928" s="781" t="s">
        <v>57</v>
      </c>
      <c r="H6928" s="781" t="s">
        <v>121</v>
      </c>
    </row>
    <row r="6929" spans="1:8" ht="15" customHeight="1">
      <c r="A6929" s="199">
        <v>45777</v>
      </c>
      <c r="B6929" s="202" t="s">
        <v>5518</v>
      </c>
      <c r="C6929" s="200" t="s">
        <v>204</v>
      </c>
      <c r="D6929" s="775">
        <v>-797515</v>
      </c>
      <c r="E6929" s="201">
        <v>45748</v>
      </c>
      <c r="F6929" s="781" t="s">
        <v>296</v>
      </c>
      <c r="G6929" s="781" t="s">
        <v>522</v>
      </c>
      <c r="H6929" s="781" t="s">
        <v>429</v>
      </c>
    </row>
    <row r="6930" spans="1:8" ht="15" customHeight="1">
      <c r="A6930" s="199">
        <v>45777</v>
      </c>
      <c r="B6930" s="202" t="s">
        <v>5519</v>
      </c>
      <c r="C6930" s="200" t="s">
        <v>204</v>
      </c>
      <c r="D6930" s="775">
        <v>-1250000</v>
      </c>
      <c r="E6930" s="201">
        <v>45748</v>
      </c>
      <c r="F6930" s="781" t="s">
        <v>296</v>
      </c>
      <c r="G6930" s="781" t="s">
        <v>522</v>
      </c>
      <c r="H6930" s="781" t="s">
        <v>429</v>
      </c>
    </row>
    <row r="6931" spans="1:8" ht="15" customHeight="1">
      <c r="A6931" s="199">
        <v>45777</v>
      </c>
      <c r="B6931" s="202" t="s">
        <v>5520</v>
      </c>
      <c r="C6931" s="200" t="s">
        <v>204</v>
      </c>
      <c r="D6931" s="775">
        <v>-790397.5</v>
      </c>
      <c r="E6931" s="201">
        <v>45748</v>
      </c>
      <c r="F6931" s="781" t="s">
        <v>296</v>
      </c>
      <c r="G6931" s="781" t="s">
        <v>522</v>
      </c>
      <c r="H6931" s="781" t="s">
        <v>429</v>
      </c>
    </row>
    <row r="6932" spans="1:8" ht="15" customHeight="1">
      <c r="A6932" s="199">
        <v>45777</v>
      </c>
      <c r="B6932" s="202" t="s">
        <v>5521</v>
      </c>
      <c r="C6932" s="200" t="s">
        <v>204</v>
      </c>
      <c r="D6932" s="775">
        <v>-416800.33333333331</v>
      </c>
      <c r="E6932" s="201">
        <v>45748</v>
      </c>
      <c r="F6932" s="781" t="s">
        <v>296</v>
      </c>
      <c r="G6932" s="781" t="s">
        <v>522</v>
      </c>
      <c r="H6932" s="781" t="s">
        <v>429</v>
      </c>
    </row>
    <row r="6933" spans="1:8" ht="15" customHeight="1">
      <c r="A6933" s="199">
        <v>45777</v>
      </c>
      <c r="B6933" s="202" t="s">
        <v>5522</v>
      </c>
      <c r="C6933" s="200" t="s">
        <v>204</v>
      </c>
      <c r="D6933" s="775">
        <v>-790397.5</v>
      </c>
      <c r="E6933" s="201">
        <v>45748</v>
      </c>
      <c r="F6933" s="781" t="s">
        <v>296</v>
      </c>
      <c r="G6933" s="781" t="s">
        <v>522</v>
      </c>
      <c r="H6933" s="781" t="s">
        <v>429</v>
      </c>
    </row>
    <row r="6934" spans="1:8" ht="15" customHeight="1">
      <c r="A6934" s="199">
        <v>45777</v>
      </c>
      <c r="B6934" s="202" t="s">
        <v>5523</v>
      </c>
      <c r="C6934" s="200" t="s">
        <v>204</v>
      </c>
      <c r="D6934" s="775">
        <v>-934674</v>
      </c>
      <c r="E6934" s="201">
        <v>45748</v>
      </c>
      <c r="F6934" s="781" t="s">
        <v>296</v>
      </c>
      <c r="G6934" s="781" t="s">
        <v>522</v>
      </c>
      <c r="H6934" s="781" t="s">
        <v>429</v>
      </c>
    </row>
    <row r="6935" spans="1:8" ht="15" customHeight="1">
      <c r="A6935" s="199">
        <v>45777</v>
      </c>
      <c r="B6935" s="202" t="s">
        <v>5524</v>
      </c>
      <c r="C6935" s="200" t="s">
        <v>204</v>
      </c>
      <c r="D6935" s="775">
        <v>-754810</v>
      </c>
      <c r="E6935" s="201">
        <v>45748</v>
      </c>
      <c r="F6935" s="781" t="s">
        <v>296</v>
      </c>
      <c r="G6935" s="781" t="s">
        <v>522</v>
      </c>
      <c r="H6935" s="781" t="s">
        <v>429</v>
      </c>
    </row>
    <row r="6936" spans="1:8" ht="15" customHeight="1">
      <c r="A6936" s="199">
        <v>45777</v>
      </c>
      <c r="B6936" s="202" t="s">
        <v>5525</v>
      </c>
      <c r="C6936" s="200" t="s">
        <v>204</v>
      </c>
      <c r="D6936" s="775">
        <v>-790397.5</v>
      </c>
      <c r="E6936" s="201">
        <v>45748</v>
      </c>
      <c r="F6936" s="781" t="s">
        <v>296</v>
      </c>
      <c r="G6936" s="781" t="s">
        <v>522</v>
      </c>
      <c r="H6936" s="781" t="s">
        <v>429</v>
      </c>
    </row>
    <row r="6937" spans="1:8" ht="15" customHeight="1">
      <c r="A6937" s="199">
        <v>45777</v>
      </c>
      <c r="B6937" s="202" t="s">
        <v>5526</v>
      </c>
      <c r="C6937" s="200" t="s">
        <v>204</v>
      </c>
      <c r="D6937" s="775">
        <v>-797515</v>
      </c>
      <c r="E6937" s="201">
        <v>45748</v>
      </c>
      <c r="F6937" s="781" t="s">
        <v>296</v>
      </c>
      <c r="G6937" s="781" t="s">
        <v>522</v>
      </c>
      <c r="H6937" s="781" t="s">
        <v>429</v>
      </c>
    </row>
    <row r="6938" spans="1:8" ht="15" customHeight="1">
      <c r="A6938" s="199">
        <v>45777</v>
      </c>
      <c r="B6938" s="202" t="s">
        <v>5527</v>
      </c>
      <c r="C6938" s="200" t="s">
        <v>204</v>
      </c>
      <c r="D6938" s="775">
        <v>-797515</v>
      </c>
      <c r="E6938" s="201">
        <v>45748</v>
      </c>
      <c r="F6938" s="781" t="s">
        <v>296</v>
      </c>
      <c r="G6938" s="781" t="s">
        <v>522</v>
      </c>
      <c r="H6938" s="781" t="s">
        <v>429</v>
      </c>
    </row>
    <row r="6939" spans="1:8" ht="15" customHeight="1">
      <c r="A6939" s="199">
        <v>45777</v>
      </c>
      <c r="B6939" s="202" t="s">
        <v>5528</v>
      </c>
      <c r="C6939" s="200" t="s">
        <v>204</v>
      </c>
      <c r="D6939" s="775">
        <v>-797515</v>
      </c>
      <c r="E6939" s="201">
        <v>45748</v>
      </c>
      <c r="F6939" s="781" t="s">
        <v>296</v>
      </c>
      <c r="G6939" s="781" t="s">
        <v>522</v>
      </c>
      <c r="H6939" s="781" t="s">
        <v>429</v>
      </c>
    </row>
    <row r="6940" spans="1:8" ht="15" customHeight="1">
      <c r="A6940" s="199">
        <v>45777</v>
      </c>
      <c r="B6940" s="202" t="s">
        <v>5529</v>
      </c>
      <c r="C6940" s="200" t="s">
        <v>204</v>
      </c>
      <c r="D6940" s="775">
        <v>-797515</v>
      </c>
      <c r="E6940" s="201">
        <v>45748</v>
      </c>
      <c r="F6940" s="781" t="s">
        <v>296</v>
      </c>
      <c r="G6940" s="781" t="s">
        <v>522</v>
      </c>
      <c r="H6940" s="781" t="s">
        <v>429</v>
      </c>
    </row>
    <row r="6941" spans="1:8" ht="15" customHeight="1">
      <c r="A6941" s="199">
        <v>45777</v>
      </c>
      <c r="B6941" s="202" t="s">
        <v>5530</v>
      </c>
      <c r="C6941" s="200" t="s">
        <v>204</v>
      </c>
      <c r="D6941" s="775">
        <v>-769045</v>
      </c>
      <c r="E6941" s="201">
        <v>45748</v>
      </c>
      <c r="F6941" s="781" t="s">
        <v>296</v>
      </c>
      <c r="G6941" s="781" t="s">
        <v>522</v>
      </c>
      <c r="H6941" s="781" t="s">
        <v>429</v>
      </c>
    </row>
    <row r="6942" spans="1:8" ht="15" customHeight="1">
      <c r="A6942" s="199">
        <v>45777</v>
      </c>
      <c r="B6942" s="202" t="s">
        <v>5531</v>
      </c>
      <c r="C6942" s="200" t="s">
        <v>204</v>
      </c>
      <c r="D6942" s="775">
        <v>-797515</v>
      </c>
      <c r="E6942" s="201">
        <v>45748</v>
      </c>
      <c r="F6942" s="781" t="s">
        <v>296</v>
      </c>
      <c r="G6942" s="781" t="s">
        <v>522</v>
      </c>
      <c r="H6942" s="781" t="s">
        <v>429</v>
      </c>
    </row>
    <row r="6943" spans="1:8" ht="15" customHeight="1">
      <c r="A6943" s="199">
        <v>45777</v>
      </c>
      <c r="B6943" s="202" t="s">
        <v>5532</v>
      </c>
      <c r="C6943" s="200" t="s">
        <v>204</v>
      </c>
      <c r="D6943" s="775">
        <v>-654810</v>
      </c>
      <c r="E6943" s="201">
        <v>45748</v>
      </c>
      <c r="F6943" s="781" t="s">
        <v>296</v>
      </c>
      <c r="G6943" s="781" t="s">
        <v>522</v>
      </c>
      <c r="H6943" s="781" t="s">
        <v>429</v>
      </c>
    </row>
    <row r="6944" spans="1:8" ht="15" customHeight="1">
      <c r="A6944" s="199">
        <v>45777</v>
      </c>
      <c r="B6944" s="202" t="s">
        <v>5533</v>
      </c>
      <c r="C6944" s="200" t="s">
        <v>204</v>
      </c>
      <c r="D6944" s="775">
        <v>-790397.5</v>
      </c>
      <c r="E6944" s="201">
        <v>45748</v>
      </c>
      <c r="F6944" s="781" t="s">
        <v>296</v>
      </c>
      <c r="G6944" s="781" t="s">
        <v>522</v>
      </c>
      <c r="H6944" s="781" t="s">
        <v>429</v>
      </c>
    </row>
    <row r="6945" spans="1:8" ht="15" customHeight="1">
      <c r="A6945" s="199">
        <v>45777</v>
      </c>
      <c r="B6945" s="202" t="s">
        <v>5534</v>
      </c>
      <c r="C6945" s="200" t="s">
        <v>204</v>
      </c>
      <c r="D6945" s="775">
        <v>-797515</v>
      </c>
      <c r="E6945" s="201">
        <v>45748</v>
      </c>
      <c r="F6945" s="781" t="s">
        <v>296</v>
      </c>
      <c r="G6945" s="781" t="s">
        <v>522</v>
      </c>
      <c r="H6945" s="781" t="s">
        <v>429</v>
      </c>
    </row>
    <row r="6946" spans="1:8" ht="15" customHeight="1">
      <c r="A6946" s="199">
        <v>45777</v>
      </c>
      <c r="B6946" s="202" t="s">
        <v>5535</v>
      </c>
      <c r="C6946" s="200" t="s">
        <v>204</v>
      </c>
      <c r="D6946" s="775">
        <v>-790397.5</v>
      </c>
      <c r="E6946" s="201">
        <v>45748</v>
      </c>
      <c r="F6946" s="781" t="s">
        <v>296</v>
      </c>
      <c r="G6946" s="781" t="s">
        <v>522</v>
      </c>
      <c r="H6946" s="781" t="s">
        <v>429</v>
      </c>
    </row>
    <row r="6947" spans="1:8" ht="15" customHeight="1">
      <c r="A6947" s="199">
        <v>45777</v>
      </c>
      <c r="B6947" s="202" t="s">
        <v>5536</v>
      </c>
      <c r="C6947" s="200" t="s">
        <v>204</v>
      </c>
      <c r="D6947" s="775">
        <v>-790397.5</v>
      </c>
      <c r="E6947" s="201">
        <v>45748</v>
      </c>
      <c r="F6947" s="781" t="s">
        <v>296</v>
      </c>
      <c r="G6947" s="781" t="s">
        <v>522</v>
      </c>
      <c r="H6947" s="781" t="s">
        <v>429</v>
      </c>
    </row>
    <row r="6948" spans="1:8" ht="15" customHeight="1">
      <c r="A6948" s="199">
        <v>45777</v>
      </c>
      <c r="B6948" s="202" t="s">
        <v>5537</v>
      </c>
      <c r="C6948" s="200" t="s">
        <v>204</v>
      </c>
      <c r="D6948" s="775">
        <v>-654810</v>
      </c>
      <c r="E6948" s="201">
        <v>45748</v>
      </c>
      <c r="F6948" s="781" t="s">
        <v>296</v>
      </c>
      <c r="G6948" s="781" t="s">
        <v>522</v>
      </c>
      <c r="H6948" s="781" t="s">
        <v>429</v>
      </c>
    </row>
    <row r="6949" spans="1:8" ht="15" customHeight="1">
      <c r="A6949" s="199">
        <v>45777</v>
      </c>
      <c r="B6949" s="202" t="s">
        <v>5538</v>
      </c>
      <c r="C6949" s="200" t="s">
        <v>204</v>
      </c>
      <c r="D6949" s="775">
        <v>-790397.5</v>
      </c>
      <c r="E6949" s="201">
        <v>45748</v>
      </c>
      <c r="F6949" s="781" t="s">
        <v>296</v>
      </c>
      <c r="G6949" s="781" t="s">
        <v>522</v>
      </c>
      <c r="H6949" s="781" t="s">
        <v>429</v>
      </c>
    </row>
    <row r="6950" spans="1:8" ht="15" customHeight="1">
      <c r="A6950" s="199">
        <v>45777</v>
      </c>
      <c r="B6950" s="202" t="s">
        <v>5539</v>
      </c>
      <c r="C6950" s="200" t="s">
        <v>204</v>
      </c>
      <c r="D6950" s="775">
        <v>-754810</v>
      </c>
      <c r="E6950" s="201">
        <v>45748</v>
      </c>
      <c r="F6950" s="781" t="s">
        <v>296</v>
      </c>
      <c r="G6950" s="781" t="s">
        <v>522</v>
      </c>
      <c r="H6950" s="781" t="s">
        <v>429</v>
      </c>
    </row>
    <row r="6951" spans="1:8" ht="15" customHeight="1">
      <c r="A6951" s="199">
        <v>45777</v>
      </c>
      <c r="B6951" s="202" t="s">
        <v>5540</v>
      </c>
      <c r="C6951" s="200" t="s">
        <v>204</v>
      </c>
      <c r="D6951" s="775">
        <v>-769045</v>
      </c>
      <c r="E6951" s="201">
        <v>45748</v>
      </c>
      <c r="F6951" s="781" t="s">
        <v>296</v>
      </c>
      <c r="G6951" s="781" t="s">
        <v>522</v>
      </c>
      <c r="H6951" s="781" t="s">
        <v>429</v>
      </c>
    </row>
    <row r="6952" spans="1:8" ht="15" customHeight="1">
      <c r="A6952" s="199">
        <v>45777</v>
      </c>
      <c r="B6952" s="202" t="s">
        <v>5541</v>
      </c>
      <c r="C6952" s="200" t="s">
        <v>204</v>
      </c>
      <c r="D6952" s="775">
        <v>-783280</v>
      </c>
      <c r="E6952" s="201">
        <v>45748</v>
      </c>
      <c r="F6952" s="781" t="s">
        <v>296</v>
      </c>
      <c r="G6952" s="781" t="s">
        <v>522</v>
      </c>
      <c r="H6952" s="781" t="s">
        <v>429</v>
      </c>
    </row>
    <row r="6953" spans="1:8" ht="15" customHeight="1">
      <c r="A6953" s="199">
        <v>45777</v>
      </c>
      <c r="B6953" s="202" t="s">
        <v>5542</v>
      </c>
      <c r="C6953" s="200" t="s">
        <v>204</v>
      </c>
      <c r="D6953" s="775">
        <v>-797515</v>
      </c>
      <c r="E6953" s="201">
        <v>45748</v>
      </c>
      <c r="F6953" s="781" t="s">
        <v>296</v>
      </c>
      <c r="G6953" s="781" t="s">
        <v>522</v>
      </c>
      <c r="H6953" s="781" t="s">
        <v>429</v>
      </c>
    </row>
    <row r="6954" spans="1:8" ht="15" customHeight="1">
      <c r="A6954" s="199">
        <v>45777</v>
      </c>
      <c r="B6954" s="202" t="s">
        <v>5543</v>
      </c>
      <c r="C6954" s="200" t="s">
        <v>204</v>
      </c>
      <c r="D6954" s="775">
        <v>-2760000</v>
      </c>
      <c r="E6954" s="201">
        <v>45748</v>
      </c>
      <c r="F6954" s="781" t="s">
        <v>296</v>
      </c>
      <c r="G6954" s="781" t="s">
        <v>522</v>
      </c>
      <c r="H6954" s="781" t="s">
        <v>338</v>
      </c>
    </row>
    <row r="6955" spans="1:8" ht="15" customHeight="1">
      <c r="A6955" s="199">
        <v>45777</v>
      </c>
      <c r="B6955" s="202" t="s">
        <v>5544</v>
      </c>
      <c r="C6955" s="200" t="s">
        <v>204</v>
      </c>
      <c r="D6955" s="775">
        <v>-1247700</v>
      </c>
      <c r="E6955" s="201">
        <v>45748</v>
      </c>
      <c r="F6955" s="781" t="s">
        <v>296</v>
      </c>
      <c r="G6955" s="781" t="s">
        <v>328</v>
      </c>
      <c r="H6955" s="781" t="s">
        <v>342</v>
      </c>
    </row>
    <row r="6956" spans="1:8" ht="15" customHeight="1">
      <c r="A6956" s="199">
        <v>45777</v>
      </c>
      <c r="B6956" s="202" t="s">
        <v>5545</v>
      </c>
      <c r="C6956" s="200" t="s">
        <v>204</v>
      </c>
      <c r="D6956" s="775">
        <v>-836000</v>
      </c>
      <c r="E6956" s="201">
        <v>45748</v>
      </c>
      <c r="F6956" s="781" t="s">
        <v>296</v>
      </c>
      <c r="G6956" s="781" t="s">
        <v>328</v>
      </c>
      <c r="H6956" s="781" t="s">
        <v>342</v>
      </c>
    </row>
    <row r="6957" spans="1:8" ht="15" customHeight="1">
      <c r="A6957" s="199">
        <v>45777</v>
      </c>
      <c r="B6957" s="202" t="s">
        <v>5546</v>
      </c>
      <c r="C6957" s="200" t="s">
        <v>204</v>
      </c>
      <c r="D6957" s="775">
        <v>-731510</v>
      </c>
      <c r="E6957" s="201">
        <v>45748</v>
      </c>
      <c r="F6957" s="781" t="s">
        <v>296</v>
      </c>
      <c r="G6957" s="781" t="s">
        <v>328</v>
      </c>
      <c r="H6957" s="781" t="s">
        <v>342</v>
      </c>
    </row>
    <row r="6958" spans="1:8" ht="15" customHeight="1">
      <c r="A6958" s="199">
        <v>45777</v>
      </c>
      <c r="B6958" s="202" t="s">
        <v>5547</v>
      </c>
      <c r="C6958" s="200" t="s">
        <v>204</v>
      </c>
      <c r="D6958" s="775">
        <v>-754810</v>
      </c>
      <c r="E6958" s="201">
        <v>45748</v>
      </c>
      <c r="F6958" s="781" t="s">
        <v>296</v>
      </c>
      <c r="G6958" s="781" t="s">
        <v>328</v>
      </c>
      <c r="H6958" s="781" t="s">
        <v>342</v>
      </c>
    </row>
    <row r="6959" spans="1:8" ht="15" customHeight="1">
      <c r="A6959" s="199">
        <v>45777</v>
      </c>
      <c r="B6959" s="202" t="s">
        <v>5548</v>
      </c>
      <c r="C6959" s="200" t="s">
        <v>204</v>
      </c>
      <c r="D6959" s="775">
        <v>-719310</v>
      </c>
      <c r="E6959" s="201">
        <v>45748</v>
      </c>
      <c r="F6959" s="781" t="s">
        <v>296</v>
      </c>
      <c r="G6959" s="781" t="s">
        <v>328</v>
      </c>
      <c r="H6959" s="781" t="s">
        <v>342</v>
      </c>
    </row>
    <row r="6960" spans="1:8" ht="15" customHeight="1">
      <c r="A6960" s="199">
        <v>45777</v>
      </c>
      <c r="B6960" s="202" t="s">
        <v>5549</v>
      </c>
      <c r="C6960" s="200" t="s">
        <v>204</v>
      </c>
      <c r="D6960" s="775">
        <v>-4140000</v>
      </c>
      <c r="E6960" s="201">
        <v>45748</v>
      </c>
      <c r="F6960" s="781" t="s">
        <v>296</v>
      </c>
      <c r="G6960" s="781" t="s">
        <v>57</v>
      </c>
      <c r="H6960" s="781" t="s">
        <v>121</v>
      </c>
    </row>
    <row r="6961" spans="1:9" ht="15" customHeight="1">
      <c r="A6961" s="199">
        <v>45777</v>
      </c>
      <c r="B6961" s="202" t="s">
        <v>5550</v>
      </c>
      <c r="C6961" s="200" t="s">
        <v>204</v>
      </c>
      <c r="D6961" s="775">
        <v>-2760000</v>
      </c>
      <c r="E6961" s="201">
        <v>45748</v>
      </c>
      <c r="F6961" s="781" t="s">
        <v>296</v>
      </c>
      <c r="G6961" s="781" t="s">
        <v>57</v>
      </c>
      <c r="H6961" s="781" t="s">
        <v>121</v>
      </c>
    </row>
    <row r="6962" spans="1:9" ht="15" customHeight="1">
      <c r="A6962" s="199">
        <v>45777</v>
      </c>
      <c r="B6962" s="202" t="s">
        <v>5551</v>
      </c>
      <c r="C6962" s="200" t="s">
        <v>204</v>
      </c>
      <c r="D6962" s="775">
        <v>-3404000</v>
      </c>
      <c r="E6962" s="201">
        <v>45748</v>
      </c>
      <c r="F6962" s="781" t="s">
        <v>296</v>
      </c>
      <c r="G6962" s="781" t="s">
        <v>57</v>
      </c>
      <c r="H6962" s="781" t="s">
        <v>121</v>
      </c>
    </row>
    <row r="6963" spans="1:9" ht="15" customHeight="1">
      <c r="A6963" s="199">
        <v>45777</v>
      </c>
      <c r="B6963" s="202" t="s">
        <v>5552</v>
      </c>
      <c r="C6963" s="200" t="s">
        <v>204</v>
      </c>
      <c r="D6963" s="775">
        <v>-2944000</v>
      </c>
      <c r="E6963" s="201">
        <v>45748</v>
      </c>
      <c r="F6963" s="781" t="s">
        <v>296</v>
      </c>
      <c r="G6963" s="781" t="s">
        <v>57</v>
      </c>
      <c r="H6963" s="781" t="s">
        <v>121</v>
      </c>
    </row>
    <row r="6964" spans="1:9" ht="15" customHeight="1">
      <c r="A6964" s="199">
        <v>45777</v>
      </c>
      <c r="B6964" s="202" t="s">
        <v>5553</v>
      </c>
      <c r="C6964" s="200" t="s">
        <v>204</v>
      </c>
      <c r="D6964" s="775">
        <v>-2500000</v>
      </c>
      <c r="E6964" s="201">
        <v>45748</v>
      </c>
      <c r="F6964" s="781" t="s">
        <v>296</v>
      </c>
      <c r="G6964" s="781" t="s">
        <v>57</v>
      </c>
      <c r="H6964" s="781" t="s">
        <v>121</v>
      </c>
    </row>
    <row r="6965" spans="1:9" ht="15" customHeight="1">
      <c r="A6965" s="199">
        <v>45777</v>
      </c>
      <c r="B6965" s="202" t="s">
        <v>5554</v>
      </c>
      <c r="C6965" s="200" t="s">
        <v>204</v>
      </c>
      <c r="D6965" s="775">
        <v>-1856000</v>
      </c>
      <c r="E6965" s="201">
        <v>45748</v>
      </c>
      <c r="F6965" s="781" t="s">
        <v>296</v>
      </c>
      <c r="G6965" s="781" t="s">
        <v>57</v>
      </c>
      <c r="H6965" s="781" t="s">
        <v>121</v>
      </c>
    </row>
    <row r="6966" spans="1:9" ht="15" customHeight="1">
      <c r="A6966" s="199">
        <v>45777</v>
      </c>
      <c r="B6966" s="202" t="s">
        <v>5555</v>
      </c>
      <c r="C6966" s="200" t="s">
        <v>204</v>
      </c>
      <c r="D6966" s="775">
        <v>-1380000</v>
      </c>
      <c r="E6966" s="201">
        <v>45748</v>
      </c>
      <c r="F6966" s="781" t="s">
        <v>296</v>
      </c>
      <c r="G6966" s="781" t="s">
        <v>1980</v>
      </c>
      <c r="H6966" s="781" t="s">
        <v>338</v>
      </c>
    </row>
    <row r="6967" spans="1:9" ht="15" customHeight="1">
      <c r="A6967" s="199">
        <v>45777</v>
      </c>
      <c r="B6967" s="202" t="s">
        <v>5555</v>
      </c>
      <c r="C6967" s="200" t="s">
        <v>204</v>
      </c>
      <c r="D6967" s="775">
        <v>-1380000</v>
      </c>
      <c r="E6967" s="201">
        <v>45748</v>
      </c>
      <c r="F6967" s="781" t="s">
        <v>296</v>
      </c>
      <c r="G6967" s="781" t="s">
        <v>522</v>
      </c>
      <c r="H6967" s="781" t="s">
        <v>338</v>
      </c>
    </row>
    <row r="6968" spans="1:9" ht="15" customHeight="1">
      <c r="A6968" s="199">
        <v>45777</v>
      </c>
      <c r="B6968" s="202" t="s">
        <v>5555</v>
      </c>
      <c r="C6968" s="200" t="s">
        <v>204</v>
      </c>
      <c r="D6968" s="775">
        <v>-1380000</v>
      </c>
      <c r="E6968" s="201">
        <v>45748</v>
      </c>
      <c r="F6968" s="781" t="s">
        <v>296</v>
      </c>
      <c r="G6968" s="781" t="s">
        <v>44</v>
      </c>
      <c r="H6968" s="781" t="s">
        <v>338</v>
      </c>
    </row>
    <row r="6969" spans="1:9" ht="15" customHeight="1">
      <c r="A6969" s="199">
        <v>45777</v>
      </c>
      <c r="B6969" s="202" t="s">
        <v>5556</v>
      </c>
      <c r="C6969" s="200" t="s">
        <v>204</v>
      </c>
      <c r="D6969" s="775">
        <v>-377405</v>
      </c>
      <c r="E6969" s="201">
        <v>45748</v>
      </c>
      <c r="F6969" s="781" t="s">
        <v>297</v>
      </c>
      <c r="G6969" s="781" t="s">
        <v>3892</v>
      </c>
      <c r="H6969" s="781" t="s">
        <v>342</v>
      </c>
    </row>
    <row r="6970" spans="1:9" ht="15" customHeight="1">
      <c r="A6970" s="199">
        <v>45777</v>
      </c>
      <c r="B6970" s="202" t="s">
        <v>5556</v>
      </c>
      <c r="C6970" s="200" t="s">
        <v>204</v>
      </c>
      <c r="D6970" s="775">
        <v>-377405</v>
      </c>
      <c r="E6970" s="201">
        <v>45748</v>
      </c>
      <c r="F6970" s="781" t="s">
        <v>297</v>
      </c>
      <c r="G6970" s="781" t="s">
        <v>1578</v>
      </c>
      <c r="H6970" s="781" t="s">
        <v>342</v>
      </c>
    </row>
    <row r="6971" spans="1:9" ht="15" customHeight="1">
      <c r="A6971" s="199">
        <v>45777</v>
      </c>
      <c r="B6971" s="202" t="s">
        <v>5557</v>
      </c>
      <c r="C6971" s="200" t="s">
        <v>204</v>
      </c>
      <c r="D6971" s="775">
        <v>-377405</v>
      </c>
      <c r="E6971" s="201">
        <v>45748</v>
      </c>
      <c r="F6971" s="781" t="s">
        <v>297</v>
      </c>
      <c r="G6971" s="781" t="s">
        <v>3892</v>
      </c>
      <c r="H6971" s="781" t="s">
        <v>342</v>
      </c>
    </row>
    <row r="6972" spans="1:9" ht="15" customHeight="1">
      <c r="A6972" s="199">
        <v>45777</v>
      </c>
      <c r="B6972" s="202" t="s">
        <v>5557</v>
      </c>
      <c r="C6972" s="200" t="s">
        <v>204</v>
      </c>
      <c r="D6972" s="775">
        <v>-377405</v>
      </c>
      <c r="E6972" s="201">
        <v>45748</v>
      </c>
      <c r="F6972" s="781" t="s">
        <v>297</v>
      </c>
      <c r="G6972" s="781" t="s">
        <v>1578</v>
      </c>
      <c r="H6972" s="781" t="s">
        <v>342</v>
      </c>
      <c r="I6972" s="648" t="s">
        <v>329</v>
      </c>
    </row>
    <row r="6973" spans="1:9" ht="15" customHeight="1">
      <c r="A6973" s="199">
        <v>45777</v>
      </c>
      <c r="B6973" s="202" t="s">
        <v>5558</v>
      </c>
      <c r="C6973" s="200" t="s">
        <v>204</v>
      </c>
      <c r="D6973" s="775">
        <v>-718910</v>
      </c>
      <c r="E6973" s="201">
        <v>45748</v>
      </c>
      <c r="F6973" s="781" t="s">
        <v>296</v>
      </c>
      <c r="G6973" s="781" t="s">
        <v>1311</v>
      </c>
      <c r="H6973" s="781" t="s">
        <v>342</v>
      </c>
    </row>
    <row r="6974" spans="1:9" ht="15" customHeight="1">
      <c r="A6974" s="199">
        <v>45777</v>
      </c>
      <c r="B6974" s="202" t="s">
        <v>5559</v>
      </c>
      <c r="C6974" s="200" t="s">
        <v>204</v>
      </c>
      <c r="D6974" s="775">
        <v>-1041540</v>
      </c>
      <c r="E6974" s="201">
        <v>45748</v>
      </c>
      <c r="F6974" s="781" t="s">
        <v>296</v>
      </c>
      <c r="G6974" s="781" t="s">
        <v>1311</v>
      </c>
      <c r="H6974" s="781" t="s">
        <v>342</v>
      </c>
    </row>
    <row r="6975" spans="1:9" ht="15" customHeight="1">
      <c r="A6975" s="199">
        <v>45777</v>
      </c>
      <c r="B6975" s="202" t="s">
        <v>5560</v>
      </c>
      <c r="C6975" s="200" t="s">
        <v>204</v>
      </c>
      <c r="D6975" s="775">
        <v>-731510</v>
      </c>
      <c r="E6975" s="201">
        <v>45748</v>
      </c>
      <c r="F6975" s="781" t="s">
        <v>296</v>
      </c>
      <c r="G6975" s="781" t="s">
        <v>1311</v>
      </c>
      <c r="H6975" s="781" t="s">
        <v>342</v>
      </c>
    </row>
    <row r="6976" spans="1:9" ht="15" customHeight="1">
      <c r="A6976" s="199">
        <v>45777</v>
      </c>
      <c r="B6976" s="202" t="s">
        <v>5561</v>
      </c>
      <c r="C6976" s="200" t="s">
        <v>204</v>
      </c>
      <c r="D6976" s="775">
        <v>-754810</v>
      </c>
      <c r="E6976" s="201">
        <v>45748</v>
      </c>
      <c r="F6976" s="781" t="s">
        <v>296</v>
      </c>
      <c r="G6976" s="781" t="s">
        <v>1311</v>
      </c>
      <c r="H6976" s="781" t="s">
        <v>342</v>
      </c>
    </row>
    <row r="6977" spans="1:9" ht="15" customHeight="1">
      <c r="A6977" s="199">
        <v>45777</v>
      </c>
      <c r="B6977" s="202" t="s">
        <v>5562</v>
      </c>
      <c r="C6977" s="200" t="s">
        <v>204</v>
      </c>
      <c r="D6977" s="775">
        <v>-754810</v>
      </c>
      <c r="E6977" s="201">
        <v>45748</v>
      </c>
      <c r="F6977" s="781" t="s">
        <v>296</v>
      </c>
      <c r="G6977" s="781" t="s">
        <v>1311</v>
      </c>
      <c r="H6977" s="781" t="s">
        <v>342</v>
      </c>
    </row>
    <row r="6978" spans="1:9" ht="15" customHeight="1">
      <c r="A6978" s="199">
        <v>45777</v>
      </c>
      <c r="B6978" s="202" t="s">
        <v>5563</v>
      </c>
      <c r="C6978" s="200" t="s">
        <v>204</v>
      </c>
      <c r="D6978" s="775">
        <v>-853480</v>
      </c>
      <c r="E6978" s="201">
        <v>45748</v>
      </c>
      <c r="F6978" s="781" t="s">
        <v>296</v>
      </c>
      <c r="G6978" s="781" t="s">
        <v>1362</v>
      </c>
      <c r="H6978" s="781" t="s">
        <v>342</v>
      </c>
    </row>
    <row r="6979" spans="1:9" ht="15" customHeight="1">
      <c r="A6979" s="199">
        <v>45777</v>
      </c>
      <c r="B6979" s="202" t="s">
        <v>5564</v>
      </c>
      <c r="C6979" s="200" t="s">
        <v>204</v>
      </c>
      <c r="D6979" s="775">
        <v>-853480</v>
      </c>
      <c r="E6979" s="201">
        <v>45748</v>
      </c>
      <c r="F6979" s="781" t="s">
        <v>296</v>
      </c>
      <c r="G6979" s="781" t="s">
        <v>1362</v>
      </c>
      <c r="H6979" s="781" t="s">
        <v>342</v>
      </c>
    </row>
    <row r="6980" spans="1:9" ht="15" customHeight="1">
      <c r="A6980" s="199">
        <v>45777</v>
      </c>
      <c r="B6980" s="202" t="s">
        <v>5565</v>
      </c>
      <c r="C6980" s="200" t="s">
        <v>204</v>
      </c>
      <c r="D6980" s="775">
        <v>-1307500</v>
      </c>
      <c r="E6980" s="201">
        <v>45748</v>
      </c>
      <c r="F6980" s="781" t="s">
        <v>296</v>
      </c>
      <c r="G6980" s="781" t="s">
        <v>1362</v>
      </c>
      <c r="H6980" s="781" t="s">
        <v>342</v>
      </c>
    </row>
    <row r="6981" spans="1:9" ht="15" customHeight="1">
      <c r="A6981" s="199">
        <v>45777</v>
      </c>
      <c r="B6981" s="202" t="s">
        <v>5566</v>
      </c>
      <c r="C6981" s="200" t="s">
        <v>204</v>
      </c>
      <c r="D6981" s="775">
        <v>-992710.00000000012</v>
      </c>
      <c r="E6981" s="201">
        <v>45748</v>
      </c>
      <c r="F6981" s="781" t="s">
        <v>296</v>
      </c>
      <c r="G6981" s="781" t="s">
        <v>1362</v>
      </c>
      <c r="H6981" s="781" t="s">
        <v>342</v>
      </c>
    </row>
    <row r="6982" spans="1:9" ht="15" customHeight="1">
      <c r="A6982" s="199">
        <v>45777</v>
      </c>
      <c r="B6982" s="202" t="s">
        <v>5567</v>
      </c>
      <c r="C6982" s="200" t="s">
        <v>204</v>
      </c>
      <c r="D6982" s="775">
        <v>-718176.66666666663</v>
      </c>
      <c r="E6982" s="201">
        <v>45748</v>
      </c>
      <c r="F6982" s="781" t="s">
        <v>395</v>
      </c>
      <c r="G6982" s="531" t="s">
        <v>395</v>
      </c>
      <c r="H6982" s="781" t="s">
        <v>342</v>
      </c>
      <c r="I6982" s="673"/>
    </row>
    <row r="6983" spans="1:9" ht="15" customHeight="1">
      <c r="A6983" s="199">
        <v>45777</v>
      </c>
      <c r="B6983" s="202" t="s">
        <v>5568</v>
      </c>
      <c r="C6983" s="200" t="s">
        <v>204</v>
      </c>
      <c r="D6983" s="775">
        <v>-1247700</v>
      </c>
      <c r="E6983" s="201">
        <v>45748</v>
      </c>
      <c r="F6983" s="781" t="s">
        <v>297</v>
      </c>
      <c r="G6983" s="781" t="s">
        <v>3892</v>
      </c>
      <c r="H6983" s="781" t="s">
        <v>342</v>
      </c>
    </row>
    <row r="6984" spans="1:9" ht="15" customHeight="1">
      <c r="A6984" s="199">
        <v>45777</v>
      </c>
      <c r="B6984" s="202" t="s">
        <v>5569</v>
      </c>
      <c r="C6984" s="200" t="s">
        <v>204</v>
      </c>
      <c r="D6984" s="775">
        <v>-836000</v>
      </c>
      <c r="E6984" s="201">
        <v>45748</v>
      </c>
      <c r="F6984" s="781" t="s">
        <v>297</v>
      </c>
      <c r="G6984" s="781" t="s">
        <v>3892</v>
      </c>
      <c r="H6984" s="781" t="s">
        <v>342</v>
      </c>
    </row>
    <row r="6985" spans="1:9" ht="15" customHeight="1">
      <c r="A6985" s="199">
        <v>45777</v>
      </c>
      <c r="B6985" s="202" t="s">
        <v>5570</v>
      </c>
      <c r="C6985" s="200" t="s">
        <v>204</v>
      </c>
      <c r="D6985" s="775">
        <v>-731510</v>
      </c>
      <c r="E6985" s="201">
        <v>45748</v>
      </c>
      <c r="F6985" s="781" t="s">
        <v>297</v>
      </c>
      <c r="G6985" s="781" t="s">
        <v>3892</v>
      </c>
      <c r="H6985" s="781" t="s">
        <v>342</v>
      </c>
    </row>
    <row r="6986" spans="1:9" ht="15" customHeight="1">
      <c r="A6986" s="199">
        <v>45777</v>
      </c>
      <c r="B6986" s="202" t="s">
        <v>5571</v>
      </c>
      <c r="C6986" s="200" t="s">
        <v>204</v>
      </c>
      <c r="D6986" s="775">
        <v>-1980500</v>
      </c>
      <c r="E6986" s="201">
        <v>45748</v>
      </c>
      <c r="F6986" s="781" t="s">
        <v>296</v>
      </c>
      <c r="G6986" s="781" t="s">
        <v>522</v>
      </c>
      <c r="H6986" s="781" t="s">
        <v>338</v>
      </c>
    </row>
    <row r="6987" spans="1:9" ht="15" customHeight="1">
      <c r="A6987" s="199">
        <v>45777</v>
      </c>
      <c r="B6987" s="202" t="s">
        <v>5571</v>
      </c>
      <c r="C6987" s="200" t="s">
        <v>204</v>
      </c>
      <c r="D6987" s="775">
        <v>-1980500</v>
      </c>
      <c r="E6987" s="201">
        <v>45748</v>
      </c>
      <c r="F6987" s="781" t="s">
        <v>296</v>
      </c>
      <c r="G6987" s="781" t="s">
        <v>1362</v>
      </c>
      <c r="H6987" s="781" t="s">
        <v>567</v>
      </c>
    </row>
    <row r="6988" spans="1:9" ht="15" customHeight="1">
      <c r="A6988" s="199">
        <v>45777</v>
      </c>
      <c r="B6988" s="202" t="s">
        <v>5571</v>
      </c>
      <c r="C6988" s="200" t="s">
        <v>204</v>
      </c>
      <c r="D6988" s="775">
        <v>-1980500</v>
      </c>
      <c r="E6988" s="201">
        <v>45748</v>
      </c>
      <c r="F6988" s="781" t="s">
        <v>296</v>
      </c>
      <c r="G6988" s="781" t="s">
        <v>3360</v>
      </c>
      <c r="H6988" s="781" t="s">
        <v>567</v>
      </c>
    </row>
    <row r="6989" spans="1:9" ht="15" customHeight="1">
      <c r="A6989" s="199">
        <v>45777</v>
      </c>
      <c r="B6989" s="202" t="s">
        <v>5571</v>
      </c>
      <c r="C6989" s="200" t="s">
        <v>204</v>
      </c>
      <c r="D6989" s="775">
        <v>-1980500</v>
      </c>
      <c r="E6989" s="201">
        <v>45748</v>
      </c>
      <c r="F6989" s="781" t="s">
        <v>297</v>
      </c>
      <c r="G6989" s="781" t="s">
        <v>3892</v>
      </c>
      <c r="H6989" s="781" t="s">
        <v>567</v>
      </c>
    </row>
    <row r="6990" spans="1:9" ht="15" customHeight="1">
      <c r="A6990" s="199">
        <v>45777</v>
      </c>
      <c r="B6990" s="202" t="s">
        <v>5572</v>
      </c>
      <c r="C6990" s="200" t="s">
        <v>204</v>
      </c>
      <c r="D6990" s="775">
        <v>-96040</v>
      </c>
      <c r="E6990" s="201">
        <v>45748</v>
      </c>
      <c r="F6990" s="781" t="s">
        <v>296</v>
      </c>
      <c r="G6990" s="781" t="s">
        <v>411</v>
      </c>
      <c r="H6990" s="781" t="s">
        <v>567</v>
      </c>
    </row>
    <row r="6991" spans="1:9" ht="15" customHeight="1">
      <c r="A6991" s="199">
        <v>45777</v>
      </c>
      <c r="B6991" s="202" t="s">
        <v>5572</v>
      </c>
      <c r="C6991" s="200" t="s">
        <v>204</v>
      </c>
      <c r="D6991" s="775">
        <v>-192080</v>
      </c>
      <c r="E6991" s="201">
        <v>45748</v>
      </c>
      <c r="F6991" s="781" t="s">
        <v>296</v>
      </c>
      <c r="G6991" s="781" t="s">
        <v>341</v>
      </c>
      <c r="H6991" s="781" t="s">
        <v>567</v>
      </c>
    </row>
    <row r="6992" spans="1:9" ht="15" customHeight="1">
      <c r="A6992" s="199">
        <v>45777</v>
      </c>
      <c r="B6992" s="202" t="s">
        <v>5572</v>
      </c>
      <c r="C6992" s="200" t="s">
        <v>204</v>
      </c>
      <c r="D6992" s="775">
        <v>-192080</v>
      </c>
      <c r="E6992" s="201">
        <v>45748</v>
      </c>
      <c r="F6992" s="781" t="s">
        <v>296</v>
      </c>
      <c r="G6992" s="781" t="s">
        <v>1124</v>
      </c>
      <c r="H6992" s="781" t="s">
        <v>567</v>
      </c>
    </row>
    <row r="6993" spans="1:9" ht="15" customHeight="1">
      <c r="A6993" s="199">
        <v>45777</v>
      </c>
      <c r="B6993" s="202" t="s">
        <v>5572</v>
      </c>
      <c r="C6993" s="200" t="s">
        <v>204</v>
      </c>
      <c r="D6993" s="775">
        <v>-192080</v>
      </c>
      <c r="E6993" s="201">
        <v>45748</v>
      </c>
      <c r="F6993" s="781" t="s">
        <v>296</v>
      </c>
      <c r="G6993" s="781" t="s">
        <v>1362</v>
      </c>
      <c r="H6993" s="781" t="s">
        <v>567</v>
      </c>
    </row>
    <row r="6994" spans="1:9" ht="15" customHeight="1">
      <c r="A6994" s="199">
        <v>45777</v>
      </c>
      <c r="B6994" s="202" t="s">
        <v>5572</v>
      </c>
      <c r="C6994" s="200" t="s">
        <v>204</v>
      </c>
      <c r="D6994" s="775">
        <v>-192080</v>
      </c>
      <c r="E6994" s="201">
        <v>45748</v>
      </c>
      <c r="F6994" s="781" t="s">
        <v>296</v>
      </c>
      <c r="G6994" s="781" t="s">
        <v>1735</v>
      </c>
      <c r="H6994" s="781" t="s">
        <v>567</v>
      </c>
    </row>
    <row r="6995" spans="1:9" ht="15" customHeight="1">
      <c r="A6995" s="199">
        <v>45777</v>
      </c>
      <c r="B6995" s="202" t="s">
        <v>5572</v>
      </c>
      <c r="C6995" s="200" t="s">
        <v>204</v>
      </c>
      <c r="D6995" s="775">
        <v>-48020</v>
      </c>
      <c r="E6995" s="201">
        <v>45748</v>
      </c>
      <c r="F6995" s="781" t="s">
        <v>296</v>
      </c>
      <c r="G6995" s="781" t="s">
        <v>3360</v>
      </c>
      <c r="H6995" s="781" t="s">
        <v>567</v>
      </c>
    </row>
    <row r="6996" spans="1:9" ht="15" customHeight="1">
      <c r="A6996" s="199">
        <v>45777</v>
      </c>
      <c r="B6996" s="202" t="s">
        <v>5572</v>
      </c>
      <c r="C6996" s="200" t="s">
        <v>204</v>
      </c>
      <c r="D6996" s="775">
        <v>-48020</v>
      </c>
      <c r="E6996" s="201">
        <v>45748</v>
      </c>
      <c r="F6996" s="781" t="s">
        <v>297</v>
      </c>
      <c r="G6996" s="781" t="s">
        <v>3892</v>
      </c>
      <c r="H6996" s="781" t="s">
        <v>567</v>
      </c>
    </row>
    <row r="6997" spans="1:9" ht="15" customHeight="1">
      <c r="A6997" s="199">
        <v>45777</v>
      </c>
      <c r="B6997" s="202" t="s">
        <v>5573</v>
      </c>
      <c r="C6997" s="200" t="s">
        <v>204</v>
      </c>
      <c r="D6997" s="775">
        <v>-749500</v>
      </c>
      <c r="E6997" s="201">
        <v>45748</v>
      </c>
      <c r="F6997" s="781" t="s">
        <v>296</v>
      </c>
      <c r="G6997" s="781" t="s">
        <v>415</v>
      </c>
      <c r="H6997" s="781" t="s">
        <v>567</v>
      </c>
    </row>
    <row r="6998" spans="1:9" ht="15" customHeight="1">
      <c r="A6998" s="199">
        <v>45777</v>
      </c>
      <c r="B6998" s="202" t="s">
        <v>5573</v>
      </c>
      <c r="C6998" s="200" t="s">
        <v>204</v>
      </c>
      <c r="D6998" s="775">
        <v>-749500</v>
      </c>
      <c r="E6998" s="201">
        <v>45748</v>
      </c>
      <c r="F6998" s="781" t="s">
        <v>297</v>
      </c>
      <c r="G6998" s="781" t="s">
        <v>71</v>
      </c>
      <c r="H6998" s="781" t="s">
        <v>567</v>
      </c>
    </row>
    <row r="6999" spans="1:9" ht="15" customHeight="1">
      <c r="A6999" s="199">
        <v>45777</v>
      </c>
      <c r="B6999" s="202" t="s">
        <v>5573</v>
      </c>
      <c r="C6999" s="200" t="s">
        <v>204</v>
      </c>
      <c r="D6999" s="775">
        <v>-749500</v>
      </c>
      <c r="E6999" s="201">
        <v>45748</v>
      </c>
      <c r="F6999" s="781" t="s">
        <v>296</v>
      </c>
      <c r="G6999" s="781" t="s">
        <v>1311</v>
      </c>
      <c r="H6999" s="781" t="s">
        <v>567</v>
      </c>
    </row>
    <row r="7000" spans="1:9" ht="15" customHeight="1">
      <c r="A7000" s="199">
        <v>45777</v>
      </c>
      <c r="B7000" s="202" t="s">
        <v>5573</v>
      </c>
      <c r="C7000" s="200" t="s">
        <v>204</v>
      </c>
      <c r="D7000" s="775">
        <v>-749500</v>
      </c>
      <c r="E7000" s="201">
        <v>45748</v>
      </c>
      <c r="F7000" s="781" t="s">
        <v>297</v>
      </c>
      <c r="G7000" s="781" t="s">
        <v>5404</v>
      </c>
      <c r="H7000" s="781" t="s">
        <v>567</v>
      </c>
    </row>
    <row r="7001" spans="1:9" ht="15" customHeight="1">
      <c r="A7001" s="199">
        <v>45777</v>
      </c>
      <c r="B7001" s="202" t="s">
        <v>5574</v>
      </c>
      <c r="C7001" s="200" t="s">
        <v>204</v>
      </c>
      <c r="D7001" s="775">
        <v>-1735000</v>
      </c>
      <c r="E7001" s="201">
        <v>45748</v>
      </c>
      <c r="F7001" s="781" t="s">
        <v>296</v>
      </c>
      <c r="G7001" s="781" t="s">
        <v>328</v>
      </c>
      <c r="H7001" s="781" t="s">
        <v>567</v>
      </c>
    </row>
    <row r="7002" spans="1:9" ht="15" customHeight="1">
      <c r="A7002" s="199">
        <v>45777</v>
      </c>
      <c r="B7002" s="202" t="s">
        <v>5574</v>
      </c>
      <c r="C7002" s="200" t="s">
        <v>204</v>
      </c>
      <c r="D7002" s="775">
        <v>-1735000</v>
      </c>
      <c r="E7002" s="201">
        <v>45748</v>
      </c>
      <c r="F7002" s="781" t="s">
        <v>296</v>
      </c>
      <c r="G7002" s="781" t="s">
        <v>2418</v>
      </c>
      <c r="H7002" s="781" t="s">
        <v>567</v>
      </c>
    </row>
    <row r="7003" spans="1:9" ht="15" customHeight="1">
      <c r="A7003" s="199">
        <v>45777</v>
      </c>
      <c r="B7003" s="202" t="s">
        <v>5575</v>
      </c>
      <c r="C7003" s="200" t="s">
        <v>204</v>
      </c>
      <c r="D7003" s="775">
        <v>-439136</v>
      </c>
      <c r="E7003" s="201">
        <v>45748</v>
      </c>
      <c r="F7003" s="781" t="s">
        <v>296</v>
      </c>
      <c r="G7003" s="781" t="s">
        <v>328</v>
      </c>
      <c r="H7003" s="781" t="s">
        <v>567</v>
      </c>
    </row>
    <row r="7004" spans="1:9" ht="15" customHeight="1">
      <c r="A7004" s="199">
        <v>45777</v>
      </c>
      <c r="B7004" s="202" t="s">
        <v>5575</v>
      </c>
      <c r="C7004" s="200" t="s">
        <v>204</v>
      </c>
      <c r="D7004" s="775">
        <v>-219568</v>
      </c>
      <c r="E7004" s="201">
        <v>45748</v>
      </c>
      <c r="F7004" s="781" t="s">
        <v>296</v>
      </c>
      <c r="G7004" s="781" t="s">
        <v>2994</v>
      </c>
      <c r="H7004" s="781" t="s">
        <v>567</v>
      </c>
    </row>
    <row r="7005" spans="1:9" ht="15" customHeight="1">
      <c r="A7005" s="199">
        <v>45777</v>
      </c>
      <c r="B7005" s="202" t="s">
        <v>5575</v>
      </c>
      <c r="C7005" s="200" t="s">
        <v>204</v>
      </c>
      <c r="D7005" s="775">
        <v>-219568</v>
      </c>
      <c r="E7005" s="201">
        <v>45748</v>
      </c>
      <c r="F7005" s="781" t="s">
        <v>297</v>
      </c>
      <c r="G7005" s="781" t="s">
        <v>1313</v>
      </c>
      <c r="H7005" s="781" t="s">
        <v>567</v>
      </c>
    </row>
    <row r="7006" spans="1:9" ht="15" customHeight="1">
      <c r="A7006" s="199">
        <v>45777</v>
      </c>
      <c r="B7006" s="202" t="s">
        <v>5575</v>
      </c>
      <c r="C7006" s="200" t="s">
        <v>204</v>
      </c>
      <c r="D7006" s="775">
        <v>-219568</v>
      </c>
      <c r="E7006" s="201">
        <v>45748</v>
      </c>
      <c r="F7006" s="781" t="s">
        <v>296</v>
      </c>
      <c r="G7006" s="781" t="s">
        <v>984</v>
      </c>
      <c r="H7006" s="781" t="s">
        <v>567</v>
      </c>
      <c r="I7006" s="648" t="s">
        <v>329</v>
      </c>
    </row>
    <row r="7007" spans="1:9" ht="15" customHeight="1">
      <c r="A7007" s="199">
        <v>45777</v>
      </c>
      <c r="B7007" s="202" t="s">
        <v>5575</v>
      </c>
      <c r="C7007" s="200" t="s">
        <v>204</v>
      </c>
      <c r="D7007" s="775">
        <v>-109784</v>
      </c>
      <c r="E7007" s="201">
        <v>45748</v>
      </c>
      <c r="F7007" s="781" t="s">
        <v>296</v>
      </c>
      <c r="G7007" s="781" t="s">
        <v>411</v>
      </c>
      <c r="H7007" s="781" t="s">
        <v>567</v>
      </c>
    </row>
    <row r="7008" spans="1:9" ht="15" customHeight="1">
      <c r="A7008" s="199">
        <v>45777</v>
      </c>
      <c r="B7008" s="202" t="s">
        <v>5575</v>
      </c>
      <c r="C7008" s="200" t="s">
        <v>204</v>
      </c>
      <c r="D7008" s="775">
        <v>-109784</v>
      </c>
      <c r="E7008" s="201">
        <v>45748</v>
      </c>
      <c r="F7008" s="781" t="s">
        <v>296</v>
      </c>
      <c r="G7008" s="781" t="s">
        <v>392</v>
      </c>
      <c r="H7008" s="781" t="s">
        <v>567</v>
      </c>
    </row>
    <row r="7009" spans="1:9" ht="15" customHeight="1">
      <c r="A7009" s="199">
        <v>45777</v>
      </c>
      <c r="B7009" s="202" t="s">
        <v>5575</v>
      </c>
      <c r="C7009" s="200" t="s">
        <v>204</v>
      </c>
      <c r="D7009" s="775">
        <v>-109784</v>
      </c>
      <c r="E7009" s="201">
        <v>45748</v>
      </c>
      <c r="F7009" s="781" t="s">
        <v>296</v>
      </c>
      <c r="G7009" s="781" t="s">
        <v>392</v>
      </c>
      <c r="H7009" s="781" t="s">
        <v>567</v>
      </c>
      <c r="I7009" s="648" t="s">
        <v>329</v>
      </c>
    </row>
    <row r="7010" spans="1:9" ht="15" customHeight="1">
      <c r="A7010" s="199">
        <v>45777</v>
      </c>
      <c r="B7010" s="202" t="s">
        <v>5575</v>
      </c>
      <c r="C7010" s="200" t="s">
        <v>204</v>
      </c>
      <c r="D7010" s="775">
        <v>-329352</v>
      </c>
      <c r="E7010" s="201">
        <v>45748</v>
      </c>
      <c r="F7010" s="781" t="s">
        <v>296</v>
      </c>
      <c r="G7010" s="781" t="s">
        <v>482</v>
      </c>
      <c r="H7010" s="781" t="s">
        <v>567</v>
      </c>
    </row>
    <row r="7011" spans="1:9" ht="15" customHeight="1">
      <c r="A7011" s="199">
        <v>45777</v>
      </c>
      <c r="B7011" s="202" t="s">
        <v>5575</v>
      </c>
      <c r="C7011" s="200" t="s">
        <v>204</v>
      </c>
      <c r="D7011" s="775">
        <v>-109784</v>
      </c>
      <c r="E7011" s="201">
        <v>45748</v>
      </c>
      <c r="F7011" s="781" t="s">
        <v>296</v>
      </c>
      <c r="G7011" s="781" t="s">
        <v>875</v>
      </c>
      <c r="H7011" s="781" t="s">
        <v>567</v>
      </c>
    </row>
    <row r="7012" spans="1:9" ht="15" customHeight="1">
      <c r="A7012" s="199">
        <v>45777</v>
      </c>
      <c r="B7012" s="202" t="s">
        <v>5575</v>
      </c>
      <c r="C7012" s="200" t="s">
        <v>204</v>
      </c>
      <c r="D7012" s="775">
        <v>-109784</v>
      </c>
      <c r="E7012" s="201">
        <v>45748</v>
      </c>
      <c r="F7012" s="781" t="s">
        <v>296</v>
      </c>
      <c r="G7012" s="781" t="s">
        <v>1124</v>
      </c>
      <c r="H7012" s="781" t="s">
        <v>567</v>
      </c>
    </row>
    <row r="7013" spans="1:9" ht="15" customHeight="1">
      <c r="A7013" s="199">
        <v>45777</v>
      </c>
      <c r="B7013" s="202" t="s">
        <v>5575</v>
      </c>
      <c r="C7013" s="200" t="s">
        <v>204</v>
      </c>
      <c r="D7013" s="775">
        <v>-219568</v>
      </c>
      <c r="E7013" s="201">
        <v>45748</v>
      </c>
      <c r="F7013" s="781" t="s">
        <v>296</v>
      </c>
      <c r="G7013" s="781" t="s">
        <v>3360</v>
      </c>
      <c r="H7013" s="781" t="s">
        <v>567</v>
      </c>
    </row>
    <row r="7014" spans="1:9" ht="15" customHeight="1">
      <c r="A7014" s="199">
        <v>45777</v>
      </c>
      <c r="B7014" s="202" t="s">
        <v>5576</v>
      </c>
      <c r="C7014" s="200" t="s">
        <v>204</v>
      </c>
      <c r="D7014" s="775">
        <v>-1012000</v>
      </c>
      <c r="E7014" s="201">
        <v>45748</v>
      </c>
      <c r="F7014" s="781" t="s">
        <v>296</v>
      </c>
      <c r="G7014" s="781" t="s">
        <v>1980</v>
      </c>
      <c r="H7014" s="781" t="s">
        <v>338</v>
      </c>
    </row>
    <row r="7015" spans="1:9" ht="15" customHeight="1">
      <c r="A7015" s="199">
        <v>45777</v>
      </c>
      <c r="B7015" s="202" t="s">
        <v>5576</v>
      </c>
      <c r="C7015" s="200" t="s">
        <v>204</v>
      </c>
      <c r="D7015" s="775">
        <v>-1012000</v>
      </c>
      <c r="E7015" s="201">
        <v>45748</v>
      </c>
      <c r="F7015" s="781" t="s">
        <v>296</v>
      </c>
      <c r="G7015" s="781" t="s">
        <v>522</v>
      </c>
      <c r="H7015" s="781" t="s">
        <v>338</v>
      </c>
    </row>
    <row r="7016" spans="1:9" ht="15" customHeight="1">
      <c r="A7016" s="199">
        <v>45777</v>
      </c>
      <c r="B7016" s="202" t="s">
        <v>5576</v>
      </c>
      <c r="C7016" s="200" t="s">
        <v>204</v>
      </c>
      <c r="D7016" s="775">
        <v>-1012000</v>
      </c>
      <c r="E7016" s="201">
        <v>45748</v>
      </c>
      <c r="F7016" s="781" t="s">
        <v>296</v>
      </c>
      <c r="G7016" s="781" t="s">
        <v>44</v>
      </c>
      <c r="H7016" s="781" t="s">
        <v>338</v>
      </c>
    </row>
    <row r="7017" spans="1:9" ht="15" customHeight="1">
      <c r="A7017" s="199">
        <v>45777</v>
      </c>
      <c r="B7017" s="202" t="s">
        <v>5577</v>
      </c>
      <c r="C7017" s="200" t="s">
        <v>204</v>
      </c>
      <c r="D7017" s="775">
        <v>-1359800</v>
      </c>
      <c r="E7017" s="201">
        <v>45748</v>
      </c>
      <c r="F7017" s="781" t="s">
        <v>296</v>
      </c>
      <c r="G7017" s="781" t="s">
        <v>2418</v>
      </c>
      <c r="H7017" s="781" t="s">
        <v>567</v>
      </c>
      <c r="I7017" s="648" t="s">
        <v>329</v>
      </c>
    </row>
    <row r="7018" spans="1:9" ht="15" customHeight="1">
      <c r="A7018" s="199">
        <v>45777</v>
      </c>
      <c r="B7018" s="202" t="s">
        <v>5577</v>
      </c>
      <c r="C7018" s="200" t="s">
        <v>204</v>
      </c>
      <c r="D7018" s="775">
        <v>-543920</v>
      </c>
      <c r="E7018" s="201">
        <v>45748</v>
      </c>
      <c r="F7018" s="781" t="s">
        <v>296</v>
      </c>
      <c r="G7018" s="781" t="s">
        <v>2994</v>
      </c>
      <c r="H7018" s="781" t="s">
        <v>567</v>
      </c>
    </row>
    <row r="7019" spans="1:9" ht="15" customHeight="1">
      <c r="A7019" s="199">
        <v>45777</v>
      </c>
      <c r="B7019" s="202" t="s">
        <v>5577</v>
      </c>
      <c r="C7019" s="200" t="s">
        <v>204</v>
      </c>
      <c r="D7019" s="775">
        <v>-815880</v>
      </c>
      <c r="E7019" s="201">
        <v>45748</v>
      </c>
      <c r="F7019" s="781" t="s">
        <v>296</v>
      </c>
      <c r="G7019" s="781" t="s">
        <v>1735</v>
      </c>
      <c r="H7019" s="781" t="s">
        <v>567</v>
      </c>
    </row>
    <row r="7020" spans="1:9" ht="15" customHeight="1">
      <c r="A7020" s="199">
        <v>45777</v>
      </c>
      <c r="B7020" s="202" t="s">
        <v>5578</v>
      </c>
      <c r="C7020" s="200" t="s">
        <v>204</v>
      </c>
      <c r="D7020" s="775">
        <v>-802666.66666666663</v>
      </c>
      <c r="E7020" s="201">
        <v>45748</v>
      </c>
      <c r="F7020" s="781" t="s">
        <v>296</v>
      </c>
      <c r="G7020" s="781" t="s">
        <v>1980</v>
      </c>
      <c r="H7020" s="781" t="s">
        <v>338</v>
      </c>
    </row>
    <row r="7021" spans="1:9" ht="15" customHeight="1">
      <c r="A7021" s="199">
        <v>45777</v>
      </c>
      <c r="B7021" s="202" t="s">
        <v>5578</v>
      </c>
      <c r="C7021" s="200" t="s">
        <v>204</v>
      </c>
      <c r="D7021" s="775">
        <v>-802666.66666666663</v>
      </c>
      <c r="E7021" s="201">
        <v>45748</v>
      </c>
      <c r="F7021" s="781" t="s">
        <v>296</v>
      </c>
      <c r="G7021" s="781" t="s">
        <v>522</v>
      </c>
      <c r="H7021" s="781" t="s">
        <v>338</v>
      </c>
    </row>
    <row r="7022" spans="1:9" ht="15" customHeight="1">
      <c r="A7022" s="199">
        <v>45777</v>
      </c>
      <c r="B7022" s="202" t="s">
        <v>5578</v>
      </c>
      <c r="C7022" s="200" t="s">
        <v>204</v>
      </c>
      <c r="D7022" s="775">
        <v>-802666.66666666663</v>
      </c>
      <c r="E7022" s="201">
        <v>45748</v>
      </c>
      <c r="F7022" s="781" t="s">
        <v>296</v>
      </c>
      <c r="G7022" s="781" t="s">
        <v>44</v>
      </c>
      <c r="H7022" s="781" t="s">
        <v>338</v>
      </c>
    </row>
    <row r="7023" spans="1:9" ht="15" customHeight="1">
      <c r="A7023" s="199">
        <v>45777</v>
      </c>
      <c r="B7023" s="202" t="s">
        <v>5579</v>
      </c>
      <c r="C7023" s="200" t="s">
        <v>204</v>
      </c>
      <c r="D7023" s="775">
        <v>-151800</v>
      </c>
      <c r="E7023" s="201">
        <v>45748</v>
      </c>
      <c r="F7023" s="781" t="s">
        <v>296</v>
      </c>
      <c r="G7023" s="781" t="s">
        <v>341</v>
      </c>
      <c r="H7023" s="781" t="s">
        <v>567</v>
      </c>
      <c r="I7023" s="648" t="s">
        <v>329</v>
      </c>
    </row>
    <row r="7024" spans="1:9" ht="15" customHeight="1">
      <c r="A7024" s="199">
        <v>45777</v>
      </c>
      <c r="B7024" s="202" t="s">
        <v>5579</v>
      </c>
      <c r="C7024" s="200" t="s">
        <v>204</v>
      </c>
      <c r="D7024" s="775">
        <v>-759000</v>
      </c>
      <c r="E7024" s="201">
        <v>45748</v>
      </c>
      <c r="F7024" s="781" t="s">
        <v>296</v>
      </c>
      <c r="G7024" s="781" t="s">
        <v>1124</v>
      </c>
      <c r="H7024" s="781" t="s">
        <v>567</v>
      </c>
    </row>
    <row r="7025" spans="1:9" ht="15" customHeight="1">
      <c r="A7025" s="199">
        <v>45777</v>
      </c>
      <c r="B7025" s="202" t="s">
        <v>5579</v>
      </c>
      <c r="C7025" s="200" t="s">
        <v>204</v>
      </c>
      <c r="D7025" s="775">
        <v>-1821600</v>
      </c>
      <c r="E7025" s="201">
        <v>45748</v>
      </c>
      <c r="F7025" s="781" t="s">
        <v>296</v>
      </c>
      <c r="G7025" s="781" t="s">
        <v>3360</v>
      </c>
      <c r="H7025" s="781" t="s">
        <v>567</v>
      </c>
    </row>
    <row r="7026" spans="1:9" ht="15" customHeight="1">
      <c r="A7026" s="199">
        <v>45777</v>
      </c>
      <c r="B7026" s="202" t="s">
        <v>5579</v>
      </c>
      <c r="C7026" s="200" t="s">
        <v>204</v>
      </c>
      <c r="D7026" s="775">
        <v>-303600</v>
      </c>
      <c r="E7026" s="201">
        <v>45748</v>
      </c>
      <c r="F7026" s="781" t="s">
        <v>297</v>
      </c>
      <c r="G7026" s="781" t="s">
        <v>3892</v>
      </c>
      <c r="H7026" s="781" t="s">
        <v>567</v>
      </c>
    </row>
    <row r="7027" spans="1:9" ht="15" customHeight="1">
      <c r="A7027" s="199">
        <v>45777</v>
      </c>
      <c r="B7027" s="202" t="s">
        <v>5580</v>
      </c>
      <c r="C7027" s="200" t="s">
        <v>204</v>
      </c>
      <c r="D7027" s="775">
        <v>-75481</v>
      </c>
      <c r="E7027" s="201">
        <v>45748</v>
      </c>
      <c r="F7027" s="781" t="s">
        <v>296</v>
      </c>
      <c r="G7027" s="781" t="s">
        <v>482</v>
      </c>
      <c r="H7027" s="781" t="s">
        <v>567</v>
      </c>
      <c r="I7027" s="648" t="s">
        <v>329</v>
      </c>
    </row>
    <row r="7028" spans="1:9" ht="15" customHeight="1">
      <c r="A7028" s="199">
        <v>45777</v>
      </c>
      <c r="B7028" s="202" t="s">
        <v>5580</v>
      </c>
      <c r="C7028" s="200" t="s">
        <v>204</v>
      </c>
      <c r="D7028" s="775">
        <v>-679329</v>
      </c>
      <c r="E7028" s="201">
        <v>45748</v>
      </c>
      <c r="F7028" s="781" t="s">
        <v>256</v>
      </c>
      <c r="G7028" s="781" t="s">
        <v>107</v>
      </c>
      <c r="H7028" s="781" t="s">
        <v>121</v>
      </c>
    </row>
    <row r="7029" spans="1:9" ht="15" customHeight="1">
      <c r="A7029" s="199">
        <v>45777</v>
      </c>
      <c r="B7029" s="202" t="s">
        <v>5581</v>
      </c>
      <c r="C7029" s="200" t="s">
        <v>204</v>
      </c>
      <c r="D7029" s="775">
        <v>-293400</v>
      </c>
      <c r="E7029" s="201">
        <v>45748</v>
      </c>
      <c r="F7029" s="781" t="s">
        <v>296</v>
      </c>
      <c r="G7029" s="781" t="s">
        <v>415</v>
      </c>
      <c r="H7029" s="781" t="s">
        <v>567</v>
      </c>
    </row>
    <row r="7030" spans="1:9" ht="15" customHeight="1">
      <c r="A7030" s="199">
        <v>45777</v>
      </c>
      <c r="B7030" s="202" t="s">
        <v>5581</v>
      </c>
      <c r="C7030" s="200" t="s">
        <v>204</v>
      </c>
      <c r="D7030" s="775">
        <v>-880200</v>
      </c>
      <c r="E7030" s="201">
        <v>45748</v>
      </c>
      <c r="F7030" s="781" t="s">
        <v>297</v>
      </c>
      <c r="G7030" s="781" t="s">
        <v>71</v>
      </c>
      <c r="H7030" s="781" t="s">
        <v>567</v>
      </c>
      <c r="I7030" s="648" t="s">
        <v>329</v>
      </c>
    </row>
    <row r="7031" spans="1:9" ht="15" customHeight="1">
      <c r="A7031" s="199">
        <v>45777</v>
      </c>
      <c r="B7031" s="202" t="s">
        <v>5581</v>
      </c>
      <c r="C7031" s="200" t="s">
        <v>204</v>
      </c>
      <c r="D7031" s="775">
        <v>-1173600</v>
      </c>
      <c r="E7031" s="201">
        <v>45748</v>
      </c>
      <c r="F7031" s="781" t="s">
        <v>296</v>
      </c>
      <c r="G7031" s="781" t="s">
        <v>1311</v>
      </c>
      <c r="H7031" s="781" t="s">
        <v>567</v>
      </c>
    </row>
    <row r="7032" spans="1:9" ht="15" customHeight="1">
      <c r="A7032" s="199">
        <v>45777</v>
      </c>
      <c r="B7032" s="202" t="s">
        <v>5581</v>
      </c>
      <c r="C7032" s="200" t="s">
        <v>204</v>
      </c>
      <c r="D7032" s="775">
        <v>-586800</v>
      </c>
      <c r="E7032" s="201">
        <v>45748</v>
      </c>
      <c r="F7032" s="781" t="s">
        <v>297</v>
      </c>
      <c r="G7032" s="781" t="s">
        <v>5404</v>
      </c>
      <c r="H7032" s="781" t="s">
        <v>567</v>
      </c>
      <c r="I7032" s="648" t="s">
        <v>329</v>
      </c>
    </row>
    <row r="7033" spans="1:9" ht="15" customHeight="1">
      <c r="A7033" s="199">
        <v>45777</v>
      </c>
      <c r="B7033" s="202" t="s">
        <v>5582</v>
      </c>
      <c r="C7033" s="200" t="s">
        <v>204</v>
      </c>
      <c r="D7033" s="775">
        <v>-1104000</v>
      </c>
      <c r="E7033" s="201">
        <v>45748</v>
      </c>
      <c r="F7033" s="781" t="s">
        <v>296</v>
      </c>
      <c r="G7033" s="781" t="s">
        <v>1735</v>
      </c>
      <c r="H7033" s="781" t="s">
        <v>567</v>
      </c>
      <c r="I7033" s="648" t="s">
        <v>329</v>
      </c>
    </row>
    <row r="7034" spans="1:9" ht="15" customHeight="1">
      <c r="A7034" s="199">
        <v>45777</v>
      </c>
      <c r="B7034" s="202" t="s">
        <v>5582</v>
      </c>
      <c r="C7034" s="200" t="s">
        <v>204</v>
      </c>
      <c r="D7034" s="775">
        <v>-1656000</v>
      </c>
      <c r="E7034" s="201">
        <v>45748</v>
      </c>
      <c r="F7034" s="781" t="s">
        <v>296</v>
      </c>
      <c r="G7034" s="781" t="s">
        <v>1362</v>
      </c>
      <c r="H7034" s="781" t="s">
        <v>567</v>
      </c>
    </row>
    <row r="7035" spans="1:9" ht="15" customHeight="1">
      <c r="A7035" s="199">
        <v>45777</v>
      </c>
      <c r="B7035" s="202" t="s">
        <v>5583</v>
      </c>
      <c r="C7035" s="200" t="s">
        <v>204</v>
      </c>
      <c r="D7035" s="775">
        <v>-2760000</v>
      </c>
      <c r="E7035" s="201">
        <v>45748</v>
      </c>
      <c r="F7035" s="781" t="s">
        <v>296</v>
      </c>
      <c r="G7035" s="781" t="s">
        <v>1362</v>
      </c>
      <c r="H7035" s="781" t="s">
        <v>567</v>
      </c>
    </row>
    <row r="7036" spans="1:9" ht="15" customHeight="1">
      <c r="A7036" s="199">
        <v>45777</v>
      </c>
      <c r="B7036" s="202" t="s">
        <v>5584</v>
      </c>
      <c r="C7036" s="200" t="s">
        <v>204</v>
      </c>
      <c r="D7036" s="775">
        <v>-552000</v>
      </c>
      <c r="E7036" s="201">
        <v>45748</v>
      </c>
      <c r="F7036" s="781" t="s">
        <v>296</v>
      </c>
      <c r="G7036" s="781" t="s">
        <v>1124</v>
      </c>
      <c r="H7036" s="781" t="s">
        <v>567</v>
      </c>
      <c r="I7036" s="648" t="s">
        <v>329</v>
      </c>
    </row>
    <row r="7037" spans="1:9" ht="15" customHeight="1">
      <c r="A7037" s="199">
        <v>45777</v>
      </c>
      <c r="B7037" s="202" t="s">
        <v>5584</v>
      </c>
      <c r="C7037" s="200" t="s">
        <v>204</v>
      </c>
      <c r="D7037" s="775">
        <v>-552000</v>
      </c>
      <c r="E7037" s="201">
        <v>45748</v>
      </c>
      <c r="F7037" s="781" t="s">
        <v>296</v>
      </c>
      <c r="G7037" s="781" t="s">
        <v>3360</v>
      </c>
      <c r="H7037" s="781" t="s">
        <v>567</v>
      </c>
    </row>
    <row r="7038" spans="1:9" ht="15" customHeight="1">
      <c r="A7038" s="199">
        <v>45777</v>
      </c>
      <c r="B7038" s="202" t="s">
        <v>5584</v>
      </c>
      <c r="C7038" s="200" t="s">
        <v>204</v>
      </c>
      <c r="D7038" s="775">
        <v>-1656000</v>
      </c>
      <c r="E7038" s="201">
        <v>45748</v>
      </c>
      <c r="F7038" s="781" t="s">
        <v>297</v>
      </c>
      <c r="G7038" s="781" t="s">
        <v>3892</v>
      </c>
      <c r="H7038" s="781" t="s">
        <v>567</v>
      </c>
    </row>
    <row r="7039" spans="1:9" ht="15" customHeight="1">
      <c r="A7039" s="199">
        <v>45777</v>
      </c>
      <c r="B7039" s="202" t="s">
        <v>5585</v>
      </c>
      <c r="C7039" s="200" t="s">
        <v>204</v>
      </c>
      <c r="D7039" s="775">
        <v>-100481</v>
      </c>
      <c r="E7039" s="201">
        <v>45748</v>
      </c>
      <c r="F7039" s="781" t="s">
        <v>296</v>
      </c>
      <c r="G7039" s="781" t="s">
        <v>328</v>
      </c>
      <c r="H7039" s="781" t="s">
        <v>567</v>
      </c>
    </row>
    <row r="7040" spans="1:9" ht="15" customHeight="1">
      <c r="A7040" s="199">
        <v>45777</v>
      </c>
      <c r="B7040" s="202" t="s">
        <v>5585</v>
      </c>
      <c r="C7040" s="200" t="s">
        <v>204</v>
      </c>
      <c r="D7040" s="775">
        <v>-100481</v>
      </c>
      <c r="E7040" s="201">
        <v>45748</v>
      </c>
      <c r="F7040" s="781" t="s">
        <v>297</v>
      </c>
      <c r="G7040" s="781" t="s">
        <v>1313</v>
      </c>
      <c r="H7040" s="781" t="s">
        <v>567</v>
      </c>
    </row>
    <row r="7041" spans="1:9" ht="15" customHeight="1">
      <c r="A7041" s="199">
        <v>45777</v>
      </c>
      <c r="B7041" s="202" t="s">
        <v>5585</v>
      </c>
      <c r="C7041" s="200" t="s">
        <v>204</v>
      </c>
      <c r="D7041" s="775">
        <v>-803848</v>
      </c>
      <c r="E7041" s="201">
        <v>45748</v>
      </c>
      <c r="F7041" s="781" t="s">
        <v>256</v>
      </c>
      <c r="G7041" s="781" t="s">
        <v>107</v>
      </c>
      <c r="H7041" s="781" t="s">
        <v>121</v>
      </c>
    </row>
    <row r="7042" spans="1:9" ht="15" customHeight="1">
      <c r="A7042" s="199">
        <v>45775</v>
      </c>
      <c r="B7042" s="202" t="s">
        <v>5586</v>
      </c>
      <c r="C7042" s="200" t="s">
        <v>307</v>
      </c>
      <c r="D7042" s="204">
        <v>-7000</v>
      </c>
      <c r="E7042" s="201">
        <v>45748</v>
      </c>
      <c r="F7042" s="781" t="s">
        <v>256</v>
      </c>
      <c r="G7042" s="781" t="s">
        <v>256</v>
      </c>
      <c r="H7042" s="781" t="s">
        <v>268</v>
      </c>
      <c r="I7042" s="200" t="s">
        <v>4612</v>
      </c>
    </row>
    <row r="7043" spans="1:9" ht="15" customHeight="1">
      <c r="A7043" s="199">
        <v>45775</v>
      </c>
      <c r="B7043" s="202" t="s">
        <v>5586</v>
      </c>
      <c r="C7043" s="200" t="s">
        <v>307</v>
      </c>
      <c r="D7043" s="204">
        <v>-7000</v>
      </c>
      <c r="E7043" s="201">
        <v>45748</v>
      </c>
      <c r="F7043" s="781" t="s">
        <v>256</v>
      </c>
      <c r="G7043" s="781" t="s">
        <v>256</v>
      </c>
      <c r="H7043" s="781" t="s">
        <v>268</v>
      </c>
      <c r="I7043" s="200" t="s">
        <v>4612</v>
      </c>
    </row>
    <row r="7044" spans="1:9" ht="15" customHeight="1">
      <c r="A7044" s="199">
        <v>45775</v>
      </c>
      <c r="B7044" s="202" t="s">
        <v>5586</v>
      </c>
      <c r="C7044" s="200" t="s">
        <v>307</v>
      </c>
      <c r="D7044" s="204">
        <v>-7000</v>
      </c>
      <c r="E7044" s="201">
        <v>45748</v>
      </c>
      <c r="F7044" s="781" t="s">
        <v>256</v>
      </c>
      <c r="G7044" s="781" t="s">
        <v>256</v>
      </c>
      <c r="H7044" s="781" t="s">
        <v>268</v>
      </c>
      <c r="I7044" s="200" t="s">
        <v>4612</v>
      </c>
    </row>
    <row r="7045" spans="1:9" ht="15" customHeight="1">
      <c r="A7045" s="199">
        <v>45761</v>
      </c>
      <c r="B7045" s="202" t="s">
        <v>5587</v>
      </c>
      <c r="C7045" s="200" t="s">
        <v>307</v>
      </c>
      <c r="D7045" s="204">
        <v>-40000</v>
      </c>
      <c r="E7045" s="201">
        <v>45748</v>
      </c>
      <c r="F7045" s="781" t="s">
        <v>297</v>
      </c>
      <c r="G7045" s="781" t="s">
        <v>3892</v>
      </c>
      <c r="H7045" s="781" t="s">
        <v>342</v>
      </c>
      <c r="I7045" s="200" t="s">
        <v>5588</v>
      </c>
    </row>
    <row r="7046" spans="1:9" ht="15" customHeight="1">
      <c r="A7046" s="199">
        <v>45763</v>
      </c>
      <c r="B7046" s="202" t="s">
        <v>5589</v>
      </c>
      <c r="C7046" s="200" t="s">
        <v>307</v>
      </c>
      <c r="D7046" s="204">
        <v>-29300</v>
      </c>
      <c r="E7046" s="201">
        <v>45748</v>
      </c>
      <c r="F7046" s="781" t="s">
        <v>297</v>
      </c>
      <c r="G7046" s="781" t="s">
        <v>3892</v>
      </c>
      <c r="H7046" s="781" t="s">
        <v>342</v>
      </c>
      <c r="I7046" s="200" t="s">
        <v>5588</v>
      </c>
    </row>
    <row r="7047" spans="1:9" ht="15" customHeight="1">
      <c r="A7047" s="199">
        <v>45763</v>
      </c>
      <c r="B7047" s="202" t="s">
        <v>5590</v>
      </c>
      <c r="C7047" s="200" t="s">
        <v>307</v>
      </c>
      <c r="D7047" s="204">
        <v>-26000</v>
      </c>
      <c r="E7047" s="201">
        <v>45748</v>
      </c>
      <c r="F7047" s="781" t="s">
        <v>297</v>
      </c>
      <c r="G7047" s="781" t="s">
        <v>3892</v>
      </c>
      <c r="H7047" s="781" t="s">
        <v>342</v>
      </c>
      <c r="I7047" s="200" t="s">
        <v>5588</v>
      </c>
    </row>
    <row r="7048" spans="1:9" ht="15" customHeight="1">
      <c r="A7048" s="199">
        <v>45767</v>
      </c>
      <c r="B7048" s="202" t="s">
        <v>5591</v>
      </c>
      <c r="C7048" s="200" t="s">
        <v>307</v>
      </c>
      <c r="D7048" s="204">
        <v>-17000</v>
      </c>
      <c r="E7048" s="201">
        <v>45748</v>
      </c>
      <c r="F7048" s="781" t="s">
        <v>297</v>
      </c>
      <c r="G7048" s="781" t="s">
        <v>3892</v>
      </c>
      <c r="H7048" s="781" t="s">
        <v>268</v>
      </c>
      <c r="I7048" s="200" t="s">
        <v>5588</v>
      </c>
    </row>
    <row r="7049" spans="1:9" ht="15" customHeight="1">
      <c r="A7049" s="199">
        <v>45767</v>
      </c>
      <c r="B7049" s="202" t="s">
        <v>5592</v>
      </c>
      <c r="C7049" s="200" t="s">
        <v>307</v>
      </c>
      <c r="D7049" s="204">
        <v>-17000</v>
      </c>
      <c r="E7049" s="201">
        <v>45748</v>
      </c>
      <c r="F7049" s="781" t="s">
        <v>297</v>
      </c>
      <c r="G7049" s="781" t="s">
        <v>3892</v>
      </c>
      <c r="H7049" s="781" t="s">
        <v>268</v>
      </c>
      <c r="I7049" s="200" t="s">
        <v>5588</v>
      </c>
    </row>
    <row r="7050" spans="1:9" ht="15" customHeight="1">
      <c r="A7050" s="199">
        <v>45767</v>
      </c>
      <c r="B7050" s="202" t="s">
        <v>5593</v>
      </c>
      <c r="C7050" s="200" t="s">
        <v>307</v>
      </c>
      <c r="D7050" s="204">
        <v>-32500</v>
      </c>
      <c r="E7050" s="201">
        <v>45748</v>
      </c>
      <c r="F7050" s="781" t="s">
        <v>297</v>
      </c>
      <c r="G7050" s="781" t="s">
        <v>3892</v>
      </c>
      <c r="H7050" s="781" t="s">
        <v>342</v>
      </c>
      <c r="I7050" s="200" t="s">
        <v>5588</v>
      </c>
    </row>
    <row r="7051" spans="1:9" ht="15" customHeight="1">
      <c r="A7051" s="199">
        <v>45767</v>
      </c>
      <c r="B7051" s="202" t="s">
        <v>5594</v>
      </c>
      <c r="C7051" s="200" t="s">
        <v>307</v>
      </c>
      <c r="D7051" s="204">
        <v>-400000</v>
      </c>
      <c r="E7051" s="201">
        <v>45748</v>
      </c>
      <c r="F7051" s="781" t="s">
        <v>297</v>
      </c>
      <c r="G7051" s="781" t="s">
        <v>3892</v>
      </c>
      <c r="H7051" s="781" t="s">
        <v>268</v>
      </c>
      <c r="I7051" s="200" t="s">
        <v>5588</v>
      </c>
    </row>
    <row r="7052" spans="1:9" ht="15" customHeight="1">
      <c r="A7052" s="199">
        <v>45777</v>
      </c>
      <c r="B7052" s="202" t="s">
        <v>4394</v>
      </c>
      <c r="C7052" s="200" t="s">
        <v>307</v>
      </c>
      <c r="D7052" s="204">
        <v>-14000</v>
      </c>
      <c r="E7052" s="201">
        <v>45748</v>
      </c>
      <c r="F7052" s="781" t="s">
        <v>256</v>
      </c>
      <c r="G7052" s="781" t="s">
        <v>256</v>
      </c>
      <c r="H7052" s="781" t="s">
        <v>268</v>
      </c>
    </row>
    <row r="7053" spans="1:9" ht="15" customHeight="1">
      <c r="A7053" s="199">
        <v>45777</v>
      </c>
      <c r="B7053" s="202" t="s">
        <v>4394</v>
      </c>
      <c r="C7053" s="200" t="s">
        <v>307</v>
      </c>
      <c r="D7053" s="204">
        <v>-14000</v>
      </c>
      <c r="E7053" s="201">
        <v>45748</v>
      </c>
      <c r="F7053" s="781" t="s">
        <v>296</v>
      </c>
      <c r="G7053" s="781" t="s">
        <v>1311</v>
      </c>
      <c r="H7053" s="781" t="s">
        <v>268</v>
      </c>
    </row>
    <row r="7054" spans="1:9" ht="15" customHeight="1">
      <c r="A7054" s="199">
        <v>45777</v>
      </c>
      <c r="B7054" s="202" t="s">
        <v>4394</v>
      </c>
      <c r="C7054" s="200" t="s">
        <v>307</v>
      </c>
      <c r="D7054" s="204">
        <v>-14000</v>
      </c>
      <c r="E7054" s="201">
        <v>45748</v>
      </c>
      <c r="F7054" s="781" t="s">
        <v>296</v>
      </c>
      <c r="G7054" s="781" t="s">
        <v>328</v>
      </c>
      <c r="H7054" s="781" t="s">
        <v>268</v>
      </c>
    </row>
    <row r="7055" spans="1:9" ht="15" customHeight="1">
      <c r="A7055" s="199">
        <v>45777</v>
      </c>
      <c r="B7055" s="202" t="s">
        <v>4394</v>
      </c>
      <c r="C7055" s="200" t="s">
        <v>307</v>
      </c>
      <c r="D7055" s="204">
        <v>-35000</v>
      </c>
      <c r="E7055" s="201">
        <v>45748</v>
      </c>
      <c r="F7055" s="781" t="s">
        <v>297</v>
      </c>
      <c r="G7055" s="781" t="s">
        <v>3892</v>
      </c>
      <c r="H7055" s="781" t="s">
        <v>268</v>
      </c>
    </row>
    <row r="7056" spans="1:9" ht="15" customHeight="1">
      <c r="A7056" s="199">
        <v>45777</v>
      </c>
      <c r="B7056" s="202" t="s">
        <v>4394</v>
      </c>
      <c r="C7056" s="200" t="s">
        <v>307</v>
      </c>
      <c r="D7056" s="204">
        <v>-40632</v>
      </c>
      <c r="E7056" s="201">
        <v>45748</v>
      </c>
      <c r="F7056" s="781" t="s">
        <v>296</v>
      </c>
      <c r="G7056" s="781" t="s">
        <v>1980</v>
      </c>
      <c r="H7056" s="781" t="s">
        <v>326</v>
      </c>
    </row>
    <row r="7057" spans="1:8" ht="15" customHeight="1">
      <c r="A7057" s="199">
        <v>45777</v>
      </c>
      <c r="B7057" s="202" t="s">
        <v>4394</v>
      </c>
      <c r="C7057" s="200" t="s">
        <v>307</v>
      </c>
      <c r="D7057" s="204">
        <v>-7000</v>
      </c>
      <c r="E7057" s="201">
        <v>45748</v>
      </c>
      <c r="F7057" s="781" t="s">
        <v>296</v>
      </c>
      <c r="G7057" s="781" t="s">
        <v>2994</v>
      </c>
      <c r="H7057" s="781" t="s">
        <v>268</v>
      </c>
    </row>
    <row r="7058" spans="1:8" ht="15" customHeight="1">
      <c r="A7058" s="199">
        <v>45777</v>
      </c>
      <c r="B7058" s="202" t="s">
        <v>4394</v>
      </c>
      <c r="C7058" s="200" t="s">
        <v>307</v>
      </c>
      <c r="D7058" s="204">
        <v>-7000</v>
      </c>
      <c r="E7058" s="201">
        <v>45748</v>
      </c>
      <c r="F7058" s="781" t="s">
        <v>296</v>
      </c>
      <c r="G7058" s="781" t="s">
        <v>1825</v>
      </c>
      <c r="H7058" s="781" t="s">
        <v>442</v>
      </c>
    </row>
    <row r="7059" spans="1:8" ht="15" customHeight="1">
      <c r="A7059" s="199">
        <v>45777</v>
      </c>
      <c r="B7059" s="202" t="s">
        <v>4394</v>
      </c>
      <c r="C7059" s="200" t="s">
        <v>307</v>
      </c>
      <c r="D7059" s="204">
        <v>-14000</v>
      </c>
      <c r="E7059" s="201">
        <v>45748</v>
      </c>
      <c r="F7059" s="781" t="s">
        <v>297</v>
      </c>
      <c r="G7059" s="781" t="s">
        <v>1313</v>
      </c>
      <c r="H7059" s="781" t="s">
        <v>268</v>
      </c>
    </row>
    <row r="7060" spans="1:8" ht="15" customHeight="1">
      <c r="A7060" s="199">
        <v>45777</v>
      </c>
      <c r="B7060" s="202" t="s">
        <v>4395</v>
      </c>
      <c r="C7060" s="200" t="s">
        <v>372</v>
      </c>
      <c r="D7060" s="204">
        <v>-1480</v>
      </c>
      <c r="E7060" s="201">
        <v>45748</v>
      </c>
      <c r="F7060" s="781" t="s">
        <v>296</v>
      </c>
      <c r="G7060" s="781" t="s">
        <v>1980</v>
      </c>
      <c r="H7060" s="781" t="s">
        <v>326</v>
      </c>
    </row>
    <row r="7061" spans="1:8" ht="15" customHeight="1">
      <c r="A7061" s="199">
        <v>45777</v>
      </c>
      <c r="B7061" s="202" t="s">
        <v>5595</v>
      </c>
      <c r="C7061" s="200" t="s">
        <v>372</v>
      </c>
      <c r="D7061" s="204">
        <v>-888</v>
      </c>
      <c r="E7061" s="201">
        <v>45748</v>
      </c>
      <c r="F7061" s="781" t="s">
        <v>296</v>
      </c>
      <c r="G7061" s="781" t="s">
        <v>1980</v>
      </c>
      <c r="H7061" s="781" t="s">
        <v>326</v>
      </c>
    </row>
    <row r="7062" spans="1:8" ht="15" customHeight="1">
      <c r="A7062" s="199">
        <v>45776</v>
      </c>
      <c r="B7062" s="202" t="s">
        <v>5596</v>
      </c>
      <c r="C7062" s="200" t="s">
        <v>307</v>
      </c>
      <c r="D7062" s="204">
        <v>-156000</v>
      </c>
      <c r="E7062" s="201">
        <v>45748</v>
      </c>
      <c r="F7062" s="781" t="s">
        <v>296</v>
      </c>
      <c r="G7062" s="781" t="s">
        <v>522</v>
      </c>
      <c r="H7062" s="781" t="s">
        <v>326</v>
      </c>
    </row>
    <row r="7063" spans="1:8" ht="15" customHeight="1">
      <c r="A7063" s="199">
        <v>45775</v>
      </c>
      <c r="B7063" s="202" t="s">
        <v>5597</v>
      </c>
      <c r="C7063" s="200" t="s">
        <v>307</v>
      </c>
      <c r="D7063" s="204">
        <v>-90000</v>
      </c>
      <c r="E7063" s="201">
        <v>45748</v>
      </c>
      <c r="F7063" s="781" t="s">
        <v>256</v>
      </c>
      <c r="G7063" s="781" t="s">
        <v>256</v>
      </c>
      <c r="H7063" s="781" t="s">
        <v>268</v>
      </c>
    </row>
    <row r="7064" spans="1:8" ht="15" customHeight="1">
      <c r="A7064" s="199">
        <v>45775</v>
      </c>
      <c r="B7064" s="202" t="s">
        <v>5598</v>
      </c>
      <c r="C7064" s="200" t="s">
        <v>307</v>
      </c>
      <c r="D7064" s="204">
        <v>-16000</v>
      </c>
      <c r="E7064" s="201">
        <v>45748</v>
      </c>
      <c r="F7064" s="781" t="s">
        <v>256</v>
      </c>
      <c r="G7064" s="781" t="s">
        <v>256</v>
      </c>
      <c r="H7064" s="781" t="s">
        <v>267</v>
      </c>
    </row>
    <row r="7065" spans="1:8" ht="15" customHeight="1">
      <c r="A7065" s="199">
        <v>45775</v>
      </c>
      <c r="B7065" s="202" t="s">
        <v>5599</v>
      </c>
      <c r="C7065" s="200" t="s">
        <v>307</v>
      </c>
      <c r="D7065" s="204">
        <v>-19500</v>
      </c>
      <c r="E7065" s="201">
        <v>45748</v>
      </c>
      <c r="F7065" s="781" t="s">
        <v>256</v>
      </c>
      <c r="G7065" s="781" t="s">
        <v>256</v>
      </c>
      <c r="H7065" s="781" t="s">
        <v>267</v>
      </c>
    </row>
    <row r="7066" spans="1:8" ht="15" customHeight="1">
      <c r="A7066" s="199">
        <v>45768</v>
      </c>
      <c r="B7066" s="202" t="s">
        <v>1419</v>
      </c>
      <c r="C7066" s="200" t="s">
        <v>307</v>
      </c>
      <c r="D7066" s="204">
        <v>-108000</v>
      </c>
      <c r="E7066" s="201">
        <v>45748</v>
      </c>
      <c r="F7066" s="781" t="s">
        <v>256</v>
      </c>
      <c r="G7066" s="781" t="s">
        <v>107</v>
      </c>
      <c r="H7066" s="781" t="s">
        <v>277</v>
      </c>
    </row>
    <row r="7067" spans="1:8" ht="15" customHeight="1">
      <c r="A7067" s="199">
        <v>45769</v>
      </c>
      <c r="B7067" s="202" t="s">
        <v>5600</v>
      </c>
      <c r="C7067" s="200" t="s">
        <v>307</v>
      </c>
      <c r="D7067" s="204">
        <v>-12462</v>
      </c>
      <c r="E7067" s="201">
        <v>45748</v>
      </c>
      <c r="F7067" s="781" t="s">
        <v>256</v>
      </c>
      <c r="G7067" s="781" t="s">
        <v>107</v>
      </c>
      <c r="H7067" s="781" t="s">
        <v>277</v>
      </c>
    </row>
    <row r="7068" spans="1:8" ht="15" customHeight="1">
      <c r="A7068" s="199">
        <v>45769</v>
      </c>
      <c r="B7068" s="202" t="s">
        <v>5600</v>
      </c>
      <c r="C7068" s="200" t="s">
        <v>307</v>
      </c>
      <c r="D7068" s="204">
        <v>-11000</v>
      </c>
      <c r="E7068" s="201">
        <v>45748</v>
      </c>
      <c r="F7068" s="781" t="s">
        <v>256</v>
      </c>
      <c r="G7068" s="781" t="s">
        <v>107</v>
      </c>
      <c r="H7068" s="781" t="s">
        <v>277</v>
      </c>
    </row>
    <row r="7069" spans="1:8" ht="15" customHeight="1">
      <c r="A7069" s="199">
        <v>45770</v>
      </c>
      <c r="B7069" s="202" t="s">
        <v>5600</v>
      </c>
      <c r="C7069" s="200" t="s">
        <v>307</v>
      </c>
      <c r="D7069" s="204">
        <v>-14368</v>
      </c>
      <c r="E7069" s="201">
        <v>45748</v>
      </c>
      <c r="F7069" s="781" t="s">
        <v>256</v>
      </c>
      <c r="G7069" s="781" t="s">
        <v>107</v>
      </c>
      <c r="H7069" s="781" t="s">
        <v>277</v>
      </c>
    </row>
    <row r="7070" spans="1:8" ht="15" customHeight="1">
      <c r="A7070" s="199">
        <v>45771</v>
      </c>
      <c r="B7070" s="202" t="s">
        <v>5600</v>
      </c>
      <c r="C7070" s="200" t="s">
        <v>307</v>
      </c>
      <c r="D7070" s="204">
        <v>-40164</v>
      </c>
      <c r="E7070" s="201">
        <v>45748</v>
      </c>
      <c r="F7070" s="781" t="s">
        <v>256</v>
      </c>
      <c r="G7070" s="781" t="s">
        <v>107</v>
      </c>
      <c r="H7070" s="781" t="s">
        <v>277</v>
      </c>
    </row>
    <row r="7071" spans="1:8" ht="15" customHeight="1">
      <c r="A7071" s="199">
        <v>45771</v>
      </c>
      <c r="B7071" s="202" t="s">
        <v>5600</v>
      </c>
      <c r="C7071" s="200" t="s">
        <v>307</v>
      </c>
      <c r="D7071" s="204">
        <v>-26648</v>
      </c>
      <c r="E7071" s="201">
        <v>45748</v>
      </c>
      <c r="F7071" s="781" t="s">
        <v>256</v>
      </c>
      <c r="G7071" s="781" t="s">
        <v>107</v>
      </c>
      <c r="H7071" s="781" t="s">
        <v>277</v>
      </c>
    </row>
    <row r="7072" spans="1:8" ht="15" customHeight="1">
      <c r="A7072" s="199">
        <v>45771</v>
      </c>
      <c r="B7072" s="202" t="s">
        <v>1747</v>
      </c>
      <c r="C7072" s="200" t="s">
        <v>307</v>
      </c>
      <c r="D7072" s="204">
        <v>-75000</v>
      </c>
      <c r="E7072" s="201">
        <v>45748</v>
      </c>
      <c r="F7072" s="781" t="s">
        <v>256</v>
      </c>
      <c r="G7072" s="781" t="s">
        <v>107</v>
      </c>
      <c r="H7072" s="781" t="s">
        <v>277</v>
      </c>
    </row>
    <row r="7073" spans="1:9" ht="15" customHeight="1">
      <c r="A7073" s="199">
        <v>45771</v>
      </c>
      <c r="B7073" s="202" t="s">
        <v>1419</v>
      </c>
      <c r="C7073" s="200" t="s">
        <v>307</v>
      </c>
      <c r="D7073" s="204">
        <v>-120000</v>
      </c>
      <c r="E7073" s="201">
        <v>45748</v>
      </c>
      <c r="F7073" s="781" t="s">
        <v>256</v>
      </c>
      <c r="G7073" s="781" t="s">
        <v>107</v>
      </c>
      <c r="H7073" s="781" t="s">
        <v>277</v>
      </c>
    </row>
    <row r="7074" spans="1:9" ht="15" customHeight="1">
      <c r="A7074" s="199">
        <v>45777</v>
      </c>
      <c r="B7074" s="202" t="s">
        <v>5601</v>
      </c>
      <c r="C7074" s="200" t="s">
        <v>307</v>
      </c>
      <c r="D7074" s="204">
        <v>-32000</v>
      </c>
      <c r="E7074" s="201">
        <v>45748</v>
      </c>
      <c r="F7074" s="781" t="s">
        <v>2714</v>
      </c>
      <c r="G7074" s="781" t="s">
        <v>513</v>
      </c>
      <c r="H7074" s="781" t="s">
        <v>322</v>
      </c>
    </row>
    <row r="7075" spans="1:9" ht="15" customHeight="1">
      <c r="A7075" s="199">
        <v>45775</v>
      </c>
      <c r="B7075" s="202" t="s">
        <v>5602</v>
      </c>
      <c r="C7075" s="200" t="s">
        <v>136</v>
      </c>
      <c r="D7075" s="204">
        <v>-21900</v>
      </c>
      <c r="E7075" s="201">
        <v>45748</v>
      </c>
      <c r="F7075" s="781" t="s">
        <v>296</v>
      </c>
      <c r="G7075" s="781" t="s">
        <v>57</v>
      </c>
      <c r="H7075" s="781" t="s">
        <v>98</v>
      </c>
    </row>
    <row r="7076" spans="1:9" ht="15" customHeight="1">
      <c r="A7076" s="199">
        <v>45775</v>
      </c>
      <c r="B7076" s="202" t="s">
        <v>5603</v>
      </c>
      <c r="C7076" s="200" t="s">
        <v>136</v>
      </c>
      <c r="D7076" s="204">
        <v>-21900</v>
      </c>
      <c r="E7076" s="201">
        <v>45748</v>
      </c>
      <c r="F7076" s="781" t="s">
        <v>296</v>
      </c>
      <c r="G7076" s="781" t="s">
        <v>57</v>
      </c>
      <c r="H7076" s="781" t="s">
        <v>98</v>
      </c>
    </row>
    <row r="7077" spans="1:9" ht="15" customHeight="1">
      <c r="A7077" s="199">
        <v>45775</v>
      </c>
      <c r="B7077" s="202" t="s">
        <v>5604</v>
      </c>
      <c r="C7077" s="200" t="s">
        <v>136</v>
      </c>
      <c r="D7077" s="204">
        <v>-21900</v>
      </c>
      <c r="E7077" s="201">
        <v>45748</v>
      </c>
      <c r="F7077" s="781" t="s">
        <v>296</v>
      </c>
      <c r="G7077" s="781" t="s">
        <v>57</v>
      </c>
      <c r="H7077" s="781" t="s">
        <v>98</v>
      </c>
    </row>
    <row r="7078" spans="1:9" ht="15" customHeight="1">
      <c r="A7078" s="199">
        <v>45775</v>
      </c>
      <c r="B7078" s="202" t="s">
        <v>5605</v>
      </c>
      <c r="C7078" s="200" t="s">
        <v>136</v>
      </c>
      <c r="D7078" s="204">
        <v>-21900</v>
      </c>
      <c r="E7078" s="201">
        <v>45748</v>
      </c>
      <c r="F7078" s="781" t="s">
        <v>296</v>
      </c>
      <c r="G7078" s="781" t="s">
        <v>57</v>
      </c>
      <c r="H7078" s="781" t="s">
        <v>98</v>
      </c>
    </row>
    <row r="7079" spans="1:9" ht="15" customHeight="1">
      <c r="A7079" s="199">
        <v>45775</v>
      </c>
      <c r="B7079" s="202" t="s">
        <v>5606</v>
      </c>
      <c r="C7079" s="200" t="s">
        <v>136</v>
      </c>
      <c r="D7079" s="204">
        <v>-21900</v>
      </c>
      <c r="E7079" s="201">
        <v>45748</v>
      </c>
      <c r="F7079" s="781" t="s">
        <v>296</v>
      </c>
      <c r="G7079" s="781" t="s">
        <v>57</v>
      </c>
      <c r="H7079" s="781" t="s">
        <v>98</v>
      </c>
    </row>
    <row r="7080" spans="1:9" ht="15" customHeight="1">
      <c r="A7080" s="199">
        <v>45776</v>
      </c>
      <c r="B7080" s="202" t="s">
        <v>5607</v>
      </c>
      <c r="C7080" s="200" t="s">
        <v>136</v>
      </c>
      <c r="D7080" s="204">
        <v>-2656800</v>
      </c>
      <c r="E7080" s="201">
        <v>45748</v>
      </c>
      <c r="F7080" s="781" t="s">
        <v>296</v>
      </c>
      <c r="G7080" s="781" t="s">
        <v>807</v>
      </c>
      <c r="H7080" s="781" t="s">
        <v>811</v>
      </c>
    </row>
    <row r="7081" spans="1:9" ht="15" customHeight="1">
      <c r="A7081" s="199">
        <v>45776</v>
      </c>
      <c r="B7081" s="202" t="s">
        <v>5608</v>
      </c>
      <c r="C7081" s="200" t="s">
        <v>372</v>
      </c>
      <c r="D7081" s="204">
        <v>-27000</v>
      </c>
      <c r="E7081" s="201">
        <v>45748</v>
      </c>
      <c r="F7081" s="781" t="s">
        <v>296</v>
      </c>
      <c r="G7081" s="781" t="s">
        <v>807</v>
      </c>
      <c r="H7081" s="781" t="s">
        <v>811</v>
      </c>
    </row>
    <row r="7082" spans="1:9" ht="15" customHeight="1">
      <c r="A7082" s="199">
        <v>45776</v>
      </c>
      <c r="B7082" s="202" t="s">
        <v>5609</v>
      </c>
      <c r="C7082" s="200" t="s">
        <v>372</v>
      </c>
      <c r="D7082" s="204">
        <v>-16200</v>
      </c>
      <c r="E7082" s="201">
        <v>45748</v>
      </c>
      <c r="F7082" s="781" t="s">
        <v>296</v>
      </c>
      <c r="G7082" s="781" t="s">
        <v>807</v>
      </c>
      <c r="H7082" s="781" t="s">
        <v>811</v>
      </c>
      <c r="I7082" s="648" t="s">
        <v>329</v>
      </c>
    </row>
    <row r="7083" spans="1:9" ht="15" customHeight="1">
      <c r="A7083" s="199">
        <v>45776</v>
      </c>
      <c r="B7083" s="202" t="s">
        <v>5610</v>
      </c>
      <c r="C7083" s="200" t="s">
        <v>136</v>
      </c>
      <c r="D7083" s="204">
        <v>-4787160</v>
      </c>
      <c r="E7083" s="201">
        <v>45748</v>
      </c>
      <c r="F7083" s="781" t="s">
        <v>296</v>
      </c>
      <c r="G7083" s="781" t="s">
        <v>1825</v>
      </c>
      <c r="H7083" s="781" t="s">
        <v>811</v>
      </c>
    </row>
    <row r="7084" spans="1:9" ht="15" customHeight="1">
      <c r="A7084" s="199">
        <v>45776</v>
      </c>
      <c r="B7084" s="202" t="s">
        <v>5611</v>
      </c>
      <c r="C7084" s="200" t="s">
        <v>372</v>
      </c>
      <c r="D7084" s="204">
        <v>-48650</v>
      </c>
      <c r="E7084" s="201">
        <v>45748</v>
      </c>
      <c r="F7084" s="781" t="s">
        <v>296</v>
      </c>
      <c r="G7084" s="781" t="s">
        <v>1825</v>
      </c>
      <c r="H7084" s="781" t="s">
        <v>811</v>
      </c>
    </row>
    <row r="7085" spans="1:9" ht="15" customHeight="1">
      <c r="A7085" s="199">
        <v>45776</v>
      </c>
      <c r="B7085" s="202" t="s">
        <v>5612</v>
      </c>
      <c r="C7085" s="200" t="s">
        <v>372</v>
      </c>
      <c r="D7085" s="204">
        <v>-21190</v>
      </c>
      <c r="E7085" s="201">
        <v>45748</v>
      </c>
      <c r="F7085" s="781" t="s">
        <v>296</v>
      </c>
      <c r="G7085" s="781" t="s">
        <v>1825</v>
      </c>
      <c r="H7085" s="781" t="s">
        <v>811</v>
      </c>
      <c r="I7085" s="648" t="s">
        <v>329</v>
      </c>
    </row>
    <row r="7086" spans="1:9" ht="15" customHeight="1">
      <c r="A7086" s="199">
        <v>45776</v>
      </c>
      <c r="B7086" s="202" t="s">
        <v>3293</v>
      </c>
      <c r="C7086" s="200" t="s">
        <v>136</v>
      </c>
      <c r="D7086" s="204">
        <v>-48000</v>
      </c>
      <c r="E7086" s="201">
        <v>45748</v>
      </c>
      <c r="F7086" s="781" t="s">
        <v>296</v>
      </c>
      <c r="G7086" s="781" t="s">
        <v>44</v>
      </c>
      <c r="H7086" s="781" t="s">
        <v>442</v>
      </c>
      <c r="I7086" s="648" t="s">
        <v>329</v>
      </c>
    </row>
    <row r="7087" spans="1:9" ht="15" customHeight="1">
      <c r="A7087" s="199">
        <v>45776</v>
      </c>
      <c r="B7087" s="202" t="s">
        <v>3293</v>
      </c>
      <c r="C7087" s="200" t="s">
        <v>136</v>
      </c>
      <c r="D7087" s="204">
        <v>-56000</v>
      </c>
      <c r="E7087" s="201">
        <v>45748</v>
      </c>
      <c r="F7087" s="781" t="s">
        <v>296</v>
      </c>
      <c r="G7087" s="781" t="s">
        <v>328</v>
      </c>
      <c r="H7087" s="781" t="s">
        <v>268</v>
      </c>
    </row>
    <row r="7088" spans="1:9" ht="15" customHeight="1">
      <c r="A7088" s="199">
        <v>45776</v>
      </c>
      <c r="B7088" s="722" t="s">
        <v>3293</v>
      </c>
      <c r="C7088" s="200" t="s">
        <v>136</v>
      </c>
      <c r="D7088" s="204">
        <v>-18000</v>
      </c>
      <c r="E7088" s="201">
        <v>45748</v>
      </c>
      <c r="F7088" s="781" t="s">
        <v>296</v>
      </c>
      <c r="G7088" s="781" t="s">
        <v>57</v>
      </c>
      <c r="H7088" s="781" t="s">
        <v>105</v>
      </c>
    </row>
    <row r="7089" spans="1:9" ht="15" customHeight="1">
      <c r="A7089" s="199">
        <v>45776</v>
      </c>
      <c r="B7089" s="202" t="s">
        <v>3293</v>
      </c>
      <c r="C7089" s="200" t="s">
        <v>136</v>
      </c>
      <c r="D7089" s="204">
        <v>-20000</v>
      </c>
      <c r="E7089" s="201">
        <v>45748</v>
      </c>
      <c r="F7089" s="781" t="s">
        <v>256</v>
      </c>
      <c r="G7089" s="781" t="s">
        <v>256</v>
      </c>
      <c r="H7089" s="781" t="s">
        <v>268</v>
      </c>
    </row>
    <row r="7090" spans="1:9" ht="15" customHeight="1">
      <c r="A7090" s="199">
        <v>45776</v>
      </c>
      <c r="B7090" s="202" t="s">
        <v>3293</v>
      </c>
      <c r="C7090" s="200" t="s">
        <v>136</v>
      </c>
      <c r="D7090" s="204">
        <v>-46000</v>
      </c>
      <c r="E7090" s="201">
        <v>45748</v>
      </c>
      <c r="F7090" s="781" t="s">
        <v>296</v>
      </c>
      <c r="G7090" s="781" t="s">
        <v>1311</v>
      </c>
      <c r="H7090" s="781" t="s">
        <v>268</v>
      </c>
      <c r="I7090" s="648" t="s">
        <v>329</v>
      </c>
    </row>
    <row r="7091" spans="1:9" ht="15" customHeight="1">
      <c r="A7091" s="199">
        <v>45776</v>
      </c>
      <c r="B7091" s="202" t="s">
        <v>3293</v>
      </c>
      <c r="C7091" s="200" t="s">
        <v>136</v>
      </c>
      <c r="D7091" s="204">
        <v>-28000</v>
      </c>
      <c r="E7091" s="201">
        <v>45748</v>
      </c>
      <c r="F7091" s="781" t="s">
        <v>296</v>
      </c>
      <c r="G7091" s="781" t="s">
        <v>415</v>
      </c>
      <c r="H7091" s="781" t="s">
        <v>268</v>
      </c>
      <c r="I7091" s="648" t="s">
        <v>329</v>
      </c>
    </row>
    <row r="7092" spans="1:9" ht="15" customHeight="1">
      <c r="A7092" s="199">
        <v>45776</v>
      </c>
      <c r="B7092" s="202" t="s">
        <v>3293</v>
      </c>
      <c r="C7092" s="200" t="s">
        <v>136</v>
      </c>
      <c r="D7092" s="204">
        <v>-36000</v>
      </c>
      <c r="E7092" s="201">
        <v>45748</v>
      </c>
      <c r="F7092" s="781" t="s">
        <v>296</v>
      </c>
      <c r="G7092" s="781" t="s">
        <v>2994</v>
      </c>
      <c r="H7092" s="781" t="s">
        <v>268</v>
      </c>
      <c r="I7092" s="648" t="s">
        <v>329</v>
      </c>
    </row>
    <row r="7093" spans="1:9" ht="15" customHeight="1">
      <c r="A7093" s="199">
        <v>45776</v>
      </c>
      <c r="B7093" s="202" t="s">
        <v>3293</v>
      </c>
      <c r="C7093" s="200" t="s">
        <v>136</v>
      </c>
      <c r="D7093" s="204">
        <v>-10000</v>
      </c>
      <c r="E7093" s="201">
        <v>45748</v>
      </c>
      <c r="F7093" s="781" t="s">
        <v>297</v>
      </c>
      <c r="G7093" s="781" t="s">
        <v>3892</v>
      </c>
      <c r="H7093" s="781" t="s">
        <v>268</v>
      </c>
    </row>
    <row r="7094" spans="1:9" ht="15" customHeight="1">
      <c r="A7094" s="199">
        <v>45776</v>
      </c>
      <c r="B7094" s="202" t="s">
        <v>3293</v>
      </c>
      <c r="C7094" s="200" t="s">
        <v>136</v>
      </c>
      <c r="D7094" s="204">
        <v>-28000</v>
      </c>
      <c r="E7094" s="201">
        <v>45748</v>
      </c>
      <c r="F7094" s="781" t="s">
        <v>296</v>
      </c>
      <c r="G7094" s="781" t="s">
        <v>1980</v>
      </c>
      <c r="H7094" s="781" t="s">
        <v>326</v>
      </c>
      <c r="I7094" s="648" t="s">
        <v>329</v>
      </c>
    </row>
    <row r="7095" spans="1:9" ht="15" customHeight="1">
      <c r="A7095" s="199">
        <v>45776</v>
      </c>
      <c r="B7095" s="202" t="s">
        <v>3293</v>
      </c>
      <c r="C7095" s="200" t="s">
        <v>136</v>
      </c>
      <c r="D7095" s="204">
        <v>-48496</v>
      </c>
      <c r="E7095" s="201">
        <v>45748</v>
      </c>
      <c r="F7095" s="781" t="s">
        <v>296</v>
      </c>
      <c r="G7095" s="781" t="s">
        <v>522</v>
      </c>
      <c r="H7095" s="781" t="s">
        <v>326</v>
      </c>
    </row>
    <row r="7096" spans="1:9" ht="15" customHeight="1">
      <c r="A7096" s="199">
        <v>45776</v>
      </c>
      <c r="B7096" s="202" t="s">
        <v>3622</v>
      </c>
      <c r="C7096" s="200" t="s">
        <v>372</v>
      </c>
      <c r="D7096" s="204">
        <v>-3440</v>
      </c>
      <c r="E7096" s="201">
        <v>45748</v>
      </c>
      <c r="F7096" s="781" t="s">
        <v>296</v>
      </c>
      <c r="G7096" s="781" t="s">
        <v>522</v>
      </c>
      <c r="H7096" s="781" t="s">
        <v>326</v>
      </c>
    </row>
    <row r="7097" spans="1:9" ht="15" customHeight="1">
      <c r="A7097" s="199">
        <v>45776</v>
      </c>
      <c r="B7097" s="202" t="s">
        <v>3295</v>
      </c>
      <c r="C7097" s="200" t="s">
        <v>372</v>
      </c>
      <c r="D7097" s="204">
        <v>-2064</v>
      </c>
      <c r="E7097" s="201">
        <v>45748</v>
      </c>
      <c r="F7097" s="781" t="s">
        <v>296</v>
      </c>
      <c r="G7097" s="781" t="s">
        <v>522</v>
      </c>
      <c r="H7097" s="781" t="s">
        <v>326</v>
      </c>
    </row>
    <row r="7098" spans="1:9" ht="15" customHeight="1">
      <c r="A7098" s="199">
        <v>45776</v>
      </c>
      <c r="B7098" s="202" t="s">
        <v>5613</v>
      </c>
      <c r="C7098" s="200" t="s">
        <v>136</v>
      </c>
      <c r="D7098" s="204">
        <v>-1280830</v>
      </c>
      <c r="E7098" s="201">
        <v>45748</v>
      </c>
      <c r="F7098" s="781" t="s">
        <v>297</v>
      </c>
      <c r="G7098" s="781" t="s">
        <v>3892</v>
      </c>
      <c r="H7098" s="781" t="s">
        <v>518</v>
      </c>
    </row>
    <row r="7099" spans="1:9" ht="15" customHeight="1">
      <c r="A7099" s="199">
        <v>45776</v>
      </c>
      <c r="B7099" s="202" t="s">
        <v>5614</v>
      </c>
      <c r="C7099" s="200" t="s">
        <v>136</v>
      </c>
      <c r="D7099" s="204">
        <v>-505800</v>
      </c>
      <c r="E7099" s="201">
        <v>45748</v>
      </c>
      <c r="F7099" s="781" t="s">
        <v>297</v>
      </c>
      <c r="G7099" s="781" t="s">
        <v>1313</v>
      </c>
      <c r="H7099" s="781" t="s">
        <v>5384</v>
      </c>
      <c r="I7099" s="648" t="s">
        <v>329</v>
      </c>
    </row>
    <row r="7100" spans="1:9" ht="15" customHeight="1">
      <c r="A7100" s="199">
        <v>45776</v>
      </c>
      <c r="B7100" s="202" t="s">
        <v>5615</v>
      </c>
      <c r="C7100" s="200" t="s">
        <v>136</v>
      </c>
      <c r="D7100" s="204">
        <v>-35277869</v>
      </c>
      <c r="E7100" s="201">
        <v>45748</v>
      </c>
      <c r="F7100" s="781" t="s">
        <v>296</v>
      </c>
      <c r="G7100" s="781" t="s">
        <v>522</v>
      </c>
      <c r="H7100" s="781" t="s">
        <v>5616</v>
      </c>
      <c r="I7100" s="648" t="s">
        <v>329</v>
      </c>
    </row>
    <row r="7101" spans="1:9" ht="15" customHeight="1">
      <c r="A7101" s="199">
        <v>45768</v>
      </c>
      <c r="B7101" s="202" t="s">
        <v>1514</v>
      </c>
      <c r="C7101" s="200" t="s">
        <v>136</v>
      </c>
      <c r="D7101" s="204">
        <v>-12700</v>
      </c>
      <c r="E7101" s="201">
        <v>45748</v>
      </c>
      <c r="F7101" s="781" t="s">
        <v>256</v>
      </c>
      <c r="G7101" s="781" t="s">
        <v>107</v>
      </c>
      <c r="H7101" s="781" t="s">
        <v>275</v>
      </c>
      <c r="I7101" s="200" t="s">
        <v>5617</v>
      </c>
    </row>
    <row r="7102" spans="1:9" ht="15" customHeight="1">
      <c r="A7102" s="199">
        <v>45768</v>
      </c>
      <c r="B7102" s="202" t="s">
        <v>5618</v>
      </c>
      <c r="C7102" s="200" t="s">
        <v>136</v>
      </c>
      <c r="D7102" s="204">
        <v>-12700</v>
      </c>
      <c r="E7102" s="201">
        <v>45748</v>
      </c>
      <c r="F7102" s="781" t="s">
        <v>256</v>
      </c>
      <c r="G7102" s="781" t="s">
        <v>107</v>
      </c>
      <c r="H7102" s="781" t="s">
        <v>275</v>
      </c>
      <c r="I7102" s="200" t="s">
        <v>5617</v>
      </c>
    </row>
    <row r="7103" spans="1:9" ht="15" customHeight="1">
      <c r="A7103" s="199">
        <v>45769</v>
      </c>
      <c r="B7103" s="202" t="s">
        <v>5619</v>
      </c>
      <c r="C7103" s="200" t="s">
        <v>136</v>
      </c>
      <c r="D7103" s="204">
        <v>-12700</v>
      </c>
      <c r="E7103" s="201">
        <v>45748</v>
      </c>
      <c r="F7103" s="781" t="s">
        <v>256</v>
      </c>
      <c r="G7103" s="781" t="s">
        <v>107</v>
      </c>
      <c r="H7103" s="781" t="s">
        <v>275</v>
      </c>
      <c r="I7103" s="200" t="s">
        <v>5617</v>
      </c>
    </row>
    <row r="7104" spans="1:9" ht="15" customHeight="1">
      <c r="A7104" s="199">
        <v>45769</v>
      </c>
      <c r="B7104" s="202" t="s">
        <v>5620</v>
      </c>
      <c r="C7104" s="200" t="s">
        <v>136</v>
      </c>
      <c r="D7104" s="204">
        <v>-12600</v>
      </c>
      <c r="E7104" s="201">
        <v>45748</v>
      </c>
      <c r="F7104" s="781" t="s">
        <v>256</v>
      </c>
      <c r="G7104" s="781" t="s">
        <v>107</v>
      </c>
      <c r="H7104" s="781" t="s">
        <v>275</v>
      </c>
      <c r="I7104" s="200" t="s">
        <v>5617</v>
      </c>
    </row>
    <row r="7105" spans="1:9" ht="15" customHeight="1">
      <c r="A7105" s="199">
        <v>45769</v>
      </c>
      <c r="B7105" s="202" t="s">
        <v>5621</v>
      </c>
      <c r="C7105" s="200" t="s">
        <v>136</v>
      </c>
      <c r="D7105" s="204">
        <v>-12800</v>
      </c>
      <c r="E7105" s="201">
        <v>45748</v>
      </c>
      <c r="F7105" s="781" t="s">
        <v>256</v>
      </c>
      <c r="G7105" s="781" t="s">
        <v>107</v>
      </c>
      <c r="H7105" s="781" t="s">
        <v>275</v>
      </c>
      <c r="I7105" s="200" t="s">
        <v>5617</v>
      </c>
    </row>
    <row r="7106" spans="1:9" ht="15" customHeight="1">
      <c r="A7106" s="199">
        <v>45769</v>
      </c>
      <c r="B7106" s="202" t="s">
        <v>5622</v>
      </c>
      <c r="C7106" s="200" t="s">
        <v>136</v>
      </c>
      <c r="D7106" s="204">
        <v>-12800</v>
      </c>
      <c r="E7106" s="201">
        <v>45748</v>
      </c>
      <c r="F7106" s="781" t="s">
        <v>256</v>
      </c>
      <c r="G7106" s="781" t="s">
        <v>107</v>
      </c>
      <c r="H7106" s="781" t="s">
        <v>275</v>
      </c>
      <c r="I7106" s="200" t="s">
        <v>5617</v>
      </c>
    </row>
    <row r="7107" spans="1:9" ht="15" customHeight="1">
      <c r="A7107" s="199">
        <v>45769</v>
      </c>
      <c r="B7107" s="202" t="s">
        <v>5623</v>
      </c>
      <c r="C7107" s="200" t="s">
        <v>136</v>
      </c>
      <c r="D7107" s="204">
        <v>-12600</v>
      </c>
      <c r="E7107" s="201">
        <v>45748</v>
      </c>
      <c r="F7107" s="781" t="s">
        <v>256</v>
      </c>
      <c r="G7107" s="781" t="s">
        <v>107</v>
      </c>
      <c r="H7107" s="781" t="s">
        <v>275</v>
      </c>
      <c r="I7107" s="200" t="s">
        <v>5617</v>
      </c>
    </row>
    <row r="7108" spans="1:9" ht="15" customHeight="1">
      <c r="A7108" s="199">
        <v>45769</v>
      </c>
      <c r="B7108" s="202" t="s">
        <v>1523</v>
      </c>
      <c r="C7108" s="200" t="s">
        <v>136</v>
      </c>
      <c r="D7108" s="204">
        <v>-18600</v>
      </c>
      <c r="E7108" s="201">
        <v>45748</v>
      </c>
      <c r="F7108" s="781" t="s">
        <v>256</v>
      </c>
      <c r="G7108" s="781" t="s">
        <v>107</v>
      </c>
      <c r="H7108" s="781" t="s">
        <v>275</v>
      </c>
      <c r="I7108" s="200" t="s">
        <v>5617</v>
      </c>
    </row>
    <row r="7109" spans="1:9" ht="15" customHeight="1">
      <c r="A7109" s="199">
        <v>45769</v>
      </c>
      <c r="B7109" s="202" t="s">
        <v>5624</v>
      </c>
      <c r="C7109" s="200" t="s">
        <v>136</v>
      </c>
      <c r="D7109" s="204">
        <v>-4000</v>
      </c>
      <c r="E7109" s="201">
        <v>45748</v>
      </c>
      <c r="F7109" s="781" t="s">
        <v>256</v>
      </c>
      <c r="G7109" s="781" t="s">
        <v>107</v>
      </c>
      <c r="H7109" s="781" t="s">
        <v>275</v>
      </c>
      <c r="I7109" s="200" t="s">
        <v>5617</v>
      </c>
    </row>
    <row r="7110" spans="1:9" ht="15" customHeight="1">
      <c r="A7110" s="199">
        <v>45770</v>
      </c>
      <c r="B7110" s="202" t="s">
        <v>1514</v>
      </c>
      <c r="C7110" s="200" t="s">
        <v>136</v>
      </c>
      <c r="D7110" s="204">
        <v>-12700</v>
      </c>
      <c r="E7110" s="201">
        <v>45748</v>
      </c>
      <c r="F7110" s="781" t="s">
        <v>256</v>
      </c>
      <c r="G7110" s="781" t="s">
        <v>107</v>
      </c>
      <c r="H7110" s="781" t="s">
        <v>275</v>
      </c>
      <c r="I7110" s="200" t="s">
        <v>5617</v>
      </c>
    </row>
    <row r="7111" spans="1:9" ht="15" customHeight="1">
      <c r="A7111" s="199">
        <v>45770</v>
      </c>
      <c r="B7111" s="202" t="s">
        <v>5618</v>
      </c>
      <c r="C7111" s="200" t="s">
        <v>136</v>
      </c>
      <c r="D7111" s="204">
        <v>-12700</v>
      </c>
      <c r="E7111" s="201">
        <v>45748</v>
      </c>
      <c r="F7111" s="781" t="s">
        <v>256</v>
      </c>
      <c r="G7111" s="781" t="s">
        <v>107</v>
      </c>
      <c r="H7111" s="781" t="s">
        <v>275</v>
      </c>
      <c r="I7111" s="200" t="s">
        <v>5617</v>
      </c>
    </row>
    <row r="7112" spans="1:9" ht="15" customHeight="1">
      <c r="A7112" s="199">
        <v>45770</v>
      </c>
      <c r="B7112" s="202" t="s">
        <v>1521</v>
      </c>
      <c r="C7112" s="200" t="s">
        <v>136</v>
      </c>
      <c r="D7112" s="204">
        <v>-131948</v>
      </c>
      <c r="E7112" s="201">
        <v>45748</v>
      </c>
      <c r="F7112" s="781" t="s">
        <v>256</v>
      </c>
      <c r="G7112" s="781" t="s">
        <v>107</v>
      </c>
      <c r="H7112" s="781" t="s">
        <v>275</v>
      </c>
      <c r="I7112" s="200" t="s">
        <v>5617</v>
      </c>
    </row>
    <row r="7113" spans="1:9" ht="15" customHeight="1">
      <c r="A7113" s="199">
        <v>45772</v>
      </c>
      <c r="B7113" s="202" t="s">
        <v>5625</v>
      </c>
      <c r="C7113" s="200" t="s">
        <v>398</v>
      </c>
      <c r="D7113" s="204">
        <v>-114510</v>
      </c>
      <c r="E7113" s="201">
        <v>45748</v>
      </c>
      <c r="F7113" s="781" t="s">
        <v>256</v>
      </c>
      <c r="G7113" s="781" t="s">
        <v>107</v>
      </c>
      <c r="H7113" s="781" t="s">
        <v>277</v>
      </c>
    </row>
    <row r="7114" spans="1:9" ht="15" customHeight="1">
      <c r="A7114" s="199">
        <v>45776</v>
      </c>
      <c r="B7114" s="202" t="s">
        <v>5626</v>
      </c>
      <c r="C7114" s="200" t="s">
        <v>398</v>
      </c>
      <c r="D7114" s="204">
        <v>-135950.60999999999</v>
      </c>
      <c r="E7114" s="201">
        <v>45748</v>
      </c>
      <c r="F7114" s="781" t="s">
        <v>256</v>
      </c>
      <c r="G7114" s="781" t="s">
        <v>107</v>
      </c>
      <c r="H7114" s="781" t="s">
        <v>777</v>
      </c>
    </row>
    <row r="7115" spans="1:9" ht="15" customHeight="1">
      <c r="A7115" s="199">
        <v>45776</v>
      </c>
      <c r="B7115" s="202" t="s">
        <v>5627</v>
      </c>
      <c r="C7115" s="200" t="s">
        <v>398</v>
      </c>
      <c r="D7115" s="204">
        <v>-14668.8</v>
      </c>
      <c r="E7115" s="201">
        <v>45748</v>
      </c>
      <c r="F7115" s="781" t="s">
        <v>256</v>
      </c>
      <c r="G7115" s="781" t="s">
        <v>107</v>
      </c>
      <c r="H7115" s="781" t="s">
        <v>777</v>
      </c>
    </row>
    <row r="7116" spans="1:9" ht="15" customHeight="1">
      <c r="A7116" s="199">
        <v>45776</v>
      </c>
      <c r="B7116" s="202" t="s">
        <v>4935</v>
      </c>
      <c r="C7116" s="200" t="s">
        <v>136</v>
      </c>
      <c r="D7116" s="204">
        <v>130000000</v>
      </c>
      <c r="E7116" s="201">
        <v>45748</v>
      </c>
      <c r="F7116" s="781" t="s">
        <v>652</v>
      </c>
      <c r="G7116" s="781" t="s">
        <v>337</v>
      </c>
      <c r="H7116" s="781"/>
    </row>
    <row r="7117" spans="1:9" ht="15" customHeight="1">
      <c r="A7117" s="199">
        <v>45777</v>
      </c>
      <c r="B7117" s="202" t="s">
        <v>4438</v>
      </c>
      <c r="C7117" s="200" t="s">
        <v>204</v>
      </c>
      <c r="D7117" s="204">
        <v>50000000</v>
      </c>
      <c r="E7117" s="201">
        <v>45748</v>
      </c>
      <c r="F7117" s="781" t="s">
        <v>652</v>
      </c>
      <c r="G7117" s="781" t="s">
        <v>1983</v>
      </c>
      <c r="H7117" s="781"/>
    </row>
    <row r="7118" spans="1:9" ht="15" customHeight="1">
      <c r="A7118" s="199">
        <v>45776</v>
      </c>
      <c r="B7118" s="202" t="s">
        <v>5628</v>
      </c>
      <c r="C7118" s="200" t="s">
        <v>204</v>
      </c>
      <c r="D7118" s="204">
        <v>-120000</v>
      </c>
      <c r="E7118" s="201">
        <v>45748</v>
      </c>
      <c r="F7118" s="781" t="s">
        <v>256</v>
      </c>
      <c r="G7118" s="781" t="s">
        <v>256</v>
      </c>
      <c r="H7118" s="781" t="s">
        <v>269</v>
      </c>
    </row>
    <row r="7119" spans="1:9" ht="15" customHeight="1">
      <c r="A7119" s="199">
        <v>45776</v>
      </c>
      <c r="B7119" s="202" t="s">
        <v>5629</v>
      </c>
      <c r="C7119" s="200" t="s">
        <v>204</v>
      </c>
      <c r="D7119" s="204">
        <v>-3243040.56</v>
      </c>
      <c r="E7119" s="201">
        <v>45748</v>
      </c>
      <c r="F7119" s="781" t="s">
        <v>256</v>
      </c>
      <c r="G7119" s="781" t="s">
        <v>256</v>
      </c>
      <c r="H7119" s="781" t="s">
        <v>266</v>
      </c>
    </row>
    <row r="7120" spans="1:9" ht="15" customHeight="1">
      <c r="A7120" s="199">
        <v>45776</v>
      </c>
      <c r="B7120" s="202" t="s">
        <v>5630</v>
      </c>
      <c r="C7120" s="200" t="s">
        <v>204</v>
      </c>
      <c r="D7120" s="204">
        <v>-83345.72</v>
      </c>
      <c r="E7120" s="201">
        <v>45748</v>
      </c>
      <c r="F7120" s="781" t="s">
        <v>256</v>
      </c>
      <c r="G7120" s="781" t="s">
        <v>256</v>
      </c>
      <c r="H7120" s="781" t="s">
        <v>266</v>
      </c>
    </row>
    <row r="7121" spans="1:9" ht="15" customHeight="1">
      <c r="A7121" s="199">
        <v>45776</v>
      </c>
      <c r="B7121" s="202" t="s">
        <v>5631</v>
      </c>
      <c r="C7121" s="200" t="s">
        <v>204</v>
      </c>
      <c r="D7121" s="204">
        <v>-180000</v>
      </c>
      <c r="E7121" s="201">
        <v>45748</v>
      </c>
      <c r="F7121" s="781" t="s">
        <v>256</v>
      </c>
      <c r="G7121" s="781" t="s">
        <v>256</v>
      </c>
      <c r="H7121" s="781" t="s">
        <v>9</v>
      </c>
    </row>
    <row r="7122" spans="1:9" ht="15" customHeight="1">
      <c r="A7122" s="199">
        <v>45776</v>
      </c>
      <c r="B7122" s="202" t="s">
        <v>5632</v>
      </c>
      <c r="C7122" s="200" t="s">
        <v>204</v>
      </c>
      <c r="D7122" s="204">
        <v>-410577</v>
      </c>
      <c r="E7122" s="201">
        <v>45748</v>
      </c>
      <c r="F7122" s="781" t="s">
        <v>256</v>
      </c>
      <c r="G7122" s="781" t="s">
        <v>256</v>
      </c>
      <c r="H7122" s="781" t="s">
        <v>266</v>
      </c>
    </row>
    <row r="7123" spans="1:9" ht="15" customHeight="1">
      <c r="A7123" s="199">
        <v>45772</v>
      </c>
      <c r="B7123" s="202" t="s">
        <v>5633</v>
      </c>
      <c r="C7123" s="200" t="s">
        <v>204</v>
      </c>
      <c r="D7123" s="204">
        <v>39000000</v>
      </c>
      <c r="E7123" s="201">
        <v>45748</v>
      </c>
      <c r="F7123" s="781" t="s">
        <v>983</v>
      </c>
      <c r="G7123" s="781" t="s">
        <v>5466</v>
      </c>
      <c r="H7123" s="781"/>
    </row>
    <row r="7124" spans="1:9" ht="15" customHeight="1">
      <c r="A7124" s="777">
        <v>45777</v>
      </c>
      <c r="B7124" s="778" t="s">
        <v>5634</v>
      </c>
      <c r="C7124" s="778" t="s">
        <v>136</v>
      </c>
      <c r="D7124" s="779">
        <v>-1419017</v>
      </c>
      <c r="E7124" s="780">
        <v>45748</v>
      </c>
      <c r="F7124" s="781" t="s">
        <v>296</v>
      </c>
      <c r="G7124" s="781" t="s">
        <v>1362</v>
      </c>
      <c r="H7124" s="781"/>
      <c r="I7124" s="778" t="s">
        <v>5635</v>
      </c>
    </row>
    <row r="7125" spans="1:9" ht="15" customHeight="1">
      <c r="A7125" s="777">
        <v>45777</v>
      </c>
      <c r="B7125" s="778" t="s">
        <v>5636</v>
      </c>
      <c r="C7125" s="778" t="s">
        <v>136</v>
      </c>
      <c r="D7125" s="779">
        <v>1419017</v>
      </c>
      <c r="E7125" s="780">
        <v>45748</v>
      </c>
      <c r="F7125" s="781" t="s">
        <v>296</v>
      </c>
      <c r="G7125" s="781" t="s">
        <v>1362</v>
      </c>
      <c r="H7125" s="781"/>
      <c r="I7125" s="648" t="s">
        <v>329</v>
      </c>
    </row>
    <row r="7126" spans="1:9" ht="15" customHeight="1">
      <c r="A7126" s="199">
        <v>45775</v>
      </c>
      <c r="B7126" s="202" t="s">
        <v>5637</v>
      </c>
      <c r="C7126" s="200" t="s">
        <v>136</v>
      </c>
      <c r="D7126" s="204">
        <v>4291514</v>
      </c>
      <c r="E7126" s="201">
        <v>45748</v>
      </c>
      <c r="F7126" s="781" t="s">
        <v>295</v>
      </c>
      <c r="G7126" s="781"/>
      <c r="H7126" s="781"/>
    </row>
    <row r="7127" spans="1:9" ht="15" customHeight="1">
      <c r="A7127" s="199">
        <v>45776</v>
      </c>
      <c r="B7127" s="202" t="s">
        <v>3475</v>
      </c>
      <c r="C7127" s="200" t="s">
        <v>136</v>
      </c>
      <c r="D7127" s="204">
        <v>1030116</v>
      </c>
      <c r="E7127" s="201">
        <v>45748</v>
      </c>
      <c r="F7127" s="781" t="s">
        <v>295</v>
      </c>
      <c r="G7127" s="781"/>
      <c r="H7127" s="781"/>
    </row>
    <row r="7128" spans="1:9" ht="15" customHeight="1">
      <c r="A7128" s="199">
        <v>45777</v>
      </c>
      <c r="B7128" s="202" t="s">
        <v>5638</v>
      </c>
      <c r="C7128" s="200" t="s">
        <v>136</v>
      </c>
      <c r="D7128" s="204">
        <v>769058.76</v>
      </c>
      <c r="E7128" s="201">
        <v>45748</v>
      </c>
      <c r="F7128" s="781" t="s">
        <v>295</v>
      </c>
      <c r="G7128" s="781"/>
      <c r="H7128" s="781"/>
    </row>
    <row r="7129" spans="1:9" ht="15" customHeight="1">
      <c r="A7129" s="199">
        <v>45777</v>
      </c>
      <c r="B7129" s="202" t="s">
        <v>5639</v>
      </c>
      <c r="C7129" s="200" t="s">
        <v>136</v>
      </c>
      <c r="D7129" s="204">
        <v>3528365</v>
      </c>
      <c r="E7129" s="201">
        <v>45748</v>
      </c>
      <c r="F7129" s="781" t="s">
        <v>295</v>
      </c>
      <c r="G7129" s="781"/>
      <c r="H7129" s="781"/>
    </row>
    <row r="7130" spans="1:9" ht="15" customHeight="1">
      <c r="A7130" s="199">
        <v>45772</v>
      </c>
      <c r="B7130" s="202" t="s">
        <v>5640</v>
      </c>
      <c r="C7130" s="200" t="s">
        <v>314</v>
      </c>
      <c r="D7130" s="204">
        <v>10829268</v>
      </c>
      <c r="E7130" s="201">
        <v>45748</v>
      </c>
      <c r="F7130" s="781" t="s">
        <v>295</v>
      </c>
      <c r="G7130" s="781"/>
      <c r="H7130" s="781"/>
    </row>
    <row r="7131" spans="1:9" ht="15" customHeight="1">
      <c r="A7131" s="199">
        <v>45775</v>
      </c>
      <c r="B7131" s="202" t="s">
        <v>5641</v>
      </c>
      <c r="C7131" s="200" t="s">
        <v>314</v>
      </c>
      <c r="D7131" s="204">
        <v>2254430</v>
      </c>
      <c r="E7131" s="201">
        <v>45748</v>
      </c>
      <c r="F7131" s="781" t="s">
        <v>295</v>
      </c>
      <c r="G7131" s="781"/>
      <c r="H7131" s="781"/>
    </row>
    <row r="7132" spans="1:9" ht="15" customHeight="1">
      <c r="A7132" s="199">
        <v>45777</v>
      </c>
      <c r="B7132" s="202" t="s">
        <v>5642</v>
      </c>
      <c r="C7132" s="200" t="s">
        <v>314</v>
      </c>
      <c r="D7132" s="204">
        <v>2500000</v>
      </c>
      <c r="E7132" s="201">
        <v>45748</v>
      </c>
      <c r="F7132" s="781" t="s">
        <v>295</v>
      </c>
      <c r="G7132" s="781"/>
      <c r="H7132" s="781"/>
    </row>
    <row r="7133" spans="1:9" ht="15" customHeight="1">
      <c r="A7133" s="199">
        <v>45761</v>
      </c>
      <c r="B7133" s="202" t="s">
        <v>5643</v>
      </c>
      <c r="C7133" s="200" t="s">
        <v>307</v>
      </c>
      <c r="D7133" s="204">
        <v>-20500</v>
      </c>
      <c r="E7133" s="201">
        <v>45748</v>
      </c>
      <c r="F7133" s="781" t="s">
        <v>296</v>
      </c>
      <c r="G7133" s="781" t="s">
        <v>3360</v>
      </c>
      <c r="H7133" s="781" t="s">
        <v>5376</v>
      </c>
    </row>
    <row r="7134" spans="1:9" ht="15" customHeight="1">
      <c r="A7134" s="199">
        <v>45761</v>
      </c>
      <c r="B7134" s="202" t="s">
        <v>5643</v>
      </c>
      <c r="C7134" s="200" t="s">
        <v>307</v>
      </c>
      <c r="D7134" s="204">
        <v>-98248</v>
      </c>
      <c r="E7134" s="201">
        <v>45748</v>
      </c>
      <c r="F7134" s="781" t="s">
        <v>296</v>
      </c>
      <c r="G7134" s="781" t="s">
        <v>3360</v>
      </c>
      <c r="H7134" s="781" t="s">
        <v>5376</v>
      </c>
      <c r="I7134" s="200" t="s">
        <v>4979</v>
      </c>
    </row>
    <row r="7135" spans="1:9" ht="15" customHeight="1">
      <c r="A7135" s="199">
        <v>45762</v>
      </c>
      <c r="B7135" s="202" t="s">
        <v>5644</v>
      </c>
      <c r="C7135" s="200" t="s">
        <v>307</v>
      </c>
      <c r="D7135" s="204">
        <v>-20000</v>
      </c>
      <c r="E7135" s="201">
        <v>45748</v>
      </c>
      <c r="F7135" s="781" t="s">
        <v>296</v>
      </c>
      <c r="G7135" s="781" t="s">
        <v>3360</v>
      </c>
      <c r="H7135" s="781" t="s">
        <v>268</v>
      </c>
      <c r="I7135" s="200" t="s">
        <v>4979</v>
      </c>
    </row>
    <row r="7136" spans="1:9" ht="15" customHeight="1">
      <c r="A7136" s="199">
        <v>45762</v>
      </c>
      <c r="B7136" s="202" t="s">
        <v>5645</v>
      </c>
      <c r="C7136" s="200" t="s">
        <v>307</v>
      </c>
      <c r="D7136" s="204">
        <v>-20000</v>
      </c>
      <c r="E7136" s="201">
        <v>45748</v>
      </c>
      <c r="F7136" s="781" t="s">
        <v>296</v>
      </c>
      <c r="G7136" s="781" t="s">
        <v>3360</v>
      </c>
      <c r="H7136" s="781" t="s">
        <v>268</v>
      </c>
      <c r="I7136" s="200" t="s">
        <v>4979</v>
      </c>
    </row>
    <row r="7137" spans="1:9" ht="15" customHeight="1">
      <c r="A7137" s="199">
        <v>45762</v>
      </c>
      <c r="B7137" s="202" t="s">
        <v>5646</v>
      </c>
      <c r="C7137" s="200" t="s">
        <v>307</v>
      </c>
      <c r="D7137" s="204">
        <v>-15000</v>
      </c>
      <c r="E7137" s="201">
        <v>45748</v>
      </c>
      <c r="F7137" s="781" t="s">
        <v>296</v>
      </c>
      <c r="G7137" s="781" t="s">
        <v>3360</v>
      </c>
      <c r="H7137" s="781" t="s">
        <v>268</v>
      </c>
      <c r="I7137" s="200" t="s">
        <v>4979</v>
      </c>
    </row>
    <row r="7138" spans="1:9" ht="15" customHeight="1">
      <c r="A7138" s="199">
        <v>45762</v>
      </c>
      <c r="B7138" s="202" t="s">
        <v>5647</v>
      </c>
      <c r="C7138" s="200" t="s">
        <v>307</v>
      </c>
      <c r="D7138" s="204">
        <v>-4500</v>
      </c>
      <c r="E7138" s="201">
        <v>45748</v>
      </c>
      <c r="F7138" s="781" t="s">
        <v>296</v>
      </c>
      <c r="G7138" s="781" t="s">
        <v>3360</v>
      </c>
      <c r="H7138" s="781" t="s">
        <v>5384</v>
      </c>
      <c r="I7138" s="200" t="s">
        <v>4979</v>
      </c>
    </row>
    <row r="7139" spans="1:9" ht="15" customHeight="1">
      <c r="A7139" s="199">
        <v>45762</v>
      </c>
      <c r="B7139" s="202" t="s">
        <v>5648</v>
      </c>
      <c r="C7139" s="200" t="s">
        <v>307</v>
      </c>
      <c r="D7139" s="204">
        <v>-28000</v>
      </c>
      <c r="E7139" s="201">
        <v>45748</v>
      </c>
      <c r="F7139" s="781" t="s">
        <v>296</v>
      </c>
      <c r="G7139" s="781" t="s">
        <v>3360</v>
      </c>
      <c r="H7139" s="781" t="s">
        <v>268</v>
      </c>
      <c r="I7139" s="200" t="s">
        <v>4979</v>
      </c>
    </row>
    <row r="7140" spans="1:9" ht="15" customHeight="1">
      <c r="A7140" s="199">
        <v>45762</v>
      </c>
      <c r="B7140" s="202" t="s">
        <v>5643</v>
      </c>
      <c r="C7140" s="200" t="s">
        <v>307</v>
      </c>
      <c r="D7140" s="204">
        <v>-6400</v>
      </c>
      <c r="E7140" s="201">
        <v>45748</v>
      </c>
      <c r="F7140" s="781" t="s">
        <v>296</v>
      </c>
      <c r="G7140" s="781" t="s">
        <v>3360</v>
      </c>
      <c r="H7140" s="781" t="s">
        <v>5376</v>
      </c>
      <c r="I7140" s="200" t="s">
        <v>4979</v>
      </c>
    </row>
    <row r="7141" spans="1:9" ht="15" customHeight="1">
      <c r="A7141" s="199">
        <v>45762</v>
      </c>
      <c r="B7141" s="202" t="s">
        <v>5643</v>
      </c>
      <c r="C7141" s="200" t="s">
        <v>307</v>
      </c>
      <c r="D7141" s="204">
        <v>-6000</v>
      </c>
      <c r="E7141" s="201">
        <v>45748</v>
      </c>
      <c r="F7141" s="781" t="s">
        <v>296</v>
      </c>
      <c r="G7141" s="781" t="s">
        <v>3360</v>
      </c>
      <c r="H7141" s="781" t="s">
        <v>5376</v>
      </c>
      <c r="I7141" s="200" t="s">
        <v>4979</v>
      </c>
    </row>
    <row r="7142" spans="1:9" ht="15" customHeight="1">
      <c r="A7142" s="199">
        <v>45762</v>
      </c>
      <c r="B7142" s="202" t="s">
        <v>5649</v>
      </c>
      <c r="C7142" s="200" t="s">
        <v>307</v>
      </c>
      <c r="D7142" s="204">
        <v>-25000</v>
      </c>
      <c r="E7142" s="201">
        <v>45748</v>
      </c>
      <c r="F7142" s="781" t="s">
        <v>296</v>
      </c>
      <c r="G7142" s="781" t="s">
        <v>3360</v>
      </c>
      <c r="H7142" s="781" t="s">
        <v>268</v>
      </c>
      <c r="I7142" s="200" t="s">
        <v>4979</v>
      </c>
    </row>
    <row r="7143" spans="1:9" ht="15" customHeight="1">
      <c r="A7143" s="199">
        <v>45762</v>
      </c>
      <c r="B7143" s="202" t="s">
        <v>5650</v>
      </c>
      <c r="C7143" s="200" t="s">
        <v>307</v>
      </c>
      <c r="D7143" s="204">
        <v>-25000</v>
      </c>
      <c r="E7143" s="201">
        <v>45748</v>
      </c>
      <c r="F7143" s="781" t="s">
        <v>296</v>
      </c>
      <c r="G7143" s="781" t="s">
        <v>3360</v>
      </c>
      <c r="H7143" s="781" t="s">
        <v>268</v>
      </c>
      <c r="I7143" s="200" t="s">
        <v>4979</v>
      </c>
    </row>
    <row r="7144" spans="1:9" ht="15" customHeight="1">
      <c r="A7144" s="199">
        <v>45763</v>
      </c>
      <c r="B7144" s="202" t="s">
        <v>5651</v>
      </c>
      <c r="C7144" s="200" t="s">
        <v>307</v>
      </c>
      <c r="D7144" s="204">
        <v>-300000</v>
      </c>
      <c r="E7144" s="201">
        <v>45748</v>
      </c>
      <c r="F7144" s="781" t="s">
        <v>297</v>
      </c>
      <c r="G7144" s="781" t="s">
        <v>3892</v>
      </c>
      <c r="H7144" s="781" t="s">
        <v>268</v>
      </c>
      <c r="I7144" s="200" t="s">
        <v>4979</v>
      </c>
    </row>
    <row r="7145" spans="1:9" ht="15" customHeight="1">
      <c r="A7145" s="199">
        <v>45763</v>
      </c>
      <c r="B7145" s="202" t="s">
        <v>5652</v>
      </c>
      <c r="C7145" s="200" t="s">
        <v>307</v>
      </c>
      <c r="D7145" s="204">
        <v>-32000</v>
      </c>
      <c r="E7145" s="201">
        <v>45748</v>
      </c>
      <c r="F7145" s="781" t="s">
        <v>296</v>
      </c>
      <c r="G7145" s="781" t="s">
        <v>3360</v>
      </c>
      <c r="H7145" s="781" t="s">
        <v>5384</v>
      </c>
      <c r="I7145" s="200" t="s">
        <v>4979</v>
      </c>
    </row>
    <row r="7146" spans="1:9" ht="15" customHeight="1">
      <c r="A7146" s="199">
        <v>45763</v>
      </c>
      <c r="B7146" s="202" t="s">
        <v>5653</v>
      </c>
      <c r="C7146" s="200" t="s">
        <v>307</v>
      </c>
      <c r="D7146" s="204">
        <v>-31000</v>
      </c>
      <c r="E7146" s="201">
        <v>45748</v>
      </c>
      <c r="F7146" s="781" t="s">
        <v>297</v>
      </c>
      <c r="G7146" s="781" t="s">
        <v>3892</v>
      </c>
      <c r="H7146" s="781" t="s">
        <v>268</v>
      </c>
      <c r="I7146" s="200" t="s">
        <v>4979</v>
      </c>
    </row>
    <row r="7147" spans="1:9" ht="15" customHeight="1">
      <c r="A7147" s="199">
        <v>45763</v>
      </c>
      <c r="B7147" s="202" t="s">
        <v>5643</v>
      </c>
      <c r="C7147" s="200" t="s">
        <v>307</v>
      </c>
      <c r="D7147" s="204">
        <v>-11650</v>
      </c>
      <c r="E7147" s="201">
        <v>45748</v>
      </c>
      <c r="F7147" s="781" t="s">
        <v>296</v>
      </c>
      <c r="G7147" s="781" t="s">
        <v>3360</v>
      </c>
      <c r="H7147" s="781" t="s">
        <v>5376</v>
      </c>
      <c r="I7147" s="200" t="s">
        <v>4979</v>
      </c>
    </row>
    <row r="7148" spans="1:9" ht="15" customHeight="1">
      <c r="A7148" s="199">
        <v>45763</v>
      </c>
      <c r="B7148" s="202" t="s">
        <v>5643</v>
      </c>
      <c r="C7148" s="200" t="s">
        <v>307</v>
      </c>
      <c r="D7148" s="204">
        <v>-28600</v>
      </c>
      <c r="E7148" s="201">
        <v>45748</v>
      </c>
      <c r="F7148" s="781" t="s">
        <v>296</v>
      </c>
      <c r="G7148" s="781" t="s">
        <v>3360</v>
      </c>
      <c r="H7148" s="781" t="s">
        <v>5376</v>
      </c>
      <c r="I7148" s="200" t="s">
        <v>4979</v>
      </c>
    </row>
    <row r="7149" spans="1:9" ht="15" customHeight="1">
      <c r="A7149" s="199">
        <v>45763</v>
      </c>
      <c r="B7149" s="202" t="s">
        <v>5654</v>
      </c>
      <c r="C7149" s="200" t="s">
        <v>307</v>
      </c>
      <c r="D7149" s="204">
        <v>-80000</v>
      </c>
      <c r="E7149" s="201">
        <v>45748</v>
      </c>
      <c r="F7149" s="781" t="s">
        <v>297</v>
      </c>
      <c r="G7149" s="781" t="s">
        <v>3892</v>
      </c>
      <c r="H7149" s="781" t="s">
        <v>268</v>
      </c>
      <c r="I7149" s="200" t="s">
        <v>4979</v>
      </c>
    </row>
    <row r="7150" spans="1:9" ht="15" customHeight="1">
      <c r="A7150" s="199">
        <v>45763</v>
      </c>
      <c r="B7150" s="202" t="s">
        <v>5655</v>
      </c>
      <c r="C7150" s="200" t="s">
        <v>307</v>
      </c>
      <c r="D7150" s="204">
        <v>-80000</v>
      </c>
      <c r="E7150" s="201">
        <v>45748</v>
      </c>
      <c r="F7150" s="781" t="s">
        <v>297</v>
      </c>
      <c r="G7150" s="781" t="s">
        <v>3892</v>
      </c>
      <c r="H7150" s="781" t="s">
        <v>268</v>
      </c>
      <c r="I7150" s="200" t="s">
        <v>4979</v>
      </c>
    </row>
    <row r="7151" spans="1:9" ht="15" customHeight="1">
      <c r="A7151" s="199">
        <v>45763</v>
      </c>
      <c r="B7151" s="202" t="s">
        <v>5656</v>
      </c>
      <c r="C7151" s="200" t="s">
        <v>307</v>
      </c>
      <c r="D7151" s="204">
        <v>-50000</v>
      </c>
      <c r="E7151" s="201">
        <v>45748</v>
      </c>
      <c r="F7151" s="781" t="s">
        <v>297</v>
      </c>
      <c r="G7151" s="781" t="s">
        <v>3892</v>
      </c>
      <c r="H7151" s="781" t="s">
        <v>268</v>
      </c>
      <c r="I7151" s="200" t="s">
        <v>4979</v>
      </c>
    </row>
    <row r="7152" spans="1:9" ht="15" customHeight="1">
      <c r="A7152" s="199">
        <v>45763</v>
      </c>
      <c r="B7152" s="202" t="s">
        <v>5656</v>
      </c>
      <c r="C7152" s="200" t="s">
        <v>307</v>
      </c>
      <c r="D7152" s="204">
        <v>-30000</v>
      </c>
      <c r="E7152" s="201">
        <v>45748</v>
      </c>
      <c r="F7152" s="781" t="s">
        <v>297</v>
      </c>
      <c r="G7152" s="781" t="s">
        <v>3892</v>
      </c>
      <c r="H7152" s="781" t="s">
        <v>268</v>
      </c>
      <c r="I7152" s="200" t="s">
        <v>4979</v>
      </c>
    </row>
    <row r="7153" spans="1:9" ht="15" customHeight="1">
      <c r="A7153" s="199">
        <v>45763</v>
      </c>
      <c r="B7153" s="202" t="s">
        <v>5657</v>
      </c>
      <c r="C7153" s="200" t="s">
        <v>307</v>
      </c>
      <c r="D7153" s="204">
        <v>-20000</v>
      </c>
      <c r="E7153" s="201">
        <v>45748</v>
      </c>
      <c r="F7153" s="781" t="s">
        <v>297</v>
      </c>
      <c r="G7153" s="781" t="s">
        <v>3892</v>
      </c>
      <c r="H7153" s="781" t="s">
        <v>268</v>
      </c>
      <c r="I7153" s="200" t="s">
        <v>4979</v>
      </c>
    </row>
    <row r="7154" spans="1:9" ht="15" customHeight="1">
      <c r="A7154" s="199">
        <v>45763</v>
      </c>
      <c r="B7154" s="202" t="s">
        <v>5658</v>
      </c>
      <c r="C7154" s="200" t="s">
        <v>307</v>
      </c>
      <c r="D7154" s="204">
        <v>-64240</v>
      </c>
      <c r="E7154" s="201">
        <v>45748</v>
      </c>
      <c r="F7154" s="781" t="s">
        <v>297</v>
      </c>
      <c r="G7154" s="781" t="s">
        <v>3892</v>
      </c>
      <c r="H7154" s="781" t="s">
        <v>268</v>
      </c>
      <c r="I7154" s="200" t="s">
        <v>4979</v>
      </c>
    </row>
    <row r="7155" spans="1:9" ht="15" customHeight="1">
      <c r="A7155" s="199">
        <v>45766</v>
      </c>
      <c r="B7155" s="202" t="s">
        <v>5659</v>
      </c>
      <c r="C7155" s="200" t="s">
        <v>307</v>
      </c>
      <c r="D7155" s="204">
        <v>-253000</v>
      </c>
      <c r="E7155" s="201">
        <v>45748</v>
      </c>
      <c r="F7155" s="781" t="s">
        <v>296</v>
      </c>
      <c r="G7155" s="781" t="s">
        <v>3360</v>
      </c>
      <c r="H7155" s="781" t="s">
        <v>5376</v>
      </c>
      <c r="I7155" s="200" t="s">
        <v>4979</v>
      </c>
    </row>
    <row r="7156" spans="1:9" ht="15" customHeight="1">
      <c r="A7156" s="199">
        <v>45766</v>
      </c>
      <c r="B7156" s="202" t="s">
        <v>5660</v>
      </c>
      <c r="C7156" s="200" t="s">
        <v>307</v>
      </c>
      <c r="D7156" s="204">
        <v>-120399</v>
      </c>
      <c r="E7156" s="201">
        <v>45748</v>
      </c>
      <c r="F7156" s="781" t="s">
        <v>296</v>
      </c>
      <c r="G7156" s="781" t="s">
        <v>3360</v>
      </c>
      <c r="H7156" s="781" t="s">
        <v>5376</v>
      </c>
      <c r="I7156" s="648" t="s">
        <v>329</v>
      </c>
    </row>
    <row r="7157" spans="1:9" ht="15" customHeight="1">
      <c r="A7157" s="199">
        <v>45767</v>
      </c>
      <c r="B7157" s="202" t="s">
        <v>5661</v>
      </c>
      <c r="C7157" s="200" t="s">
        <v>307</v>
      </c>
      <c r="D7157" s="204">
        <v>-249900</v>
      </c>
      <c r="E7157" s="201">
        <v>45748</v>
      </c>
      <c r="F7157" s="781" t="s">
        <v>297</v>
      </c>
      <c r="G7157" s="781" t="s">
        <v>3892</v>
      </c>
      <c r="H7157" s="781" t="s">
        <v>342</v>
      </c>
      <c r="I7157" s="200" t="s">
        <v>4979</v>
      </c>
    </row>
    <row r="7158" spans="1:9" ht="15" customHeight="1">
      <c r="A7158" s="199">
        <v>45767</v>
      </c>
      <c r="B7158" s="202" t="s">
        <v>5662</v>
      </c>
      <c r="C7158" s="200" t="s">
        <v>307</v>
      </c>
      <c r="D7158" s="204">
        <v>-71800</v>
      </c>
      <c r="E7158" s="201">
        <v>45748</v>
      </c>
      <c r="F7158" s="781" t="s">
        <v>297</v>
      </c>
      <c r="G7158" s="781" t="s">
        <v>3892</v>
      </c>
      <c r="H7158" s="781" t="s">
        <v>342</v>
      </c>
      <c r="I7158" s="200" t="s">
        <v>4979</v>
      </c>
    </row>
    <row r="7159" spans="1:9" ht="15" customHeight="1">
      <c r="A7159" s="199">
        <v>45767</v>
      </c>
      <c r="B7159" s="202" t="s">
        <v>5663</v>
      </c>
      <c r="C7159" s="200" t="s">
        <v>307</v>
      </c>
      <c r="D7159" s="204">
        <v>-20000</v>
      </c>
      <c r="E7159" s="201">
        <v>45748</v>
      </c>
      <c r="F7159" s="781" t="s">
        <v>297</v>
      </c>
      <c r="G7159" s="781" t="s">
        <v>3892</v>
      </c>
      <c r="H7159" s="781" t="s">
        <v>268</v>
      </c>
      <c r="I7159" s="200" t="s">
        <v>4979</v>
      </c>
    </row>
    <row r="7160" spans="1:9" ht="15" customHeight="1">
      <c r="A7160" s="199">
        <v>45768</v>
      </c>
      <c r="B7160" s="202" t="s">
        <v>5664</v>
      </c>
      <c r="C7160" s="200" t="s">
        <v>307</v>
      </c>
      <c r="D7160" s="204">
        <v>-49000</v>
      </c>
      <c r="E7160" s="201">
        <v>45748</v>
      </c>
      <c r="F7160" s="781" t="s">
        <v>297</v>
      </c>
      <c r="G7160" s="781" t="s">
        <v>3892</v>
      </c>
      <c r="H7160" s="781" t="s">
        <v>342</v>
      </c>
      <c r="I7160" s="200" t="s">
        <v>4979</v>
      </c>
    </row>
    <row r="7161" spans="1:9" ht="15" customHeight="1">
      <c r="A7161" s="199">
        <v>45768</v>
      </c>
      <c r="B7161" s="202" t="s">
        <v>5665</v>
      </c>
      <c r="C7161" s="200" t="s">
        <v>307</v>
      </c>
      <c r="D7161" s="204">
        <v>-31999</v>
      </c>
      <c r="E7161" s="201">
        <v>45748</v>
      </c>
      <c r="F7161" s="781" t="s">
        <v>297</v>
      </c>
      <c r="G7161" s="781" t="s">
        <v>3892</v>
      </c>
      <c r="H7161" s="781" t="s">
        <v>5384</v>
      </c>
      <c r="I7161" s="200" t="s">
        <v>4979</v>
      </c>
    </row>
    <row r="7162" spans="1:9" ht="15" customHeight="1">
      <c r="A7162" s="199">
        <v>45768</v>
      </c>
      <c r="B7162" s="202" t="s">
        <v>5666</v>
      </c>
      <c r="C7162" s="200" t="s">
        <v>307</v>
      </c>
      <c r="D7162" s="204">
        <v>-25000</v>
      </c>
      <c r="E7162" s="201">
        <v>45748</v>
      </c>
      <c r="F7162" s="781" t="s">
        <v>297</v>
      </c>
      <c r="G7162" s="781" t="s">
        <v>3892</v>
      </c>
      <c r="H7162" s="781" t="s">
        <v>5384</v>
      </c>
      <c r="I7162" s="200" t="s">
        <v>4979</v>
      </c>
    </row>
    <row r="7163" spans="1:9" ht="15" customHeight="1">
      <c r="A7163" s="199">
        <v>45768</v>
      </c>
      <c r="B7163" s="202" t="s">
        <v>5667</v>
      </c>
      <c r="C7163" s="200" t="s">
        <v>307</v>
      </c>
      <c r="D7163" s="204">
        <v>-86000</v>
      </c>
      <c r="E7163" s="201">
        <v>45748</v>
      </c>
      <c r="F7163" s="781" t="s">
        <v>297</v>
      </c>
      <c r="G7163" s="781" t="s">
        <v>3892</v>
      </c>
      <c r="H7163" s="781" t="s">
        <v>5384</v>
      </c>
      <c r="I7163" s="200" t="s">
        <v>4979</v>
      </c>
    </row>
    <row r="7164" spans="1:9" ht="15" customHeight="1">
      <c r="A7164" s="199">
        <v>45768</v>
      </c>
      <c r="B7164" s="202" t="s">
        <v>5668</v>
      </c>
      <c r="C7164" s="200" t="s">
        <v>307</v>
      </c>
      <c r="D7164" s="204">
        <v>-32120</v>
      </c>
      <c r="E7164" s="201">
        <v>45748</v>
      </c>
      <c r="F7164" s="781" t="s">
        <v>297</v>
      </c>
      <c r="G7164" s="781" t="s">
        <v>3892</v>
      </c>
      <c r="H7164" s="781" t="s">
        <v>268</v>
      </c>
      <c r="I7164" s="648" t="s">
        <v>329</v>
      </c>
    </row>
    <row r="7165" spans="1:9" ht="15" customHeight="1">
      <c r="A7165" s="199">
        <v>45771</v>
      </c>
      <c r="B7165" s="202" t="s">
        <v>5669</v>
      </c>
      <c r="C7165" s="200" t="s">
        <v>307</v>
      </c>
      <c r="D7165" s="204">
        <v>-20000</v>
      </c>
      <c r="E7165" s="201">
        <v>45748</v>
      </c>
      <c r="F7165" s="781" t="s">
        <v>297</v>
      </c>
      <c r="G7165" s="781" t="s">
        <v>385</v>
      </c>
      <c r="H7165" s="781" t="s">
        <v>268</v>
      </c>
      <c r="I7165" s="200" t="s">
        <v>3185</v>
      </c>
    </row>
    <row r="7166" spans="1:9" ht="15" customHeight="1">
      <c r="A7166" s="199">
        <v>45771</v>
      </c>
      <c r="B7166" s="202" t="s">
        <v>729</v>
      </c>
      <c r="C7166" s="200" t="s">
        <v>307</v>
      </c>
      <c r="D7166" s="204">
        <v>-6000</v>
      </c>
      <c r="E7166" s="201">
        <v>45748</v>
      </c>
      <c r="F7166" s="781" t="s">
        <v>297</v>
      </c>
      <c r="G7166" s="781" t="s">
        <v>385</v>
      </c>
      <c r="H7166" s="781" t="s">
        <v>342</v>
      </c>
      <c r="I7166" s="200" t="s">
        <v>3185</v>
      </c>
    </row>
    <row r="7167" spans="1:9" ht="15" customHeight="1">
      <c r="A7167" s="199">
        <v>45771</v>
      </c>
      <c r="B7167" s="202" t="s">
        <v>5670</v>
      </c>
      <c r="C7167" s="200" t="s">
        <v>307</v>
      </c>
      <c r="D7167" s="204">
        <v>-20000</v>
      </c>
      <c r="E7167" s="201">
        <v>45748</v>
      </c>
      <c r="F7167" s="781" t="s">
        <v>297</v>
      </c>
      <c r="G7167" s="781" t="s">
        <v>385</v>
      </c>
      <c r="H7167" s="781" t="s">
        <v>268</v>
      </c>
      <c r="I7167" s="648" t="s">
        <v>329</v>
      </c>
    </row>
    <row r="7168" spans="1:9" ht="15" customHeight="1">
      <c r="A7168" s="199">
        <v>45772</v>
      </c>
      <c r="B7168" s="202" t="s">
        <v>5671</v>
      </c>
      <c r="C7168" s="200" t="s">
        <v>307</v>
      </c>
      <c r="D7168" s="204">
        <v>-6500</v>
      </c>
      <c r="E7168" s="201">
        <v>45748</v>
      </c>
      <c r="F7168" s="781" t="s">
        <v>296</v>
      </c>
      <c r="G7168" s="781" t="s">
        <v>411</v>
      </c>
      <c r="H7168" s="781" t="s">
        <v>268</v>
      </c>
      <c r="I7168" s="200" t="s">
        <v>3185</v>
      </c>
    </row>
    <row r="7169" spans="1:9" ht="15" customHeight="1">
      <c r="A7169" s="199">
        <v>45776</v>
      </c>
      <c r="B7169" s="202" t="s">
        <v>3827</v>
      </c>
      <c r="C7169" s="200" t="s">
        <v>307</v>
      </c>
      <c r="D7169" s="204">
        <v>-6500</v>
      </c>
      <c r="E7169" s="201">
        <v>45748</v>
      </c>
      <c r="F7169" s="781" t="s">
        <v>296</v>
      </c>
      <c r="G7169" s="781" t="s">
        <v>411</v>
      </c>
      <c r="H7169" s="781" t="s">
        <v>268</v>
      </c>
      <c r="I7169" s="200" t="s">
        <v>3185</v>
      </c>
    </row>
    <row r="7170" spans="1:9" ht="15" customHeight="1">
      <c r="A7170" s="199">
        <v>45776</v>
      </c>
      <c r="B7170" s="202" t="s">
        <v>5672</v>
      </c>
      <c r="C7170" s="200" t="s">
        <v>307</v>
      </c>
      <c r="D7170" s="204">
        <v>-6500</v>
      </c>
      <c r="E7170" s="201">
        <v>45748</v>
      </c>
      <c r="F7170" s="781" t="s">
        <v>296</v>
      </c>
      <c r="G7170" s="781" t="s">
        <v>411</v>
      </c>
      <c r="H7170" s="781" t="s">
        <v>268</v>
      </c>
      <c r="I7170" s="200" t="s">
        <v>3185</v>
      </c>
    </row>
    <row r="7171" spans="1:9" ht="15" customHeight="1">
      <c r="A7171" s="199">
        <v>45777</v>
      </c>
      <c r="B7171" s="202" t="s">
        <v>1949</v>
      </c>
      <c r="C7171" s="200" t="s">
        <v>307</v>
      </c>
      <c r="D7171" s="204">
        <v>-6500</v>
      </c>
      <c r="E7171" s="201">
        <v>45748</v>
      </c>
      <c r="F7171" s="781" t="s">
        <v>296</v>
      </c>
      <c r="G7171" s="781" t="s">
        <v>411</v>
      </c>
      <c r="H7171" s="781" t="s">
        <v>268</v>
      </c>
      <c r="I7171" s="200" t="s">
        <v>3185</v>
      </c>
    </row>
    <row r="7172" spans="1:9" ht="15" customHeight="1">
      <c r="A7172" s="199">
        <v>45777</v>
      </c>
      <c r="B7172" s="202" t="s">
        <v>5673</v>
      </c>
      <c r="C7172" s="200" t="s">
        <v>307</v>
      </c>
      <c r="D7172" s="204">
        <v>-17000</v>
      </c>
      <c r="E7172" s="201">
        <v>45748</v>
      </c>
      <c r="F7172" s="781" t="s">
        <v>296</v>
      </c>
      <c r="G7172" s="781" t="s">
        <v>411</v>
      </c>
      <c r="H7172" s="781" t="s">
        <v>268</v>
      </c>
      <c r="I7172" s="648" t="s">
        <v>329</v>
      </c>
    </row>
    <row r="7173" spans="1:9" ht="15" customHeight="1">
      <c r="A7173" s="199">
        <v>45749</v>
      </c>
      <c r="B7173" s="202" t="s">
        <v>5674</v>
      </c>
      <c r="C7173" s="200" t="s">
        <v>307</v>
      </c>
      <c r="D7173" s="204">
        <v>-40000</v>
      </c>
      <c r="E7173" s="201">
        <v>45748</v>
      </c>
      <c r="F7173" s="781" t="s">
        <v>256</v>
      </c>
      <c r="G7173" s="781" t="s">
        <v>256</v>
      </c>
      <c r="H7173" s="781" t="s">
        <v>269</v>
      </c>
      <c r="I7173" s="200" t="s">
        <v>5675</v>
      </c>
    </row>
    <row r="7174" spans="1:9" ht="15" customHeight="1">
      <c r="A7174" s="199">
        <v>45751</v>
      </c>
      <c r="B7174" s="202" t="s">
        <v>5674</v>
      </c>
      <c r="C7174" s="200" t="s">
        <v>307</v>
      </c>
      <c r="D7174" s="204">
        <v>-14000</v>
      </c>
      <c r="E7174" s="201">
        <v>45748</v>
      </c>
      <c r="F7174" s="781" t="s">
        <v>256</v>
      </c>
      <c r="G7174" s="781" t="s">
        <v>256</v>
      </c>
      <c r="H7174" s="781" t="s">
        <v>269</v>
      </c>
      <c r="I7174" s="200" t="s">
        <v>5675</v>
      </c>
    </row>
    <row r="7175" spans="1:9" ht="15" customHeight="1">
      <c r="A7175" s="199">
        <v>45751</v>
      </c>
      <c r="B7175" s="202" t="s">
        <v>5674</v>
      </c>
      <c r="C7175" s="200" t="s">
        <v>307</v>
      </c>
      <c r="D7175" s="204">
        <v>-28599</v>
      </c>
      <c r="E7175" s="201">
        <v>45748</v>
      </c>
      <c r="F7175" s="781" t="s">
        <v>256</v>
      </c>
      <c r="G7175" s="781" t="s">
        <v>256</v>
      </c>
      <c r="H7175" s="781" t="s">
        <v>269</v>
      </c>
      <c r="I7175" s="200" t="s">
        <v>5675</v>
      </c>
    </row>
    <row r="7176" spans="1:9" ht="15" customHeight="1">
      <c r="A7176" s="199">
        <v>45749</v>
      </c>
      <c r="B7176" s="202" t="s">
        <v>5674</v>
      </c>
      <c r="C7176" s="200" t="s">
        <v>307</v>
      </c>
      <c r="D7176" s="204">
        <v>-31000</v>
      </c>
      <c r="E7176" s="201">
        <v>45748</v>
      </c>
      <c r="F7176" s="781" t="s">
        <v>256</v>
      </c>
      <c r="G7176" s="781" t="s">
        <v>256</v>
      </c>
      <c r="H7176" s="781" t="s">
        <v>269</v>
      </c>
      <c r="I7176" s="200" t="s">
        <v>5675</v>
      </c>
    </row>
    <row r="7177" spans="1:9" ht="15" customHeight="1">
      <c r="A7177" s="199">
        <v>45750</v>
      </c>
      <c r="B7177" s="202" t="s">
        <v>5676</v>
      </c>
      <c r="C7177" s="200" t="s">
        <v>307</v>
      </c>
      <c r="D7177" s="204">
        <v>-14000</v>
      </c>
      <c r="E7177" s="201">
        <v>45748</v>
      </c>
      <c r="F7177" s="781" t="s">
        <v>256</v>
      </c>
      <c r="G7177" s="781" t="s">
        <v>256</v>
      </c>
      <c r="H7177" s="781" t="s">
        <v>269</v>
      </c>
      <c r="I7177" s="200" t="s">
        <v>5675</v>
      </c>
    </row>
    <row r="7178" spans="1:9" ht="15" customHeight="1">
      <c r="A7178" s="199">
        <v>45747</v>
      </c>
      <c r="B7178" s="202" t="s">
        <v>5676</v>
      </c>
      <c r="C7178" s="200" t="s">
        <v>307</v>
      </c>
      <c r="D7178" s="204">
        <v>-28500</v>
      </c>
      <c r="E7178" s="201">
        <v>45748</v>
      </c>
      <c r="F7178" s="781" t="s">
        <v>256</v>
      </c>
      <c r="G7178" s="781" t="s">
        <v>256</v>
      </c>
      <c r="H7178" s="781" t="s">
        <v>269</v>
      </c>
      <c r="I7178" s="200" t="s">
        <v>5675</v>
      </c>
    </row>
    <row r="7179" spans="1:9" ht="15" customHeight="1">
      <c r="A7179" s="199">
        <v>45750</v>
      </c>
      <c r="B7179" s="202" t="s">
        <v>5676</v>
      </c>
      <c r="C7179" s="200" t="s">
        <v>307</v>
      </c>
      <c r="D7179" s="204">
        <v>-28000</v>
      </c>
      <c r="E7179" s="201">
        <v>45748</v>
      </c>
      <c r="F7179" s="781" t="s">
        <v>256</v>
      </c>
      <c r="G7179" s="781" t="s">
        <v>256</v>
      </c>
      <c r="H7179" s="781" t="s">
        <v>269</v>
      </c>
      <c r="I7179" s="200" t="s">
        <v>5675</v>
      </c>
    </row>
    <row r="7180" spans="1:9" ht="15" customHeight="1">
      <c r="A7180" s="199">
        <v>45747</v>
      </c>
      <c r="B7180" s="202" t="s">
        <v>5677</v>
      </c>
      <c r="C7180" s="200" t="s">
        <v>307</v>
      </c>
      <c r="D7180" s="204">
        <v>-115000</v>
      </c>
      <c r="E7180" s="201">
        <v>45748</v>
      </c>
      <c r="F7180" s="781" t="s">
        <v>256</v>
      </c>
      <c r="G7180" s="781" t="s">
        <v>256</v>
      </c>
      <c r="H7180" s="781" t="s">
        <v>269</v>
      </c>
      <c r="I7180" s="200" t="s">
        <v>5675</v>
      </c>
    </row>
    <row r="7181" spans="1:9" ht="15" customHeight="1">
      <c r="A7181" s="199">
        <v>45748</v>
      </c>
      <c r="B7181" s="202" t="s">
        <v>5676</v>
      </c>
      <c r="C7181" s="200" t="s">
        <v>307</v>
      </c>
      <c r="D7181" s="204">
        <v>-15000</v>
      </c>
      <c r="E7181" s="201">
        <v>45748</v>
      </c>
      <c r="F7181" s="781" t="s">
        <v>256</v>
      </c>
      <c r="G7181" s="781" t="s">
        <v>256</v>
      </c>
      <c r="H7181" s="781" t="s">
        <v>269</v>
      </c>
      <c r="I7181" s="200" t="s">
        <v>5675</v>
      </c>
    </row>
    <row r="7182" spans="1:9" ht="15" customHeight="1">
      <c r="A7182" s="199">
        <v>45747</v>
      </c>
      <c r="B7182" s="202" t="s">
        <v>5678</v>
      </c>
      <c r="C7182" s="200" t="s">
        <v>307</v>
      </c>
      <c r="D7182" s="204">
        <v>-40000</v>
      </c>
      <c r="E7182" s="201">
        <v>45748</v>
      </c>
      <c r="F7182" s="781" t="s">
        <v>256</v>
      </c>
      <c r="G7182" s="781" t="s">
        <v>256</v>
      </c>
      <c r="H7182" s="781" t="s">
        <v>269</v>
      </c>
      <c r="I7182" s="200" t="s">
        <v>5675</v>
      </c>
    </row>
    <row r="7183" spans="1:9" ht="15" customHeight="1">
      <c r="A7183" s="199">
        <v>45751</v>
      </c>
      <c r="B7183" s="202" t="s">
        <v>5679</v>
      </c>
      <c r="C7183" s="200" t="s">
        <v>307</v>
      </c>
      <c r="D7183" s="204">
        <v>-45000</v>
      </c>
      <c r="E7183" s="201">
        <v>45748</v>
      </c>
      <c r="F7183" s="781" t="s">
        <v>256</v>
      </c>
      <c r="G7183" s="781" t="s">
        <v>256</v>
      </c>
      <c r="H7183" s="781" t="s">
        <v>269</v>
      </c>
      <c r="I7183" s="200" t="s">
        <v>5675</v>
      </c>
    </row>
    <row r="7184" spans="1:9" ht="15" customHeight="1">
      <c r="A7184" s="199">
        <v>45751</v>
      </c>
      <c r="B7184" s="202" t="s">
        <v>5676</v>
      </c>
      <c r="C7184" s="200" t="s">
        <v>307</v>
      </c>
      <c r="D7184" s="204">
        <v>-14000</v>
      </c>
      <c r="E7184" s="201">
        <v>45748</v>
      </c>
      <c r="F7184" s="781" t="s">
        <v>256</v>
      </c>
      <c r="G7184" s="781" t="s">
        <v>256</v>
      </c>
      <c r="H7184" s="781" t="s">
        <v>269</v>
      </c>
      <c r="I7184" s="200" t="s">
        <v>5675</v>
      </c>
    </row>
    <row r="7185" spans="1:9" ht="15" customHeight="1">
      <c r="A7185" s="199">
        <v>45749</v>
      </c>
      <c r="B7185" s="202" t="s">
        <v>5676</v>
      </c>
      <c r="C7185" s="200" t="s">
        <v>307</v>
      </c>
      <c r="D7185" s="204">
        <v>-40500</v>
      </c>
      <c r="E7185" s="201">
        <v>45748</v>
      </c>
      <c r="F7185" s="781" t="s">
        <v>256</v>
      </c>
      <c r="G7185" s="781" t="s">
        <v>107</v>
      </c>
      <c r="H7185" s="781" t="s">
        <v>275</v>
      </c>
      <c r="I7185" s="200" t="s">
        <v>203</v>
      </c>
    </row>
    <row r="7186" spans="1:9" ht="15" customHeight="1">
      <c r="A7186" s="199">
        <v>45747</v>
      </c>
      <c r="B7186" s="202" t="s">
        <v>5677</v>
      </c>
      <c r="C7186" s="200" t="s">
        <v>307</v>
      </c>
      <c r="D7186" s="204">
        <v>-125000</v>
      </c>
      <c r="E7186" s="201">
        <v>45748</v>
      </c>
      <c r="F7186" s="781" t="s">
        <v>256</v>
      </c>
      <c r="G7186" s="781" t="s">
        <v>107</v>
      </c>
      <c r="H7186" s="781" t="s">
        <v>275</v>
      </c>
      <c r="I7186" s="200" t="s">
        <v>203</v>
      </c>
    </row>
    <row r="7187" spans="1:9" ht="15" customHeight="1">
      <c r="A7187" s="199">
        <v>45751</v>
      </c>
      <c r="B7187" s="202" t="s">
        <v>5676</v>
      </c>
      <c r="C7187" s="200" t="s">
        <v>307</v>
      </c>
      <c r="D7187" s="204">
        <v>-28600.01</v>
      </c>
      <c r="E7187" s="201">
        <v>45748</v>
      </c>
      <c r="F7187" s="781" t="s">
        <v>256</v>
      </c>
      <c r="G7187" s="781" t="s">
        <v>107</v>
      </c>
      <c r="H7187" s="781" t="s">
        <v>275</v>
      </c>
      <c r="I7187" s="200" t="s">
        <v>203</v>
      </c>
    </row>
    <row r="7188" spans="1:9" ht="15" customHeight="1">
      <c r="A7188" s="199">
        <v>45747</v>
      </c>
      <c r="B7188" s="202" t="s">
        <v>5677</v>
      </c>
      <c r="C7188" s="200" t="s">
        <v>307</v>
      </c>
      <c r="D7188" s="204">
        <v>-40000</v>
      </c>
      <c r="E7188" s="201">
        <v>45748</v>
      </c>
      <c r="F7188" s="781" t="s">
        <v>256</v>
      </c>
      <c r="G7188" s="781" t="s">
        <v>107</v>
      </c>
      <c r="H7188" s="781" t="s">
        <v>275</v>
      </c>
      <c r="I7188" s="200" t="s">
        <v>203</v>
      </c>
    </row>
    <row r="7189" spans="1:9" ht="15" customHeight="1">
      <c r="A7189" s="199">
        <v>45751</v>
      </c>
      <c r="B7189" s="202" t="s">
        <v>5676</v>
      </c>
      <c r="C7189" s="200" t="s">
        <v>307</v>
      </c>
      <c r="D7189" s="204">
        <v>-14000</v>
      </c>
      <c r="E7189" s="201">
        <v>45748</v>
      </c>
      <c r="F7189" s="781" t="s">
        <v>256</v>
      </c>
      <c r="G7189" s="781" t="s">
        <v>107</v>
      </c>
      <c r="H7189" s="781" t="s">
        <v>275</v>
      </c>
      <c r="I7189" s="200" t="s">
        <v>203</v>
      </c>
    </row>
    <row r="7190" spans="1:9" ht="15" customHeight="1">
      <c r="A7190" s="199">
        <v>45747</v>
      </c>
      <c r="B7190" s="202" t="s">
        <v>5680</v>
      </c>
      <c r="C7190" s="200" t="s">
        <v>307</v>
      </c>
      <c r="D7190" s="204">
        <v>-21000</v>
      </c>
      <c r="E7190" s="201">
        <v>45748</v>
      </c>
      <c r="F7190" s="781" t="s">
        <v>256</v>
      </c>
      <c r="G7190" s="781" t="s">
        <v>107</v>
      </c>
      <c r="H7190" s="781" t="s">
        <v>275</v>
      </c>
      <c r="I7190" s="200" t="s">
        <v>203</v>
      </c>
    </row>
    <row r="7191" spans="1:9" ht="15" customHeight="1">
      <c r="A7191" s="199">
        <v>45751</v>
      </c>
      <c r="B7191" s="202" t="s">
        <v>5681</v>
      </c>
      <c r="C7191" s="200" t="s">
        <v>307</v>
      </c>
      <c r="D7191" s="204">
        <v>-70200</v>
      </c>
      <c r="E7191" s="201">
        <v>45748</v>
      </c>
      <c r="F7191" s="781" t="s">
        <v>256</v>
      </c>
      <c r="G7191" s="781" t="s">
        <v>107</v>
      </c>
      <c r="H7191" s="781" t="s">
        <v>275</v>
      </c>
      <c r="I7191" s="200" t="s">
        <v>203</v>
      </c>
    </row>
    <row r="7192" spans="1:9" ht="15" customHeight="1">
      <c r="A7192" s="199">
        <v>45777</v>
      </c>
      <c r="B7192" s="202" t="s">
        <v>5682</v>
      </c>
      <c r="C7192" s="200" t="s">
        <v>204</v>
      </c>
      <c r="D7192" s="204">
        <v>29374973</v>
      </c>
      <c r="E7192" s="201">
        <v>45748</v>
      </c>
      <c r="F7192" s="781" t="s">
        <v>983</v>
      </c>
      <c r="G7192" s="781" t="s">
        <v>984</v>
      </c>
      <c r="H7192" s="781"/>
    </row>
    <row r="7193" spans="1:9" ht="15" customHeight="1">
      <c r="A7193" s="199">
        <v>45750</v>
      </c>
      <c r="B7193" s="202" t="s">
        <v>5683</v>
      </c>
      <c r="C7193" s="200" t="s">
        <v>307</v>
      </c>
      <c r="D7193" s="204">
        <v>-12886</v>
      </c>
      <c r="E7193" s="201">
        <v>45748</v>
      </c>
      <c r="F7193" s="781" t="s">
        <v>256</v>
      </c>
      <c r="G7193" s="781" t="s">
        <v>107</v>
      </c>
      <c r="H7193" s="781" t="s">
        <v>275</v>
      </c>
      <c r="I7193" s="200" t="s">
        <v>1489</v>
      </c>
    </row>
    <row r="7194" spans="1:9" ht="15" customHeight="1">
      <c r="A7194" s="199">
        <v>45758</v>
      </c>
      <c r="B7194" s="202" t="s">
        <v>5684</v>
      </c>
      <c r="C7194" s="200" t="s">
        <v>307</v>
      </c>
      <c r="D7194" s="204">
        <v>-27100</v>
      </c>
      <c r="E7194" s="201">
        <v>45748</v>
      </c>
      <c r="F7194" s="781" t="s">
        <v>256</v>
      </c>
      <c r="G7194" s="781" t="s">
        <v>107</v>
      </c>
      <c r="H7194" s="781" t="s">
        <v>275</v>
      </c>
      <c r="I7194" s="200" t="s">
        <v>1489</v>
      </c>
    </row>
    <row r="7195" spans="1:9" ht="15" customHeight="1">
      <c r="A7195" s="199">
        <v>45758</v>
      </c>
      <c r="B7195" s="202" t="s">
        <v>5685</v>
      </c>
      <c r="C7195" s="200" t="s">
        <v>307</v>
      </c>
      <c r="D7195" s="204">
        <v>-23900</v>
      </c>
      <c r="E7195" s="201">
        <v>45748</v>
      </c>
      <c r="F7195" s="781" t="s">
        <v>256</v>
      </c>
      <c r="G7195" s="781" t="s">
        <v>107</v>
      </c>
      <c r="H7195" s="781" t="s">
        <v>275</v>
      </c>
      <c r="I7195" s="200" t="s">
        <v>1489</v>
      </c>
    </row>
    <row r="7196" spans="1:9" ht="15" customHeight="1">
      <c r="A7196" s="199">
        <v>45758</v>
      </c>
      <c r="B7196" s="202" t="s">
        <v>5686</v>
      </c>
      <c r="C7196" s="200" t="s">
        <v>307</v>
      </c>
      <c r="D7196" s="204">
        <v>-10600</v>
      </c>
      <c r="E7196" s="201">
        <v>45748</v>
      </c>
      <c r="F7196" s="781" t="s">
        <v>256</v>
      </c>
      <c r="G7196" s="781" t="s">
        <v>107</v>
      </c>
      <c r="H7196" s="781" t="s">
        <v>275</v>
      </c>
      <c r="I7196" s="200" t="s">
        <v>1489</v>
      </c>
    </row>
    <row r="7197" spans="1:9" s="761" customFormat="1" ht="15" customHeight="1">
      <c r="A7197" s="758">
        <v>45782</v>
      </c>
      <c r="B7197" s="759" t="s">
        <v>5687</v>
      </c>
      <c r="C7197" s="759" t="s">
        <v>136</v>
      </c>
      <c r="D7197" s="658">
        <v>-1000000</v>
      </c>
      <c r="E7197" s="760">
        <v>45778</v>
      </c>
      <c r="F7197" s="759" t="s">
        <v>256</v>
      </c>
      <c r="G7197" s="759" t="s">
        <v>256</v>
      </c>
      <c r="H7197" s="759" t="s">
        <v>258</v>
      </c>
      <c r="I7197" s="759"/>
    </row>
    <row r="7198" spans="1:9" ht="15" customHeight="1">
      <c r="A7198" s="199">
        <v>45782</v>
      </c>
      <c r="B7198" s="202" t="s">
        <v>5688</v>
      </c>
      <c r="C7198" s="200" t="s">
        <v>136</v>
      </c>
      <c r="D7198" s="658">
        <v>-200000</v>
      </c>
      <c r="E7198" s="201">
        <v>45778</v>
      </c>
      <c r="F7198" s="759" t="s">
        <v>256</v>
      </c>
      <c r="G7198" s="759" t="s">
        <v>256</v>
      </c>
      <c r="H7198" s="759" t="s">
        <v>258</v>
      </c>
    </row>
    <row r="7199" spans="1:9" ht="15" customHeight="1">
      <c r="A7199" s="199">
        <v>45782</v>
      </c>
      <c r="B7199" s="202" t="s">
        <v>5689</v>
      </c>
      <c r="C7199" s="200" t="s">
        <v>136</v>
      </c>
      <c r="D7199" s="658">
        <v>-580960</v>
      </c>
      <c r="E7199" s="201">
        <v>45778</v>
      </c>
      <c r="F7199" s="759" t="s">
        <v>256</v>
      </c>
      <c r="G7199" s="759" t="s">
        <v>256</v>
      </c>
      <c r="H7199" s="759" t="s">
        <v>269</v>
      </c>
    </row>
    <row r="7200" spans="1:9" ht="15" customHeight="1">
      <c r="A7200" s="199">
        <v>45782</v>
      </c>
      <c r="B7200" s="202" t="s">
        <v>5690</v>
      </c>
      <c r="C7200" s="200" t="s">
        <v>136</v>
      </c>
      <c r="D7200" s="658">
        <v>-3727150</v>
      </c>
      <c r="E7200" s="201">
        <v>45778</v>
      </c>
      <c r="F7200" s="759" t="s">
        <v>256</v>
      </c>
      <c r="G7200" s="759" t="s">
        <v>256</v>
      </c>
      <c r="H7200" s="759" t="s">
        <v>257</v>
      </c>
    </row>
    <row r="7201" spans="1:9" ht="15" customHeight="1">
      <c r="A7201" s="199">
        <v>45783</v>
      </c>
      <c r="B7201" s="202" t="s">
        <v>5691</v>
      </c>
      <c r="C7201" s="200" t="s">
        <v>136</v>
      </c>
      <c r="D7201" s="658">
        <v>-198960</v>
      </c>
      <c r="E7201" s="201">
        <v>45778</v>
      </c>
      <c r="F7201" s="759" t="s">
        <v>256</v>
      </c>
      <c r="G7201" s="759" t="s">
        <v>107</v>
      </c>
      <c r="H7201" s="759" t="s">
        <v>275</v>
      </c>
    </row>
    <row r="7202" spans="1:9" ht="15" customHeight="1">
      <c r="A7202" s="199">
        <v>45783</v>
      </c>
      <c r="B7202" s="202" t="s">
        <v>5692</v>
      </c>
      <c r="C7202" s="200" t="s">
        <v>136</v>
      </c>
      <c r="D7202" s="658">
        <v>-209990</v>
      </c>
      <c r="E7202" s="201">
        <v>45778</v>
      </c>
      <c r="F7202" s="759" t="s">
        <v>256</v>
      </c>
      <c r="G7202" s="759" t="s">
        <v>107</v>
      </c>
      <c r="H7202" s="759" t="s">
        <v>275</v>
      </c>
    </row>
    <row r="7203" spans="1:9" ht="15" customHeight="1">
      <c r="A7203" s="199">
        <v>45783</v>
      </c>
      <c r="B7203" s="202" t="s">
        <v>5693</v>
      </c>
      <c r="C7203" s="200" t="s">
        <v>136</v>
      </c>
      <c r="D7203" s="658">
        <v>-364870</v>
      </c>
      <c r="E7203" s="201">
        <v>45778</v>
      </c>
      <c r="F7203" s="759" t="s">
        <v>256</v>
      </c>
      <c r="G7203" s="759" t="s">
        <v>107</v>
      </c>
      <c r="H7203" s="759" t="s">
        <v>275</v>
      </c>
    </row>
    <row r="7204" spans="1:9" ht="15" customHeight="1">
      <c r="A7204" s="199">
        <v>45783</v>
      </c>
      <c r="B7204" s="202" t="s">
        <v>5694</v>
      </c>
      <c r="C7204" s="200" t="s">
        <v>136</v>
      </c>
      <c r="D7204" s="658">
        <v>-360000</v>
      </c>
      <c r="E7204" s="201">
        <v>45778</v>
      </c>
      <c r="F7204" s="759" t="s">
        <v>256</v>
      </c>
      <c r="G7204" s="759" t="s">
        <v>256</v>
      </c>
      <c r="H7204" s="759" t="s">
        <v>9</v>
      </c>
    </row>
    <row r="7205" spans="1:9" ht="15" customHeight="1">
      <c r="A7205" s="199">
        <v>45783</v>
      </c>
      <c r="B7205" s="202" t="s">
        <v>5695</v>
      </c>
      <c r="C7205" s="200" t="s">
        <v>136</v>
      </c>
      <c r="D7205" s="658">
        <v>-11600</v>
      </c>
      <c r="E7205" s="201">
        <v>45778</v>
      </c>
      <c r="F7205" s="759" t="s">
        <v>296</v>
      </c>
      <c r="G7205" s="759" t="s">
        <v>44</v>
      </c>
      <c r="H7205" s="759" t="s">
        <v>322</v>
      </c>
    </row>
    <row r="7206" spans="1:9" ht="15" customHeight="1">
      <c r="A7206" s="199">
        <v>45783</v>
      </c>
      <c r="B7206" s="202" t="s">
        <v>5696</v>
      </c>
      <c r="C7206" s="200" t="s">
        <v>136</v>
      </c>
      <c r="D7206" s="658">
        <v>-1902773</v>
      </c>
      <c r="E7206" s="201">
        <v>45778</v>
      </c>
      <c r="F7206" s="759" t="s">
        <v>296</v>
      </c>
      <c r="G7206" s="759" t="s">
        <v>807</v>
      </c>
      <c r="H7206" s="759" t="s">
        <v>386</v>
      </c>
    </row>
    <row r="7207" spans="1:9" ht="15" customHeight="1">
      <c r="A7207" s="199">
        <v>45783</v>
      </c>
      <c r="B7207" s="202" t="s">
        <v>5697</v>
      </c>
      <c r="C7207" s="200" t="s">
        <v>136</v>
      </c>
      <c r="D7207" s="658">
        <v>-1980412</v>
      </c>
      <c r="E7207" s="201">
        <v>45778</v>
      </c>
      <c r="F7207" s="759" t="s">
        <v>296</v>
      </c>
      <c r="G7207" s="759" t="s">
        <v>1980</v>
      </c>
      <c r="H7207" s="759" t="s">
        <v>386</v>
      </c>
    </row>
    <row r="7208" spans="1:9" ht="15" customHeight="1">
      <c r="A7208" s="199">
        <v>45783</v>
      </c>
      <c r="B7208" s="202" t="s">
        <v>5698</v>
      </c>
      <c r="C7208" s="200" t="s">
        <v>136</v>
      </c>
      <c r="D7208" s="658">
        <v>-874914</v>
      </c>
      <c r="E7208" s="201">
        <v>45778</v>
      </c>
      <c r="F7208" s="759" t="s">
        <v>296</v>
      </c>
      <c r="G7208" s="759" t="s">
        <v>1980</v>
      </c>
      <c r="H7208" s="759" t="s">
        <v>386</v>
      </c>
    </row>
    <row r="7209" spans="1:9" ht="15" customHeight="1">
      <c r="A7209" s="199">
        <v>45783</v>
      </c>
      <c r="B7209" s="202" t="s">
        <v>5699</v>
      </c>
      <c r="C7209" s="200" t="s">
        <v>136</v>
      </c>
      <c r="D7209" s="658">
        <v>-841424</v>
      </c>
      <c r="E7209" s="201">
        <v>45778</v>
      </c>
      <c r="F7209" s="759" t="s">
        <v>296</v>
      </c>
      <c r="G7209" s="759" t="s">
        <v>807</v>
      </c>
      <c r="H7209" s="759" t="s">
        <v>386</v>
      </c>
    </row>
    <row r="7210" spans="1:9" ht="15" customHeight="1">
      <c r="A7210" s="199">
        <v>45783</v>
      </c>
      <c r="B7210" s="202" t="s">
        <v>5700</v>
      </c>
      <c r="C7210" s="200" t="s">
        <v>136</v>
      </c>
      <c r="D7210" s="658">
        <v>-824680</v>
      </c>
      <c r="E7210" s="201">
        <v>45778</v>
      </c>
      <c r="F7210" s="759" t="s">
        <v>296</v>
      </c>
      <c r="G7210" s="759" t="s">
        <v>1983</v>
      </c>
      <c r="H7210" s="759" t="s">
        <v>386</v>
      </c>
    </row>
    <row r="7211" spans="1:9" ht="15" customHeight="1">
      <c r="A7211" s="199">
        <v>45783</v>
      </c>
      <c r="B7211" s="202" t="s">
        <v>5701</v>
      </c>
      <c r="C7211" s="200" t="s">
        <v>136</v>
      </c>
      <c r="D7211" s="658">
        <v>-1866705</v>
      </c>
      <c r="E7211" s="201">
        <v>45778</v>
      </c>
      <c r="F7211" s="759" t="s">
        <v>296</v>
      </c>
      <c r="G7211" s="759" t="s">
        <v>1983</v>
      </c>
      <c r="H7211" s="759" t="s">
        <v>386</v>
      </c>
    </row>
    <row r="7212" spans="1:9" ht="15" customHeight="1">
      <c r="A7212" s="199">
        <v>45784</v>
      </c>
      <c r="B7212" s="202" t="s">
        <v>5702</v>
      </c>
      <c r="C7212" s="200" t="s">
        <v>136</v>
      </c>
      <c r="D7212" s="658">
        <v>-2000000</v>
      </c>
      <c r="E7212" s="201">
        <v>45778</v>
      </c>
      <c r="F7212" s="759" t="s">
        <v>256</v>
      </c>
      <c r="G7212" s="759" t="s">
        <v>256</v>
      </c>
      <c r="H7212" s="759" t="s">
        <v>258</v>
      </c>
    </row>
    <row r="7213" spans="1:9" ht="15" customHeight="1">
      <c r="A7213" s="199">
        <v>45784</v>
      </c>
      <c r="B7213" s="202" t="s">
        <v>5703</v>
      </c>
      <c r="C7213" s="200" t="s">
        <v>136</v>
      </c>
      <c r="D7213" s="658">
        <v>-1515547.2</v>
      </c>
      <c r="E7213" s="201">
        <v>45778</v>
      </c>
      <c r="F7213" s="759" t="s">
        <v>297</v>
      </c>
      <c r="G7213" s="759" t="s">
        <v>1578</v>
      </c>
      <c r="H7213" s="759" t="s">
        <v>567</v>
      </c>
      <c r="I7213" s="648" t="s">
        <v>329</v>
      </c>
    </row>
    <row r="7214" spans="1:9" ht="15" customHeight="1">
      <c r="A7214" s="199">
        <v>45784</v>
      </c>
      <c r="B7214" s="202" t="s">
        <v>5703</v>
      </c>
      <c r="C7214" s="200" t="s">
        <v>136</v>
      </c>
      <c r="D7214" s="658">
        <v>-568330.19999999995</v>
      </c>
      <c r="E7214" s="201">
        <v>45778</v>
      </c>
      <c r="F7214" s="759" t="s">
        <v>296</v>
      </c>
      <c r="G7214" s="759" t="s">
        <v>415</v>
      </c>
      <c r="H7214" s="759" t="s">
        <v>567</v>
      </c>
    </row>
    <row r="7215" spans="1:9" ht="15" customHeight="1">
      <c r="A7215" s="199">
        <v>45784</v>
      </c>
      <c r="B7215" s="202" t="s">
        <v>5703</v>
      </c>
      <c r="C7215" s="200" t="s">
        <v>136</v>
      </c>
      <c r="D7215" s="658">
        <v>-568330.19999999995</v>
      </c>
      <c r="E7215" s="201">
        <v>45778</v>
      </c>
      <c r="F7215" s="759" t="s">
        <v>297</v>
      </c>
      <c r="G7215" s="759" t="s">
        <v>71</v>
      </c>
      <c r="H7215" s="759" t="s">
        <v>567</v>
      </c>
    </row>
    <row r="7216" spans="1:9" ht="15" customHeight="1">
      <c r="A7216" s="199">
        <v>45784</v>
      </c>
      <c r="B7216" s="202" t="s">
        <v>5703</v>
      </c>
      <c r="C7216" s="200" t="s">
        <v>136</v>
      </c>
      <c r="D7216" s="658">
        <v>-568330.19999999995</v>
      </c>
      <c r="E7216" s="201">
        <v>45778</v>
      </c>
      <c r="F7216" s="759" t="s">
        <v>296</v>
      </c>
      <c r="G7216" s="759" t="s">
        <v>1311</v>
      </c>
      <c r="H7216" s="759" t="s">
        <v>567</v>
      </c>
    </row>
    <row r="7217" spans="1:9" ht="15" customHeight="1">
      <c r="A7217" s="199">
        <v>45784</v>
      </c>
      <c r="B7217" s="202" t="s">
        <v>5703</v>
      </c>
      <c r="C7217" s="200" t="s">
        <v>136</v>
      </c>
      <c r="D7217" s="658">
        <v>-568330.19999999995</v>
      </c>
      <c r="E7217" s="201">
        <v>45778</v>
      </c>
      <c r="F7217" s="759" t="s">
        <v>297</v>
      </c>
      <c r="G7217" s="759" t="s">
        <v>5404</v>
      </c>
      <c r="H7217" s="759" t="s">
        <v>567</v>
      </c>
      <c r="I7217" s="648" t="s">
        <v>329</v>
      </c>
    </row>
    <row r="7218" spans="1:9" ht="15" customHeight="1">
      <c r="A7218" s="199">
        <v>45785</v>
      </c>
      <c r="B7218" s="202" t="s">
        <v>5704</v>
      </c>
      <c r="C7218" s="200" t="s">
        <v>136</v>
      </c>
      <c r="D7218" s="658">
        <v>-20000</v>
      </c>
      <c r="E7218" s="201">
        <v>45778</v>
      </c>
      <c r="F7218" s="759" t="s">
        <v>256</v>
      </c>
      <c r="G7218" s="759" t="s">
        <v>256</v>
      </c>
      <c r="H7218" s="759" t="s">
        <v>267</v>
      </c>
    </row>
    <row r="7219" spans="1:9" ht="15" customHeight="1">
      <c r="A7219" s="199">
        <v>45785</v>
      </c>
      <c r="B7219" s="202" t="s">
        <v>5705</v>
      </c>
      <c r="C7219" s="200" t="s">
        <v>136</v>
      </c>
      <c r="D7219" s="658">
        <v>-54000</v>
      </c>
      <c r="E7219" s="201">
        <v>45778</v>
      </c>
      <c r="F7219" s="759" t="s">
        <v>297</v>
      </c>
      <c r="G7219" s="759" t="s">
        <v>3892</v>
      </c>
      <c r="H7219" s="759" t="s">
        <v>342</v>
      </c>
    </row>
    <row r="7220" spans="1:9" ht="15" customHeight="1">
      <c r="A7220" s="199">
        <v>45785</v>
      </c>
      <c r="B7220" s="202" t="s">
        <v>5706</v>
      </c>
      <c r="C7220" s="200" t="s">
        <v>136</v>
      </c>
      <c r="D7220" s="658">
        <v>-14431200</v>
      </c>
      <c r="E7220" s="201">
        <v>45778</v>
      </c>
      <c r="F7220" s="759" t="s">
        <v>296</v>
      </c>
      <c r="G7220" s="759" t="s">
        <v>1825</v>
      </c>
      <c r="H7220" s="759" t="s">
        <v>488</v>
      </c>
    </row>
    <row r="7221" spans="1:9" ht="15" customHeight="1">
      <c r="A7221" s="199">
        <v>45785</v>
      </c>
      <c r="B7221" s="202" t="s">
        <v>5707</v>
      </c>
      <c r="C7221" s="200" t="s">
        <v>372</v>
      </c>
      <c r="D7221" s="204">
        <v>-476000</v>
      </c>
      <c r="E7221" s="201">
        <v>45778</v>
      </c>
      <c r="F7221" s="759" t="s">
        <v>296</v>
      </c>
      <c r="G7221" s="759" t="s">
        <v>1825</v>
      </c>
      <c r="H7221" s="759" t="s">
        <v>488</v>
      </c>
    </row>
    <row r="7222" spans="1:9" ht="15" customHeight="1">
      <c r="A7222" s="199">
        <v>45785</v>
      </c>
      <c r="B7222" s="202" t="s">
        <v>5708</v>
      </c>
      <c r="C7222" s="200" t="s">
        <v>372</v>
      </c>
      <c r="D7222" s="204">
        <v>-142800</v>
      </c>
      <c r="E7222" s="201">
        <v>45778</v>
      </c>
      <c r="F7222" s="759" t="s">
        <v>296</v>
      </c>
      <c r="G7222" s="759" t="s">
        <v>1825</v>
      </c>
      <c r="H7222" s="759" t="s">
        <v>488</v>
      </c>
    </row>
    <row r="7223" spans="1:9" ht="15" customHeight="1">
      <c r="A7223" s="199">
        <v>45785</v>
      </c>
      <c r="B7223" s="202" t="s">
        <v>4261</v>
      </c>
      <c r="C7223" s="200" t="s">
        <v>136</v>
      </c>
      <c r="D7223" s="658">
        <v>-750000</v>
      </c>
      <c r="E7223" s="201">
        <v>45778</v>
      </c>
      <c r="F7223" s="759" t="s">
        <v>2714</v>
      </c>
      <c r="G7223" s="759" t="s">
        <v>513</v>
      </c>
      <c r="H7223" s="759" t="s">
        <v>322</v>
      </c>
    </row>
    <row r="7224" spans="1:9" ht="15" customHeight="1">
      <c r="A7224" s="199">
        <v>45785</v>
      </c>
      <c r="B7224" s="202" t="s">
        <v>4262</v>
      </c>
      <c r="C7224" s="200" t="s">
        <v>136</v>
      </c>
      <c r="D7224" s="658">
        <v>-750000</v>
      </c>
      <c r="E7224" s="201">
        <v>45778</v>
      </c>
      <c r="F7224" s="759" t="s">
        <v>296</v>
      </c>
      <c r="G7224" s="759" t="s">
        <v>44</v>
      </c>
      <c r="H7224" s="759" t="s">
        <v>322</v>
      </c>
    </row>
    <row r="7225" spans="1:9" ht="15" customHeight="1">
      <c r="A7225" s="199">
        <v>45785</v>
      </c>
      <c r="B7225" s="202" t="s">
        <v>4263</v>
      </c>
      <c r="C7225" s="200" t="s">
        <v>136</v>
      </c>
      <c r="D7225" s="658">
        <v>-750000</v>
      </c>
      <c r="E7225" s="201">
        <v>45778</v>
      </c>
      <c r="F7225" s="759" t="s">
        <v>296</v>
      </c>
      <c r="G7225" s="759" t="s">
        <v>522</v>
      </c>
      <c r="H7225" s="759" t="s">
        <v>322</v>
      </c>
    </row>
    <row r="7226" spans="1:9" ht="15" customHeight="1">
      <c r="A7226" s="199">
        <v>45785</v>
      </c>
      <c r="B7226" s="202" t="s">
        <v>4265</v>
      </c>
      <c r="C7226" s="200" t="s">
        <v>136</v>
      </c>
      <c r="D7226" s="658">
        <v>-750000</v>
      </c>
      <c r="E7226" s="201">
        <v>45778</v>
      </c>
      <c r="F7226" s="759" t="s">
        <v>296</v>
      </c>
      <c r="G7226" s="759" t="s">
        <v>1980</v>
      </c>
      <c r="H7226" s="759" t="s">
        <v>322</v>
      </c>
    </row>
    <row r="7227" spans="1:9" ht="15" customHeight="1">
      <c r="A7227" s="199">
        <v>45785</v>
      </c>
      <c r="B7227" s="202" t="s">
        <v>5709</v>
      </c>
      <c r="C7227" s="200" t="s">
        <v>136</v>
      </c>
      <c r="D7227" s="658">
        <v>-552258</v>
      </c>
      <c r="E7227" s="201">
        <v>45778</v>
      </c>
      <c r="F7227" s="759" t="s">
        <v>256</v>
      </c>
      <c r="G7227" s="759" t="s">
        <v>256</v>
      </c>
      <c r="H7227" s="759" t="s">
        <v>267</v>
      </c>
    </row>
    <row r="7228" spans="1:9" ht="15" customHeight="1">
      <c r="A7228" s="199">
        <v>45785</v>
      </c>
      <c r="B7228" s="202" t="s">
        <v>5710</v>
      </c>
      <c r="C7228" s="200" t="s">
        <v>372</v>
      </c>
      <c r="D7228" s="204">
        <v>-11340</v>
      </c>
      <c r="E7228" s="201">
        <v>45778</v>
      </c>
      <c r="F7228" s="759" t="s">
        <v>256</v>
      </c>
      <c r="G7228" s="759" t="s">
        <v>256</v>
      </c>
      <c r="H7228" s="759" t="s">
        <v>267</v>
      </c>
    </row>
    <row r="7229" spans="1:9" ht="15" customHeight="1">
      <c r="A7229" s="199">
        <v>45785</v>
      </c>
      <c r="B7229" s="202" t="s">
        <v>5711</v>
      </c>
      <c r="C7229" s="200" t="s">
        <v>372</v>
      </c>
      <c r="D7229" s="204">
        <v>-3402</v>
      </c>
      <c r="E7229" s="201">
        <v>45778</v>
      </c>
      <c r="F7229" s="759" t="s">
        <v>256</v>
      </c>
      <c r="G7229" s="759" t="s">
        <v>256</v>
      </c>
      <c r="H7229" s="759" t="s">
        <v>267</v>
      </c>
    </row>
    <row r="7230" spans="1:9" ht="15" customHeight="1">
      <c r="A7230" s="199">
        <v>45785</v>
      </c>
      <c r="B7230" s="202" t="s">
        <v>5712</v>
      </c>
      <c r="C7230" s="200" t="s">
        <v>136</v>
      </c>
      <c r="D7230" s="658">
        <v>-552420</v>
      </c>
      <c r="E7230" s="201">
        <v>45778</v>
      </c>
      <c r="F7230" s="759" t="s">
        <v>395</v>
      </c>
      <c r="G7230" s="531" t="s">
        <v>395</v>
      </c>
      <c r="H7230" s="759" t="s">
        <v>342</v>
      </c>
    </row>
    <row r="7231" spans="1:9" ht="15" customHeight="1">
      <c r="A7231" s="199">
        <v>45785</v>
      </c>
      <c r="B7231" s="202" t="s">
        <v>5713</v>
      </c>
      <c r="C7231" s="200" t="s">
        <v>136</v>
      </c>
      <c r="D7231" s="658">
        <v>-503820</v>
      </c>
      <c r="E7231" s="201">
        <v>45778</v>
      </c>
      <c r="F7231" s="759" t="s">
        <v>395</v>
      </c>
      <c r="G7231" s="531" t="s">
        <v>395</v>
      </c>
      <c r="H7231" s="759" t="s">
        <v>342</v>
      </c>
    </row>
    <row r="7232" spans="1:9" ht="15" customHeight="1">
      <c r="A7232" s="199">
        <v>45785</v>
      </c>
      <c r="B7232" s="202" t="s">
        <v>5714</v>
      </c>
      <c r="C7232" s="200" t="s">
        <v>136</v>
      </c>
      <c r="D7232" s="658">
        <v>-1815480</v>
      </c>
      <c r="E7232" s="201">
        <v>45778</v>
      </c>
      <c r="F7232" s="759" t="s">
        <v>296</v>
      </c>
      <c r="G7232" s="759" t="s">
        <v>807</v>
      </c>
      <c r="H7232" s="759" t="s">
        <v>811</v>
      </c>
    </row>
    <row r="7233" spans="1:9" ht="15" customHeight="1">
      <c r="A7233" s="199">
        <v>45785</v>
      </c>
      <c r="B7233" s="202" t="s">
        <v>5715</v>
      </c>
      <c r="C7233" s="200" t="s">
        <v>372</v>
      </c>
      <c r="D7233" s="204">
        <v>-18450</v>
      </c>
      <c r="E7233" s="201">
        <v>45778</v>
      </c>
      <c r="F7233" s="759" t="s">
        <v>296</v>
      </c>
      <c r="G7233" s="759" t="s">
        <v>807</v>
      </c>
      <c r="H7233" s="759" t="s">
        <v>811</v>
      </c>
    </row>
    <row r="7234" spans="1:9" ht="15" customHeight="1">
      <c r="A7234" s="199">
        <v>45785</v>
      </c>
      <c r="B7234" s="202" t="s">
        <v>5716</v>
      </c>
      <c r="C7234" s="200" t="s">
        <v>372</v>
      </c>
      <c r="D7234" s="204">
        <v>-11070</v>
      </c>
      <c r="E7234" s="201">
        <v>45778</v>
      </c>
      <c r="F7234" s="759" t="s">
        <v>296</v>
      </c>
      <c r="G7234" s="759" t="s">
        <v>807</v>
      </c>
      <c r="H7234" s="759" t="s">
        <v>811</v>
      </c>
    </row>
    <row r="7235" spans="1:9" ht="15" customHeight="1">
      <c r="A7235" s="199">
        <v>45782</v>
      </c>
      <c r="B7235" s="202" t="s">
        <v>5717</v>
      </c>
      <c r="C7235" s="200" t="s">
        <v>204</v>
      </c>
      <c r="D7235" s="733">
        <v>-11600</v>
      </c>
      <c r="E7235" s="201">
        <v>45778</v>
      </c>
      <c r="F7235" s="759" t="s">
        <v>256</v>
      </c>
      <c r="G7235" s="759" t="s">
        <v>256</v>
      </c>
      <c r="H7235" s="759" t="s">
        <v>261</v>
      </c>
    </row>
    <row r="7236" spans="1:9" ht="15" customHeight="1">
      <c r="A7236" s="199">
        <v>45782</v>
      </c>
      <c r="B7236" s="202" t="s">
        <v>5718</v>
      </c>
      <c r="C7236" s="200" t="s">
        <v>204</v>
      </c>
      <c r="D7236" s="733">
        <v>-1179733</v>
      </c>
      <c r="E7236" s="201">
        <v>45778</v>
      </c>
      <c r="F7236" s="759" t="s">
        <v>395</v>
      </c>
      <c r="G7236" s="531" t="s">
        <v>395</v>
      </c>
      <c r="H7236" s="759"/>
    </row>
    <row r="7237" spans="1:9" ht="15" customHeight="1">
      <c r="A7237" s="199">
        <v>45782</v>
      </c>
      <c r="B7237" s="202" t="s">
        <v>5719</v>
      </c>
      <c r="C7237" s="200" t="s">
        <v>204</v>
      </c>
      <c r="D7237" s="733">
        <v>-11600</v>
      </c>
      <c r="E7237" s="201">
        <v>45778</v>
      </c>
      <c r="F7237" s="759" t="s">
        <v>256</v>
      </c>
      <c r="G7237" s="759" t="s">
        <v>256</v>
      </c>
      <c r="H7237" s="759" t="s">
        <v>261</v>
      </c>
    </row>
    <row r="7238" spans="1:9" ht="15" customHeight="1">
      <c r="A7238" s="199">
        <v>45783</v>
      </c>
      <c r="B7238" s="202" t="s">
        <v>5720</v>
      </c>
      <c r="C7238" s="200" t="s">
        <v>204</v>
      </c>
      <c r="D7238" s="733">
        <v>-918353</v>
      </c>
      <c r="E7238" s="201">
        <v>45778</v>
      </c>
      <c r="F7238" s="759" t="s">
        <v>297</v>
      </c>
      <c r="G7238" s="759" t="s">
        <v>388</v>
      </c>
      <c r="H7238" s="759" t="s">
        <v>1962</v>
      </c>
      <c r="I7238" s="648" t="s">
        <v>329</v>
      </c>
    </row>
    <row r="7239" spans="1:9" ht="15" customHeight="1">
      <c r="A7239" s="199">
        <v>45783</v>
      </c>
      <c r="B7239" s="202" t="s">
        <v>5721</v>
      </c>
      <c r="C7239" s="200" t="s">
        <v>204</v>
      </c>
      <c r="D7239" s="733">
        <v>-29966928</v>
      </c>
      <c r="E7239" s="201">
        <v>45778</v>
      </c>
      <c r="F7239" s="759" t="s">
        <v>315</v>
      </c>
      <c r="G7239" s="759"/>
      <c r="H7239" s="759"/>
    </row>
    <row r="7240" spans="1:9" ht="15" customHeight="1">
      <c r="A7240" s="199">
        <v>45783</v>
      </c>
      <c r="B7240" s="202" t="s">
        <v>5722</v>
      </c>
      <c r="C7240" s="200" t="s">
        <v>204</v>
      </c>
      <c r="D7240" s="733">
        <v>-80000</v>
      </c>
      <c r="E7240" s="201">
        <v>45778</v>
      </c>
      <c r="F7240" s="759" t="s">
        <v>296</v>
      </c>
      <c r="G7240" s="759" t="s">
        <v>57</v>
      </c>
      <c r="H7240" s="759" t="s">
        <v>97</v>
      </c>
    </row>
    <row r="7241" spans="1:9" ht="15" customHeight="1">
      <c r="A7241" s="199">
        <v>45783</v>
      </c>
      <c r="B7241" s="202" t="s">
        <v>5723</v>
      </c>
      <c r="C7241" s="200" t="s">
        <v>204</v>
      </c>
      <c r="D7241" s="733">
        <v>-2250000</v>
      </c>
      <c r="E7241" s="201">
        <v>45778</v>
      </c>
      <c r="F7241" s="759" t="s">
        <v>296</v>
      </c>
      <c r="G7241" s="759" t="s">
        <v>522</v>
      </c>
      <c r="H7241" s="759" t="s">
        <v>326</v>
      </c>
    </row>
    <row r="7242" spans="1:9" ht="15" customHeight="1">
      <c r="A7242" s="199">
        <v>45783</v>
      </c>
      <c r="B7242" s="202" t="s">
        <v>5724</v>
      </c>
      <c r="C7242" s="200" t="s">
        <v>372</v>
      </c>
      <c r="D7242" s="204">
        <v>-81606</v>
      </c>
      <c r="E7242" s="201">
        <v>45778</v>
      </c>
      <c r="F7242" s="759" t="s">
        <v>296</v>
      </c>
      <c r="G7242" s="759" t="s">
        <v>522</v>
      </c>
      <c r="H7242" s="759" t="s">
        <v>326</v>
      </c>
    </row>
    <row r="7243" spans="1:9" ht="15" customHeight="1">
      <c r="A7243" s="199">
        <v>45783</v>
      </c>
      <c r="B7243" s="202" t="s">
        <v>5725</v>
      </c>
      <c r="C7243" s="200" t="s">
        <v>204</v>
      </c>
      <c r="D7243" s="733">
        <v>-2035000</v>
      </c>
      <c r="E7243" s="201">
        <v>45778</v>
      </c>
      <c r="F7243" s="759" t="s">
        <v>256</v>
      </c>
      <c r="G7243" s="759" t="s">
        <v>256</v>
      </c>
      <c r="H7243" s="759" t="s">
        <v>258</v>
      </c>
    </row>
    <row r="7244" spans="1:9" ht="15" customHeight="1">
      <c r="A7244" s="199">
        <v>45783</v>
      </c>
      <c r="B7244" s="202" t="s">
        <v>5726</v>
      </c>
      <c r="C7244" s="200" t="s">
        <v>204</v>
      </c>
      <c r="D7244" s="733">
        <v>-1380240</v>
      </c>
      <c r="E7244" s="201">
        <v>45778</v>
      </c>
      <c r="F7244" s="759" t="s">
        <v>256</v>
      </c>
      <c r="G7244" s="759" t="s">
        <v>107</v>
      </c>
      <c r="H7244" s="759" t="s">
        <v>777</v>
      </c>
    </row>
    <row r="7245" spans="1:9" ht="15" customHeight="1">
      <c r="A7245" s="199">
        <v>45783</v>
      </c>
      <c r="B7245" s="202" t="s">
        <v>5727</v>
      </c>
      <c r="C7245" s="200" t="s">
        <v>204</v>
      </c>
      <c r="D7245" s="733">
        <v>-503727</v>
      </c>
      <c r="E7245" s="201">
        <v>45778</v>
      </c>
      <c r="F7245" s="759" t="s">
        <v>296</v>
      </c>
      <c r="G7245" s="759" t="s">
        <v>522</v>
      </c>
      <c r="H7245" s="759" t="s">
        <v>366</v>
      </c>
    </row>
    <row r="7246" spans="1:9" ht="15" customHeight="1">
      <c r="A7246" s="199">
        <v>45783</v>
      </c>
      <c r="B7246" s="202" t="s">
        <v>5728</v>
      </c>
      <c r="C7246" s="200" t="s">
        <v>372</v>
      </c>
      <c r="D7246" s="204">
        <v>-10866</v>
      </c>
      <c r="E7246" s="201">
        <v>45778</v>
      </c>
      <c r="F7246" s="759" t="s">
        <v>296</v>
      </c>
      <c r="G7246" s="759" t="s">
        <v>522</v>
      </c>
      <c r="H7246" s="759" t="s">
        <v>366</v>
      </c>
    </row>
    <row r="7247" spans="1:9" ht="15" customHeight="1">
      <c r="A7247" s="199">
        <v>45783</v>
      </c>
      <c r="B7247" s="202" t="s">
        <v>5729</v>
      </c>
      <c r="C7247" s="200" t="s">
        <v>372</v>
      </c>
      <c r="D7247" s="204">
        <v>-2608</v>
      </c>
      <c r="E7247" s="201">
        <v>45778</v>
      </c>
      <c r="F7247" s="759" t="s">
        <v>296</v>
      </c>
      <c r="G7247" s="759" t="s">
        <v>522</v>
      </c>
      <c r="H7247" s="759" t="s">
        <v>366</v>
      </c>
    </row>
    <row r="7248" spans="1:9" ht="15" customHeight="1">
      <c r="A7248" s="199">
        <v>45783</v>
      </c>
      <c r="B7248" s="202" t="s">
        <v>5730</v>
      </c>
      <c r="C7248" s="200" t="s">
        <v>204</v>
      </c>
      <c r="D7248" s="733">
        <v>-444120</v>
      </c>
      <c r="E7248" s="201">
        <v>45778</v>
      </c>
      <c r="F7248" s="759" t="s">
        <v>296</v>
      </c>
      <c r="G7248" s="759" t="s">
        <v>1825</v>
      </c>
      <c r="H7248" s="759" t="s">
        <v>490</v>
      </c>
    </row>
    <row r="7249" spans="1:8" ht="15" customHeight="1">
      <c r="A7249" s="199">
        <v>45783</v>
      </c>
      <c r="B7249" s="202" t="s">
        <v>5731</v>
      </c>
      <c r="C7249" s="200" t="s">
        <v>372</v>
      </c>
      <c r="D7249" s="204">
        <v>-9580</v>
      </c>
      <c r="E7249" s="201">
        <v>45778</v>
      </c>
      <c r="F7249" s="759" t="s">
        <v>296</v>
      </c>
      <c r="G7249" s="759" t="s">
        <v>1825</v>
      </c>
      <c r="H7249" s="759" t="s">
        <v>490</v>
      </c>
    </row>
    <row r="7250" spans="1:8" ht="15" customHeight="1">
      <c r="A7250" s="199">
        <v>45783</v>
      </c>
      <c r="B7250" s="202" t="s">
        <v>5732</v>
      </c>
      <c r="C7250" s="200" t="s">
        <v>372</v>
      </c>
      <c r="D7250" s="204">
        <v>-2299</v>
      </c>
      <c r="E7250" s="201">
        <v>45778</v>
      </c>
      <c r="F7250" s="759" t="s">
        <v>296</v>
      </c>
      <c r="G7250" s="759" t="s">
        <v>1825</v>
      </c>
      <c r="H7250" s="759" t="s">
        <v>490</v>
      </c>
    </row>
    <row r="7251" spans="1:8" ht="15" customHeight="1">
      <c r="A7251" s="199">
        <v>45783</v>
      </c>
      <c r="B7251" s="202" t="s">
        <v>5730</v>
      </c>
      <c r="C7251" s="200" t="s">
        <v>204</v>
      </c>
      <c r="D7251" s="733">
        <v>-252448</v>
      </c>
      <c r="E7251" s="201">
        <v>45778</v>
      </c>
      <c r="F7251" s="759" t="s">
        <v>296</v>
      </c>
      <c r="G7251" s="759" t="s">
        <v>1825</v>
      </c>
      <c r="H7251" s="759" t="s">
        <v>429</v>
      </c>
    </row>
    <row r="7252" spans="1:8" ht="15" customHeight="1">
      <c r="A7252" s="199">
        <v>45783</v>
      </c>
      <c r="B7252" s="202" t="s">
        <v>5731</v>
      </c>
      <c r="C7252" s="200" t="s">
        <v>372</v>
      </c>
      <c r="D7252" s="204">
        <v>-5445</v>
      </c>
      <c r="E7252" s="201">
        <v>45778</v>
      </c>
      <c r="F7252" s="759" t="s">
        <v>296</v>
      </c>
      <c r="G7252" s="759" t="s">
        <v>1825</v>
      </c>
      <c r="H7252" s="759" t="s">
        <v>429</v>
      </c>
    </row>
    <row r="7253" spans="1:8" ht="15" customHeight="1">
      <c r="A7253" s="199">
        <v>45783</v>
      </c>
      <c r="B7253" s="202" t="s">
        <v>5732</v>
      </c>
      <c r="C7253" s="200" t="s">
        <v>372</v>
      </c>
      <c r="D7253" s="204">
        <v>-1307</v>
      </c>
      <c r="E7253" s="201">
        <v>45778</v>
      </c>
      <c r="F7253" s="759" t="s">
        <v>296</v>
      </c>
      <c r="G7253" s="759" t="s">
        <v>1825</v>
      </c>
      <c r="H7253" s="759" t="s">
        <v>429</v>
      </c>
    </row>
    <row r="7254" spans="1:8" ht="15" customHeight="1">
      <c r="A7254" s="199">
        <v>45783</v>
      </c>
      <c r="B7254" s="202" t="s">
        <v>5730</v>
      </c>
      <c r="C7254" s="200" t="s">
        <v>204</v>
      </c>
      <c r="D7254" s="733">
        <v>-262967</v>
      </c>
      <c r="E7254" s="201">
        <v>45778</v>
      </c>
      <c r="F7254" s="759" t="s">
        <v>296</v>
      </c>
      <c r="G7254" s="759" t="s">
        <v>1825</v>
      </c>
      <c r="H7254" s="759" t="s">
        <v>429</v>
      </c>
    </row>
    <row r="7255" spans="1:8" ht="15" customHeight="1">
      <c r="A7255" s="199">
        <v>45783</v>
      </c>
      <c r="B7255" s="202" t="s">
        <v>5731</v>
      </c>
      <c r="C7255" s="200" t="s">
        <v>372</v>
      </c>
      <c r="D7255" s="204">
        <v>-5672</v>
      </c>
      <c r="E7255" s="201">
        <v>45778</v>
      </c>
      <c r="F7255" s="759" t="s">
        <v>296</v>
      </c>
      <c r="G7255" s="759" t="s">
        <v>1825</v>
      </c>
      <c r="H7255" s="759" t="s">
        <v>429</v>
      </c>
    </row>
    <row r="7256" spans="1:8" ht="15" customHeight="1">
      <c r="A7256" s="199">
        <v>45783</v>
      </c>
      <c r="B7256" s="202" t="s">
        <v>5732</v>
      </c>
      <c r="C7256" s="200" t="s">
        <v>372</v>
      </c>
      <c r="D7256" s="204">
        <v>-1361</v>
      </c>
      <c r="E7256" s="201">
        <v>45778</v>
      </c>
      <c r="F7256" s="759" t="s">
        <v>296</v>
      </c>
      <c r="G7256" s="759" t="s">
        <v>1825</v>
      </c>
      <c r="H7256" s="759" t="s">
        <v>429</v>
      </c>
    </row>
    <row r="7257" spans="1:8" ht="15" customHeight="1">
      <c r="A7257" s="199">
        <v>45783</v>
      </c>
      <c r="B7257" s="202" t="s">
        <v>5730</v>
      </c>
      <c r="C7257" s="200" t="s">
        <v>204</v>
      </c>
      <c r="D7257" s="733">
        <v>-794743</v>
      </c>
      <c r="E7257" s="201">
        <v>45778</v>
      </c>
      <c r="F7257" s="759" t="s">
        <v>296</v>
      </c>
      <c r="G7257" s="759" t="s">
        <v>1825</v>
      </c>
      <c r="H7257" s="759" t="s">
        <v>322</v>
      </c>
    </row>
    <row r="7258" spans="1:8" ht="15" customHeight="1">
      <c r="A7258" s="199">
        <v>45783</v>
      </c>
      <c r="B7258" s="202" t="s">
        <v>5731</v>
      </c>
      <c r="C7258" s="200" t="s">
        <v>372</v>
      </c>
      <c r="D7258" s="204">
        <v>-17143</v>
      </c>
      <c r="E7258" s="201">
        <v>45778</v>
      </c>
      <c r="F7258" s="759" t="s">
        <v>296</v>
      </c>
      <c r="G7258" s="759" t="s">
        <v>1825</v>
      </c>
      <c r="H7258" s="759" t="s">
        <v>322</v>
      </c>
    </row>
    <row r="7259" spans="1:8" ht="15" customHeight="1">
      <c r="A7259" s="199">
        <v>45783</v>
      </c>
      <c r="B7259" s="202" t="s">
        <v>5732</v>
      </c>
      <c r="C7259" s="200" t="s">
        <v>372</v>
      </c>
      <c r="D7259" s="204">
        <v>-4114</v>
      </c>
      <c r="E7259" s="201">
        <v>45778</v>
      </c>
      <c r="F7259" s="759" t="s">
        <v>296</v>
      </c>
      <c r="G7259" s="759" t="s">
        <v>1825</v>
      </c>
      <c r="H7259" s="759" t="s">
        <v>322</v>
      </c>
    </row>
    <row r="7260" spans="1:8" ht="15" customHeight="1">
      <c r="A7260" s="199">
        <v>45783</v>
      </c>
      <c r="B7260" s="202" t="s">
        <v>5733</v>
      </c>
      <c r="C7260" s="200" t="s">
        <v>204</v>
      </c>
      <c r="D7260" s="733">
        <v>-634508</v>
      </c>
      <c r="E7260" s="201">
        <v>45778</v>
      </c>
      <c r="F7260" s="759" t="s">
        <v>297</v>
      </c>
      <c r="G7260" s="759" t="s">
        <v>1313</v>
      </c>
      <c r="H7260" s="759" t="s">
        <v>5384</v>
      </c>
    </row>
    <row r="7261" spans="1:8" ht="15" customHeight="1">
      <c r="A7261" s="199">
        <v>45783</v>
      </c>
      <c r="B7261" s="202" t="s">
        <v>5734</v>
      </c>
      <c r="C7261" s="200" t="s">
        <v>372</v>
      </c>
      <c r="D7261" s="204">
        <v>-13687</v>
      </c>
      <c r="E7261" s="201">
        <v>45778</v>
      </c>
      <c r="F7261" s="759" t="s">
        <v>297</v>
      </c>
      <c r="G7261" s="759" t="s">
        <v>1313</v>
      </c>
      <c r="H7261" s="759" t="s">
        <v>5384</v>
      </c>
    </row>
    <row r="7262" spans="1:8" ht="15" customHeight="1">
      <c r="A7262" s="199">
        <v>45783</v>
      </c>
      <c r="B7262" s="202" t="s">
        <v>5735</v>
      </c>
      <c r="C7262" s="200" t="s">
        <v>372</v>
      </c>
      <c r="D7262" s="204">
        <v>-3285</v>
      </c>
      <c r="E7262" s="201">
        <v>45778</v>
      </c>
      <c r="F7262" s="759" t="s">
        <v>297</v>
      </c>
      <c r="G7262" s="759" t="s">
        <v>1313</v>
      </c>
      <c r="H7262" s="759" t="s">
        <v>5384</v>
      </c>
    </row>
    <row r="7263" spans="1:8" ht="15" customHeight="1">
      <c r="A7263" s="199">
        <v>45783</v>
      </c>
      <c r="B7263" s="202" t="s">
        <v>5736</v>
      </c>
      <c r="C7263" s="200" t="s">
        <v>204</v>
      </c>
      <c r="D7263" s="733">
        <v>-152910</v>
      </c>
      <c r="E7263" s="201">
        <v>45778</v>
      </c>
      <c r="F7263" s="759" t="s">
        <v>297</v>
      </c>
      <c r="G7263" s="759" t="s">
        <v>3892</v>
      </c>
      <c r="H7263" s="759" t="s">
        <v>5384</v>
      </c>
    </row>
    <row r="7264" spans="1:8" ht="15" customHeight="1">
      <c r="A7264" s="199">
        <v>45783</v>
      </c>
      <c r="B7264" s="202" t="s">
        <v>5737</v>
      </c>
      <c r="C7264" s="200" t="s">
        <v>372</v>
      </c>
      <c r="D7264" s="204">
        <v>-3298</v>
      </c>
      <c r="E7264" s="201">
        <v>45778</v>
      </c>
      <c r="F7264" s="759" t="s">
        <v>297</v>
      </c>
      <c r="G7264" s="759" t="s">
        <v>3892</v>
      </c>
      <c r="H7264" s="759" t="s">
        <v>5384</v>
      </c>
    </row>
    <row r="7265" spans="1:9" ht="15" customHeight="1">
      <c r="A7265" s="199">
        <v>45783</v>
      </c>
      <c r="B7265" s="202" t="s">
        <v>5738</v>
      </c>
      <c r="C7265" s="200" t="s">
        <v>372</v>
      </c>
      <c r="D7265" s="204">
        <v>-792</v>
      </c>
      <c r="E7265" s="201">
        <v>45778</v>
      </c>
      <c r="F7265" s="759" t="s">
        <v>297</v>
      </c>
      <c r="G7265" s="759" t="s">
        <v>3892</v>
      </c>
      <c r="H7265" s="759" t="s">
        <v>5384</v>
      </c>
    </row>
    <row r="7266" spans="1:9" ht="15" customHeight="1">
      <c r="A7266" s="199">
        <v>45783</v>
      </c>
      <c r="B7266" s="722" t="s">
        <v>5739</v>
      </c>
      <c r="C7266" s="200" t="s">
        <v>204</v>
      </c>
      <c r="D7266" s="733">
        <v>-31000</v>
      </c>
      <c r="E7266" s="201">
        <v>45778</v>
      </c>
      <c r="F7266" s="759" t="s">
        <v>296</v>
      </c>
      <c r="G7266" s="759" t="s">
        <v>57</v>
      </c>
      <c r="H7266" s="759" t="s">
        <v>105</v>
      </c>
    </row>
    <row r="7267" spans="1:9" ht="15" customHeight="1">
      <c r="A7267" s="199">
        <v>45783</v>
      </c>
      <c r="B7267" s="202" t="s">
        <v>5740</v>
      </c>
      <c r="C7267" s="200" t="s">
        <v>204</v>
      </c>
      <c r="D7267" s="733">
        <v>-4090589</v>
      </c>
      <c r="E7267" s="201">
        <v>45778</v>
      </c>
      <c r="F7267" s="759" t="s">
        <v>296</v>
      </c>
      <c r="G7267" s="759" t="s">
        <v>1825</v>
      </c>
      <c r="H7267" s="759" t="s">
        <v>322</v>
      </c>
    </row>
    <row r="7268" spans="1:9" ht="15" customHeight="1">
      <c r="A7268" s="199">
        <v>45783</v>
      </c>
      <c r="B7268" s="202" t="s">
        <v>5741</v>
      </c>
      <c r="C7268" s="200" t="s">
        <v>372</v>
      </c>
      <c r="D7268" s="204">
        <v>-88235</v>
      </c>
      <c r="E7268" s="201">
        <v>45778</v>
      </c>
      <c r="F7268" s="759" t="s">
        <v>296</v>
      </c>
      <c r="G7268" s="759" t="s">
        <v>1825</v>
      </c>
      <c r="H7268" s="759" t="s">
        <v>322</v>
      </c>
    </row>
    <row r="7269" spans="1:9" ht="15" customHeight="1">
      <c r="A7269" s="199">
        <v>45783</v>
      </c>
      <c r="B7269" s="202" t="s">
        <v>5742</v>
      </c>
      <c r="C7269" s="200" t="s">
        <v>372</v>
      </c>
      <c r="D7269" s="204">
        <v>-21176</v>
      </c>
      <c r="E7269" s="201">
        <v>45778</v>
      </c>
      <c r="F7269" s="759" t="s">
        <v>296</v>
      </c>
      <c r="G7269" s="759" t="s">
        <v>1825</v>
      </c>
      <c r="H7269" s="759" t="s">
        <v>322</v>
      </c>
    </row>
    <row r="7270" spans="1:9" ht="15" customHeight="1">
      <c r="A7270" s="199">
        <v>45783</v>
      </c>
      <c r="B7270" s="202" t="s">
        <v>5743</v>
      </c>
      <c r="C7270" s="200" t="s">
        <v>204</v>
      </c>
      <c r="D7270" s="733">
        <v>-252000</v>
      </c>
      <c r="E7270" s="201">
        <v>45778</v>
      </c>
      <c r="F7270" s="759" t="s">
        <v>296</v>
      </c>
      <c r="G7270" s="759" t="s">
        <v>522</v>
      </c>
      <c r="H7270" s="759" t="s">
        <v>366</v>
      </c>
      <c r="I7270" s="200" t="s">
        <v>5744</v>
      </c>
    </row>
    <row r="7271" spans="1:9" ht="15" customHeight="1">
      <c r="A7271" s="199">
        <v>45783</v>
      </c>
      <c r="B7271" s="202" t="s">
        <v>5745</v>
      </c>
      <c r="C7271" s="200" t="s">
        <v>204</v>
      </c>
      <c r="D7271" s="733">
        <v>-1400000</v>
      </c>
      <c r="E7271" s="784">
        <v>45778</v>
      </c>
      <c r="F7271" s="759" t="s">
        <v>296</v>
      </c>
      <c r="G7271" s="759" t="s">
        <v>57</v>
      </c>
      <c r="H7271" s="759" t="s">
        <v>101</v>
      </c>
      <c r="I7271" s="200" t="s">
        <v>5746</v>
      </c>
    </row>
    <row r="7272" spans="1:9" ht="15" customHeight="1">
      <c r="A7272" s="199">
        <v>45783</v>
      </c>
      <c r="B7272" s="202" t="s">
        <v>5747</v>
      </c>
      <c r="C7272" s="200" t="s">
        <v>204</v>
      </c>
      <c r="D7272" s="733">
        <v>-238000</v>
      </c>
      <c r="E7272" s="201">
        <v>45778</v>
      </c>
      <c r="F7272" s="759" t="s">
        <v>296</v>
      </c>
      <c r="G7272" s="759" t="s">
        <v>1980</v>
      </c>
      <c r="H7272" s="759" t="s">
        <v>322</v>
      </c>
    </row>
    <row r="7273" spans="1:9" ht="15" customHeight="1">
      <c r="A7273" s="199">
        <v>45783</v>
      </c>
      <c r="B7273" s="202" t="s">
        <v>5748</v>
      </c>
      <c r="C7273" s="200" t="s">
        <v>204</v>
      </c>
      <c r="D7273" s="733">
        <v>-142800</v>
      </c>
      <c r="E7273" s="201">
        <v>45778</v>
      </c>
      <c r="F7273" s="759" t="s">
        <v>256</v>
      </c>
      <c r="G7273" s="759" t="s">
        <v>256</v>
      </c>
      <c r="H7273" s="759" t="s">
        <v>267</v>
      </c>
    </row>
    <row r="7274" spans="1:9" ht="15" customHeight="1">
      <c r="A7274" s="199">
        <v>45783</v>
      </c>
      <c r="B7274" s="202" t="s">
        <v>5749</v>
      </c>
      <c r="C7274" s="200" t="s">
        <v>204</v>
      </c>
      <c r="D7274" s="733">
        <v>-3151092</v>
      </c>
      <c r="E7274" s="201">
        <v>45778</v>
      </c>
      <c r="F7274" s="759" t="s">
        <v>296</v>
      </c>
      <c r="G7274" s="759" t="s">
        <v>522</v>
      </c>
      <c r="H7274" s="759" t="s">
        <v>366</v>
      </c>
      <c r="I7274" s="200" t="s">
        <v>5744</v>
      </c>
    </row>
    <row r="7275" spans="1:9" ht="15" customHeight="1">
      <c r="A7275" s="199">
        <v>45783</v>
      </c>
      <c r="B7275" s="202" t="s">
        <v>5750</v>
      </c>
      <c r="C7275" s="200" t="s">
        <v>372</v>
      </c>
      <c r="D7275" s="204">
        <v>-67620</v>
      </c>
      <c r="E7275" s="201">
        <v>45778</v>
      </c>
      <c r="F7275" s="759" t="s">
        <v>296</v>
      </c>
      <c r="G7275" s="759" t="s">
        <v>522</v>
      </c>
      <c r="H7275" s="759" t="s">
        <v>366</v>
      </c>
      <c r="I7275" s="200" t="s">
        <v>5744</v>
      </c>
    </row>
    <row r="7276" spans="1:9" ht="15" customHeight="1">
      <c r="A7276" s="199">
        <v>45783</v>
      </c>
      <c r="B7276" s="202" t="s">
        <v>5751</v>
      </c>
      <c r="C7276" s="200" t="s">
        <v>204</v>
      </c>
      <c r="D7276" s="733">
        <v>-3151092</v>
      </c>
      <c r="E7276" s="201">
        <v>45778</v>
      </c>
      <c r="F7276" s="759" t="s">
        <v>296</v>
      </c>
      <c r="G7276" s="759" t="s">
        <v>44</v>
      </c>
      <c r="H7276" s="759" t="s">
        <v>366</v>
      </c>
      <c r="I7276" s="200" t="s">
        <v>5744</v>
      </c>
    </row>
    <row r="7277" spans="1:9" ht="15" customHeight="1">
      <c r="A7277" s="199">
        <v>45783</v>
      </c>
      <c r="B7277" s="202" t="s">
        <v>5752</v>
      </c>
      <c r="C7277" s="200" t="s">
        <v>372</v>
      </c>
      <c r="D7277" s="204">
        <v>-67620</v>
      </c>
      <c r="E7277" s="201">
        <v>45778</v>
      </c>
      <c r="F7277" s="759" t="s">
        <v>296</v>
      </c>
      <c r="G7277" s="759" t="s">
        <v>44</v>
      </c>
      <c r="H7277" s="759" t="s">
        <v>366</v>
      </c>
      <c r="I7277" s="200" t="s">
        <v>5744</v>
      </c>
    </row>
    <row r="7278" spans="1:9" ht="15" customHeight="1">
      <c r="A7278" s="199">
        <v>45783</v>
      </c>
      <c r="B7278" s="202" t="s">
        <v>5753</v>
      </c>
      <c r="C7278" s="200" t="s">
        <v>204</v>
      </c>
      <c r="D7278" s="733">
        <v>-449731</v>
      </c>
      <c r="E7278" s="201">
        <v>45778</v>
      </c>
      <c r="F7278" s="759" t="s">
        <v>297</v>
      </c>
      <c r="G7278" s="759" t="s">
        <v>3892</v>
      </c>
      <c r="H7278" s="759" t="s">
        <v>5376</v>
      </c>
    </row>
    <row r="7279" spans="1:9" ht="15" customHeight="1">
      <c r="A7279" s="199">
        <v>45783</v>
      </c>
      <c r="B7279" s="202" t="s">
        <v>5754</v>
      </c>
      <c r="C7279" s="200" t="s">
        <v>204</v>
      </c>
      <c r="D7279" s="733">
        <v>-14343693</v>
      </c>
      <c r="E7279" s="201">
        <v>45778</v>
      </c>
      <c r="F7279" s="759" t="s">
        <v>297</v>
      </c>
      <c r="G7279" s="759" t="s">
        <v>3892</v>
      </c>
      <c r="H7279" s="759" t="s">
        <v>342</v>
      </c>
    </row>
    <row r="7280" spans="1:9" ht="15" customHeight="1">
      <c r="A7280" s="199">
        <v>45783</v>
      </c>
      <c r="B7280" s="202" t="s">
        <v>5755</v>
      </c>
      <c r="C7280" s="200" t="s">
        <v>204</v>
      </c>
      <c r="D7280" s="733">
        <v>-850000</v>
      </c>
      <c r="E7280" s="201">
        <v>45778</v>
      </c>
      <c r="F7280" s="759" t="s">
        <v>296</v>
      </c>
      <c r="G7280" s="759" t="s">
        <v>44</v>
      </c>
      <c r="H7280" s="759" t="s">
        <v>322</v>
      </c>
    </row>
    <row r="7281" spans="1:9" ht="15" customHeight="1">
      <c r="A7281" s="199">
        <v>45762</v>
      </c>
      <c r="B7281" s="202" t="s">
        <v>1743</v>
      </c>
      <c r="C7281" s="200" t="s">
        <v>204</v>
      </c>
      <c r="D7281" s="733">
        <v>-60280</v>
      </c>
      <c r="E7281" s="201">
        <v>45778</v>
      </c>
      <c r="F7281" s="759" t="s">
        <v>296</v>
      </c>
      <c r="G7281" s="759" t="s">
        <v>57</v>
      </c>
      <c r="H7281" s="759" t="s">
        <v>97</v>
      </c>
      <c r="I7281" s="200" t="s">
        <v>4525</v>
      </c>
    </row>
    <row r="7282" spans="1:9" ht="15" customHeight="1">
      <c r="A7282" s="199">
        <v>45763</v>
      </c>
      <c r="B7282" s="202" t="s">
        <v>5756</v>
      </c>
      <c r="C7282" s="200" t="s">
        <v>204</v>
      </c>
      <c r="D7282" s="733">
        <v>-132600</v>
      </c>
      <c r="E7282" s="201">
        <v>45778</v>
      </c>
      <c r="F7282" s="759" t="s">
        <v>296</v>
      </c>
      <c r="G7282" s="759" t="s">
        <v>57</v>
      </c>
      <c r="H7282" s="759" t="s">
        <v>97</v>
      </c>
      <c r="I7282" s="200" t="s">
        <v>4525</v>
      </c>
    </row>
    <row r="7283" spans="1:9" ht="15" customHeight="1">
      <c r="A7283" s="199">
        <v>45763</v>
      </c>
      <c r="B7283" s="202" t="s">
        <v>4533</v>
      </c>
      <c r="C7283" s="200" t="s">
        <v>204</v>
      </c>
      <c r="D7283" s="733">
        <v>-117034</v>
      </c>
      <c r="E7283" s="201">
        <v>45778</v>
      </c>
      <c r="F7283" s="759" t="s">
        <v>296</v>
      </c>
      <c r="G7283" s="759" t="s">
        <v>57</v>
      </c>
      <c r="H7283" s="759" t="s">
        <v>97</v>
      </c>
      <c r="I7283" s="200" t="s">
        <v>4525</v>
      </c>
    </row>
    <row r="7284" spans="1:9" ht="15" customHeight="1">
      <c r="A7284" s="199">
        <v>45763</v>
      </c>
      <c r="B7284" s="202" t="s">
        <v>5757</v>
      </c>
      <c r="C7284" s="200" t="s">
        <v>204</v>
      </c>
      <c r="D7284" s="733">
        <v>-12100</v>
      </c>
      <c r="E7284" s="201">
        <v>45778</v>
      </c>
      <c r="F7284" s="759" t="s">
        <v>296</v>
      </c>
      <c r="G7284" s="759" t="s">
        <v>57</v>
      </c>
      <c r="H7284" s="759" t="s">
        <v>97</v>
      </c>
      <c r="I7284" s="200" t="s">
        <v>4525</v>
      </c>
    </row>
    <row r="7285" spans="1:9" ht="15" customHeight="1">
      <c r="A7285" s="199">
        <v>45763</v>
      </c>
      <c r="B7285" s="202" t="s">
        <v>5758</v>
      </c>
      <c r="C7285" s="200" t="s">
        <v>204</v>
      </c>
      <c r="D7285" s="733">
        <v>-12100</v>
      </c>
      <c r="E7285" s="201">
        <v>45778</v>
      </c>
      <c r="F7285" s="759" t="s">
        <v>296</v>
      </c>
      <c r="G7285" s="759" t="s">
        <v>57</v>
      </c>
      <c r="H7285" s="759" t="s">
        <v>97</v>
      </c>
      <c r="I7285" s="200" t="s">
        <v>4525</v>
      </c>
    </row>
    <row r="7286" spans="1:9" ht="15" customHeight="1">
      <c r="A7286" s="199">
        <v>45763</v>
      </c>
      <c r="B7286" s="202" t="s">
        <v>5759</v>
      </c>
      <c r="C7286" s="200" t="s">
        <v>204</v>
      </c>
      <c r="D7286" s="733">
        <v>-71000</v>
      </c>
      <c r="E7286" s="201">
        <v>45778</v>
      </c>
      <c r="F7286" s="759" t="s">
        <v>296</v>
      </c>
      <c r="G7286" s="759" t="s">
        <v>57</v>
      </c>
      <c r="H7286" s="759" t="s">
        <v>97</v>
      </c>
      <c r="I7286" s="200" t="s">
        <v>4525</v>
      </c>
    </row>
    <row r="7287" spans="1:9" ht="15" customHeight="1">
      <c r="A7287" s="199">
        <v>45763</v>
      </c>
      <c r="B7287" s="202" t="s">
        <v>3144</v>
      </c>
      <c r="C7287" s="200" t="s">
        <v>204</v>
      </c>
      <c r="D7287" s="733">
        <v>-16200</v>
      </c>
      <c r="E7287" s="201">
        <v>45778</v>
      </c>
      <c r="F7287" s="759" t="s">
        <v>296</v>
      </c>
      <c r="G7287" s="759" t="s">
        <v>57</v>
      </c>
      <c r="H7287" s="759" t="s">
        <v>97</v>
      </c>
      <c r="I7287" s="200" t="s">
        <v>4525</v>
      </c>
    </row>
    <row r="7288" spans="1:9" ht="15" customHeight="1">
      <c r="A7288" s="199">
        <v>45783</v>
      </c>
      <c r="B7288" s="202" t="s">
        <v>5760</v>
      </c>
      <c r="C7288" s="200" t="s">
        <v>204</v>
      </c>
      <c r="D7288" s="733">
        <v>-8100000</v>
      </c>
      <c r="E7288" s="201">
        <v>45778</v>
      </c>
      <c r="F7288" s="759" t="s">
        <v>296</v>
      </c>
      <c r="G7288" s="759" t="s">
        <v>57</v>
      </c>
      <c r="H7288" s="759" t="s">
        <v>98</v>
      </c>
    </row>
    <row r="7289" spans="1:9" ht="15" customHeight="1">
      <c r="A7289" s="199">
        <v>45783</v>
      </c>
      <c r="B7289" s="202" t="s">
        <v>5761</v>
      </c>
      <c r="C7289" s="200" t="s">
        <v>372</v>
      </c>
      <c r="D7289" s="204">
        <v>-825000</v>
      </c>
      <c r="E7289" s="201">
        <v>45778</v>
      </c>
      <c r="F7289" s="759" t="s">
        <v>296</v>
      </c>
      <c r="G7289" s="759" t="s">
        <v>57</v>
      </c>
      <c r="H7289" s="759" t="s">
        <v>98</v>
      </c>
    </row>
    <row r="7290" spans="1:9" ht="15" customHeight="1">
      <c r="A7290" s="199">
        <v>45783</v>
      </c>
      <c r="B7290" s="202" t="s">
        <v>5762</v>
      </c>
      <c r="C7290" s="200" t="s">
        <v>204</v>
      </c>
      <c r="D7290" s="733">
        <v>-800000</v>
      </c>
      <c r="E7290" s="201">
        <v>45778</v>
      </c>
      <c r="F7290" s="759" t="s">
        <v>296</v>
      </c>
      <c r="G7290" s="759" t="s">
        <v>57</v>
      </c>
      <c r="H7290" s="759" t="s">
        <v>103</v>
      </c>
    </row>
    <row r="7291" spans="1:9" ht="15" customHeight="1">
      <c r="A7291" s="199">
        <v>45777</v>
      </c>
      <c r="B7291" s="202" t="s">
        <v>1514</v>
      </c>
      <c r="C7291" s="200" t="s">
        <v>204</v>
      </c>
      <c r="D7291" s="733">
        <v>-12700</v>
      </c>
      <c r="E7291" s="201">
        <v>45778</v>
      </c>
      <c r="F7291" s="759" t="s">
        <v>256</v>
      </c>
      <c r="G7291" s="759" t="s">
        <v>107</v>
      </c>
      <c r="H7291" s="759" t="s">
        <v>275</v>
      </c>
      <c r="I7291" s="200" t="s">
        <v>5617</v>
      </c>
    </row>
    <row r="7292" spans="1:9" ht="15" customHeight="1">
      <c r="A7292" s="199">
        <v>45777</v>
      </c>
      <c r="B7292" s="202" t="s">
        <v>5618</v>
      </c>
      <c r="C7292" s="200" t="s">
        <v>204</v>
      </c>
      <c r="D7292" s="733">
        <v>-12700</v>
      </c>
      <c r="E7292" s="201">
        <v>45778</v>
      </c>
      <c r="F7292" s="759" t="s">
        <v>256</v>
      </c>
      <c r="G7292" s="759" t="s">
        <v>107</v>
      </c>
      <c r="H7292" s="759" t="s">
        <v>275</v>
      </c>
      <c r="I7292" s="200" t="s">
        <v>5617</v>
      </c>
    </row>
    <row r="7293" spans="1:9" ht="15" customHeight="1">
      <c r="A7293" s="199">
        <v>45777</v>
      </c>
      <c r="B7293" s="202" t="s">
        <v>1521</v>
      </c>
      <c r="C7293" s="200" t="s">
        <v>204</v>
      </c>
      <c r="D7293" s="733">
        <v>-22970</v>
      </c>
      <c r="E7293" s="201">
        <v>45778</v>
      </c>
      <c r="F7293" s="759" t="s">
        <v>256</v>
      </c>
      <c r="G7293" s="759" t="s">
        <v>107</v>
      </c>
      <c r="H7293" s="759" t="s">
        <v>275</v>
      </c>
      <c r="I7293" s="200" t="s">
        <v>5617</v>
      </c>
    </row>
    <row r="7294" spans="1:9" ht="15" customHeight="1">
      <c r="A7294" s="199">
        <v>45783</v>
      </c>
      <c r="B7294" s="202" t="s">
        <v>5763</v>
      </c>
      <c r="C7294" s="200" t="s">
        <v>204</v>
      </c>
      <c r="D7294" s="733">
        <v>-2666667</v>
      </c>
      <c r="E7294" s="201">
        <v>45778</v>
      </c>
      <c r="F7294" s="759" t="s">
        <v>296</v>
      </c>
      <c r="G7294" s="759" t="s">
        <v>1825</v>
      </c>
      <c r="H7294" s="759" t="s">
        <v>488</v>
      </c>
    </row>
    <row r="7295" spans="1:9" ht="15" customHeight="1">
      <c r="A7295" s="199">
        <v>45783</v>
      </c>
      <c r="B7295" s="202" t="s">
        <v>5763</v>
      </c>
      <c r="C7295" s="200" t="s">
        <v>204</v>
      </c>
      <c r="D7295" s="733">
        <v>-2666667</v>
      </c>
      <c r="E7295" s="201">
        <v>45778</v>
      </c>
      <c r="F7295" s="759" t="s">
        <v>296</v>
      </c>
      <c r="G7295" s="759" t="s">
        <v>1980</v>
      </c>
      <c r="H7295" s="759" t="s">
        <v>488</v>
      </c>
    </row>
    <row r="7296" spans="1:9" ht="15" customHeight="1">
      <c r="A7296" s="199">
        <v>45783</v>
      </c>
      <c r="B7296" s="202" t="s">
        <v>5763</v>
      </c>
      <c r="C7296" s="200" t="s">
        <v>204</v>
      </c>
      <c r="D7296" s="733">
        <v>-2666666</v>
      </c>
      <c r="E7296" s="201">
        <v>45778</v>
      </c>
      <c r="F7296" s="759" t="s">
        <v>296</v>
      </c>
      <c r="G7296" s="759" t="s">
        <v>522</v>
      </c>
      <c r="H7296" s="759" t="s">
        <v>488</v>
      </c>
    </row>
    <row r="7297" spans="1:9" ht="15" customHeight="1">
      <c r="A7297" s="199">
        <v>45783</v>
      </c>
      <c r="B7297" s="202" t="s">
        <v>5764</v>
      </c>
      <c r="C7297" s="200" t="s">
        <v>204</v>
      </c>
      <c r="D7297" s="733">
        <v>-1262220</v>
      </c>
      <c r="E7297" s="201">
        <v>45778</v>
      </c>
      <c r="F7297" s="759" t="s">
        <v>296</v>
      </c>
      <c r="G7297" s="759" t="s">
        <v>1735</v>
      </c>
      <c r="H7297" s="759" t="s">
        <v>342</v>
      </c>
    </row>
    <row r="7298" spans="1:9" ht="15" customHeight="1">
      <c r="A7298" s="199">
        <v>45783</v>
      </c>
      <c r="B7298" s="202" t="s">
        <v>5765</v>
      </c>
      <c r="C7298" s="200" t="s">
        <v>372</v>
      </c>
      <c r="D7298" s="204">
        <v>-45780</v>
      </c>
      <c r="E7298" s="201">
        <v>45778</v>
      </c>
      <c r="F7298" s="759" t="s">
        <v>296</v>
      </c>
      <c r="G7298" s="759" t="s">
        <v>1735</v>
      </c>
      <c r="H7298" s="759" t="s">
        <v>342</v>
      </c>
    </row>
    <row r="7299" spans="1:9" ht="15" customHeight="1">
      <c r="A7299" s="199">
        <v>45783</v>
      </c>
      <c r="B7299" s="202" t="s">
        <v>5766</v>
      </c>
      <c r="C7299" s="200" t="s">
        <v>204</v>
      </c>
      <c r="D7299" s="733">
        <v>-18100000</v>
      </c>
      <c r="E7299" s="201">
        <v>45778</v>
      </c>
      <c r="F7299" s="759" t="s">
        <v>296</v>
      </c>
      <c r="G7299" s="759" t="s">
        <v>807</v>
      </c>
      <c r="H7299" s="759" t="s">
        <v>442</v>
      </c>
    </row>
    <row r="7300" spans="1:9" ht="15" customHeight="1">
      <c r="A7300" s="199">
        <v>45783</v>
      </c>
      <c r="B7300" s="202" t="s">
        <v>5767</v>
      </c>
      <c r="C7300" s="200" t="s">
        <v>204</v>
      </c>
      <c r="D7300" s="733">
        <v>-11899302</v>
      </c>
      <c r="E7300" s="201">
        <v>45778</v>
      </c>
      <c r="F7300" s="759" t="s">
        <v>296</v>
      </c>
      <c r="G7300" s="759" t="s">
        <v>3360</v>
      </c>
      <c r="H7300" s="759" t="s">
        <v>342</v>
      </c>
    </row>
    <row r="7301" spans="1:9" ht="15" customHeight="1">
      <c r="A7301" s="199">
        <v>45783</v>
      </c>
      <c r="B7301" s="202" t="s">
        <v>5768</v>
      </c>
      <c r="C7301" s="200" t="s">
        <v>204</v>
      </c>
      <c r="D7301" s="733">
        <v>-30450</v>
      </c>
      <c r="E7301" s="201">
        <v>45778</v>
      </c>
      <c r="F7301" s="759" t="s">
        <v>256</v>
      </c>
      <c r="G7301" s="759" t="s">
        <v>256</v>
      </c>
      <c r="H7301" s="759" t="s">
        <v>267</v>
      </c>
    </row>
    <row r="7302" spans="1:9" ht="15" customHeight="1">
      <c r="A7302" s="199">
        <v>45783</v>
      </c>
      <c r="B7302" s="202" t="s">
        <v>5769</v>
      </c>
      <c r="C7302" s="200" t="s">
        <v>204</v>
      </c>
      <c r="D7302" s="733">
        <v>-1061500</v>
      </c>
      <c r="E7302" s="201">
        <v>45778</v>
      </c>
      <c r="F7302" s="759" t="s">
        <v>296</v>
      </c>
      <c r="G7302" s="759" t="s">
        <v>1362</v>
      </c>
      <c r="H7302" s="759" t="s">
        <v>342</v>
      </c>
    </row>
    <row r="7303" spans="1:9" ht="15" customHeight="1">
      <c r="A7303" s="199">
        <v>45783</v>
      </c>
      <c r="B7303" s="202" t="s">
        <v>5770</v>
      </c>
      <c r="C7303" s="200" t="s">
        <v>372</v>
      </c>
      <c r="D7303" s="204">
        <v>-38500</v>
      </c>
      <c r="E7303" s="201">
        <v>45778</v>
      </c>
      <c r="F7303" s="759" t="s">
        <v>296</v>
      </c>
      <c r="G7303" s="759" t="s">
        <v>1362</v>
      </c>
      <c r="H7303" s="759" t="s">
        <v>342</v>
      </c>
    </row>
    <row r="7304" spans="1:9" ht="15" customHeight="1">
      <c r="A7304" s="199">
        <v>45783</v>
      </c>
      <c r="B7304" s="202" t="s">
        <v>5769</v>
      </c>
      <c r="C7304" s="200" t="s">
        <v>204</v>
      </c>
      <c r="D7304" s="733">
        <v>-364770</v>
      </c>
      <c r="E7304" s="201">
        <v>45778</v>
      </c>
      <c r="F7304" s="759" t="s">
        <v>296</v>
      </c>
      <c r="G7304" s="759" t="s">
        <v>1362</v>
      </c>
      <c r="H7304" s="759" t="s">
        <v>342</v>
      </c>
    </row>
    <row r="7305" spans="1:9" ht="15" customHeight="1">
      <c r="A7305" s="199">
        <v>45783</v>
      </c>
      <c r="B7305" s="202" t="s">
        <v>5770</v>
      </c>
      <c r="C7305" s="200" t="s">
        <v>372</v>
      </c>
      <c r="D7305" s="204">
        <v>-13230</v>
      </c>
      <c r="E7305" s="201">
        <v>45778</v>
      </c>
      <c r="F7305" s="759" t="s">
        <v>296</v>
      </c>
      <c r="G7305" s="759" t="s">
        <v>1362</v>
      </c>
      <c r="H7305" s="759" t="s">
        <v>342</v>
      </c>
    </row>
    <row r="7306" spans="1:9" ht="15" customHeight="1">
      <c r="A7306" s="199">
        <v>45783</v>
      </c>
      <c r="B7306" s="202" t="s">
        <v>5771</v>
      </c>
      <c r="C7306" s="200" t="s">
        <v>204</v>
      </c>
      <c r="D7306" s="733">
        <v>-800000</v>
      </c>
      <c r="E7306" s="201">
        <v>45778</v>
      </c>
      <c r="F7306" s="759" t="s">
        <v>296</v>
      </c>
      <c r="G7306" s="759" t="s">
        <v>57</v>
      </c>
      <c r="H7306" s="759" t="s">
        <v>103</v>
      </c>
    </row>
    <row r="7307" spans="1:9" ht="15" customHeight="1">
      <c r="A7307" s="199">
        <v>45783</v>
      </c>
      <c r="B7307" s="202" t="s">
        <v>5772</v>
      </c>
      <c r="C7307" s="200" t="s">
        <v>204</v>
      </c>
      <c r="D7307" s="733">
        <v>-800000</v>
      </c>
      <c r="E7307" s="201">
        <v>45778</v>
      </c>
      <c r="F7307" s="759" t="s">
        <v>296</v>
      </c>
      <c r="G7307" s="759" t="s">
        <v>57</v>
      </c>
      <c r="H7307" s="759" t="s">
        <v>103</v>
      </c>
    </row>
    <row r="7308" spans="1:9" ht="15" customHeight="1">
      <c r="A7308" s="199">
        <v>45784</v>
      </c>
      <c r="B7308" s="202" t="s">
        <v>5754</v>
      </c>
      <c r="C7308" s="200" t="s">
        <v>204</v>
      </c>
      <c r="D7308" s="733">
        <v>-5578256</v>
      </c>
      <c r="E7308" s="201">
        <v>45778</v>
      </c>
      <c r="F7308" s="759" t="s">
        <v>296</v>
      </c>
      <c r="G7308" s="759" t="s">
        <v>3360</v>
      </c>
      <c r="H7308" s="759" t="s">
        <v>857</v>
      </c>
    </row>
    <row r="7309" spans="1:9" ht="15" customHeight="1">
      <c r="A7309" s="199">
        <v>45784</v>
      </c>
      <c r="B7309" s="202" t="s">
        <v>5773</v>
      </c>
      <c r="C7309" s="200" t="s">
        <v>204</v>
      </c>
      <c r="D7309" s="733">
        <v>-2358500</v>
      </c>
      <c r="E7309" s="201">
        <v>45778</v>
      </c>
      <c r="F7309" s="759" t="s">
        <v>296</v>
      </c>
      <c r="G7309" s="759" t="s">
        <v>3360</v>
      </c>
      <c r="H7309" s="759" t="s">
        <v>1066</v>
      </c>
    </row>
    <row r="7310" spans="1:9" ht="15" customHeight="1">
      <c r="A7310" s="199">
        <v>45784</v>
      </c>
      <c r="B7310" s="202" t="s">
        <v>5774</v>
      </c>
      <c r="C7310" s="200" t="s">
        <v>372</v>
      </c>
      <c r="D7310" s="204">
        <v>-291500</v>
      </c>
      <c r="E7310" s="201">
        <v>45778</v>
      </c>
      <c r="F7310" s="759" t="s">
        <v>296</v>
      </c>
      <c r="G7310" s="759" t="s">
        <v>3360</v>
      </c>
      <c r="H7310" s="759" t="s">
        <v>1066</v>
      </c>
    </row>
    <row r="7311" spans="1:9" ht="15" customHeight="1">
      <c r="A7311" s="199">
        <v>45784</v>
      </c>
      <c r="B7311" s="202" t="s">
        <v>5775</v>
      </c>
      <c r="C7311" s="200" t="s">
        <v>204</v>
      </c>
      <c r="D7311" s="733">
        <v>-1006959</v>
      </c>
      <c r="E7311" s="201">
        <v>45778</v>
      </c>
      <c r="F7311" s="759" t="s">
        <v>296</v>
      </c>
      <c r="G7311" s="759" t="s">
        <v>2994</v>
      </c>
      <c r="H7311" s="759" t="s">
        <v>5376</v>
      </c>
    </row>
    <row r="7312" spans="1:9" ht="15" customHeight="1">
      <c r="A7312" s="199">
        <v>45784</v>
      </c>
      <c r="B7312" s="202" t="s">
        <v>5776</v>
      </c>
      <c r="C7312" s="200" t="s">
        <v>204</v>
      </c>
      <c r="D7312" s="733">
        <v>-1475600</v>
      </c>
      <c r="E7312" s="201">
        <v>45778</v>
      </c>
      <c r="F7312" s="759" t="s">
        <v>296</v>
      </c>
      <c r="G7312" s="759" t="s">
        <v>44</v>
      </c>
      <c r="H7312" s="759" t="s">
        <v>366</v>
      </c>
      <c r="I7312" s="200" t="s">
        <v>5744</v>
      </c>
    </row>
    <row r="7313" spans="1:9" ht="15" customHeight="1">
      <c r="A7313" s="199">
        <v>45784</v>
      </c>
      <c r="B7313" s="202" t="s">
        <v>5777</v>
      </c>
      <c r="C7313" s="200" t="s">
        <v>204</v>
      </c>
      <c r="D7313" s="733">
        <v>-1192600</v>
      </c>
      <c r="E7313" s="201">
        <v>45778</v>
      </c>
      <c r="F7313" s="759" t="s">
        <v>296</v>
      </c>
      <c r="G7313" s="759" t="s">
        <v>2994</v>
      </c>
      <c r="H7313" s="759" t="s">
        <v>1066</v>
      </c>
    </row>
    <row r="7314" spans="1:9" ht="15" customHeight="1">
      <c r="A7314" s="199">
        <v>45784</v>
      </c>
      <c r="B7314" s="202" t="s">
        <v>5778</v>
      </c>
      <c r="C7314" s="200" t="s">
        <v>372</v>
      </c>
      <c r="D7314" s="204">
        <v>-147600</v>
      </c>
      <c r="E7314" s="201">
        <v>45778</v>
      </c>
      <c r="F7314" s="759" t="s">
        <v>296</v>
      </c>
      <c r="G7314" s="759" t="s">
        <v>2994</v>
      </c>
      <c r="H7314" s="759" t="s">
        <v>1066</v>
      </c>
    </row>
    <row r="7315" spans="1:9" ht="15" customHeight="1">
      <c r="A7315" s="199">
        <v>45784</v>
      </c>
      <c r="B7315" s="202" t="s">
        <v>5779</v>
      </c>
      <c r="C7315" s="200" t="s">
        <v>204</v>
      </c>
      <c r="D7315" s="733">
        <v>-1475600</v>
      </c>
      <c r="E7315" s="201">
        <v>45778</v>
      </c>
      <c r="F7315" s="759" t="s">
        <v>296</v>
      </c>
      <c r="G7315" s="759" t="s">
        <v>522</v>
      </c>
      <c r="H7315" s="759" t="s">
        <v>366</v>
      </c>
      <c r="I7315" s="200" t="s">
        <v>5744</v>
      </c>
    </row>
    <row r="7316" spans="1:9" ht="15" customHeight="1">
      <c r="A7316" s="199">
        <v>45784</v>
      </c>
      <c r="B7316" s="202" t="s">
        <v>5748</v>
      </c>
      <c r="C7316" s="200" t="s">
        <v>204</v>
      </c>
      <c r="D7316" s="733">
        <v>-144000</v>
      </c>
      <c r="E7316" s="201">
        <v>45778</v>
      </c>
      <c r="F7316" s="759" t="s">
        <v>256</v>
      </c>
      <c r="G7316" s="759" t="s">
        <v>256</v>
      </c>
      <c r="H7316" s="759" t="s">
        <v>267</v>
      </c>
    </row>
    <row r="7317" spans="1:9" ht="15" customHeight="1">
      <c r="A7317" s="199">
        <v>45784</v>
      </c>
      <c r="B7317" s="202" t="s">
        <v>5780</v>
      </c>
      <c r="C7317" s="200" t="s">
        <v>204</v>
      </c>
      <c r="D7317" s="733">
        <v>-3456002</v>
      </c>
      <c r="E7317" s="784">
        <v>45778</v>
      </c>
      <c r="F7317" s="759" t="s">
        <v>296</v>
      </c>
      <c r="G7317" s="759" t="s">
        <v>57</v>
      </c>
      <c r="H7317" s="759" t="s">
        <v>96</v>
      </c>
    </row>
    <row r="7318" spans="1:9" ht="15" customHeight="1">
      <c r="A7318" s="199">
        <v>45784</v>
      </c>
      <c r="B7318" s="202" t="s">
        <v>5781</v>
      </c>
      <c r="C7318" s="200" t="s">
        <v>204</v>
      </c>
      <c r="D7318" s="733">
        <v>-2288000</v>
      </c>
      <c r="E7318" s="662">
        <v>45778</v>
      </c>
      <c r="F7318" s="759" t="s">
        <v>256</v>
      </c>
      <c r="G7318" s="759" t="s">
        <v>107</v>
      </c>
      <c r="H7318" s="759" t="s">
        <v>777</v>
      </c>
    </row>
    <row r="7319" spans="1:9" ht="15" customHeight="1">
      <c r="A7319" s="199">
        <v>45784</v>
      </c>
      <c r="B7319" s="202" t="s">
        <v>5782</v>
      </c>
      <c r="C7319" s="200" t="s">
        <v>372</v>
      </c>
      <c r="D7319" s="204">
        <v>-80000</v>
      </c>
      <c r="E7319" s="662">
        <v>45778</v>
      </c>
      <c r="F7319" s="759" t="s">
        <v>256</v>
      </c>
      <c r="G7319" s="759" t="s">
        <v>107</v>
      </c>
      <c r="H7319" s="759" t="s">
        <v>777</v>
      </c>
    </row>
    <row r="7320" spans="1:9" ht="15" customHeight="1">
      <c r="A7320" s="199">
        <v>45784</v>
      </c>
      <c r="B7320" s="202" t="s">
        <v>5783</v>
      </c>
      <c r="C7320" s="200" t="s">
        <v>372</v>
      </c>
      <c r="D7320" s="204">
        <v>-12000</v>
      </c>
      <c r="E7320" s="662">
        <v>45778</v>
      </c>
      <c r="F7320" s="759" t="s">
        <v>256</v>
      </c>
      <c r="G7320" s="759" t="s">
        <v>107</v>
      </c>
      <c r="H7320" s="759" t="s">
        <v>777</v>
      </c>
    </row>
    <row r="7321" spans="1:9" ht="15" customHeight="1">
      <c r="A7321" s="199">
        <v>45784</v>
      </c>
      <c r="B7321" s="202" t="s">
        <v>5784</v>
      </c>
      <c r="C7321" s="200" t="s">
        <v>204</v>
      </c>
      <c r="D7321" s="733">
        <v>-578833</v>
      </c>
      <c r="E7321" s="662">
        <v>45778</v>
      </c>
      <c r="F7321" s="759" t="s">
        <v>296</v>
      </c>
      <c r="G7321" s="759" t="s">
        <v>1980</v>
      </c>
      <c r="H7321" s="759" t="s">
        <v>326</v>
      </c>
    </row>
    <row r="7322" spans="1:9" ht="15" customHeight="1">
      <c r="A7322" s="199">
        <v>45784</v>
      </c>
      <c r="B7322" s="202" t="s">
        <v>5785</v>
      </c>
      <c r="C7322" s="200" t="s">
        <v>372</v>
      </c>
      <c r="D7322" s="204">
        <v>-20994</v>
      </c>
      <c r="E7322" s="662">
        <v>45778</v>
      </c>
      <c r="F7322" s="759" t="s">
        <v>296</v>
      </c>
      <c r="G7322" s="759" t="s">
        <v>1980</v>
      </c>
      <c r="H7322" s="759" t="s">
        <v>326</v>
      </c>
    </row>
    <row r="7323" spans="1:9" ht="15" customHeight="1">
      <c r="A7323" s="199">
        <v>45784</v>
      </c>
      <c r="B7323" s="202" t="s">
        <v>5784</v>
      </c>
      <c r="C7323" s="200" t="s">
        <v>204</v>
      </c>
      <c r="D7323" s="733">
        <v>-578833</v>
      </c>
      <c r="E7323" s="662">
        <v>45778</v>
      </c>
      <c r="F7323" s="759" t="s">
        <v>296</v>
      </c>
      <c r="G7323" s="759" t="s">
        <v>1983</v>
      </c>
      <c r="H7323" s="759" t="s">
        <v>326</v>
      </c>
    </row>
    <row r="7324" spans="1:9" ht="15" customHeight="1">
      <c r="A7324" s="199">
        <v>45784</v>
      </c>
      <c r="B7324" s="202" t="s">
        <v>5785</v>
      </c>
      <c r="C7324" s="200" t="s">
        <v>372</v>
      </c>
      <c r="D7324" s="204">
        <v>-20994</v>
      </c>
      <c r="E7324" s="662">
        <v>45778</v>
      </c>
      <c r="F7324" s="759" t="s">
        <v>296</v>
      </c>
      <c r="G7324" s="759" t="s">
        <v>1983</v>
      </c>
      <c r="H7324" s="759" t="s">
        <v>326</v>
      </c>
    </row>
    <row r="7325" spans="1:9" ht="15" customHeight="1">
      <c r="A7325" s="199">
        <v>45784</v>
      </c>
      <c r="B7325" s="202" t="s">
        <v>5786</v>
      </c>
      <c r="C7325" s="200" t="s">
        <v>204</v>
      </c>
      <c r="D7325" s="733">
        <v>-114210</v>
      </c>
      <c r="E7325" s="662">
        <v>45778</v>
      </c>
      <c r="F7325" s="759" t="s">
        <v>256</v>
      </c>
      <c r="G7325" s="759" t="s">
        <v>107</v>
      </c>
      <c r="H7325" s="759" t="s">
        <v>115</v>
      </c>
    </row>
    <row r="7326" spans="1:9" ht="15" customHeight="1">
      <c r="A7326" s="199">
        <v>45784</v>
      </c>
      <c r="B7326" s="202" t="s">
        <v>5787</v>
      </c>
      <c r="C7326" s="200" t="s">
        <v>204</v>
      </c>
      <c r="D7326" s="733">
        <v>-75000</v>
      </c>
      <c r="E7326" s="662">
        <v>45778</v>
      </c>
      <c r="F7326" s="759" t="s">
        <v>297</v>
      </c>
      <c r="G7326" s="759" t="s">
        <v>3892</v>
      </c>
      <c r="H7326" s="759" t="s">
        <v>5384</v>
      </c>
    </row>
    <row r="7327" spans="1:9" ht="15" customHeight="1">
      <c r="A7327" s="199">
        <v>45785</v>
      </c>
      <c r="B7327" s="202" t="s">
        <v>1925</v>
      </c>
      <c r="C7327" s="200" t="s">
        <v>204</v>
      </c>
      <c r="D7327" s="733">
        <v>-122000</v>
      </c>
      <c r="E7327" s="662">
        <v>45778</v>
      </c>
      <c r="F7327" s="759" t="s">
        <v>297</v>
      </c>
      <c r="G7327" s="759" t="s">
        <v>1313</v>
      </c>
      <c r="H7327" s="759" t="s">
        <v>268</v>
      </c>
      <c r="I7327" s="648" t="s">
        <v>329</v>
      </c>
    </row>
    <row r="7328" spans="1:9" ht="15" customHeight="1">
      <c r="A7328" s="199">
        <v>45785</v>
      </c>
      <c r="B7328" s="202" t="s">
        <v>1925</v>
      </c>
      <c r="C7328" s="200" t="s">
        <v>204</v>
      </c>
      <c r="D7328" s="733">
        <v>-74000</v>
      </c>
      <c r="E7328" s="662">
        <v>45778</v>
      </c>
      <c r="F7328" s="759" t="s">
        <v>296</v>
      </c>
      <c r="G7328" s="759" t="s">
        <v>807</v>
      </c>
      <c r="H7328" s="759" t="s">
        <v>326</v>
      </c>
    </row>
    <row r="7329" spans="1:9" ht="15" customHeight="1">
      <c r="A7329" s="199">
        <v>45785</v>
      </c>
      <c r="B7329" s="202" t="s">
        <v>1925</v>
      </c>
      <c r="C7329" s="200" t="s">
        <v>204</v>
      </c>
      <c r="D7329" s="733">
        <v>-48000</v>
      </c>
      <c r="E7329" s="662">
        <v>45778</v>
      </c>
      <c r="F7329" s="759" t="s">
        <v>256</v>
      </c>
      <c r="G7329" s="759" t="s">
        <v>256</v>
      </c>
      <c r="H7329" s="759" t="s">
        <v>268</v>
      </c>
    </row>
    <row r="7330" spans="1:9" ht="15" customHeight="1">
      <c r="A7330" s="199">
        <v>45785</v>
      </c>
      <c r="B7330" s="202" t="s">
        <v>1925</v>
      </c>
      <c r="C7330" s="200" t="s">
        <v>204</v>
      </c>
      <c r="D7330" s="733">
        <v>-10000</v>
      </c>
      <c r="E7330" s="662">
        <v>45778</v>
      </c>
      <c r="F7330" s="759" t="s">
        <v>297</v>
      </c>
      <c r="G7330" s="759" t="s">
        <v>3892</v>
      </c>
      <c r="H7330" s="759" t="s">
        <v>268</v>
      </c>
    </row>
    <row r="7331" spans="1:9" ht="15" customHeight="1">
      <c r="A7331" s="199">
        <v>45785</v>
      </c>
      <c r="B7331" s="202" t="s">
        <v>1925</v>
      </c>
      <c r="C7331" s="200" t="s">
        <v>204</v>
      </c>
      <c r="D7331" s="733">
        <v>-20000</v>
      </c>
      <c r="E7331" s="662">
        <v>45778</v>
      </c>
      <c r="F7331" s="759" t="s">
        <v>296</v>
      </c>
      <c r="G7331" s="759" t="s">
        <v>1825</v>
      </c>
      <c r="H7331" s="759" t="s">
        <v>326</v>
      </c>
    </row>
    <row r="7332" spans="1:9" ht="15" customHeight="1">
      <c r="A7332" s="199">
        <v>45785</v>
      </c>
      <c r="B7332" s="202" t="s">
        <v>1925</v>
      </c>
      <c r="C7332" s="200" t="s">
        <v>204</v>
      </c>
      <c r="D7332" s="733">
        <v>-10000</v>
      </c>
      <c r="E7332" s="662">
        <v>45778</v>
      </c>
      <c r="F7332" s="759" t="s">
        <v>296</v>
      </c>
      <c r="G7332" s="759" t="s">
        <v>1980</v>
      </c>
      <c r="H7332" s="759" t="s">
        <v>326</v>
      </c>
    </row>
    <row r="7333" spans="1:9" ht="15" customHeight="1">
      <c r="A7333" s="199">
        <v>45785</v>
      </c>
      <c r="B7333" s="202" t="s">
        <v>1925</v>
      </c>
      <c r="C7333" s="200" t="s">
        <v>204</v>
      </c>
      <c r="D7333" s="733">
        <v>-20000</v>
      </c>
      <c r="E7333" s="662">
        <v>45778</v>
      </c>
      <c r="F7333" s="759" t="s">
        <v>296</v>
      </c>
      <c r="G7333" s="759" t="s">
        <v>44</v>
      </c>
      <c r="H7333" s="759" t="s">
        <v>326</v>
      </c>
    </row>
    <row r="7334" spans="1:9" ht="15" customHeight="1">
      <c r="A7334" s="199">
        <v>45785</v>
      </c>
      <c r="B7334" s="202" t="s">
        <v>1925</v>
      </c>
      <c r="C7334" s="200" t="s">
        <v>204</v>
      </c>
      <c r="D7334" s="733">
        <v>-126000</v>
      </c>
      <c r="E7334" s="662">
        <v>45778</v>
      </c>
      <c r="F7334" s="759" t="s">
        <v>297</v>
      </c>
      <c r="G7334" s="759" t="s">
        <v>71</v>
      </c>
      <c r="H7334" s="759" t="s">
        <v>268</v>
      </c>
    </row>
    <row r="7335" spans="1:9" ht="15" customHeight="1">
      <c r="A7335" s="199">
        <v>45785</v>
      </c>
      <c r="B7335" s="202" t="s">
        <v>1925</v>
      </c>
      <c r="C7335" s="200" t="s">
        <v>204</v>
      </c>
      <c r="D7335" s="733">
        <v>-317840</v>
      </c>
      <c r="E7335" s="662">
        <v>45778</v>
      </c>
      <c r="F7335" s="759" t="s">
        <v>296</v>
      </c>
      <c r="G7335" s="759" t="s">
        <v>522</v>
      </c>
      <c r="H7335" s="759" t="s">
        <v>326</v>
      </c>
    </row>
    <row r="7336" spans="1:9" ht="15" customHeight="1">
      <c r="A7336" s="199">
        <v>45785</v>
      </c>
      <c r="B7336" s="202" t="s">
        <v>1926</v>
      </c>
      <c r="C7336" s="200" t="s">
        <v>372</v>
      </c>
      <c r="D7336" s="204">
        <v>-7600</v>
      </c>
      <c r="E7336" s="662">
        <v>45778</v>
      </c>
      <c r="F7336" s="759" t="s">
        <v>296</v>
      </c>
      <c r="G7336" s="759" t="s">
        <v>522</v>
      </c>
      <c r="H7336" s="759" t="s">
        <v>326</v>
      </c>
    </row>
    <row r="7337" spans="1:9" ht="15" customHeight="1">
      <c r="A7337" s="199">
        <v>45785</v>
      </c>
      <c r="B7337" s="202" t="s">
        <v>5788</v>
      </c>
      <c r="C7337" s="200" t="s">
        <v>372</v>
      </c>
      <c r="D7337" s="204">
        <v>-4560</v>
      </c>
      <c r="E7337" s="662">
        <v>45778</v>
      </c>
      <c r="F7337" s="759" t="s">
        <v>296</v>
      </c>
      <c r="G7337" s="759" t="s">
        <v>522</v>
      </c>
      <c r="H7337" s="759" t="s">
        <v>326</v>
      </c>
    </row>
    <row r="7338" spans="1:9" ht="15" customHeight="1">
      <c r="A7338" s="199">
        <v>45785</v>
      </c>
      <c r="B7338" s="202" t="s">
        <v>5789</v>
      </c>
      <c r="C7338" s="200" t="s">
        <v>204</v>
      </c>
      <c r="D7338" s="733">
        <v>-1320886</v>
      </c>
      <c r="E7338" s="662">
        <v>45778</v>
      </c>
      <c r="F7338" s="759" t="s">
        <v>296</v>
      </c>
      <c r="G7338" s="759" t="s">
        <v>44</v>
      </c>
      <c r="H7338" s="759" t="s">
        <v>1104</v>
      </c>
    </row>
    <row r="7339" spans="1:9" ht="15" customHeight="1">
      <c r="A7339" s="199">
        <v>45785</v>
      </c>
      <c r="B7339" s="202" t="s">
        <v>5790</v>
      </c>
      <c r="C7339" s="200" t="s">
        <v>204</v>
      </c>
      <c r="D7339" s="733">
        <v>-746167</v>
      </c>
      <c r="E7339" s="662">
        <v>45778</v>
      </c>
      <c r="F7339" s="759" t="s">
        <v>296</v>
      </c>
      <c r="G7339" s="759" t="s">
        <v>1825</v>
      </c>
      <c r="H7339" s="759" t="s">
        <v>322</v>
      </c>
    </row>
    <row r="7340" spans="1:9" ht="15" customHeight="1">
      <c r="A7340" s="199">
        <v>45785</v>
      </c>
      <c r="B7340" s="202" t="s">
        <v>5791</v>
      </c>
      <c r="C7340" s="200" t="s">
        <v>372</v>
      </c>
      <c r="D7340" s="204">
        <v>-3833</v>
      </c>
      <c r="E7340" s="662">
        <v>45778</v>
      </c>
      <c r="F7340" s="759" t="s">
        <v>296</v>
      </c>
      <c r="G7340" s="759" t="s">
        <v>1825</v>
      </c>
      <c r="H7340" s="759" t="s">
        <v>322</v>
      </c>
    </row>
    <row r="7341" spans="1:9" ht="15" customHeight="1">
      <c r="A7341" s="199">
        <v>45785</v>
      </c>
      <c r="B7341" s="202" t="s">
        <v>5792</v>
      </c>
      <c r="C7341" s="200" t="s">
        <v>204</v>
      </c>
      <c r="D7341" s="733">
        <v>-310000</v>
      </c>
      <c r="E7341" s="662">
        <v>45778</v>
      </c>
      <c r="F7341" s="759" t="s">
        <v>297</v>
      </c>
      <c r="G7341" s="759" t="s">
        <v>3892</v>
      </c>
      <c r="H7341" s="759" t="s">
        <v>5384</v>
      </c>
    </row>
    <row r="7342" spans="1:9" ht="15" customHeight="1">
      <c r="A7342" s="199">
        <v>45768</v>
      </c>
      <c r="B7342" s="202" t="s">
        <v>431</v>
      </c>
      <c r="C7342" s="200" t="s">
        <v>307</v>
      </c>
      <c r="D7342" s="204">
        <v>-15200</v>
      </c>
      <c r="E7342" s="662">
        <v>45778</v>
      </c>
      <c r="F7342" s="759" t="s">
        <v>256</v>
      </c>
      <c r="G7342" s="759" t="s">
        <v>256</v>
      </c>
      <c r="H7342" s="759" t="s">
        <v>263</v>
      </c>
      <c r="I7342" s="200" t="s">
        <v>5293</v>
      </c>
    </row>
    <row r="7343" spans="1:9" ht="15" customHeight="1">
      <c r="A7343" s="199">
        <v>45768</v>
      </c>
      <c r="B7343" s="202" t="s">
        <v>5793</v>
      </c>
      <c r="C7343" s="200" t="s">
        <v>307</v>
      </c>
      <c r="D7343" s="204">
        <v>-13971</v>
      </c>
      <c r="E7343" s="662">
        <v>45778</v>
      </c>
      <c r="F7343" s="759" t="s">
        <v>296</v>
      </c>
      <c r="G7343" s="759" t="s">
        <v>1311</v>
      </c>
      <c r="H7343" s="759" t="s">
        <v>5384</v>
      </c>
      <c r="I7343" s="200" t="s">
        <v>5293</v>
      </c>
    </row>
    <row r="7344" spans="1:9" ht="15" customHeight="1">
      <c r="A7344" s="199">
        <v>45768</v>
      </c>
      <c r="B7344" s="202" t="s">
        <v>5793</v>
      </c>
      <c r="C7344" s="200" t="s">
        <v>307</v>
      </c>
      <c r="D7344" s="204">
        <v>-6985</v>
      </c>
      <c r="E7344" s="662">
        <v>45778</v>
      </c>
      <c r="F7344" s="759" t="s">
        <v>296</v>
      </c>
      <c r="G7344" s="759" t="s">
        <v>1311</v>
      </c>
      <c r="H7344" s="759" t="s">
        <v>5384</v>
      </c>
      <c r="I7344" s="200" t="s">
        <v>5293</v>
      </c>
    </row>
    <row r="7345" spans="1:9" ht="15" customHeight="1">
      <c r="A7345" s="199">
        <v>45768</v>
      </c>
      <c r="B7345" s="202" t="s">
        <v>5794</v>
      </c>
      <c r="C7345" s="200" t="s">
        <v>307</v>
      </c>
      <c r="D7345" s="204">
        <v>-25000</v>
      </c>
      <c r="E7345" s="662">
        <v>45778</v>
      </c>
      <c r="F7345" s="759" t="s">
        <v>297</v>
      </c>
      <c r="G7345" s="759" t="s">
        <v>71</v>
      </c>
      <c r="H7345" s="759" t="s">
        <v>346</v>
      </c>
      <c r="I7345" s="200" t="s">
        <v>5293</v>
      </c>
    </row>
    <row r="7346" spans="1:9" ht="15" customHeight="1">
      <c r="A7346" s="199">
        <v>45768</v>
      </c>
      <c r="B7346" s="202" t="s">
        <v>5795</v>
      </c>
      <c r="C7346" s="200" t="s">
        <v>307</v>
      </c>
      <c r="D7346" s="204">
        <v>-50000</v>
      </c>
      <c r="E7346" s="662">
        <v>45778</v>
      </c>
      <c r="F7346" s="759" t="s">
        <v>297</v>
      </c>
      <c r="G7346" s="759" t="s">
        <v>71</v>
      </c>
      <c r="H7346" s="759" t="s">
        <v>346</v>
      </c>
      <c r="I7346" s="200" t="s">
        <v>5293</v>
      </c>
    </row>
    <row r="7347" spans="1:9" ht="15" customHeight="1">
      <c r="A7347" s="199">
        <v>45768</v>
      </c>
      <c r="B7347" s="202" t="s">
        <v>5796</v>
      </c>
      <c r="C7347" s="200" t="s">
        <v>307</v>
      </c>
      <c r="D7347" s="204">
        <v>-15000</v>
      </c>
      <c r="E7347" s="662">
        <v>45778</v>
      </c>
      <c r="F7347" s="759" t="s">
        <v>296</v>
      </c>
      <c r="G7347" s="759" t="s">
        <v>328</v>
      </c>
      <c r="H7347" s="759" t="s">
        <v>346</v>
      </c>
      <c r="I7347" s="200" t="s">
        <v>5293</v>
      </c>
    </row>
    <row r="7348" spans="1:9" ht="15" customHeight="1">
      <c r="A7348" s="199">
        <v>45769</v>
      </c>
      <c r="B7348" s="202" t="s">
        <v>5797</v>
      </c>
      <c r="C7348" s="200" t="s">
        <v>307</v>
      </c>
      <c r="D7348" s="204">
        <v>-11900</v>
      </c>
      <c r="E7348" s="662">
        <v>45778</v>
      </c>
      <c r="F7348" s="759" t="s">
        <v>296</v>
      </c>
      <c r="G7348" s="759" t="s">
        <v>328</v>
      </c>
      <c r="H7348" s="759" t="s">
        <v>5384</v>
      </c>
      <c r="I7348" s="200" t="s">
        <v>5293</v>
      </c>
    </row>
    <row r="7349" spans="1:9" ht="15" customHeight="1">
      <c r="A7349" s="199">
        <v>45769</v>
      </c>
      <c r="B7349" s="202" t="s">
        <v>5798</v>
      </c>
      <c r="C7349" s="200" t="s">
        <v>307</v>
      </c>
      <c r="D7349" s="204">
        <v>-6500</v>
      </c>
      <c r="E7349" s="662">
        <v>45778</v>
      </c>
      <c r="F7349" s="759" t="s">
        <v>296</v>
      </c>
      <c r="G7349" s="759" t="s">
        <v>328</v>
      </c>
      <c r="H7349" s="759" t="s">
        <v>5384</v>
      </c>
      <c r="I7349" s="200" t="s">
        <v>5293</v>
      </c>
    </row>
    <row r="7350" spans="1:9" ht="15" customHeight="1">
      <c r="A7350" s="199">
        <v>45769</v>
      </c>
      <c r="B7350" s="202" t="s">
        <v>5799</v>
      </c>
      <c r="C7350" s="200" t="s">
        <v>307</v>
      </c>
      <c r="D7350" s="204">
        <v>-36999.440000000002</v>
      </c>
      <c r="E7350" s="662">
        <v>45778</v>
      </c>
      <c r="F7350" s="759" t="s">
        <v>296</v>
      </c>
      <c r="G7350" s="759" t="s">
        <v>1311</v>
      </c>
      <c r="H7350" s="759" t="s">
        <v>379</v>
      </c>
      <c r="I7350" s="200" t="s">
        <v>5293</v>
      </c>
    </row>
    <row r="7351" spans="1:9" ht="15" customHeight="1">
      <c r="A7351" s="199">
        <v>45770</v>
      </c>
      <c r="B7351" s="202" t="s">
        <v>1937</v>
      </c>
      <c r="C7351" s="200" t="s">
        <v>307</v>
      </c>
      <c r="D7351" s="204">
        <v>-7000</v>
      </c>
      <c r="E7351" s="662">
        <v>45778</v>
      </c>
      <c r="F7351" s="759" t="s">
        <v>296</v>
      </c>
      <c r="G7351" s="759" t="s">
        <v>328</v>
      </c>
      <c r="H7351" s="759" t="s">
        <v>268</v>
      </c>
      <c r="I7351" s="200" t="s">
        <v>5293</v>
      </c>
    </row>
    <row r="7352" spans="1:9" ht="15" customHeight="1">
      <c r="A7352" s="199">
        <v>45770</v>
      </c>
      <c r="B7352" s="202" t="s">
        <v>5800</v>
      </c>
      <c r="C7352" s="200" t="s">
        <v>307</v>
      </c>
      <c r="D7352" s="204">
        <v>-12000</v>
      </c>
      <c r="E7352" s="662">
        <v>45778</v>
      </c>
      <c r="F7352" s="759" t="s">
        <v>297</v>
      </c>
      <c r="G7352" s="759" t="s">
        <v>3892</v>
      </c>
      <c r="H7352" s="759" t="s">
        <v>346</v>
      </c>
      <c r="I7352" s="200" t="s">
        <v>5293</v>
      </c>
    </row>
    <row r="7353" spans="1:9" ht="15" customHeight="1">
      <c r="A7353" s="199">
        <v>45771</v>
      </c>
      <c r="B7353" s="202" t="s">
        <v>5801</v>
      </c>
      <c r="C7353" s="200" t="s">
        <v>307</v>
      </c>
      <c r="D7353" s="204">
        <v>-44999.13</v>
      </c>
      <c r="E7353" s="662">
        <v>45778</v>
      </c>
      <c r="F7353" s="759" t="s">
        <v>296</v>
      </c>
      <c r="G7353" s="759" t="s">
        <v>1311</v>
      </c>
      <c r="H7353" s="759" t="s">
        <v>5384</v>
      </c>
      <c r="I7353" s="648" t="s">
        <v>329</v>
      </c>
    </row>
    <row r="7354" spans="1:9" ht="15" customHeight="1">
      <c r="A7354" s="199">
        <v>45771</v>
      </c>
      <c r="B7354" s="202" t="s">
        <v>5802</v>
      </c>
      <c r="C7354" s="200" t="s">
        <v>307</v>
      </c>
      <c r="D7354" s="204">
        <v>-12000</v>
      </c>
      <c r="E7354" s="662">
        <v>45778</v>
      </c>
      <c r="F7354" s="759" t="s">
        <v>296</v>
      </c>
      <c r="G7354" s="759" t="s">
        <v>3360</v>
      </c>
      <c r="H7354" s="759" t="s">
        <v>346</v>
      </c>
      <c r="I7354" s="200" t="s">
        <v>5293</v>
      </c>
    </row>
    <row r="7355" spans="1:9" ht="15" customHeight="1">
      <c r="A7355" s="199">
        <v>45772</v>
      </c>
      <c r="B7355" s="202" t="s">
        <v>5803</v>
      </c>
      <c r="C7355" s="200" t="s">
        <v>307</v>
      </c>
      <c r="D7355" s="204">
        <v>-67000</v>
      </c>
      <c r="E7355" s="662">
        <v>45778</v>
      </c>
      <c r="F7355" s="759" t="s">
        <v>296</v>
      </c>
      <c r="G7355" s="759" t="s">
        <v>1362</v>
      </c>
      <c r="H7355" s="759" t="s">
        <v>5389</v>
      </c>
      <c r="I7355" s="200" t="s">
        <v>5293</v>
      </c>
    </row>
    <row r="7356" spans="1:9" ht="15" customHeight="1">
      <c r="A7356" s="199">
        <v>45772</v>
      </c>
      <c r="B7356" s="202" t="s">
        <v>5804</v>
      </c>
      <c r="C7356" s="200" t="s">
        <v>307</v>
      </c>
      <c r="D7356" s="204">
        <v>-30000</v>
      </c>
      <c r="E7356" s="662">
        <v>45778</v>
      </c>
      <c r="F7356" s="759" t="s">
        <v>297</v>
      </c>
      <c r="G7356" s="759" t="s">
        <v>3892</v>
      </c>
      <c r="H7356" s="759" t="s">
        <v>346</v>
      </c>
      <c r="I7356" s="200" t="s">
        <v>5293</v>
      </c>
    </row>
    <row r="7357" spans="1:9" ht="15" customHeight="1">
      <c r="A7357" s="199">
        <v>45775</v>
      </c>
      <c r="B7357" s="202" t="s">
        <v>5805</v>
      </c>
      <c r="C7357" s="200" t="s">
        <v>307</v>
      </c>
      <c r="D7357" s="204">
        <v>-6000</v>
      </c>
      <c r="E7357" s="662">
        <v>45778</v>
      </c>
      <c r="F7357" s="759" t="s">
        <v>296</v>
      </c>
      <c r="G7357" s="759" t="s">
        <v>2994</v>
      </c>
      <c r="H7357" s="759" t="s">
        <v>5389</v>
      </c>
      <c r="I7357" s="200" t="s">
        <v>5293</v>
      </c>
    </row>
    <row r="7358" spans="1:9" ht="15" customHeight="1">
      <c r="A7358" s="199">
        <v>45776</v>
      </c>
      <c r="B7358" s="202" t="s">
        <v>431</v>
      </c>
      <c r="C7358" s="200" t="s">
        <v>307</v>
      </c>
      <c r="D7358" s="204">
        <v>-15000</v>
      </c>
      <c r="E7358" s="662">
        <v>45778</v>
      </c>
      <c r="F7358" s="759" t="s">
        <v>256</v>
      </c>
      <c r="G7358" s="759" t="s">
        <v>256</v>
      </c>
      <c r="H7358" s="759" t="s">
        <v>263</v>
      </c>
      <c r="I7358" s="200" t="s">
        <v>5293</v>
      </c>
    </row>
    <row r="7359" spans="1:9" ht="15" customHeight="1">
      <c r="A7359" s="199">
        <v>45777</v>
      </c>
      <c r="B7359" s="202" t="s">
        <v>5806</v>
      </c>
      <c r="C7359" s="200" t="s">
        <v>307</v>
      </c>
      <c r="D7359" s="204">
        <v>-4000</v>
      </c>
      <c r="E7359" s="662">
        <v>45778</v>
      </c>
      <c r="F7359" s="759" t="s">
        <v>296</v>
      </c>
      <c r="G7359" s="759" t="s">
        <v>328</v>
      </c>
      <c r="H7359" s="759" t="s">
        <v>5384</v>
      </c>
      <c r="I7359" s="200" t="s">
        <v>5293</v>
      </c>
    </row>
    <row r="7360" spans="1:9" ht="15" customHeight="1">
      <c r="A7360" s="199">
        <v>45769</v>
      </c>
      <c r="B7360" s="202" t="s">
        <v>1677</v>
      </c>
      <c r="C7360" s="200" t="s">
        <v>307</v>
      </c>
      <c r="D7360" s="204">
        <v>-45000</v>
      </c>
      <c r="E7360" s="662">
        <v>45778</v>
      </c>
      <c r="F7360" s="759" t="s">
        <v>296</v>
      </c>
      <c r="G7360" s="759" t="s">
        <v>807</v>
      </c>
      <c r="H7360" s="759" t="s">
        <v>442</v>
      </c>
      <c r="I7360" s="200" t="s">
        <v>5293</v>
      </c>
    </row>
    <row r="7361" spans="1:9" ht="15" customHeight="1">
      <c r="A7361" s="199">
        <v>45770</v>
      </c>
      <c r="B7361" s="202" t="s">
        <v>5807</v>
      </c>
      <c r="C7361" s="200" t="s">
        <v>307</v>
      </c>
      <c r="D7361" s="204">
        <v>-25000</v>
      </c>
      <c r="E7361" s="662">
        <v>45778</v>
      </c>
      <c r="F7361" s="759" t="s">
        <v>296</v>
      </c>
      <c r="G7361" s="759" t="s">
        <v>1980</v>
      </c>
      <c r="H7361" s="759" t="s">
        <v>1079</v>
      </c>
      <c r="I7361" s="200" t="s">
        <v>5293</v>
      </c>
    </row>
    <row r="7362" spans="1:9" ht="15" customHeight="1">
      <c r="A7362" s="199">
        <v>45770</v>
      </c>
      <c r="B7362" s="202" t="s">
        <v>696</v>
      </c>
      <c r="C7362" s="200" t="s">
        <v>307</v>
      </c>
      <c r="D7362" s="204">
        <v>-40000</v>
      </c>
      <c r="E7362" s="662">
        <v>45778</v>
      </c>
      <c r="F7362" s="759" t="s">
        <v>296</v>
      </c>
      <c r="G7362" s="759" t="s">
        <v>1980</v>
      </c>
      <c r="H7362" s="759" t="s">
        <v>442</v>
      </c>
      <c r="I7362" s="200" t="s">
        <v>5293</v>
      </c>
    </row>
    <row r="7363" spans="1:9" ht="15" customHeight="1">
      <c r="A7363" s="199">
        <v>45772</v>
      </c>
      <c r="B7363" s="202" t="s">
        <v>5808</v>
      </c>
      <c r="C7363" s="200" t="s">
        <v>307</v>
      </c>
      <c r="D7363" s="204">
        <v>-40000</v>
      </c>
      <c r="E7363" s="662">
        <v>45778</v>
      </c>
      <c r="F7363" s="759" t="s">
        <v>296</v>
      </c>
      <c r="G7363" s="759" t="s">
        <v>807</v>
      </c>
      <c r="H7363" s="759" t="s">
        <v>442</v>
      </c>
      <c r="I7363" s="200" t="s">
        <v>5293</v>
      </c>
    </row>
    <row r="7364" spans="1:9" ht="15" customHeight="1">
      <c r="A7364" s="199">
        <v>45772</v>
      </c>
      <c r="B7364" s="202" t="s">
        <v>5809</v>
      </c>
      <c r="C7364" s="200" t="s">
        <v>307</v>
      </c>
      <c r="D7364" s="204">
        <v>-8000</v>
      </c>
      <c r="E7364" s="662">
        <v>45778</v>
      </c>
      <c r="F7364" s="759" t="s">
        <v>296</v>
      </c>
      <c r="G7364" s="759" t="s">
        <v>1980</v>
      </c>
      <c r="H7364" s="759" t="s">
        <v>442</v>
      </c>
      <c r="I7364" s="200" t="s">
        <v>5293</v>
      </c>
    </row>
    <row r="7365" spans="1:9" ht="15" customHeight="1">
      <c r="A7365" s="199">
        <v>45772</v>
      </c>
      <c r="B7365" s="202" t="s">
        <v>5810</v>
      </c>
      <c r="C7365" s="200" t="s">
        <v>307</v>
      </c>
      <c r="D7365" s="204">
        <v>-40000</v>
      </c>
      <c r="E7365" s="662">
        <v>45778</v>
      </c>
      <c r="F7365" s="759" t="s">
        <v>296</v>
      </c>
      <c r="G7365" s="759" t="s">
        <v>807</v>
      </c>
      <c r="H7365" s="759" t="s">
        <v>442</v>
      </c>
      <c r="I7365" s="200" t="s">
        <v>5293</v>
      </c>
    </row>
    <row r="7366" spans="1:9" ht="15" customHeight="1">
      <c r="A7366" s="199">
        <v>45772</v>
      </c>
      <c r="B7366" s="202" t="s">
        <v>5811</v>
      </c>
      <c r="C7366" s="200" t="s">
        <v>307</v>
      </c>
      <c r="D7366" s="204">
        <v>-10800</v>
      </c>
      <c r="E7366" s="662">
        <v>45778</v>
      </c>
      <c r="F7366" s="759" t="s">
        <v>296</v>
      </c>
      <c r="G7366" s="759" t="s">
        <v>1825</v>
      </c>
      <c r="H7366" s="759" t="s">
        <v>322</v>
      </c>
      <c r="I7366" s="200" t="s">
        <v>5293</v>
      </c>
    </row>
    <row r="7367" spans="1:9" ht="15" customHeight="1">
      <c r="A7367" s="199">
        <v>45776</v>
      </c>
      <c r="B7367" s="202" t="s">
        <v>5812</v>
      </c>
      <c r="C7367" s="200" t="s">
        <v>307</v>
      </c>
      <c r="D7367" s="204">
        <v>-30000</v>
      </c>
      <c r="E7367" s="662">
        <v>45778</v>
      </c>
      <c r="F7367" s="759" t="s">
        <v>296</v>
      </c>
      <c r="G7367" s="759" t="s">
        <v>1825</v>
      </c>
      <c r="H7367" s="759" t="s">
        <v>442</v>
      </c>
      <c r="I7367" s="200" t="s">
        <v>5293</v>
      </c>
    </row>
    <row r="7368" spans="1:9" ht="15" customHeight="1">
      <c r="A7368" s="199">
        <v>45777</v>
      </c>
      <c r="B7368" s="202" t="s">
        <v>696</v>
      </c>
      <c r="C7368" s="200" t="s">
        <v>307</v>
      </c>
      <c r="D7368" s="204">
        <v>-10000</v>
      </c>
      <c r="E7368" s="662">
        <v>45778</v>
      </c>
      <c r="F7368" s="759" t="s">
        <v>296</v>
      </c>
      <c r="G7368" s="759" t="s">
        <v>1980</v>
      </c>
      <c r="H7368" s="759" t="s">
        <v>442</v>
      </c>
      <c r="I7368" s="200" t="s">
        <v>5293</v>
      </c>
    </row>
    <row r="7369" spans="1:9" ht="15" customHeight="1">
      <c r="A7369" s="199">
        <v>45776</v>
      </c>
      <c r="B7369" s="202" t="s">
        <v>5813</v>
      </c>
      <c r="C7369" s="200" t="s">
        <v>307</v>
      </c>
      <c r="D7369" s="204">
        <v>-40000</v>
      </c>
      <c r="E7369" s="662">
        <v>45778</v>
      </c>
      <c r="F7369" s="759" t="s">
        <v>296</v>
      </c>
      <c r="G7369" s="759" t="s">
        <v>522</v>
      </c>
      <c r="H7369" s="759" t="s">
        <v>326</v>
      </c>
      <c r="I7369" s="200" t="s">
        <v>5814</v>
      </c>
    </row>
    <row r="7370" spans="1:9" ht="15" customHeight="1">
      <c r="A7370" s="199">
        <v>45776</v>
      </c>
      <c r="B7370" s="202" t="s">
        <v>729</v>
      </c>
      <c r="C7370" s="200" t="s">
        <v>307</v>
      </c>
      <c r="D7370" s="204">
        <v>-19200</v>
      </c>
      <c r="E7370" s="662">
        <v>45778</v>
      </c>
      <c r="F7370" s="759" t="s">
        <v>296</v>
      </c>
      <c r="G7370" s="759" t="s">
        <v>522</v>
      </c>
      <c r="H7370" s="759" t="s">
        <v>326</v>
      </c>
      <c r="I7370" s="200" t="s">
        <v>5814</v>
      </c>
    </row>
    <row r="7371" spans="1:9" ht="15" customHeight="1">
      <c r="A7371" s="199">
        <v>45776</v>
      </c>
      <c r="B7371" s="202" t="s">
        <v>5815</v>
      </c>
      <c r="C7371" s="200" t="s">
        <v>307</v>
      </c>
      <c r="D7371" s="204">
        <v>-9980</v>
      </c>
      <c r="E7371" s="662">
        <v>45778</v>
      </c>
      <c r="F7371" s="759" t="s">
        <v>296</v>
      </c>
      <c r="G7371" s="759" t="s">
        <v>522</v>
      </c>
      <c r="H7371" s="759" t="s">
        <v>326</v>
      </c>
      <c r="I7371" s="200" t="s">
        <v>5814</v>
      </c>
    </row>
    <row r="7372" spans="1:9" ht="15" customHeight="1">
      <c r="A7372" s="199">
        <v>45776</v>
      </c>
      <c r="B7372" s="202" t="s">
        <v>5816</v>
      </c>
      <c r="C7372" s="200" t="s">
        <v>307</v>
      </c>
      <c r="D7372" s="204">
        <v>-14800</v>
      </c>
      <c r="E7372" s="662">
        <v>45778</v>
      </c>
      <c r="F7372" s="759" t="s">
        <v>296</v>
      </c>
      <c r="G7372" s="759" t="s">
        <v>522</v>
      </c>
      <c r="H7372" s="759" t="s">
        <v>326</v>
      </c>
      <c r="I7372" s="200" t="s">
        <v>5814</v>
      </c>
    </row>
    <row r="7373" spans="1:9" ht="15" customHeight="1">
      <c r="A7373" s="199">
        <v>45777</v>
      </c>
      <c r="B7373" s="202" t="s">
        <v>5817</v>
      </c>
      <c r="C7373" s="200" t="s">
        <v>307</v>
      </c>
      <c r="D7373" s="204">
        <v>-14800</v>
      </c>
      <c r="E7373" s="662">
        <v>45778</v>
      </c>
      <c r="F7373" s="759" t="s">
        <v>296</v>
      </c>
      <c r="G7373" s="759" t="s">
        <v>44</v>
      </c>
      <c r="H7373" s="759" t="s">
        <v>326</v>
      </c>
      <c r="I7373" s="200" t="s">
        <v>5814</v>
      </c>
    </row>
    <row r="7374" spans="1:9" ht="15" customHeight="1">
      <c r="A7374" s="199">
        <v>45777</v>
      </c>
      <c r="B7374" s="202" t="s">
        <v>5818</v>
      </c>
      <c r="C7374" s="200" t="s">
        <v>307</v>
      </c>
      <c r="D7374" s="204">
        <v>-80000</v>
      </c>
      <c r="E7374" s="662">
        <v>45778</v>
      </c>
      <c r="F7374" s="759" t="s">
        <v>296</v>
      </c>
      <c r="G7374" s="759" t="s">
        <v>522</v>
      </c>
      <c r="H7374" s="759" t="s">
        <v>326</v>
      </c>
      <c r="I7374" s="200" t="s">
        <v>5814</v>
      </c>
    </row>
    <row r="7375" spans="1:9" ht="15" customHeight="1">
      <c r="A7375" s="199">
        <v>45768</v>
      </c>
      <c r="B7375" s="202" t="s">
        <v>5819</v>
      </c>
      <c r="C7375" s="200" t="s">
        <v>307</v>
      </c>
      <c r="D7375" s="204">
        <v>-2000</v>
      </c>
      <c r="E7375" s="662">
        <v>45778</v>
      </c>
      <c r="F7375" s="759" t="s">
        <v>296</v>
      </c>
      <c r="G7375" s="759" t="s">
        <v>513</v>
      </c>
      <c r="H7375" s="759" t="s">
        <v>326</v>
      </c>
      <c r="I7375" s="200" t="s">
        <v>1901</v>
      </c>
    </row>
    <row r="7376" spans="1:9" ht="15" customHeight="1">
      <c r="A7376" s="199">
        <v>45768</v>
      </c>
      <c r="B7376" s="202" t="s">
        <v>5819</v>
      </c>
      <c r="C7376" s="200" t="s">
        <v>307</v>
      </c>
      <c r="D7376" s="204">
        <v>-2000</v>
      </c>
      <c r="E7376" s="662">
        <v>45778</v>
      </c>
      <c r="F7376" s="759" t="s">
        <v>296</v>
      </c>
      <c r="G7376" s="759" t="s">
        <v>522</v>
      </c>
      <c r="H7376" s="759" t="s">
        <v>326</v>
      </c>
      <c r="I7376" s="200" t="s">
        <v>1901</v>
      </c>
    </row>
    <row r="7377" spans="1:9" ht="15" customHeight="1">
      <c r="A7377" s="199">
        <v>45768</v>
      </c>
      <c r="B7377" s="202" t="s">
        <v>5819</v>
      </c>
      <c r="C7377" s="200" t="s">
        <v>307</v>
      </c>
      <c r="D7377" s="204">
        <v>-2000</v>
      </c>
      <c r="E7377" s="662">
        <v>45778</v>
      </c>
      <c r="F7377" s="759" t="s">
        <v>296</v>
      </c>
      <c r="G7377" s="759" t="s">
        <v>44</v>
      </c>
      <c r="H7377" s="759" t="s">
        <v>326</v>
      </c>
      <c r="I7377" s="200" t="s">
        <v>1901</v>
      </c>
    </row>
    <row r="7378" spans="1:9" ht="15" customHeight="1">
      <c r="A7378" s="199">
        <v>45769</v>
      </c>
      <c r="B7378" s="202" t="s">
        <v>1015</v>
      </c>
      <c r="C7378" s="200" t="s">
        <v>307</v>
      </c>
      <c r="D7378" s="204">
        <v>-6666.666666666667</v>
      </c>
      <c r="E7378" s="662">
        <v>45778</v>
      </c>
      <c r="F7378" s="759" t="s">
        <v>296</v>
      </c>
      <c r="G7378" s="759" t="s">
        <v>513</v>
      </c>
      <c r="H7378" s="759" t="s">
        <v>326</v>
      </c>
      <c r="I7378" s="200" t="s">
        <v>1901</v>
      </c>
    </row>
    <row r="7379" spans="1:9" ht="15" customHeight="1">
      <c r="A7379" s="199">
        <v>45768</v>
      </c>
      <c r="B7379" s="202" t="s">
        <v>1015</v>
      </c>
      <c r="C7379" s="200" t="s">
        <v>307</v>
      </c>
      <c r="D7379" s="204">
        <v>-6666.666666666667</v>
      </c>
      <c r="E7379" s="662">
        <v>45778</v>
      </c>
      <c r="F7379" s="759" t="s">
        <v>296</v>
      </c>
      <c r="G7379" s="759" t="s">
        <v>522</v>
      </c>
      <c r="H7379" s="759" t="s">
        <v>326</v>
      </c>
      <c r="I7379" s="200" t="s">
        <v>1901</v>
      </c>
    </row>
    <row r="7380" spans="1:9" ht="15" customHeight="1">
      <c r="A7380" s="199">
        <v>45768</v>
      </c>
      <c r="B7380" s="202" t="s">
        <v>1015</v>
      </c>
      <c r="C7380" s="200" t="s">
        <v>307</v>
      </c>
      <c r="D7380" s="204">
        <v>-6666.666666666667</v>
      </c>
      <c r="E7380" s="662">
        <v>45778</v>
      </c>
      <c r="F7380" s="759" t="s">
        <v>296</v>
      </c>
      <c r="G7380" s="759" t="s">
        <v>44</v>
      </c>
      <c r="H7380" s="759" t="s">
        <v>326</v>
      </c>
      <c r="I7380" s="200" t="s">
        <v>1901</v>
      </c>
    </row>
    <row r="7381" spans="1:9" ht="15" customHeight="1">
      <c r="A7381" s="199">
        <v>45768</v>
      </c>
      <c r="B7381" s="202" t="s">
        <v>498</v>
      </c>
      <c r="C7381" s="200" t="s">
        <v>307</v>
      </c>
      <c r="D7381" s="204">
        <v>-3333.3333333333335</v>
      </c>
      <c r="E7381" s="662">
        <v>45778</v>
      </c>
      <c r="F7381" s="759" t="s">
        <v>296</v>
      </c>
      <c r="G7381" s="759" t="s">
        <v>513</v>
      </c>
      <c r="H7381" s="759" t="s">
        <v>326</v>
      </c>
      <c r="I7381" s="200" t="s">
        <v>1901</v>
      </c>
    </row>
    <row r="7382" spans="1:9" ht="15" customHeight="1">
      <c r="A7382" s="199">
        <v>45768</v>
      </c>
      <c r="B7382" s="202" t="s">
        <v>498</v>
      </c>
      <c r="C7382" s="200" t="s">
        <v>307</v>
      </c>
      <c r="D7382" s="204">
        <v>-3333.3333333333335</v>
      </c>
      <c r="E7382" s="662">
        <v>45778</v>
      </c>
      <c r="F7382" s="759" t="s">
        <v>296</v>
      </c>
      <c r="G7382" s="759" t="s">
        <v>522</v>
      </c>
      <c r="H7382" s="759" t="s">
        <v>326</v>
      </c>
      <c r="I7382" s="200" t="s">
        <v>1901</v>
      </c>
    </row>
    <row r="7383" spans="1:9" ht="15" customHeight="1">
      <c r="A7383" s="199">
        <v>45768</v>
      </c>
      <c r="B7383" s="202" t="s">
        <v>498</v>
      </c>
      <c r="C7383" s="200" t="s">
        <v>307</v>
      </c>
      <c r="D7383" s="204">
        <v>-3333.3333333333335</v>
      </c>
      <c r="E7383" s="662">
        <v>45778</v>
      </c>
      <c r="F7383" s="759" t="s">
        <v>296</v>
      </c>
      <c r="G7383" s="759" t="s">
        <v>44</v>
      </c>
      <c r="H7383" s="759" t="s">
        <v>326</v>
      </c>
      <c r="I7383" s="200" t="s">
        <v>1901</v>
      </c>
    </row>
    <row r="7384" spans="1:9" ht="15" customHeight="1">
      <c r="A7384" s="199">
        <v>45768</v>
      </c>
      <c r="B7384" s="202" t="s">
        <v>1743</v>
      </c>
      <c r="C7384" s="200" t="s">
        <v>307</v>
      </c>
      <c r="D7384" s="204">
        <v>-5326.666666666667</v>
      </c>
      <c r="E7384" s="662">
        <v>45778</v>
      </c>
      <c r="F7384" s="759" t="s">
        <v>296</v>
      </c>
      <c r="G7384" s="759" t="s">
        <v>513</v>
      </c>
      <c r="H7384" s="759" t="s">
        <v>326</v>
      </c>
      <c r="I7384" s="200" t="s">
        <v>1901</v>
      </c>
    </row>
    <row r="7385" spans="1:9" ht="15" customHeight="1">
      <c r="A7385" s="199">
        <v>45768</v>
      </c>
      <c r="B7385" s="202" t="s">
        <v>1743</v>
      </c>
      <c r="C7385" s="200" t="s">
        <v>307</v>
      </c>
      <c r="D7385" s="204">
        <v>-5326.666666666667</v>
      </c>
      <c r="E7385" s="662">
        <v>45778</v>
      </c>
      <c r="F7385" s="759" t="s">
        <v>296</v>
      </c>
      <c r="G7385" s="759" t="s">
        <v>522</v>
      </c>
      <c r="H7385" s="759" t="s">
        <v>326</v>
      </c>
      <c r="I7385" s="200" t="s">
        <v>1901</v>
      </c>
    </row>
    <row r="7386" spans="1:9" ht="15" customHeight="1">
      <c r="A7386" s="199">
        <v>45768</v>
      </c>
      <c r="B7386" s="202" t="s">
        <v>1743</v>
      </c>
      <c r="C7386" s="200" t="s">
        <v>307</v>
      </c>
      <c r="D7386" s="204">
        <v>-5326.666666666667</v>
      </c>
      <c r="E7386" s="662">
        <v>45778</v>
      </c>
      <c r="F7386" s="759" t="s">
        <v>296</v>
      </c>
      <c r="G7386" s="759" t="s">
        <v>44</v>
      </c>
      <c r="H7386" s="759" t="s">
        <v>326</v>
      </c>
      <c r="I7386" s="200" t="s">
        <v>1901</v>
      </c>
    </row>
    <row r="7387" spans="1:9" ht="15" customHeight="1">
      <c r="A7387" s="199">
        <v>45769</v>
      </c>
      <c r="B7387" s="202" t="s">
        <v>498</v>
      </c>
      <c r="C7387" s="200" t="s">
        <v>307</v>
      </c>
      <c r="D7387" s="204">
        <v>-3333.3333333333335</v>
      </c>
      <c r="E7387" s="662">
        <v>45778</v>
      </c>
      <c r="F7387" s="759" t="s">
        <v>296</v>
      </c>
      <c r="G7387" s="759" t="s">
        <v>513</v>
      </c>
      <c r="H7387" s="759" t="s">
        <v>326</v>
      </c>
      <c r="I7387" s="200" t="s">
        <v>1901</v>
      </c>
    </row>
    <row r="7388" spans="1:9" ht="15" customHeight="1">
      <c r="A7388" s="199">
        <v>45769</v>
      </c>
      <c r="B7388" s="202" t="s">
        <v>498</v>
      </c>
      <c r="C7388" s="200" t="s">
        <v>307</v>
      </c>
      <c r="D7388" s="204">
        <v>-3333.3333333333335</v>
      </c>
      <c r="E7388" s="662">
        <v>45778</v>
      </c>
      <c r="F7388" s="759" t="s">
        <v>296</v>
      </c>
      <c r="G7388" s="759" t="s">
        <v>522</v>
      </c>
      <c r="H7388" s="759" t="s">
        <v>326</v>
      </c>
      <c r="I7388" s="200" t="s">
        <v>1901</v>
      </c>
    </row>
    <row r="7389" spans="1:9" ht="15" customHeight="1">
      <c r="A7389" s="199">
        <v>45769</v>
      </c>
      <c r="B7389" s="202" t="s">
        <v>498</v>
      </c>
      <c r="C7389" s="200" t="s">
        <v>307</v>
      </c>
      <c r="D7389" s="204">
        <v>-3333.3333333333335</v>
      </c>
      <c r="E7389" s="662">
        <v>45778</v>
      </c>
      <c r="F7389" s="759" t="s">
        <v>296</v>
      </c>
      <c r="G7389" s="759" t="s">
        <v>44</v>
      </c>
      <c r="H7389" s="759" t="s">
        <v>326</v>
      </c>
      <c r="I7389" s="200" t="s">
        <v>1901</v>
      </c>
    </row>
    <row r="7390" spans="1:9" ht="15" customHeight="1">
      <c r="A7390" s="199">
        <v>45769</v>
      </c>
      <c r="B7390" s="202" t="s">
        <v>1020</v>
      </c>
      <c r="C7390" s="200" t="s">
        <v>307</v>
      </c>
      <c r="D7390" s="204">
        <v>-6666.666666666667</v>
      </c>
      <c r="E7390" s="662">
        <v>45778</v>
      </c>
      <c r="F7390" s="759" t="s">
        <v>296</v>
      </c>
      <c r="G7390" s="759" t="s">
        <v>513</v>
      </c>
      <c r="H7390" s="759" t="s">
        <v>326</v>
      </c>
      <c r="I7390" s="200" t="s">
        <v>1901</v>
      </c>
    </row>
    <row r="7391" spans="1:9" ht="15" customHeight="1">
      <c r="A7391" s="199">
        <v>45769</v>
      </c>
      <c r="B7391" s="202" t="s">
        <v>1020</v>
      </c>
      <c r="C7391" s="200" t="s">
        <v>307</v>
      </c>
      <c r="D7391" s="204">
        <v>-6666.666666666667</v>
      </c>
      <c r="E7391" s="662">
        <v>45778</v>
      </c>
      <c r="F7391" s="759" t="s">
        <v>296</v>
      </c>
      <c r="G7391" s="759" t="s">
        <v>522</v>
      </c>
      <c r="H7391" s="759" t="s">
        <v>326</v>
      </c>
      <c r="I7391" s="200" t="s">
        <v>1901</v>
      </c>
    </row>
    <row r="7392" spans="1:9" ht="15" customHeight="1">
      <c r="A7392" s="199">
        <v>45769</v>
      </c>
      <c r="B7392" s="202" t="s">
        <v>1020</v>
      </c>
      <c r="C7392" s="200" t="s">
        <v>307</v>
      </c>
      <c r="D7392" s="204">
        <v>-6666.666666666667</v>
      </c>
      <c r="E7392" s="662">
        <v>45778</v>
      </c>
      <c r="F7392" s="759" t="s">
        <v>296</v>
      </c>
      <c r="G7392" s="759" t="s">
        <v>44</v>
      </c>
      <c r="H7392" s="759" t="s">
        <v>326</v>
      </c>
      <c r="I7392" s="200" t="s">
        <v>1901</v>
      </c>
    </row>
    <row r="7393" spans="1:9" ht="15" customHeight="1">
      <c r="A7393" s="199">
        <v>45775</v>
      </c>
      <c r="B7393" s="202" t="s">
        <v>5819</v>
      </c>
      <c r="C7393" s="200" t="s">
        <v>307</v>
      </c>
      <c r="D7393" s="204">
        <v>-2000</v>
      </c>
      <c r="E7393" s="662">
        <v>45778</v>
      </c>
      <c r="F7393" s="759" t="s">
        <v>296</v>
      </c>
      <c r="G7393" s="759" t="s">
        <v>513</v>
      </c>
      <c r="H7393" s="759" t="s">
        <v>326</v>
      </c>
      <c r="I7393" s="200" t="s">
        <v>1901</v>
      </c>
    </row>
    <row r="7394" spans="1:9" ht="15" customHeight="1">
      <c r="A7394" s="199">
        <v>45775</v>
      </c>
      <c r="B7394" s="202" t="s">
        <v>5819</v>
      </c>
      <c r="C7394" s="200" t="s">
        <v>307</v>
      </c>
      <c r="D7394" s="204">
        <v>-2000</v>
      </c>
      <c r="E7394" s="662">
        <v>45778</v>
      </c>
      <c r="F7394" s="759" t="s">
        <v>296</v>
      </c>
      <c r="G7394" s="759" t="s">
        <v>522</v>
      </c>
      <c r="H7394" s="759" t="s">
        <v>326</v>
      </c>
      <c r="I7394" s="200" t="s">
        <v>1901</v>
      </c>
    </row>
    <row r="7395" spans="1:9" ht="15" customHeight="1">
      <c r="A7395" s="199">
        <v>45775</v>
      </c>
      <c r="B7395" s="202" t="s">
        <v>5819</v>
      </c>
      <c r="C7395" s="200" t="s">
        <v>307</v>
      </c>
      <c r="D7395" s="204">
        <v>-2000</v>
      </c>
      <c r="E7395" s="662">
        <v>45778</v>
      </c>
      <c r="F7395" s="759" t="s">
        <v>296</v>
      </c>
      <c r="G7395" s="759" t="s">
        <v>44</v>
      </c>
      <c r="H7395" s="759" t="s">
        <v>326</v>
      </c>
      <c r="I7395" s="200" t="s">
        <v>1901</v>
      </c>
    </row>
    <row r="7396" spans="1:9" ht="15" customHeight="1">
      <c r="A7396" s="199">
        <v>45775</v>
      </c>
      <c r="B7396" s="202" t="s">
        <v>1015</v>
      </c>
      <c r="C7396" s="200" t="s">
        <v>307</v>
      </c>
      <c r="D7396" s="204">
        <v>-6666.666666666667</v>
      </c>
      <c r="E7396" s="662">
        <v>45778</v>
      </c>
      <c r="F7396" s="759" t="s">
        <v>296</v>
      </c>
      <c r="G7396" s="759" t="s">
        <v>513</v>
      </c>
      <c r="H7396" s="759" t="s">
        <v>326</v>
      </c>
      <c r="I7396" s="200" t="s">
        <v>1901</v>
      </c>
    </row>
    <row r="7397" spans="1:9" ht="15" customHeight="1">
      <c r="A7397" s="199">
        <v>45775</v>
      </c>
      <c r="B7397" s="202" t="s">
        <v>1015</v>
      </c>
      <c r="C7397" s="200" t="s">
        <v>307</v>
      </c>
      <c r="D7397" s="204">
        <v>-6666.666666666667</v>
      </c>
      <c r="E7397" s="662">
        <v>45778</v>
      </c>
      <c r="F7397" s="759" t="s">
        <v>296</v>
      </c>
      <c r="G7397" s="759" t="s">
        <v>522</v>
      </c>
      <c r="H7397" s="759" t="s">
        <v>326</v>
      </c>
      <c r="I7397" s="200" t="s">
        <v>1901</v>
      </c>
    </row>
    <row r="7398" spans="1:9" ht="15" customHeight="1">
      <c r="A7398" s="199">
        <v>45775</v>
      </c>
      <c r="B7398" s="202" t="s">
        <v>1015</v>
      </c>
      <c r="C7398" s="200" t="s">
        <v>307</v>
      </c>
      <c r="D7398" s="204">
        <v>-6666.666666666667</v>
      </c>
      <c r="E7398" s="662">
        <v>45778</v>
      </c>
      <c r="F7398" s="759" t="s">
        <v>296</v>
      </c>
      <c r="G7398" s="759" t="s">
        <v>44</v>
      </c>
      <c r="H7398" s="759" t="s">
        <v>326</v>
      </c>
      <c r="I7398" s="200" t="s">
        <v>1901</v>
      </c>
    </row>
    <row r="7399" spans="1:9" ht="15" customHeight="1">
      <c r="A7399" s="199">
        <v>45775</v>
      </c>
      <c r="B7399" s="202" t="s">
        <v>498</v>
      </c>
      <c r="C7399" s="200" t="s">
        <v>307</v>
      </c>
      <c r="D7399" s="204">
        <v>-7500</v>
      </c>
      <c r="E7399" s="662">
        <v>45778</v>
      </c>
      <c r="F7399" s="759" t="s">
        <v>296</v>
      </c>
      <c r="G7399" s="759" t="s">
        <v>513</v>
      </c>
      <c r="H7399" s="759" t="s">
        <v>326</v>
      </c>
      <c r="I7399" s="200" t="s">
        <v>1901</v>
      </c>
    </row>
    <row r="7400" spans="1:9" ht="15" customHeight="1">
      <c r="A7400" s="199">
        <v>45775</v>
      </c>
      <c r="B7400" s="202" t="s">
        <v>498</v>
      </c>
      <c r="C7400" s="200" t="s">
        <v>307</v>
      </c>
      <c r="D7400" s="204">
        <v>-7500</v>
      </c>
      <c r="E7400" s="662">
        <v>45778</v>
      </c>
      <c r="F7400" s="759" t="s">
        <v>296</v>
      </c>
      <c r="G7400" s="759" t="s">
        <v>522</v>
      </c>
      <c r="H7400" s="759" t="s">
        <v>326</v>
      </c>
      <c r="I7400" s="200" t="s">
        <v>1901</v>
      </c>
    </row>
    <row r="7401" spans="1:9" ht="15" customHeight="1">
      <c r="A7401" s="199">
        <v>45775</v>
      </c>
      <c r="B7401" s="202" t="s">
        <v>498</v>
      </c>
      <c r="C7401" s="200" t="s">
        <v>307</v>
      </c>
      <c r="D7401" s="204">
        <v>-7500</v>
      </c>
      <c r="E7401" s="662">
        <v>45778</v>
      </c>
      <c r="F7401" s="759" t="s">
        <v>296</v>
      </c>
      <c r="G7401" s="759" t="s">
        <v>44</v>
      </c>
      <c r="H7401" s="759" t="s">
        <v>326</v>
      </c>
      <c r="I7401" s="200" t="s">
        <v>1901</v>
      </c>
    </row>
    <row r="7402" spans="1:9" ht="15" customHeight="1">
      <c r="A7402" s="199">
        <v>45775</v>
      </c>
      <c r="B7402" s="202" t="s">
        <v>498</v>
      </c>
      <c r="C7402" s="200" t="s">
        <v>307</v>
      </c>
      <c r="D7402" s="204">
        <v>-7500</v>
      </c>
      <c r="E7402" s="662">
        <v>45778</v>
      </c>
      <c r="F7402" s="759" t="s">
        <v>296</v>
      </c>
      <c r="G7402" s="759" t="s">
        <v>1980</v>
      </c>
      <c r="H7402" s="759" t="s">
        <v>326</v>
      </c>
      <c r="I7402" s="200" t="s">
        <v>1901</v>
      </c>
    </row>
    <row r="7403" spans="1:9" ht="15" customHeight="1">
      <c r="A7403" s="199">
        <v>45775</v>
      </c>
      <c r="B7403" s="202" t="s">
        <v>1743</v>
      </c>
      <c r="C7403" s="200" t="s">
        <v>307</v>
      </c>
      <c r="D7403" s="204">
        <v>-18000</v>
      </c>
      <c r="E7403" s="662">
        <v>45778</v>
      </c>
      <c r="F7403" s="759" t="s">
        <v>296</v>
      </c>
      <c r="G7403" s="759" t="s">
        <v>44</v>
      </c>
      <c r="H7403" s="759" t="s">
        <v>326</v>
      </c>
      <c r="I7403" s="200" t="s">
        <v>1901</v>
      </c>
    </row>
    <row r="7404" spans="1:9" ht="15" customHeight="1">
      <c r="A7404" s="199">
        <v>45752</v>
      </c>
      <c r="B7404" s="202" t="s">
        <v>5820</v>
      </c>
      <c r="C7404" s="200" t="s">
        <v>307</v>
      </c>
      <c r="D7404" s="204">
        <v>-4933.333333333333</v>
      </c>
      <c r="E7404" s="662">
        <v>45778</v>
      </c>
      <c r="F7404" s="759" t="s">
        <v>296</v>
      </c>
      <c r="G7404" s="759" t="s">
        <v>522</v>
      </c>
      <c r="H7404" s="759" t="s">
        <v>322</v>
      </c>
      <c r="I7404" s="200" t="s">
        <v>3179</v>
      </c>
    </row>
    <row r="7405" spans="1:9" ht="15" customHeight="1">
      <c r="A7405" s="199">
        <v>45752</v>
      </c>
      <c r="B7405" s="202" t="s">
        <v>5820</v>
      </c>
      <c r="C7405" s="200" t="s">
        <v>307</v>
      </c>
      <c r="D7405" s="204">
        <v>-4933.333333333333</v>
      </c>
      <c r="E7405" s="662">
        <v>45778</v>
      </c>
      <c r="F7405" s="759" t="s">
        <v>296</v>
      </c>
      <c r="G7405" s="759" t="s">
        <v>44</v>
      </c>
      <c r="H7405" s="759" t="s">
        <v>322</v>
      </c>
      <c r="I7405" s="200" t="s">
        <v>3179</v>
      </c>
    </row>
    <row r="7406" spans="1:9" ht="15" customHeight="1">
      <c r="A7406" s="199">
        <v>45752</v>
      </c>
      <c r="B7406" s="202" t="s">
        <v>5820</v>
      </c>
      <c r="C7406" s="200" t="s">
        <v>307</v>
      </c>
      <c r="D7406" s="204">
        <v>-4933.333333333333</v>
      </c>
      <c r="E7406" s="662">
        <v>45778</v>
      </c>
      <c r="F7406" s="759" t="s">
        <v>296</v>
      </c>
      <c r="G7406" s="759" t="s">
        <v>1980</v>
      </c>
      <c r="H7406" s="759" t="s">
        <v>322</v>
      </c>
      <c r="I7406" s="200" t="s">
        <v>3179</v>
      </c>
    </row>
    <row r="7407" spans="1:9" ht="15" customHeight="1">
      <c r="A7407" s="199">
        <v>45754</v>
      </c>
      <c r="B7407" s="202" t="s">
        <v>5821</v>
      </c>
      <c r="C7407" s="200" t="s">
        <v>307</v>
      </c>
      <c r="D7407" s="204">
        <v>-5000</v>
      </c>
      <c r="E7407" s="662">
        <v>45778</v>
      </c>
      <c r="F7407" s="759" t="s">
        <v>296</v>
      </c>
      <c r="G7407" s="759" t="s">
        <v>522</v>
      </c>
      <c r="H7407" s="759" t="s">
        <v>322</v>
      </c>
      <c r="I7407" s="200" t="s">
        <v>3179</v>
      </c>
    </row>
    <row r="7408" spans="1:9" ht="15" customHeight="1">
      <c r="A7408" s="199">
        <v>45754</v>
      </c>
      <c r="B7408" s="202" t="s">
        <v>5821</v>
      </c>
      <c r="C7408" s="200" t="s">
        <v>307</v>
      </c>
      <c r="D7408" s="204">
        <v>-5000</v>
      </c>
      <c r="E7408" s="662">
        <v>45778</v>
      </c>
      <c r="F7408" s="759" t="s">
        <v>296</v>
      </c>
      <c r="G7408" s="759" t="s">
        <v>44</v>
      </c>
      <c r="H7408" s="759" t="s">
        <v>322</v>
      </c>
      <c r="I7408" s="200" t="s">
        <v>3179</v>
      </c>
    </row>
    <row r="7409" spans="1:9" ht="15" customHeight="1">
      <c r="A7409" s="199">
        <v>45754</v>
      </c>
      <c r="B7409" s="202" t="s">
        <v>5821</v>
      </c>
      <c r="C7409" s="200" t="s">
        <v>307</v>
      </c>
      <c r="D7409" s="204">
        <v>-5000</v>
      </c>
      <c r="E7409" s="662">
        <v>45778</v>
      </c>
      <c r="F7409" s="759" t="s">
        <v>296</v>
      </c>
      <c r="G7409" s="759" t="s">
        <v>1980</v>
      </c>
      <c r="H7409" s="759" t="s">
        <v>322</v>
      </c>
      <c r="I7409" s="200" t="s">
        <v>3179</v>
      </c>
    </row>
    <row r="7410" spans="1:9" ht="15" customHeight="1">
      <c r="A7410" s="199">
        <v>45755</v>
      </c>
      <c r="B7410" s="202" t="s">
        <v>5822</v>
      </c>
      <c r="C7410" s="200" t="s">
        <v>307</v>
      </c>
      <c r="D7410" s="204">
        <v>-13666.666666666666</v>
      </c>
      <c r="E7410" s="662">
        <v>45778</v>
      </c>
      <c r="F7410" s="759" t="s">
        <v>296</v>
      </c>
      <c r="G7410" s="759" t="s">
        <v>522</v>
      </c>
      <c r="H7410" s="759" t="s">
        <v>322</v>
      </c>
      <c r="I7410" s="200" t="s">
        <v>3179</v>
      </c>
    </row>
    <row r="7411" spans="1:9" ht="15" customHeight="1">
      <c r="A7411" s="199">
        <v>45755</v>
      </c>
      <c r="B7411" s="202" t="s">
        <v>5822</v>
      </c>
      <c r="C7411" s="200" t="s">
        <v>307</v>
      </c>
      <c r="D7411" s="204">
        <v>-13666.666666666666</v>
      </c>
      <c r="E7411" s="662">
        <v>45778</v>
      </c>
      <c r="F7411" s="759" t="s">
        <v>296</v>
      </c>
      <c r="G7411" s="759" t="s">
        <v>44</v>
      </c>
      <c r="H7411" s="759" t="s">
        <v>322</v>
      </c>
      <c r="I7411" s="200" t="s">
        <v>3179</v>
      </c>
    </row>
    <row r="7412" spans="1:9" ht="15" customHeight="1">
      <c r="A7412" s="199">
        <v>45755</v>
      </c>
      <c r="B7412" s="202" t="s">
        <v>5822</v>
      </c>
      <c r="C7412" s="200" t="s">
        <v>307</v>
      </c>
      <c r="D7412" s="204">
        <v>-13666.666666666666</v>
      </c>
      <c r="E7412" s="662">
        <v>45778</v>
      </c>
      <c r="F7412" s="759" t="s">
        <v>296</v>
      </c>
      <c r="G7412" s="759" t="s">
        <v>1980</v>
      </c>
      <c r="H7412" s="759" t="s">
        <v>322</v>
      </c>
      <c r="I7412" s="200" t="s">
        <v>3179</v>
      </c>
    </row>
    <row r="7413" spans="1:9" ht="15" customHeight="1">
      <c r="A7413" s="199">
        <v>45756</v>
      </c>
      <c r="B7413" s="202" t="s">
        <v>1745</v>
      </c>
      <c r="C7413" s="200" t="s">
        <v>307</v>
      </c>
      <c r="D7413" s="204">
        <v>-12000</v>
      </c>
      <c r="E7413" s="662">
        <v>45778</v>
      </c>
      <c r="F7413" s="759" t="s">
        <v>296</v>
      </c>
      <c r="G7413" s="759" t="s">
        <v>522</v>
      </c>
      <c r="H7413" s="759" t="s">
        <v>322</v>
      </c>
      <c r="I7413" s="200" t="s">
        <v>3179</v>
      </c>
    </row>
    <row r="7414" spans="1:9" ht="15" customHeight="1">
      <c r="A7414" s="199">
        <v>45756</v>
      </c>
      <c r="B7414" s="202" t="s">
        <v>1745</v>
      </c>
      <c r="C7414" s="200" t="s">
        <v>307</v>
      </c>
      <c r="D7414" s="204">
        <v>-12000</v>
      </c>
      <c r="E7414" s="662">
        <v>45778</v>
      </c>
      <c r="F7414" s="759" t="s">
        <v>296</v>
      </c>
      <c r="G7414" s="759" t="s">
        <v>44</v>
      </c>
      <c r="H7414" s="759" t="s">
        <v>322</v>
      </c>
      <c r="I7414" s="200" t="s">
        <v>3179</v>
      </c>
    </row>
    <row r="7415" spans="1:9" ht="15" customHeight="1">
      <c r="A7415" s="199">
        <v>45756</v>
      </c>
      <c r="B7415" s="202" t="s">
        <v>1745</v>
      </c>
      <c r="C7415" s="200" t="s">
        <v>307</v>
      </c>
      <c r="D7415" s="204">
        <v>-12000</v>
      </c>
      <c r="E7415" s="662">
        <v>45778</v>
      </c>
      <c r="F7415" s="759" t="s">
        <v>296</v>
      </c>
      <c r="G7415" s="759" t="s">
        <v>1980</v>
      </c>
      <c r="H7415" s="759" t="s">
        <v>322</v>
      </c>
      <c r="I7415" s="200" t="s">
        <v>3179</v>
      </c>
    </row>
    <row r="7416" spans="1:9" ht="15" customHeight="1">
      <c r="A7416" s="199">
        <v>45758</v>
      </c>
      <c r="B7416" s="202" t="s">
        <v>1745</v>
      </c>
      <c r="C7416" s="200" t="s">
        <v>307</v>
      </c>
      <c r="D7416" s="204">
        <v>-17966.666666666668</v>
      </c>
      <c r="E7416" s="662">
        <v>45778</v>
      </c>
      <c r="F7416" s="759" t="s">
        <v>296</v>
      </c>
      <c r="G7416" s="759" t="s">
        <v>522</v>
      </c>
      <c r="H7416" s="759" t="s">
        <v>322</v>
      </c>
      <c r="I7416" s="200" t="s">
        <v>3179</v>
      </c>
    </row>
    <row r="7417" spans="1:9" ht="15" customHeight="1">
      <c r="A7417" s="199">
        <v>45758</v>
      </c>
      <c r="B7417" s="202" t="s">
        <v>1745</v>
      </c>
      <c r="C7417" s="200" t="s">
        <v>307</v>
      </c>
      <c r="D7417" s="204">
        <v>-17966.666666666668</v>
      </c>
      <c r="E7417" s="662">
        <v>45778</v>
      </c>
      <c r="F7417" s="759" t="s">
        <v>296</v>
      </c>
      <c r="G7417" s="759" t="s">
        <v>44</v>
      </c>
      <c r="H7417" s="759" t="s">
        <v>322</v>
      </c>
      <c r="I7417" s="200" t="s">
        <v>3179</v>
      </c>
    </row>
    <row r="7418" spans="1:9" ht="15" customHeight="1">
      <c r="A7418" s="199">
        <v>45758</v>
      </c>
      <c r="B7418" s="202" t="s">
        <v>1745</v>
      </c>
      <c r="C7418" s="200" t="s">
        <v>307</v>
      </c>
      <c r="D7418" s="204">
        <v>-17966.666666666668</v>
      </c>
      <c r="E7418" s="662">
        <v>45778</v>
      </c>
      <c r="F7418" s="759" t="s">
        <v>296</v>
      </c>
      <c r="G7418" s="759" t="s">
        <v>1980</v>
      </c>
      <c r="H7418" s="759" t="s">
        <v>322</v>
      </c>
      <c r="I7418" s="200" t="s">
        <v>3179</v>
      </c>
    </row>
    <row r="7419" spans="1:9" ht="15" customHeight="1">
      <c r="A7419" s="199">
        <v>45758</v>
      </c>
      <c r="B7419" s="202" t="s">
        <v>1743</v>
      </c>
      <c r="C7419" s="200" t="s">
        <v>307</v>
      </c>
      <c r="D7419" s="204">
        <v>-16766.666666666668</v>
      </c>
      <c r="E7419" s="662">
        <v>45778</v>
      </c>
      <c r="F7419" s="759" t="s">
        <v>296</v>
      </c>
      <c r="G7419" s="759" t="s">
        <v>522</v>
      </c>
      <c r="H7419" s="759" t="s">
        <v>322</v>
      </c>
      <c r="I7419" s="200" t="s">
        <v>3179</v>
      </c>
    </row>
    <row r="7420" spans="1:9" ht="15" customHeight="1">
      <c r="A7420" s="199">
        <v>45758</v>
      </c>
      <c r="B7420" s="202" t="s">
        <v>1743</v>
      </c>
      <c r="C7420" s="200" t="s">
        <v>307</v>
      </c>
      <c r="D7420" s="204">
        <v>-16766.666666666668</v>
      </c>
      <c r="E7420" s="662">
        <v>45778</v>
      </c>
      <c r="F7420" s="759" t="s">
        <v>296</v>
      </c>
      <c r="G7420" s="759" t="s">
        <v>44</v>
      </c>
      <c r="H7420" s="759" t="s">
        <v>322</v>
      </c>
      <c r="I7420" s="200" t="s">
        <v>3179</v>
      </c>
    </row>
    <row r="7421" spans="1:9" ht="15" customHeight="1">
      <c r="A7421" s="199">
        <v>45758</v>
      </c>
      <c r="B7421" s="202" t="s">
        <v>1743</v>
      </c>
      <c r="C7421" s="200" t="s">
        <v>307</v>
      </c>
      <c r="D7421" s="204">
        <v>-16766.666666666668</v>
      </c>
      <c r="E7421" s="662">
        <v>45778</v>
      </c>
      <c r="F7421" s="759" t="s">
        <v>296</v>
      </c>
      <c r="G7421" s="759" t="s">
        <v>1980</v>
      </c>
      <c r="H7421" s="759" t="s">
        <v>322</v>
      </c>
      <c r="I7421" s="200" t="s">
        <v>3179</v>
      </c>
    </row>
    <row r="7422" spans="1:9" ht="15" customHeight="1">
      <c r="A7422" s="199">
        <v>45760</v>
      </c>
      <c r="B7422" s="202" t="s">
        <v>5823</v>
      </c>
      <c r="C7422" s="200" t="s">
        <v>307</v>
      </c>
      <c r="D7422" s="204">
        <v>-17833.333333333332</v>
      </c>
      <c r="E7422" s="662">
        <v>45778</v>
      </c>
      <c r="F7422" s="759" t="s">
        <v>296</v>
      </c>
      <c r="G7422" s="759" t="s">
        <v>522</v>
      </c>
      <c r="H7422" s="759" t="s">
        <v>322</v>
      </c>
      <c r="I7422" s="200" t="s">
        <v>3179</v>
      </c>
    </row>
    <row r="7423" spans="1:9" ht="15" customHeight="1">
      <c r="A7423" s="199">
        <v>45760</v>
      </c>
      <c r="B7423" s="202" t="s">
        <v>5823</v>
      </c>
      <c r="C7423" s="200" t="s">
        <v>307</v>
      </c>
      <c r="D7423" s="204">
        <v>-17833.333333333332</v>
      </c>
      <c r="E7423" s="662">
        <v>45778</v>
      </c>
      <c r="F7423" s="759" t="s">
        <v>296</v>
      </c>
      <c r="G7423" s="759" t="s">
        <v>44</v>
      </c>
      <c r="H7423" s="759" t="s">
        <v>322</v>
      </c>
      <c r="I7423" s="200" t="s">
        <v>3179</v>
      </c>
    </row>
    <row r="7424" spans="1:9" ht="15" customHeight="1">
      <c r="A7424" s="199">
        <v>45760</v>
      </c>
      <c r="B7424" s="202" t="s">
        <v>5823</v>
      </c>
      <c r="C7424" s="200" t="s">
        <v>307</v>
      </c>
      <c r="D7424" s="204">
        <v>-17833.333333333332</v>
      </c>
      <c r="E7424" s="662">
        <v>45778</v>
      </c>
      <c r="F7424" s="759" t="s">
        <v>296</v>
      </c>
      <c r="G7424" s="759" t="s">
        <v>1980</v>
      </c>
      <c r="H7424" s="759" t="s">
        <v>322</v>
      </c>
      <c r="I7424" s="200" t="s">
        <v>3179</v>
      </c>
    </row>
    <row r="7425" spans="1:9" ht="15" customHeight="1">
      <c r="A7425" s="199">
        <v>45760</v>
      </c>
      <c r="B7425" s="202" t="s">
        <v>5824</v>
      </c>
      <c r="C7425" s="200" t="s">
        <v>307</v>
      </c>
      <c r="D7425" s="204">
        <v>-62333.333333333336</v>
      </c>
      <c r="E7425" s="662">
        <v>45778</v>
      </c>
      <c r="F7425" s="759" t="s">
        <v>296</v>
      </c>
      <c r="G7425" s="759" t="s">
        <v>522</v>
      </c>
      <c r="H7425" s="759" t="s">
        <v>322</v>
      </c>
      <c r="I7425" s="200" t="s">
        <v>3179</v>
      </c>
    </row>
    <row r="7426" spans="1:9" ht="15" customHeight="1">
      <c r="A7426" s="199">
        <v>45760</v>
      </c>
      <c r="B7426" s="202" t="s">
        <v>5824</v>
      </c>
      <c r="C7426" s="200" t="s">
        <v>307</v>
      </c>
      <c r="D7426" s="204">
        <v>-62333.333333333336</v>
      </c>
      <c r="E7426" s="662">
        <v>45778</v>
      </c>
      <c r="F7426" s="759" t="s">
        <v>296</v>
      </c>
      <c r="G7426" s="759" t="s">
        <v>44</v>
      </c>
      <c r="H7426" s="759" t="s">
        <v>322</v>
      </c>
      <c r="I7426" s="200" t="s">
        <v>3179</v>
      </c>
    </row>
    <row r="7427" spans="1:9" ht="15" customHeight="1">
      <c r="A7427" s="199">
        <v>45760</v>
      </c>
      <c r="B7427" s="202" t="s">
        <v>5824</v>
      </c>
      <c r="C7427" s="200" t="s">
        <v>307</v>
      </c>
      <c r="D7427" s="204">
        <v>-62333.333333333336</v>
      </c>
      <c r="E7427" s="662">
        <v>45778</v>
      </c>
      <c r="F7427" s="759" t="s">
        <v>296</v>
      </c>
      <c r="G7427" s="759" t="s">
        <v>1980</v>
      </c>
      <c r="H7427" s="759" t="s">
        <v>322</v>
      </c>
      <c r="I7427" s="200" t="s">
        <v>3179</v>
      </c>
    </row>
    <row r="7428" spans="1:9" ht="15" customHeight="1">
      <c r="A7428" s="199">
        <v>45770</v>
      </c>
      <c r="B7428" s="202" t="s">
        <v>5825</v>
      </c>
      <c r="C7428" s="200" t="s">
        <v>307</v>
      </c>
      <c r="D7428" s="204">
        <v>-60000</v>
      </c>
      <c r="E7428" s="662">
        <v>45778</v>
      </c>
      <c r="F7428" s="759" t="s">
        <v>256</v>
      </c>
      <c r="G7428" s="759" t="s">
        <v>256</v>
      </c>
      <c r="H7428" s="759" t="s">
        <v>269</v>
      </c>
      <c r="I7428" s="200" t="s">
        <v>208</v>
      </c>
    </row>
    <row r="7429" spans="1:9" ht="15" customHeight="1">
      <c r="A7429" s="199">
        <v>45770</v>
      </c>
      <c r="B7429" s="202" t="s">
        <v>5826</v>
      </c>
      <c r="C7429" s="200" t="s">
        <v>307</v>
      </c>
      <c r="D7429" s="204">
        <v>-30000</v>
      </c>
      <c r="E7429" s="662">
        <v>45778</v>
      </c>
      <c r="F7429" s="759" t="s">
        <v>256</v>
      </c>
      <c r="G7429" s="759" t="s">
        <v>256</v>
      </c>
      <c r="H7429" s="759" t="s">
        <v>269</v>
      </c>
      <c r="I7429" s="200" t="s">
        <v>208</v>
      </c>
    </row>
    <row r="7430" spans="1:9" ht="15" customHeight="1">
      <c r="A7430" s="199">
        <v>45770</v>
      </c>
      <c r="B7430" s="202" t="s">
        <v>5827</v>
      </c>
      <c r="C7430" s="200" t="s">
        <v>307</v>
      </c>
      <c r="D7430" s="204">
        <v>-16500</v>
      </c>
      <c r="E7430" s="662">
        <v>45778</v>
      </c>
      <c r="F7430" s="759" t="s">
        <v>256</v>
      </c>
      <c r="G7430" s="759" t="s">
        <v>256</v>
      </c>
      <c r="H7430" s="759" t="s">
        <v>269</v>
      </c>
      <c r="I7430" s="200" t="s">
        <v>208</v>
      </c>
    </row>
    <row r="7431" spans="1:9" ht="15" customHeight="1">
      <c r="A7431" s="199">
        <v>45770</v>
      </c>
      <c r="B7431" s="202" t="s">
        <v>5828</v>
      </c>
      <c r="C7431" s="200" t="s">
        <v>307</v>
      </c>
      <c r="D7431" s="204">
        <v>-42393</v>
      </c>
      <c r="E7431" s="662">
        <v>45778</v>
      </c>
      <c r="F7431" s="759" t="s">
        <v>256</v>
      </c>
      <c r="G7431" s="759" t="s">
        <v>256</v>
      </c>
      <c r="H7431" s="759" t="s">
        <v>269</v>
      </c>
      <c r="I7431" s="200" t="s">
        <v>208</v>
      </c>
    </row>
    <row r="7432" spans="1:9" ht="15" customHeight="1">
      <c r="A7432" s="199">
        <v>45772</v>
      </c>
      <c r="B7432" s="202" t="s">
        <v>5828</v>
      </c>
      <c r="C7432" s="200" t="s">
        <v>307</v>
      </c>
      <c r="D7432" s="204">
        <v>-30600</v>
      </c>
      <c r="E7432" s="662">
        <v>45778</v>
      </c>
      <c r="F7432" s="759" t="s">
        <v>256</v>
      </c>
      <c r="G7432" s="759" t="s">
        <v>256</v>
      </c>
      <c r="H7432" s="759" t="s">
        <v>269</v>
      </c>
      <c r="I7432" s="200" t="s">
        <v>208</v>
      </c>
    </row>
    <row r="7433" spans="1:9" ht="15" customHeight="1">
      <c r="A7433" s="199">
        <v>45773</v>
      </c>
      <c r="B7433" s="202" t="s">
        <v>5829</v>
      </c>
      <c r="C7433" s="200" t="s">
        <v>307</v>
      </c>
      <c r="D7433" s="204">
        <v>-28100</v>
      </c>
      <c r="E7433" s="662">
        <v>45778</v>
      </c>
      <c r="F7433" s="759" t="s">
        <v>256</v>
      </c>
      <c r="G7433" s="759" t="s">
        <v>256</v>
      </c>
      <c r="H7433" s="759" t="s">
        <v>269</v>
      </c>
      <c r="I7433" s="200" t="s">
        <v>208</v>
      </c>
    </row>
    <row r="7434" spans="1:9" ht="15" customHeight="1">
      <c r="A7434" s="199">
        <v>45773</v>
      </c>
      <c r="B7434" s="202" t="s">
        <v>5830</v>
      </c>
      <c r="C7434" s="200" t="s">
        <v>307</v>
      </c>
      <c r="D7434" s="204">
        <v>-30000</v>
      </c>
      <c r="E7434" s="662">
        <v>45778</v>
      </c>
      <c r="F7434" s="759" t="s">
        <v>256</v>
      </c>
      <c r="G7434" s="759" t="s">
        <v>256</v>
      </c>
      <c r="H7434" s="759" t="s">
        <v>269</v>
      </c>
      <c r="I7434" s="200" t="s">
        <v>208</v>
      </c>
    </row>
    <row r="7435" spans="1:9" ht="15" customHeight="1">
      <c r="A7435" s="199">
        <v>45773</v>
      </c>
      <c r="B7435" s="202" t="s">
        <v>5831</v>
      </c>
      <c r="C7435" s="200" t="s">
        <v>307</v>
      </c>
      <c r="D7435" s="204">
        <v>-20000</v>
      </c>
      <c r="E7435" s="662">
        <v>45778</v>
      </c>
      <c r="F7435" s="759" t="s">
        <v>256</v>
      </c>
      <c r="G7435" s="759" t="s">
        <v>256</v>
      </c>
      <c r="H7435" s="759" t="s">
        <v>269</v>
      </c>
      <c r="I7435" s="200" t="s">
        <v>208</v>
      </c>
    </row>
    <row r="7436" spans="1:9" ht="15" customHeight="1">
      <c r="A7436" s="199">
        <v>45784</v>
      </c>
      <c r="B7436" s="202" t="s">
        <v>5832</v>
      </c>
      <c r="C7436" s="200" t="s">
        <v>307</v>
      </c>
      <c r="D7436" s="204">
        <v>-189800</v>
      </c>
      <c r="E7436" s="662">
        <v>45778</v>
      </c>
      <c r="F7436" s="759" t="s">
        <v>256</v>
      </c>
      <c r="G7436" s="759" t="s">
        <v>256</v>
      </c>
      <c r="H7436" s="759" t="s">
        <v>261</v>
      </c>
    </row>
    <row r="7437" spans="1:9" ht="15" customHeight="1">
      <c r="A7437" s="199">
        <v>45784</v>
      </c>
      <c r="B7437" s="202" t="s">
        <v>5833</v>
      </c>
      <c r="C7437" s="200" t="s">
        <v>307</v>
      </c>
      <c r="D7437" s="204">
        <v>-69000</v>
      </c>
      <c r="E7437" s="662">
        <v>45778</v>
      </c>
      <c r="F7437" s="759" t="s">
        <v>256</v>
      </c>
      <c r="G7437" s="759" t="s">
        <v>256</v>
      </c>
      <c r="H7437" s="759" t="s">
        <v>261</v>
      </c>
    </row>
    <row r="7438" spans="1:9" ht="15" customHeight="1">
      <c r="A7438" s="199">
        <v>45784</v>
      </c>
      <c r="B7438" s="202" t="s">
        <v>5834</v>
      </c>
      <c r="C7438" s="200" t="s">
        <v>307</v>
      </c>
      <c r="D7438" s="204">
        <v>-189800</v>
      </c>
      <c r="E7438" s="662">
        <v>45778</v>
      </c>
      <c r="F7438" s="202" t="s">
        <v>2714</v>
      </c>
      <c r="G7438" s="759"/>
      <c r="H7438" s="759"/>
    </row>
    <row r="7439" spans="1:9" ht="15" customHeight="1">
      <c r="A7439" s="199">
        <v>45784</v>
      </c>
      <c r="B7439" s="202" t="s">
        <v>5835</v>
      </c>
      <c r="C7439" s="200" t="s">
        <v>307</v>
      </c>
      <c r="D7439" s="204">
        <v>-69000</v>
      </c>
      <c r="E7439" s="662">
        <v>45778</v>
      </c>
      <c r="F7439" s="1" t="s">
        <v>2714</v>
      </c>
      <c r="G7439" s="759"/>
      <c r="H7439" s="759"/>
    </row>
    <row r="7440" spans="1:9" ht="15" customHeight="1">
      <c r="A7440" s="199">
        <v>45784</v>
      </c>
      <c r="B7440" s="202" t="s">
        <v>5836</v>
      </c>
      <c r="C7440" s="200" t="s">
        <v>307</v>
      </c>
      <c r="D7440" s="204">
        <v>-189800</v>
      </c>
      <c r="E7440" s="662">
        <v>45778</v>
      </c>
      <c r="F7440" s="202" t="s">
        <v>2714</v>
      </c>
      <c r="G7440" s="759"/>
      <c r="H7440" s="759"/>
    </row>
    <row r="7441" spans="1:9" ht="15" customHeight="1">
      <c r="A7441" s="199">
        <v>45784</v>
      </c>
      <c r="B7441" s="202" t="s">
        <v>5837</v>
      </c>
      <c r="C7441" s="200" t="s">
        <v>307</v>
      </c>
      <c r="D7441" s="204">
        <v>-69000</v>
      </c>
      <c r="E7441" s="662">
        <v>45778</v>
      </c>
      <c r="F7441" s="1" t="s">
        <v>2714</v>
      </c>
      <c r="G7441" s="759"/>
      <c r="H7441" s="759"/>
    </row>
    <row r="7442" spans="1:9" ht="15" customHeight="1">
      <c r="A7442" s="199">
        <v>45782</v>
      </c>
      <c r="B7442" s="202" t="s">
        <v>5838</v>
      </c>
      <c r="C7442" s="200" t="s">
        <v>307</v>
      </c>
      <c r="D7442" s="204">
        <v>32600</v>
      </c>
      <c r="E7442" s="662">
        <v>45778</v>
      </c>
      <c r="F7442" s="759" t="s">
        <v>256</v>
      </c>
      <c r="G7442" s="759" t="s">
        <v>256</v>
      </c>
      <c r="H7442" s="759"/>
    </row>
    <row r="7443" spans="1:9" ht="15" customHeight="1">
      <c r="A7443" s="199">
        <v>45782</v>
      </c>
      <c r="B7443" s="202" t="s">
        <v>5839</v>
      </c>
      <c r="C7443" s="200" t="s">
        <v>307</v>
      </c>
      <c r="D7443" s="204">
        <v>110000</v>
      </c>
      <c r="E7443" s="662">
        <v>45778</v>
      </c>
      <c r="F7443" s="759" t="s">
        <v>296</v>
      </c>
      <c r="G7443" s="759" t="s">
        <v>57</v>
      </c>
      <c r="H7443" s="759"/>
    </row>
    <row r="7444" spans="1:9" ht="15" customHeight="1">
      <c r="A7444" s="199">
        <v>45768</v>
      </c>
      <c r="B7444" s="202" t="s">
        <v>2637</v>
      </c>
      <c r="C7444" s="200" t="s">
        <v>307</v>
      </c>
      <c r="D7444" s="204">
        <v>-30000</v>
      </c>
      <c r="E7444" s="662">
        <v>45778</v>
      </c>
      <c r="F7444" s="759" t="s">
        <v>296</v>
      </c>
      <c r="G7444" s="759" t="s">
        <v>522</v>
      </c>
      <c r="H7444" s="759" t="s">
        <v>326</v>
      </c>
      <c r="I7444" s="200" t="s">
        <v>2962</v>
      </c>
    </row>
    <row r="7445" spans="1:9" ht="15" customHeight="1">
      <c r="A7445" s="199">
        <v>45769</v>
      </c>
      <c r="B7445" s="202" t="s">
        <v>4294</v>
      </c>
      <c r="C7445" s="200" t="s">
        <v>307</v>
      </c>
      <c r="D7445" s="204">
        <v>-100000</v>
      </c>
      <c r="E7445" s="662">
        <v>45778</v>
      </c>
      <c r="F7445" s="759" t="s">
        <v>296</v>
      </c>
      <c r="G7445" s="759" t="s">
        <v>522</v>
      </c>
      <c r="H7445" s="759" t="s">
        <v>326</v>
      </c>
      <c r="I7445" s="200" t="s">
        <v>2962</v>
      </c>
    </row>
    <row r="7446" spans="1:9" ht="15" customHeight="1">
      <c r="A7446" s="199">
        <v>45770</v>
      </c>
      <c r="B7446" s="202" t="s">
        <v>2637</v>
      </c>
      <c r="C7446" s="200" t="s">
        <v>307</v>
      </c>
      <c r="D7446" s="204">
        <v>-30000</v>
      </c>
      <c r="E7446" s="662">
        <v>45778</v>
      </c>
      <c r="F7446" s="759" t="s">
        <v>296</v>
      </c>
      <c r="G7446" s="759" t="s">
        <v>522</v>
      </c>
      <c r="H7446" s="759" t="s">
        <v>326</v>
      </c>
      <c r="I7446" s="200" t="s">
        <v>2962</v>
      </c>
    </row>
    <row r="7447" spans="1:9" ht="15" customHeight="1">
      <c r="A7447" s="199">
        <v>45770</v>
      </c>
      <c r="B7447" s="202" t="s">
        <v>1709</v>
      </c>
      <c r="C7447" s="200" t="s">
        <v>307</v>
      </c>
      <c r="D7447" s="204">
        <v>-70000</v>
      </c>
      <c r="E7447" s="662">
        <v>45778</v>
      </c>
      <c r="F7447" s="759" t="s">
        <v>296</v>
      </c>
      <c r="G7447" s="759" t="s">
        <v>522</v>
      </c>
      <c r="H7447" s="759" t="s">
        <v>429</v>
      </c>
      <c r="I7447" s="200" t="s">
        <v>2962</v>
      </c>
    </row>
    <row r="7448" spans="1:9" ht="15" customHeight="1">
      <c r="A7448" s="199">
        <v>45770</v>
      </c>
      <c r="B7448" s="202" t="s">
        <v>4292</v>
      </c>
      <c r="C7448" s="200" t="s">
        <v>307</v>
      </c>
      <c r="D7448" s="204">
        <v>-40000</v>
      </c>
      <c r="E7448" s="662">
        <v>45778</v>
      </c>
      <c r="F7448" s="759" t="s">
        <v>296</v>
      </c>
      <c r="G7448" s="759" t="s">
        <v>522</v>
      </c>
      <c r="H7448" s="759" t="s">
        <v>429</v>
      </c>
      <c r="I7448" s="200" t="s">
        <v>2962</v>
      </c>
    </row>
    <row r="7449" spans="1:9" ht="15" customHeight="1">
      <c r="A7449" s="199">
        <v>45772</v>
      </c>
      <c r="B7449" s="202" t="s">
        <v>746</v>
      </c>
      <c r="C7449" s="200" t="s">
        <v>307</v>
      </c>
      <c r="D7449" s="204">
        <v>-20000</v>
      </c>
      <c r="E7449" s="662">
        <v>45778</v>
      </c>
      <c r="F7449" s="759" t="s">
        <v>296</v>
      </c>
      <c r="G7449" s="759" t="s">
        <v>522</v>
      </c>
      <c r="H7449" s="759" t="s">
        <v>326</v>
      </c>
      <c r="I7449" s="200" t="s">
        <v>2962</v>
      </c>
    </row>
    <row r="7450" spans="1:9" ht="15" customHeight="1">
      <c r="A7450" s="199">
        <v>45772</v>
      </c>
      <c r="B7450" s="202" t="s">
        <v>2637</v>
      </c>
      <c r="C7450" s="200" t="s">
        <v>307</v>
      </c>
      <c r="D7450" s="204">
        <v>-40000</v>
      </c>
      <c r="E7450" s="662">
        <v>45778</v>
      </c>
      <c r="F7450" s="759" t="s">
        <v>296</v>
      </c>
      <c r="G7450" s="759" t="s">
        <v>522</v>
      </c>
      <c r="H7450" s="759" t="s">
        <v>326</v>
      </c>
      <c r="I7450" s="200" t="s">
        <v>2962</v>
      </c>
    </row>
    <row r="7451" spans="1:9" ht="15" customHeight="1">
      <c r="A7451" s="199">
        <v>45772</v>
      </c>
      <c r="B7451" s="202" t="s">
        <v>2970</v>
      </c>
      <c r="C7451" s="200" t="s">
        <v>307</v>
      </c>
      <c r="D7451" s="204">
        <v>-32000</v>
      </c>
      <c r="E7451" s="662">
        <v>45778</v>
      </c>
      <c r="F7451" s="759" t="s">
        <v>296</v>
      </c>
      <c r="G7451" s="759" t="s">
        <v>522</v>
      </c>
      <c r="H7451" s="759" t="s">
        <v>322</v>
      </c>
      <c r="I7451" s="200" t="s">
        <v>2962</v>
      </c>
    </row>
    <row r="7452" spans="1:9" ht="15" customHeight="1">
      <c r="A7452" s="199">
        <v>45772</v>
      </c>
      <c r="B7452" s="202" t="s">
        <v>5840</v>
      </c>
      <c r="C7452" s="200" t="s">
        <v>307</v>
      </c>
      <c r="D7452" s="204">
        <v>-261000</v>
      </c>
      <c r="E7452" s="662">
        <v>45778</v>
      </c>
      <c r="F7452" s="759" t="s">
        <v>296</v>
      </c>
      <c r="G7452" s="759" t="s">
        <v>807</v>
      </c>
      <c r="H7452" s="759" t="s">
        <v>488</v>
      </c>
      <c r="I7452" s="200" t="s">
        <v>2962</v>
      </c>
    </row>
    <row r="7453" spans="1:9" ht="15" customHeight="1">
      <c r="A7453" s="199">
        <v>45773</v>
      </c>
      <c r="B7453" s="202" t="s">
        <v>4294</v>
      </c>
      <c r="C7453" s="200" t="s">
        <v>307</v>
      </c>
      <c r="D7453" s="204">
        <v>-150000</v>
      </c>
      <c r="E7453" s="662">
        <v>45778</v>
      </c>
      <c r="F7453" s="759" t="s">
        <v>296</v>
      </c>
      <c r="G7453" s="759" t="s">
        <v>522</v>
      </c>
      <c r="H7453" s="759" t="s">
        <v>326</v>
      </c>
      <c r="I7453" s="200" t="s">
        <v>2962</v>
      </c>
    </row>
    <row r="7454" spans="1:9" ht="15" customHeight="1">
      <c r="A7454" s="199">
        <v>45773</v>
      </c>
      <c r="B7454" s="202" t="s">
        <v>1890</v>
      </c>
      <c r="C7454" s="200" t="s">
        <v>307</v>
      </c>
      <c r="D7454" s="204">
        <v>-14800</v>
      </c>
      <c r="E7454" s="662">
        <v>45778</v>
      </c>
      <c r="F7454" s="759" t="s">
        <v>296</v>
      </c>
      <c r="G7454" s="759" t="s">
        <v>522</v>
      </c>
      <c r="H7454" s="759" t="s">
        <v>326</v>
      </c>
      <c r="I7454" s="200" t="s">
        <v>2962</v>
      </c>
    </row>
    <row r="7455" spans="1:9" ht="15" customHeight="1">
      <c r="A7455" s="199">
        <v>45775</v>
      </c>
      <c r="B7455" s="202" t="s">
        <v>1892</v>
      </c>
      <c r="C7455" s="200" t="s">
        <v>307</v>
      </c>
      <c r="D7455" s="204">
        <v>-14800</v>
      </c>
      <c r="E7455" s="662">
        <v>45778</v>
      </c>
      <c r="F7455" s="759" t="s">
        <v>296</v>
      </c>
      <c r="G7455" s="759" t="s">
        <v>522</v>
      </c>
      <c r="H7455" s="759" t="s">
        <v>326</v>
      </c>
      <c r="I7455" s="200" t="s">
        <v>2962</v>
      </c>
    </row>
    <row r="7456" spans="1:9" ht="15" customHeight="1">
      <c r="A7456" s="199">
        <v>45775</v>
      </c>
      <c r="B7456" s="202" t="s">
        <v>2637</v>
      </c>
      <c r="C7456" s="200" t="s">
        <v>307</v>
      </c>
      <c r="D7456" s="204">
        <v>-30000</v>
      </c>
      <c r="E7456" s="662">
        <v>45778</v>
      </c>
      <c r="F7456" s="759" t="s">
        <v>296</v>
      </c>
      <c r="G7456" s="759" t="s">
        <v>522</v>
      </c>
      <c r="H7456" s="759" t="s">
        <v>326</v>
      </c>
      <c r="I7456" s="200" t="s">
        <v>2962</v>
      </c>
    </row>
    <row r="7457" spans="1:9" ht="15" customHeight="1">
      <c r="A7457" s="199">
        <v>45776</v>
      </c>
      <c r="B7457" s="202" t="s">
        <v>1709</v>
      </c>
      <c r="C7457" s="200" t="s">
        <v>307</v>
      </c>
      <c r="D7457" s="204">
        <v>-71000</v>
      </c>
      <c r="E7457" s="662">
        <v>45778</v>
      </c>
      <c r="F7457" s="759" t="s">
        <v>296</v>
      </c>
      <c r="G7457" s="759" t="s">
        <v>522</v>
      </c>
      <c r="H7457" s="759" t="s">
        <v>429</v>
      </c>
      <c r="I7457" s="200" t="s">
        <v>2962</v>
      </c>
    </row>
    <row r="7458" spans="1:9" ht="15" customHeight="1">
      <c r="A7458" s="199">
        <v>45776</v>
      </c>
      <c r="B7458" s="202" t="s">
        <v>5841</v>
      </c>
      <c r="C7458" s="200" t="s">
        <v>307</v>
      </c>
      <c r="D7458" s="204">
        <v>-40000</v>
      </c>
      <c r="E7458" s="662">
        <v>45778</v>
      </c>
      <c r="F7458" s="759" t="s">
        <v>296</v>
      </c>
      <c r="G7458" s="759" t="s">
        <v>522</v>
      </c>
      <c r="H7458" s="759" t="s">
        <v>429</v>
      </c>
      <c r="I7458" s="200" t="s">
        <v>2962</v>
      </c>
    </row>
    <row r="7459" spans="1:9" ht="15" customHeight="1">
      <c r="A7459" s="199">
        <v>45777</v>
      </c>
      <c r="B7459" s="202" t="s">
        <v>2637</v>
      </c>
      <c r="C7459" s="200" t="s">
        <v>307</v>
      </c>
      <c r="D7459" s="204">
        <v>-40000</v>
      </c>
      <c r="E7459" s="662">
        <v>45778</v>
      </c>
      <c r="F7459" s="759" t="s">
        <v>296</v>
      </c>
      <c r="G7459" s="759" t="s">
        <v>522</v>
      </c>
      <c r="H7459" s="759" t="s">
        <v>326</v>
      </c>
      <c r="I7459" s="200" t="s">
        <v>2962</v>
      </c>
    </row>
    <row r="7460" spans="1:9" ht="15" customHeight="1">
      <c r="A7460" s="199">
        <v>45777</v>
      </c>
      <c r="B7460" s="202" t="s">
        <v>5842</v>
      </c>
      <c r="C7460" s="200" t="s">
        <v>307</v>
      </c>
      <c r="D7460" s="204">
        <v>-107000</v>
      </c>
      <c r="E7460" s="662">
        <v>45778</v>
      </c>
      <c r="F7460" s="759" t="s">
        <v>296</v>
      </c>
      <c r="G7460" s="759" t="s">
        <v>807</v>
      </c>
      <c r="H7460" s="759" t="s">
        <v>488</v>
      </c>
      <c r="I7460" s="200" t="s">
        <v>2962</v>
      </c>
    </row>
    <row r="7461" spans="1:9" ht="15" customHeight="1">
      <c r="A7461" s="199">
        <v>45777</v>
      </c>
      <c r="B7461" s="202" t="s">
        <v>4294</v>
      </c>
      <c r="C7461" s="200" t="s">
        <v>307</v>
      </c>
      <c r="D7461" s="204">
        <v>-145000</v>
      </c>
      <c r="E7461" s="662">
        <v>45778</v>
      </c>
      <c r="F7461" s="759" t="s">
        <v>296</v>
      </c>
      <c r="G7461" s="759" t="s">
        <v>522</v>
      </c>
      <c r="H7461" s="759" t="s">
        <v>326</v>
      </c>
      <c r="I7461" s="200" t="s">
        <v>2962</v>
      </c>
    </row>
    <row r="7462" spans="1:9" ht="15" customHeight="1">
      <c r="A7462" s="199">
        <v>45777</v>
      </c>
      <c r="B7462" s="202" t="s">
        <v>1890</v>
      </c>
      <c r="C7462" s="200" t="s">
        <v>307</v>
      </c>
      <c r="D7462" s="204">
        <v>-14800</v>
      </c>
      <c r="E7462" s="662">
        <v>45778</v>
      </c>
      <c r="F7462" s="759" t="s">
        <v>296</v>
      </c>
      <c r="G7462" s="759" t="s">
        <v>522</v>
      </c>
      <c r="H7462" s="759" t="s">
        <v>326</v>
      </c>
      <c r="I7462" s="200" t="s">
        <v>2962</v>
      </c>
    </row>
    <row r="7463" spans="1:9" ht="15" customHeight="1">
      <c r="A7463" s="199">
        <v>45777</v>
      </c>
      <c r="B7463" s="202" t="s">
        <v>5843</v>
      </c>
      <c r="C7463" s="200" t="s">
        <v>307</v>
      </c>
      <c r="D7463" s="204">
        <v>-50000</v>
      </c>
      <c r="E7463" s="662">
        <v>45778</v>
      </c>
      <c r="F7463" s="759" t="s">
        <v>296</v>
      </c>
      <c r="G7463" s="759" t="s">
        <v>522</v>
      </c>
      <c r="H7463" s="759" t="s">
        <v>326</v>
      </c>
      <c r="I7463" s="200" t="s">
        <v>2962</v>
      </c>
    </row>
    <row r="7464" spans="1:9" ht="15" customHeight="1">
      <c r="A7464" s="199">
        <v>45777</v>
      </c>
      <c r="B7464" s="202" t="s">
        <v>5844</v>
      </c>
      <c r="C7464" s="200" t="s">
        <v>307</v>
      </c>
      <c r="D7464" s="204">
        <v>-145000</v>
      </c>
      <c r="E7464" s="662">
        <v>45778</v>
      </c>
      <c r="F7464" s="759" t="s">
        <v>296</v>
      </c>
      <c r="G7464" s="759" t="s">
        <v>522</v>
      </c>
      <c r="H7464" s="759" t="s">
        <v>326</v>
      </c>
      <c r="I7464" s="200" t="s">
        <v>2962</v>
      </c>
    </row>
    <row r="7465" spans="1:9" ht="15" customHeight="1">
      <c r="A7465" s="199">
        <v>45759</v>
      </c>
      <c r="B7465" s="202" t="s">
        <v>5845</v>
      </c>
      <c r="C7465" s="200" t="s">
        <v>307</v>
      </c>
      <c r="D7465" s="204">
        <v>-100000</v>
      </c>
      <c r="E7465" s="662">
        <v>45778</v>
      </c>
      <c r="F7465" s="759" t="s">
        <v>296</v>
      </c>
      <c r="G7465" s="759" t="s">
        <v>44</v>
      </c>
      <c r="H7465" s="759" t="s">
        <v>326</v>
      </c>
      <c r="I7465" s="200" t="s">
        <v>3500</v>
      </c>
    </row>
    <row r="7466" spans="1:9" ht="15" customHeight="1">
      <c r="A7466" s="199">
        <v>45763</v>
      </c>
      <c r="B7466" s="202" t="s">
        <v>5845</v>
      </c>
      <c r="C7466" s="200" t="s">
        <v>307</v>
      </c>
      <c r="D7466" s="204">
        <v>-50000</v>
      </c>
      <c r="E7466" s="662">
        <v>45778</v>
      </c>
      <c r="F7466" s="759" t="s">
        <v>296</v>
      </c>
      <c r="G7466" s="759" t="s">
        <v>44</v>
      </c>
      <c r="H7466" s="759" t="s">
        <v>326</v>
      </c>
      <c r="I7466" s="200" t="s">
        <v>3500</v>
      </c>
    </row>
    <row r="7467" spans="1:9" ht="15" customHeight="1">
      <c r="A7467" s="199">
        <v>45763</v>
      </c>
      <c r="B7467" s="202" t="s">
        <v>5846</v>
      </c>
      <c r="C7467" s="200" t="s">
        <v>307</v>
      </c>
      <c r="D7467" s="204">
        <v>-80000</v>
      </c>
      <c r="E7467" s="662">
        <v>45778</v>
      </c>
      <c r="F7467" s="759" t="s">
        <v>296</v>
      </c>
      <c r="G7467" s="759" t="s">
        <v>44</v>
      </c>
      <c r="H7467" s="759" t="s">
        <v>488</v>
      </c>
      <c r="I7467" s="200" t="s">
        <v>3500</v>
      </c>
    </row>
    <row r="7468" spans="1:9" ht="15" customHeight="1">
      <c r="A7468" s="199">
        <v>45768</v>
      </c>
      <c r="B7468" s="202" t="s">
        <v>5847</v>
      </c>
      <c r="C7468" s="200" t="s">
        <v>307</v>
      </c>
      <c r="D7468" s="204">
        <v>-91500</v>
      </c>
      <c r="E7468" s="662">
        <v>45778</v>
      </c>
      <c r="F7468" s="759" t="s">
        <v>296</v>
      </c>
      <c r="G7468" s="759" t="s">
        <v>1825</v>
      </c>
      <c r="H7468" s="759" t="s">
        <v>421</v>
      </c>
      <c r="I7468" s="200" t="s">
        <v>3500</v>
      </c>
    </row>
    <row r="7469" spans="1:9" ht="15" customHeight="1">
      <c r="A7469" s="199">
        <v>45768</v>
      </c>
      <c r="B7469" s="202" t="s">
        <v>5848</v>
      </c>
      <c r="C7469" s="200" t="s">
        <v>307</v>
      </c>
      <c r="D7469" s="204">
        <v>-501500</v>
      </c>
      <c r="E7469" s="662">
        <v>45778</v>
      </c>
      <c r="F7469" s="759" t="s">
        <v>296</v>
      </c>
      <c r="G7469" s="759" t="s">
        <v>44</v>
      </c>
      <c r="H7469" s="759" t="s">
        <v>421</v>
      </c>
      <c r="I7469" s="200" t="s">
        <v>3500</v>
      </c>
    </row>
    <row r="7470" spans="1:9" ht="15" customHeight="1">
      <c r="A7470" s="199">
        <v>45769</v>
      </c>
      <c r="B7470" s="202" t="s">
        <v>5849</v>
      </c>
      <c r="C7470" s="200" t="s">
        <v>307</v>
      </c>
      <c r="D7470" s="204">
        <v>-50000</v>
      </c>
      <c r="E7470" s="662">
        <v>45778</v>
      </c>
      <c r="F7470" s="759" t="s">
        <v>296</v>
      </c>
      <c r="G7470" s="759" t="s">
        <v>44</v>
      </c>
      <c r="H7470" s="759" t="s">
        <v>326</v>
      </c>
      <c r="I7470" s="200" t="s">
        <v>3500</v>
      </c>
    </row>
    <row r="7471" spans="1:9" ht="15" customHeight="1">
      <c r="A7471" s="199">
        <v>45769</v>
      </c>
      <c r="B7471" s="202" t="s">
        <v>5845</v>
      </c>
      <c r="C7471" s="200" t="s">
        <v>307</v>
      </c>
      <c r="D7471" s="204">
        <v>-60000</v>
      </c>
      <c r="E7471" s="662">
        <v>45778</v>
      </c>
      <c r="F7471" s="759" t="s">
        <v>296</v>
      </c>
      <c r="G7471" s="759" t="s">
        <v>44</v>
      </c>
      <c r="H7471" s="759" t="s">
        <v>326</v>
      </c>
      <c r="I7471" s="200" t="s">
        <v>3500</v>
      </c>
    </row>
    <row r="7472" spans="1:9" ht="15" customHeight="1">
      <c r="A7472" s="199">
        <v>45771</v>
      </c>
      <c r="B7472" s="202" t="s">
        <v>5845</v>
      </c>
      <c r="C7472" s="200" t="s">
        <v>307</v>
      </c>
      <c r="D7472" s="204">
        <v>-100000</v>
      </c>
      <c r="E7472" s="662">
        <v>45778</v>
      </c>
      <c r="F7472" s="759" t="s">
        <v>296</v>
      </c>
      <c r="G7472" s="759" t="s">
        <v>44</v>
      </c>
      <c r="H7472" s="759" t="s">
        <v>326</v>
      </c>
      <c r="I7472" s="200" t="s">
        <v>3500</v>
      </c>
    </row>
    <row r="7473" spans="1:9" ht="15" customHeight="1">
      <c r="A7473" s="199">
        <v>45759</v>
      </c>
      <c r="B7473" s="202" t="s">
        <v>5850</v>
      </c>
      <c r="C7473" s="200" t="s">
        <v>307</v>
      </c>
      <c r="D7473" s="204">
        <v>-22000</v>
      </c>
      <c r="E7473" s="662">
        <v>45778</v>
      </c>
      <c r="F7473" s="759" t="s">
        <v>296</v>
      </c>
      <c r="G7473" s="759" t="s">
        <v>1980</v>
      </c>
      <c r="H7473" s="759" t="s">
        <v>442</v>
      </c>
      <c r="I7473" s="200" t="s">
        <v>2951</v>
      </c>
    </row>
    <row r="7474" spans="1:9" ht="15" customHeight="1">
      <c r="A7474" s="199">
        <v>45759</v>
      </c>
      <c r="B7474" s="202" t="s">
        <v>2206</v>
      </c>
      <c r="C7474" s="200" t="s">
        <v>307</v>
      </c>
      <c r="D7474" s="204">
        <v>-14800</v>
      </c>
      <c r="E7474" s="662">
        <v>45778</v>
      </c>
      <c r="F7474" s="759" t="s">
        <v>296</v>
      </c>
      <c r="G7474" s="759" t="s">
        <v>1980</v>
      </c>
      <c r="H7474" s="759" t="s">
        <v>326</v>
      </c>
      <c r="I7474" s="200" t="s">
        <v>2951</v>
      </c>
    </row>
    <row r="7475" spans="1:9" ht="15" customHeight="1">
      <c r="A7475" s="199">
        <v>45761</v>
      </c>
      <c r="B7475" s="202" t="s">
        <v>2206</v>
      </c>
      <c r="C7475" s="200" t="s">
        <v>307</v>
      </c>
      <c r="D7475" s="204">
        <v>-14800</v>
      </c>
      <c r="E7475" s="662">
        <v>45778</v>
      </c>
      <c r="F7475" s="759" t="s">
        <v>296</v>
      </c>
      <c r="G7475" s="759" t="s">
        <v>1980</v>
      </c>
      <c r="H7475" s="759" t="s">
        <v>326</v>
      </c>
      <c r="I7475" s="200" t="s">
        <v>2951</v>
      </c>
    </row>
    <row r="7476" spans="1:9" ht="15" customHeight="1">
      <c r="A7476" s="199">
        <v>45761</v>
      </c>
      <c r="B7476" s="202" t="s">
        <v>5286</v>
      </c>
      <c r="C7476" s="200" t="s">
        <v>307</v>
      </c>
      <c r="D7476" s="204">
        <v>-106019</v>
      </c>
      <c r="E7476" s="662">
        <v>45778</v>
      </c>
      <c r="F7476" s="759" t="s">
        <v>296</v>
      </c>
      <c r="G7476" s="759" t="s">
        <v>1980</v>
      </c>
      <c r="H7476" s="759" t="s">
        <v>326</v>
      </c>
      <c r="I7476" s="200" t="s">
        <v>2951</v>
      </c>
    </row>
    <row r="7477" spans="1:9" ht="15" customHeight="1">
      <c r="A7477" s="199">
        <v>45761</v>
      </c>
      <c r="B7477" s="202" t="s">
        <v>5290</v>
      </c>
      <c r="C7477" s="200" t="s">
        <v>307</v>
      </c>
      <c r="D7477" s="204">
        <v>-135006</v>
      </c>
      <c r="E7477" s="662">
        <v>45778</v>
      </c>
      <c r="F7477" s="759" t="s">
        <v>296</v>
      </c>
      <c r="G7477" s="759" t="s">
        <v>1980</v>
      </c>
      <c r="H7477" s="759" t="s">
        <v>326</v>
      </c>
      <c r="I7477" s="200" t="s">
        <v>2951</v>
      </c>
    </row>
    <row r="7478" spans="1:9" ht="15" customHeight="1">
      <c r="A7478" s="199">
        <v>45763</v>
      </c>
      <c r="B7478" s="202" t="s">
        <v>5851</v>
      </c>
      <c r="C7478" s="200" t="s">
        <v>307</v>
      </c>
      <c r="D7478" s="204">
        <v>-1086000</v>
      </c>
      <c r="E7478" s="662">
        <v>45778</v>
      </c>
      <c r="F7478" s="759" t="s">
        <v>296</v>
      </c>
      <c r="G7478" s="759" t="s">
        <v>1980</v>
      </c>
      <c r="H7478" s="759" t="s">
        <v>429</v>
      </c>
      <c r="I7478" s="200" t="s">
        <v>2951</v>
      </c>
    </row>
    <row r="7479" spans="1:9" ht="15" customHeight="1">
      <c r="A7479" s="199">
        <v>45763</v>
      </c>
      <c r="B7479" s="202" t="s">
        <v>2213</v>
      </c>
      <c r="C7479" s="200" t="s">
        <v>307</v>
      </c>
      <c r="D7479" s="204">
        <v>-20000</v>
      </c>
      <c r="E7479" s="662">
        <v>45778</v>
      </c>
      <c r="F7479" s="759" t="s">
        <v>296</v>
      </c>
      <c r="G7479" s="759" t="s">
        <v>1980</v>
      </c>
      <c r="H7479" s="759" t="s">
        <v>326</v>
      </c>
      <c r="I7479" s="200" t="s">
        <v>2951</v>
      </c>
    </row>
    <row r="7480" spans="1:9" ht="15" customHeight="1">
      <c r="A7480" s="199">
        <v>45763</v>
      </c>
      <c r="B7480" s="202" t="s">
        <v>2206</v>
      </c>
      <c r="C7480" s="200" t="s">
        <v>307</v>
      </c>
      <c r="D7480" s="204">
        <v>-14800</v>
      </c>
      <c r="E7480" s="662">
        <v>45778</v>
      </c>
      <c r="F7480" s="759" t="s">
        <v>296</v>
      </c>
      <c r="G7480" s="759" t="s">
        <v>1980</v>
      </c>
      <c r="H7480" s="759" t="s">
        <v>326</v>
      </c>
      <c r="I7480" s="200" t="s">
        <v>2951</v>
      </c>
    </row>
    <row r="7481" spans="1:9" ht="15" customHeight="1">
      <c r="A7481" s="199">
        <v>45763</v>
      </c>
      <c r="B7481" s="202" t="s">
        <v>5273</v>
      </c>
      <c r="C7481" s="200" t="s">
        <v>307</v>
      </c>
      <c r="D7481" s="204">
        <v>-100000</v>
      </c>
      <c r="E7481" s="662">
        <v>45778</v>
      </c>
      <c r="F7481" s="759" t="s">
        <v>296</v>
      </c>
      <c r="G7481" s="759" t="s">
        <v>1980</v>
      </c>
      <c r="H7481" s="759" t="s">
        <v>326</v>
      </c>
      <c r="I7481" s="200" t="s">
        <v>2951</v>
      </c>
    </row>
    <row r="7482" spans="1:9" ht="15" customHeight="1">
      <c r="A7482" s="199">
        <v>45768</v>
      </c>
      <c r="B7482" s="202" t="s">
        <v>5273</v>
      </c>
      <c r="C7482" s="200" t="s">
        <v>307</v>
      </c>
      <c r="D7482" s="204">
        <v>-130018</v>
      </c>
      <c r="E7482" s="662">
        <v>45778</v>
      </c>
      <c r="F7482" s="759" t="s">
        <v>296</v>
      </c>
      <c r="G7482" s="759" t="s">
        <v>1980</v>
      </c>
      <c r="H7482" s="759" t="s">
        <v>326</v>
      </c>
      <c r="I7482" s="200" t="s">
        <v>2951</v>
      </c>
    </row>
    <row r="7483" spans="1:9" ht="15" customHeight="1">
      <c r="A7483" s="199">
        <v>45768</v>
      </c>
      <c r="B7483" s="202" t="s">
        <v>2206</v>
      </c>
      <c r="C7483" s="200" t="s">
        <v>307</v>
      </c>
      <c r="D7483" s="204">
        <v>-14800</v>
      </c>
      <c r="E7483" s="662">
        <v>45778</v>
      </c>
      <c r="F7483" s="759" t="s">
        <v>296</v>
      </c>
      <c r="G7483" s="759" t="s">
        <v>1980</v>
      </c>
      <c r="H7483" s="759" t="s">
        <v>326</v>
      </c>
      <c r="I7483" s="200" t="s">
        <v>2951</v>
      </c>
    </row>
    <row r="7484" spans="1:9" ht="15" customHeight="1">
      <c r="A7484" s="199">
        <v>45768</v>
      </c>
      <c r="B7484" s="202" t="s">
        <v>5852</v>
      </c>
      <c r="C7484" s="200" t="s">
        <v>307</v>
      </c>
      <c r="D7484" s="204">
        <v>-183071</v>
      </c>
      <c r="E7484" s="662">
        <v>45778</v>
      </c>
      <c r="F7484" s="759" t="s">
        <v>296</v>
      </c>
      <c r="G7484" s="759" t="s">
        <v>1980</v>
      </c>
      <c r="H7484" s="759" t="s">
        <v>429</v>
      </c>
      <c r="I7484" s="200" t="s">
        <v>2951</v>
      </c>
    </row>
    <row r="7485" spans="1:9" ht="15" customHeight="1">
      <c r="A7485" s="199">
        <v>45770</v>
      </c>
      <c r="B7485" s="202" t="s">
        <v>5853</v>
      </c>
      <c r="C7485" s="200" t="s">
        <v>307</v>
      </c>
      <c r="D7485" s="204">
        <v>-100030</v>
      </c>
      <c r="E7485" s="662">
        <v>45778</v>
      </c>
      <c r="F7485" s="759" t="s">
        <v>296</v>
      </c>
      <c r="G7485" s="759" t="s">
        <v>1980</v>
      </c>
      <c r="H7485" s="759" t="s">
        <v>326</v>
      </c>
      <c r="I7485" s="200" t="s">
        <v>2951</v>
      </c>
    </row>
    <row r="7486" spans="1:9" ht="15" customHeight="1">
      <c r="A7486" s="199">
        <v>45770</v>
      </c>
      <c r="B7486" s="202" t="s">
        <v>2213</v>
      </c>
      <c r="C7486" s="200" t="s">
        <v>307</v>
      </c>
      <c r="D7486" s="204">
        <v>-20000</v>
      </c>
      <c r="E7486" s="662">
        <v>45778</v>
      </c>
      <c r="F7486" s="759" t="s">
        <v>296</v>
      </c>
      <c r="G7486" s="759" t="s">
        <v>1980</v>
      </c>
      <c r="H7486" s="759" t="s">
        <v>326</v>
      </c>
      <c r="I7486" s="200" t="s">
        <v>2951</v>
      </c>
    </row>
    <row r="7487" spans="1:9" ht="15" customHeight="1">
      <c r="A7487" s="199">
        <v>45771</v>
      </c>
      <c r="B7487" s="202" t="s">
        <v>5854</v>
      </c>
      <c r="C7487" s="200" t="s">
        <v>307</v>
      </c>
      <c r="D7487" s="204">
        <v>-8000</v>
      </c>
      <c r="E7487" s="662">
        <v>45778</v>
      </c>
      <c r="F7487" s="759" t="s">
        <v>296</v>
      </c>
      <c r="G7487" s="759" t="s">
        <v>1980</v>
      </c>
      <c r="H7487" s="759" t="s">
        <v>326</v>
      </c>
      <c r="I7487" s="200" t="s">
        <v>2951</v>
      </c>
    </row>
    <row r="7488" spans="1:9" ht="15" customHeight="1">
      <c r="A7488" s="199">
        <v>45771</v>
      </c>
      <c r="B7488" s="202" t="s">
        <v>5855</v>
      </c>
      <c r="C7488" s="200" t="s">
        <v>307</v>
      </c>
      <c r="D7488" s="204">
        <v>-14800</v>
      </c>
      <c r="E7488" s="662">
        <v>45778</v>
      </c>
      <c r="F7488" s="759" t="s">
        <v>296</v>
      </c>
      <c r="G7488" s="759" t="s">
        <v>1980</v>
      </c>
      <c r="H7488" s="759" t="s">
        <v>326</v>
      </c>
      <c r="I7488" s="200" t="s">
        <v>2951</v>
      </c>
    </row>
    <row r="7489" spans="1:9" ht="15" customHeight="1">
      <c r="A7489" s="199">
        <v>45772</v>
      </c>
      <c r="B7489" s="202" t="s">
        <v>5856</v>
      </c>
      <c r="C7489" s="200" t="s">
        <v>307</v>
      </c>
      <c r="D7489" s="204">
        <v>-50000</v>
      </c>
      <c r="E7489" s="662">
        <v>45778</v>
      </c>
      <c r="F7489" s="759" t="s">
        <v>296</v>
      </c>
      <c r="G7489" s="759" t="s">
        <v>1980</v>
      </c>
      <c r="H7489" s="759" t="s">
        <v>326</v>
      </c>
      <c r="I7489" s="200" t="s">
        <v>2951</v>
      </c>
    </row>
    <row r="7490" spans="1:9" ht="15" customHeight="1">
      <c r="A7490" s="199">
        <v>45772</v>
      </c>
      <c r="B7490" s="202" t="s">
        <v>5855</v>
      </c>
      <c r="C7490" s="200" t="s">
        <v>307</v>
      </c>
      <c r="D7490" s="204">
        <v>-14800</v>
      </c>
      <c r="E7490" s="662">
        <v>45778</v>
      </c>
      <c r="F7490" s="759" t="s">
        <v>296</v>
      </c>
      <c r="G7490" s="759" t="s">
        <v>1980</v>
      </c>
      <c r="H7490" s="759" t="s">
        <v>326</v>
      </c>
      <c r="I7490" s="200" t="s">
        <v>2951</v>
      </c>
    </row>
    <row r="7491" spans="1:9" ht="15" customHeight="1">
      <c r="A7491" s="199">
        <v>45772</v>
      </c>
      <c r="B7491" s="202" t="s">
        <v>5857</v>
      </c>
      <c r="C7491" s="200" t="s">
        <v>307</v>
      </c>
      <c r="D7491" s="204">
        <v>-496500</v>
      </c>
      <c r="E7491" s="662">
        <v>45778</v>
      </c>
      <c r="F7491" s="759" t="s">
        <v>296</v>
      </c>
      <c r="G7491" s="759" t="s">
        <v>1980</v>
      </c>
      <c r="H7491" s="759" t="s">
        <v>1079</v>
      </c>
      <c r="I7491" s="200" t="s">
        <v>2951</v>
      </c>
    </row>
    <row r="7492" spans="1:9" ht="15" customHeight="1">
      <c r="A7492" s="199">
        <v>45773</v>
      </c>
      <c r="B7492" s="202" t="s">
        <v>2955</v>
      </c>
      <c r="C7492" s="200" t="s">
        <v>307</v>
      </c>
      <c r="D7492" s="204">
        <v>-33600</v>
      </c>
      <c r="E7492" s="662">
        <v>45778</v>
      </c>
      <c r="F7492" s="759" t="s">
        <v>296</v>
      </c>
      <c r="G7492" s="759" t="s">
        <v>1980</v>
      </c>
      <c r="H7492" s="759" t="s">
        <v>326</v>
      </c>
      <c r="I7492" s="200" t="s">
        <v>2951</v>
      </c>
    </row>
    <row r="7493" spans="1:9" ht="15" customHeight="1">
      <c r="A7493" s="199">
        <v>45773</v>
      </c>
      <c r="B7493" s="202" t="s">
        <v>2213</v>
      </c>
      <c r="C7493" s="200" t="s">
        <v>307</v>
      </c>
      <c r="D7493" s="204">
        <v>-40000</v>
      </c>
      <c r="E7493" s="662">
        <v>45778</v>
      </c>
      <c r="F7493" s="759" t="s">
        <v>296</v>
      </c>
      <c r="G7493" s="759" t="s">
        <v>1980</v>
      </c>
      <c r="H7493" s="759" t="s">
        <v>326</v>
      </c>
      <c r="I7493" s="200" t="s">
        <v>2951</v>
      </c>
    </row>
    <row r="7494" spans="1:9" ht="15" customHeight="1">
      <c r="A7494" s="199">
        <v>45773</v>
      </c>
      <c r="B7494" s="202" t="s">
        <v>2206</v>
      </c>
      <c r="C7494" s="200" t="s">
        <v>307</v>
      </c>
      <c r="D7494" s="204">
        <v>-14800</v>
      </c>
      <c r="E7494" s="662">
        <v>45778</v>
      </c>
      <c r="F7494" s="759" t="s">
        <v>296</v>
      </c>
      <c r="G7494" s="759" t="s">
        <v>1980</v>
      </c>
      <c r="H7494" s="759" t="s">
        <v>326</v>
      </c>
      <c r="I7494" s="200" t="s">
        <v>2951</v>
      </c>
    </row>
    <row r="7495" spans="1:9" ht="15" customHeight="1">
      <c r="A7495" s="199">
        <v>45773</v>
      </c>
      <c r="B7495" s="202" t="s">
        <v>5858</v>
      </c>
      <c r="C7495" s="200" t="s">
        <v>307</v>
      </c>
      <c r="D7495" s="204">
        <v>-35000</v>
      </c>
      <c r="E7495" s="662">
        <v>45778</v>
      </c>
      <c r="F7495" s="759" t="s">
        <v>296</v>
      </c>
      <c r="G7495" s="759" t="s">
        <v>1980</v>
      </c>
      <c r="H7495" s="759" t="s">
        <v>326</v>
      </c>
      <c r="I7495" s="200" t="s">
        <v>2951</v>
      </c>
    </row>
    <row r="7496" spans="1:9" ht="15" customHeight="1">
      <c r="A7496" s="199">
        <v>45773</v>
      </c>
      <c r="B7496" s="202" t="s">
        <v>5858</v>
      </c>
      <c r="C7496" s="200" t="s">
        <v>307</v>
      </c>
      <c r="D7496" s="204">
        <v>-35000</v>
      </c>
      <c r="E7496" s="662">
        <v>45778</v>
      </c>
      <c r="F7496" s="759" t="s">
        <v>296</v>
      </c>
      <c r="G7496" s="759" t="s">
        <v>1980</v>
      </c>
      <c r="H7496" s="759" t="s">
        <v>326</v>
      </c>
      <c r="I7496" s="200" t="s">
        <v>2951</v>
      </c>
    </row>
    <row r="7497" spans="1:9" ht="15" customHeight="1">
      <c r="A7497" s="199">
        <v>45775</v>
      </c>
      <c r="B7497" s="202" t="s">
        <v>5273</v>
      </c>
      <c r="C7497" s="200" t="s">
        <v>307</v>
      </c>
      <c r="D7497" s="204">
        <v>-170010</v>
      </c>
      <c r="E7497" s="662">
        <v>45778</v>
      </c>
      <c r="F7497" s="759" t="s">
        <v>296</v>
      </c>
      <c r="G7497" s="759" t="s">
        <v>1980</v>
      </c>
      <c r="H7497" s="759" t="s">
        <v>326</v>
      </c>
      <c r="I7497" s="200" t="s">
        <v>2951</v>
      </c>
    </row>
    <row r="7498" spans="1:9" ht="15" customHeight="1">
      <c r="A7498" s="199">
        <v>45775</v>
      </c>
      <c r="B7498" s="202" t="s">
        <v>2206</v>
      </c>
      <c r="C7498" s="200" t="s">
        <v>307</v>
      </c>
      <c r="D7498" s="204">
        <v>-14800</v>
      </c>
      <c r="E7498" s="662">
        <v>45778</v>
      </c>
      <c r="F7498" s="759" t="s">
        <v>296</v>
      </c>
      <c r="G7498" s="759" t="s">
        <v>1980</v>
      </c>
      <c r="H7498" s="759" t="s">
        <v>326</v>
      </c>
      <c r="I7498" s="200" t="s">
        <v>2951</v>
      </c>
    </row>
    <row r="7499" spans="1:9" ht="15" customHeight="1">
      <c r="A7499" s="199">
        <v>45775</v>
      </c>
      <c r="B7499" s="202" t="s">
        <v>5859</v>
      </c>
      <c r="C7499" s="200" t="s">
        <v>307</v>
      </c>
      <c r="D7499" s="204">
        <v>-14000</v>
      </c>
      <c r="E7499" s="662">
        <v>45778</v>
      </c>
      <c r="F7499" s="759" t="s">
        <v>296</v>
      </c>
      <c r="G7499" s="759" t="s">
        <v>1980</v>
      </c>
      <c r="H7499" s="759" t="s">
        <v>490</v>
      </c>
      <c r="I7499" s="200" t="s">
        <v>2951</v>
      </c>
    </row>
    <row r="7500" spans="1:9" ht="15" customHeight="1">
      <c r="A7500" s="199">
        <v>45759</v>
      </c>
      <c r="B7500" s="202" t="s">
        <v>5845</v>
      </c>
      <c r="C7500" s="200" t="s">
        <v>307</v>
      </c>
      <c r="D7500" s="204">
        <v>-148500</v>
      </c>
      <c r="E7500" s="662">
        <v>45778</v>
      </c>
      <c r="F7500" s="759" t="s">
        <v>296</v>
      </c>
      <c r="G7500" s="759" t="s">
        <v>1825</v>
      </c>
      <c r="H7500" s="759" t="s">
        <v>326</v>
      </c>
      <c r="I7500" s="200" t="s">
        <v>3500</v>
      </c>
    </row>
    <row r="7501" spans="1:9" ht="15" customHeight="1">
      <c r="A7501" s="199">
        <v>45769</v>
      </c>
      <c r="B7501" s="202" t="s">
        <v>5254</v>
      </c>
      <c r="C7501" s="200" t="s">
        <v>307</v>
      </c>
      <c r="D7501" s="204">
        <v>-30000</v>
      </c>
      <c r="E7501" s="662">
        <v>45778</v>
      </c>
      <c r="F7501" s="759" t="s">
        <v>296</v>
      </c>
      <c r="G7501" s="759" t="s">
        <v>1825</v>
      </c>
      <c r="H7501" s="759" t="s">
        <v>326</v>
      </c>
      <c r="I7501" s="648" t="s">
        <v>329</v>
      </c>
    </row>
    <row r="7502" spans="1:9" ht="15" customHeight="1">
      <c r="A7502" s="199">
        <v>45783</v>
      </c>
      <c r="B7502" s="202" t="s">
        <v>5860</v>
      </c>
      <c r="C7502" s="200" t="s">
        <v>204</v>
      </c>
      <c r="D7502" s="204">
        <v>100000000</v>
      </c>
      <c r="E7502" s="662">
        <v>45778</v>
      </c>
      <c r="F7502" s="759" t="s">
        <v>652</v>
      </c>
      <c r="G7502" s="759" t="s">
        <v>1983</v>
      </c>
      <c r="H7502" s="759"/>
    </row>
    <row r="7503" spans="1:9" ht="15" customHeight="1">
      <c r="A7503" s="199">
        <v>45786</v>
      </c>
      <c r="B7503" s="202" t="s">
        <v>5861</v>
      </c>
      <c r="C7503" s="200" t="s">
        <v>314</v>
      </c>
      <c r="D7503" s="204">
        <v>-71100</v>
      </c>
      <c r="E7503" s="662">
        <v>45778</v>
      </c>
      <c r="F7503" s="759" t="s">
        <v>296</v>
      </c>
      <c r="G7503" s="759" t="s">
        <v>3360</v>
      </c>
      <c r="H7503" s="759" t="s">
        <v>5384</v>
      </c>
    </row>
    <row r="7504" spans="1:9" ht="15" customHeight="1">
      <c r="A7504" s="199">
        <v>45786</v>
      </c>
      <c r="B7504" s="202" t="s">
        <v>5862</v>
      </c>
      <c r="C7504" s="200" t="s">
        <v>314</v>
      </c>
      <c r="D7504" s="204">
        <v>-54000</v>
      </c>
      <c r="E7504" s="662">
        <v>45778</v>
      </c>
      <c r="F7504" s="759" t="s">
        <v>296</v>
      </c>
      <c r="G7504" s="759" t="s">
        <v>3360</v>
      </c>
      <c r="H7504" s="759" t="s">
        <v>5384</v>
      </c>
    </row>
    <row r="7505" spans="1:9" ht="15" customHeight="1">
      <c r="A7505" s="199">
        <v>45779</v>
      </c>
      <c r="B7505" s="202" t="s">
        <v>313</v>
      </c>
      <c r="C7505" s="200" t="s">
        <v>314</v>
      </c>
      <c r="D7505" s="204">
        <v>-11111111</v>
      </c>
      <c r="E7505" s="662">
        <v>45778</v>
      </c>
      <c r="F7505" s="759" t="s">
        <v>298</v>
      </c>
      <c r="G7505" s="759"/>
      <c r="H7505" s="759"/>
    </row>
    <row r="7506" spans="1:9" ht="15" customHeight="1">
      <c r="A7506" s="199">
        <v>45779</v>
      </c>
      <c r="B7506" s="202" t="s">
        <v>313</v>
      </c>
      <c r="C7506" s="200" t="s">
        <v>314</v>
      </c>
      <c r="D7506" s="204">
        <v>-2749739</v>
      </c>
      <c r="E7506" s="662">
        <v>45778</v>
      </c>
      <c r="F7506" s="759" t="s">
        <v>315</v>
      </c>
      <c r="G7506" s="759"/>
      <c r="H7506" s="759"/>
    </row>
    <row r="7507" spans="1:9" ht="15" customHeight="1">
      <c r="A7507" s="199">
        <v>45786</v>
      </c>
      <c r="B7507" s="202" t="s">
        <v>5863</v>
      </c>
      <c r="C7507" s="200" t="s">
        <v>314</v>
      </c>
      <c r="D7507" s="204">
        <v>6084000</v>
      </c>
      <c r="E7507" s="662">
        <v>45778</v>
      </c>
      <c r="F7507" s="759" t="s">
        <v>256</v>
      </c>
      <c r="G7507" s="759" t="s">
        <v>256</v>
      </c>
      <c r="H7507" s="759"/>
    </row>
    <row r="7508" spans="1:9" ht="15" customHeight="1">
      <c r="A7508" s="199">
        <v>45786</v>
      </c>
      <c r="B7508" s="202" t="s">
        <v>5863</v>
      </c>
      <c r="C7508" s="200" t="s">
        <v>314</v>
      </c>
      <c r="D7508" s="204">
        <v>7161375</v>
      </c>
      <c r="E7508" s="662">
        <v>45778</v>
      </c>
      <c r="F7508" s="759" t="s">
        <v>256</v>
      </c>
      <c r="G7508" s="759" t="s">
        <v>256</v>
      </c>
      <c r="H7508" s="759"/>
    </row>
    <row r="7509" spans="1:9" ht="15" customHeight="1">
      <c r="A7509" s="199">
        <v>45784</v>
      </c>
      <c r="B7509" s="202" t="s">
        <v>5864</v>
      </c>
      <c r="C7509" s="200" t="s">
        <v>314</v>
      </c>
      <c r="D7509" s="204">
        <v>1939517</v>
      </c>
      <c r="E7509" s="662">
        <v>45778</v>
      </c>
      <c r="F7509" s="759" t="s">
        <v>295</v>
      </c>
      <c r="G7509" s="759"/>
      <c r="H7509" s="759"/>
    </row>
    <row r="7510" spans="1:9" ht="15" customHeight="1">
      <c r="A7510" s="199">
        <v>45734</v>
      </c>
      <c r="B7510" s="202" t="s">
        <v>5865</v>
      </c>
      <c r="C7510" s="200" t="s">
        <v>307</v>
      </c>
      <c r="D7510" s="204">
        <v>-20000</v>
      </c>
      <c r="E7510" s="662">
        <v>45778</v>
      </c>
      <c r="F7510" s="759" t="s">
        <v>296</v>
      </c>
      <c r="G7510" s="759" t="s">
        <v>1362</v>
      </c>
      <c r="H7510" s="759" t="s">
        <v>268</v>
      </c>
      <c r="I7510" s="200" t="s">
        <v>5635</v>
      </c>
    </row>
    <row r="7511" spans="1:9" ht="15" customHeight="1">
      <c r="A7511" s="199">
        <v>45734</v>
      </c>
      <c r="B7511" s="202" t="s">
        <v>5866</v>
      </c>
      <c r="C7511" s="200" t="s">
        <v>307</v>
      </c>
      <c r="D7511" s="204">
        <v>-18000</v>
      </c>
      <c r="E7511" s="662">
        <v>45778</v>
      </c>
      <c r="F7511" s="759" t="s">
        <v>296</v>
      </c>
      <c r="G7511" s="759" t="s">
        <v>1362</v>
      </c>
      <c r="H7511" s="759" t="s">
        <v>342</v>
      </c>
      <c r="I7511" s="200" t="s">
        <v>5635</v>
      </c>
    </row>
    <row r="7512" spans="1:9" ht="15" customHeight="1">
      <c r="A7512" s="199">
        <v>45734</v>
      </c>
      <c r="B7512" s="202" t="s">
        <v>5867</v>
      </c>
      <c r="C7512" s="200" t="s">
        <v>307</v>
      </c>
      <c r="D7512" s="204">
        <v>-12000</v>
      </c>
      <c r="E7512" s="662">
        <v>45778</v>
      </c>
      <c r="F7512" s="759" t="s">
        <v>296</v>
      </c>
      <c r="G7512" s="759" t="s">
        <v>1362</v>
      </c>
      <c r="H7512" s="759" t="s">
        <v>268</v>
      </c>
      <c r="I7512" s="200" t="s">
        <v>5635</v>
      </c>
    </row>
    <row r="7513" spans="1:9" ht="15" customHeight="1">
      <c r="A7513" s="199">
        <v>45734</v>
      </c>
      <c r="B7513" s="202" t="s">
        <v>5868</v>
      </c>
      <c r="C7513" s="200" t="s">
        <v>307</v>
      </c>
      <c r="D7513" s="204">
        <v>-20000</v>
      </c>
      <c r="E7513" s="662">
        <v>45778</v>
      </c>
      <c r="F7513" s="759" t="s">
        <v>296</v>
      </c>
      <c r="G7513" s="759" t="s">
        <v>1362</v>
      </c>
      <c r="H7513" s="759" t="s">
        <v>268</v>
      </c>
      <c r="I7513" s="200" t="s">
        <v>5635</v>
      </c>
    </row>
    <row r="7514" spans="1:9" ht="15" customHeight="1">
      <c r="A7514" s="199">
        <v>45741</v>
      </c>
      <c r="B7514" s="202" t="s">
        <v>5869</v>
      </c>
      <c r="C7514" s="200" t="s">
        <v>307</v>
      </c>
      <c r="D7514" s="204">
        <v>-30000</v>
      </c>
      <c r="E7514" s="662">
        <v>45778</v>
      </c>
      <c r="F7514" s="759" t="s">
        <v>256</v>
      </c>
      <c r="G7514" s="759" t="s">
        <v>107</v>
      </c>
      <c r="H7514" s="759" t="s">
        <v>275</v>
      </c>
      <c r="I7514" s="200" t="s">
        <v>5635</v>
      </c>
    </row>
    <row r="7515" spans="1:9" ht="15" customHeight="1">
      <c r="A7515" s="199">
        <v>45741</v>
      </c>
      <c r="B7515" s="202" t="s">
        <v>5870</v>
      </c>
      <c r="C7515" s="200" t="s">
        <v>307</v>
      </c>
      <c r="D7515" s="204">
        <v>-9000</v>
      </c>
      <c r="E7515" s="662">
        <v>45778</v>
      </c>
      <c r="F7515" s="759" t="s">
        <v>256</v>
      </c>
      <c r="G7515" s="759" t="s">
        <v>107</v>
      </c>
      <c r="H7515" s="759" t="s">
        <v>275</v>
      </c>
      <c r="I7515" s="200" t="s">
        <v>5635</v>
      </c>
    </row>
    <row r="7516" spans="1:9" ht="15" customHeight="1">
      <c r="A7516" s="199">
        <v>45741</v>
      </c>
      <c r="B7516" s="202" t="s">
        <v>5871</v>
      </c>
      <c r="C7516" s="200" t="s">
        <v>307</v>
      </c>
      <c r="D7516" s="204">
        <v>-27000</v>
      </c>
      <c r="E7516" s="662">
        <v>45778</v>
      </c>
      <c r="F7516" s="759" t="s">
        <v>256</v>
      </c>
      <c r="G7516" s="759" t="s">
        <v>107</v>
      </c>
      <c r="H7516" s="759" t="s">
        <v>275</v>
      </c>
      <c r="I7516" s="200" t="s">
        <v>5635</v>
      </c>
    </row>
    <row r="7517" spans="1:9" ht="15" customHeight="1">
      <c r="A7517" s="199">
        <v>45741</v>
      </c>
      <c r="B7517" s="202" t="s">
        <v>5872</v>
      </c>
      <c r="C7517" s="200" t="s">
        <v>307</v>
      </c>
      <c r="D7517" s="204">
        <v>-8350</v>
      </c>
      <c r="E7517" s="662">
        <v>45778</v>
      </c>
      <c r="F7517" s="759" t="s">
        <v>256</v>
      </c>
      <c r="G7517" s="759" t="s">
        <v>107</v>
      </c>
      <c r="H7517" s="759" t="s">
        <v>275</v>
      </c>
      <c r="I7517" s="200" t="s">
        <v>5635</v>
      </c>
    </row>
    <row r="7518" spans="1:9" ht="15" customHeight="1">
      <c r="A7518" s="199">
        <v>45741</v>
      </c>
      <c r="B7518" s="202" t="s">
        <v>5873</v>
      </c>
      <c r="C7518" s="200" t="s">
        <v>307</v>
      </c>
      <c r="D7518" s="204">
        <v>-7200</v>
      </c>
      <c r="E7518" s="662">
        <v>45778</v>
      </c>
      <c r="F7518" s="759" t="s">
        <v>256</v>
      </c>
      <c r="G7518" s="759" t="s">
        <v>107</v>
      </c>
      <c r="H7518" s="759" t="s">
        <v>275</v>
      </c>
      <c r="I7518" s="200" t="s">
        <v>5635</v>
      </c>
    </row>
    <row r="7519" spans="1:9" ht="15" customHeight="1">
      <c r="A7519" s="199">
        <v>45741</v>
      </c>
      <c r="B7519" s="202" t="s">
        <v>4786</v>
      </c>
      <c r="C7519" s="200" t="s">
        <v>307</v>
      </c>
      <c r="D7519" s="204">
        <v>-5700</v>
      </c>
      <c r="E7519" s="662">
        <v>45778</v>
      </c>
      <c r="F7519" s="759" t="s">
        <v>256</v>
      </c>
      <c r="G7519" s="759" t="s">
        <v>107</v>
      </c>
      <c r="H7519" s="759" t="s">
        <v>275</v>
      </c>
      <c r="I7519" s="200" t="s">
        <v>5635</v>
      </c>
    </row>
    <row r="7520" spans="1:9" ht="15" customHeight="1">
      <c r="A7520" s="199">
        <v>45741</v>
      </c>
      <c r="B7520" s="202" t="s">
        <v>5874</v>
      </c>
      <c r="C7520" s="200" t="s">
        <v>307</v>
      </c>
      <c r="D7520" s="204">
        <v>-10000</v>
      </c>
      <c r="E7520" s="662">
        <v>45778</v>
      </c>
      <c r="F7520" s="759" t="s">
        <v>256</v>
      </c>
      <c r="G7520" s="759" t="s">
        <v>107</v>
      </c>
      <c r="H7520" s="759" t="s">
        <v>275</v>
      </c>
      <c r="I7520" s="200" t="s">
        <v>5635</v>
      </c>
    </row>
    <row r="7521" spans="1:9" ht="15" customHeight="1">
      <c r="A7521" s="199">
        <v>45741</v>
      </c>
      <c r="B7521" s="202" t="s">
        <v>5875</v>
      </c>
      <c r="C7521" s="200" t="s">
        <v>307</v>
      </c>
      <c r="D7521" s="204">
        <v>-12600</v>
      </c>
      <c r="E7521" s="662">
        <v>45778</v>
      </c>
      <c r="F7521" s="759" t="s">
        <v>256</v>
      </c>
      <c r="G7521" s="759" t="s">
        <v>107</v>
      </c>
      <c r="H7521" s="759" t="s">
        <v>275</v>
      </c>
      <c r="I7521" s="200" t="s">
        <v>5635</v>
      </c>
    </row>
    <row r="7522" spans="1:9" ht="15" customHeight="1">
      <c r="A7522" s="199">
        <v>45741</v>
      </c>
      <c r="B7522" s="202" t="s">
        <v>5876</v>
      </c>
      <c r="C7522" s="200" t="s">
        <v>307</v>
      </c>
      <c r="D7522" s="204">
        <v>-35000</v>
      </c>
      <c r="E7522" s="662">
        <v>45778</v>
      </c>
      <c r="F7522" s="759" t="s">
        <v>256</v>
      </c>
      <c r="G7522" s="759" t="s">
        <v>107</v>
      </c>
      <c r="H7522" s="759" t="s">
        <v>275</v>
      </c>
      <c r="I7522" s="200" t="s">
        <v>5635</v>
      </c>
    </row>
    <row r="7523" spans="1:9" ht="15" customHeight="1">
      <c r="A7523" s="199">
        <v>45746</v>
      </c>
      <c r="B7523" s="202" t="s">
        <v>5877</v>
      </c>
      <c r="C7523" s="200" t="s">
        <v>307</v>
      </c>
      <c r="D7523" s="204">
        <v>-12000</v>
      </c>
      <c r="E7523" s="662">
        <v>45778</v>
      </c>
      <c r="F7523" s="759" t="s">
        <v>296</v>
      </c>
      <c r="G7523" s="759" t="s">
        <v>1735</v>
      </c>
      <c r="H7523" s="759" t="s">
        <v>268</v>
      </c>
      <c r="I7523" s="200" t="s">
        <v>5635</v>
      </c>
    </row>
    <row r="7524" spans="1:9" ht="15" customHeight="1">
      <c r="A7524" s="199">
        <v>45754</v>
      </c>
      <c r="B7524" s="202" t="s">
        <v>5878</v>
      </c>
      <c r="C7524" s="200" t="s">
        <v>307</v>
      </c>
      <c r="D7524" s="204">
        <v>-10000</v>
      </c>
      <c r="E7524" s="662">
        <v>45778</v>
      </c>
      <c r="F7524" s="759" t="s">
        <v>296</v>
      </c>
      <c r="G7524" s="759" t="s">
        <v>1735</v>
      </c>
      <c r="H7524" s="759" t="s">
        <v>268</v>
      </c>
      <c r="I7524" s="200" t="s">
        <v>5635</v>
      </c>
    </row>
    <row r="7525" spans="1:9" ht="15" customHeight="1">
      <c r="A7525" s="199">
        <v>45754</v>
      </c>
      <c r="B7525" s="202" t="s">
        <v>5876</v>
      </c>
      <c r="C7525" s="200" t="s">
        <v>307</v>
      </c>
      <c r="D7525" s="204">
        <v>-30000</v>
      </c>
      <c r="E7525" s="662">
        <v>45778</v>
      </c>
      <c r="F7525" s="759" t="s">
        <v>296</v>
      </c>
      <c r="G7525" s="759" t="s">
        <v>1735</v>
      </c>
      <c r="H7525" s="759" t="s">
        <v>268</v>
      </c>
      <c r="I7525" s="200" t="s">
        <v>5635</v>
      </c>
    </row>
    <row r="7526" spans="1:9" ht="15" customHeight="1">
      <c r="A7526" s="199">
        <v>45754</v>
      </c>
      <c r="B7526" s="202" t="s">
        <v>4808</v>
      </c>
      <c r="C7526" s="200" t="s">
        <v>307</v>
      </c>
      <c r="D7526" s="204">
        <v>-20000</v>
      </c>
      <c r="E7526" s="662">
        <v>45778</v>
      </c>
      <c r="F7526" s="759" t="s">
        <v>296</v>
      </c>
      <c r="G7526" s="759" t="s">
        <v>1362</v>
      </c>
      <c r="H7526" s="759" t="s">
        <v>268</v>
      </c>
      <c r="I7526" s="200" t="s">
        <v>5635</v>
      </c>
    </row>
    <row r="7527" spans="1:9" ht="15" customHeight="1">
      <c r="A7527" s="199">
        <v>45758</v>
      </c>
      <c r="B7527" s="202" t="s">
        <v>5879</v>
      </c>
      <c r="C7527" s="200" t="s">
        <v>307</v>
      </c>
      <c r="D7527" s="204">
        <v>-32995</v>
      </c>
      <c r="E7527" s="662">
        <v>45778</v>
      </c>
      <c r="F7527" s="759" t="s">
        <v>296</v>
      </c>
      <c r="G7527" s="759" t="s">
        <v>1362</v>
      </c>
      <c r="H7527" s="759" t="s">
        <v>268</v>
      </c>
      <c r="I7527" s="200" t="s">
        <v>5635</v>
      </c>
    </row>
    <row r="7528" spans="1:9" ht="15" customHeight="1">
      <c r="A7528" s="199">
        <v>45758</v>
      </c>
      <c r="B7528" s="202" t="s">
        <v>5879</v>
      </c>
      <c r="C7528" s="200" t="s">
        <v>307</v>
      </c>
      <c r="D7528" s="204">
        <v>-13013</v>
      </c>
      <c r="E7528" s="662">
        <v>45778</v>
      </c>
      <c r="F7528" s="759" t="s">
        <v>296</v>
      </c>
      <c r="G7528" s="759" t="s">
        <v>1362</v>
      </c>
      <c r="H7528" s="759" t="s">
        <v>268</v>
      </c>
      <c r="I7528" s="200" t="s">
        <v>5635</v>
      </c>
    </row>
    <row r="7529" spans="1:9" ht="15" customHeight="1">
      <c r="A7529" s="199">
        <v>45760</v>
      </c>
      <c r="B7529" s="202" t="s">
        <v>5879</v>
      </c>
      <c r="C7529" s="200" t="s">
        <v>307</v>
      </c>
      <c r="D7529" s="204">
        <v>-16000</v>
      </c>
      <c r="E7529" s="662">
        <v>45778</v>
      </c>
      <c r="F7529" s="759" t="s">
        <v>296</v>
      </c>
      <c r="G7529" s="759" t="s">
        <v>1362</v>
      </c>
      <c r="H7529" s="759" t="s">
        <v>268</v>
      </c>
      <c r="I7529" s="200" t="s">
        <v>5635</v>
      </c>
    </row>
    <row r="7530" spans="1:9" ht="15" customHeight="1">
      <c r="A7530" s="199">
        <v>45760</v>
      </c>
      <c r="B7530" s="202" t="s">
        <v>5879</v>
      </c>
      <c r="C7530" s="200" t="s">
        <v>307</v>
      </c>
      <c r="D7530" s="204">
        <v>-35000</v>
      </c>
      <c r="E7530" s="662">
        <v>45778</v>
      </c>
      <c r="F7530" s="759" t="s">
        <v>296</v>
      </c>
      <c r="G7530" s="759" t="s">
        <v>1362</v>
      </c>
      <c r="H7530" s="759" t="s">
        <v>268</v>
      </c>
      <c r="I7530" s="200" t="s">
        <v>5635</v>
      </c>
    </row>
    <row r="7531" spans="1:9" ht="15" customHeight="1">
      <c r="A7531" s="199">
        <v>45761</v>
      </c>
      <c r="B7531" s="202" t="s">
        <v>5865</v>
      </c>
      <c r="C7531" s="200" t="s">
        <v>307</v>
      </c>
      <c r="D7531" s="204">
        <v>-20000</v>
      </c>
      <c r="E7531" s="662">
        <v>45778</v>
      </c>
      <c r="F7531" s="759" t="s">
        <v>296</v>
      </c>
      <c r="G7531" s="759" t="s">
        <v>1362</v>
      </c>
      <c r="H7531" s="759" t="s">
        <v>268</v>
      </c>
      <c r="I7531" s="200" t="s">
        <v>5635</v>
      </c>
    </row>
    <row r="7532" spans="1:9" ht="15" customHeight="1">
      <c r="A7532" s="199">
        <v>45761</v>
      </c>
      <c r="B7532" s="202" t="s">
        <v>5880</v>
      </c>
      <c r="C7532" s="200" t="s">
        <v>307</v>
      </c>
      <c r="D7532" s="204">
        <v>-10000</v>
      </c>
      <c r="E7532" s="662">
        <v>45778</v>
      </c>
      <c r="F7532" s="759" t="s">
        <v>296</v>
      </c>
      <c r="G7532" s="759" t="s">
        <v>1362</v>
      </c>
      <c r="H7532" s="759" t="s">
        <v>342</v>
      </c>
      <c r="I7532" s="200" t="s">
        <v>5635</v>
      </c>
    </row>
    <row r="7533" spans="1:9" ht="15" customHeight="1">
      <c r="A7533" s="199">
        <v>45761</v>
      </c>
      <c r="B7533" s="202" t="s">
        <v>5881</v>
      </c>
      <c r="C7533" s="200" t="s">
        <v>307</v>
      </c>
      <c r="D7533" s="204">
        <v>-7500</v>
      </c>
      <c r="E7533" s="662">
        <v>45778</v>
      </c>
      <c r="F7533" s="759" t="s">
        <v>296</v>
      </c>
      <c r="G7533" s="759" t="s">
        <v>1362</v>
      </c>
      <c r="H7533" s="759" t="s">
        <v>268</v>
      </c>
      <c r="I7533" s="200" t="s">
        <v>5635</v>
      </c>
    </row>
    <row r="7534" spans="1:9" ht="15" customHeight="1">
      <c r="A7534" s="199">
        <v>45761</v>
      </c>
      <c r="B7534" s="202" t="s">
        <v>5882</v>
      </c>
      <c r="C7534" s="200" t="s">
        <v>307</v>
      </c>
      <c r="D7534" s="204">
        <v>-8550</v>
      </c>
      <c r="E7534" s="662">
        <v>45778</v>
      </c>
      <c r="F7534" s="759" t="s">
        <v>296</v>
      </c>
      <c r="G7534" s="759" t="s">
        <v>1362</v>
      </c>
      <c r="H7534" s="759" t="s">
        <v>342</v>
      </c>
      <c r="I7534" s="200" t="s">
        <v>5635</v>
      </c>
    </row>
    <row r="7535" spans="1:9" ht="15" customHeight="1">
      <c r="A7535" s="199">
        <v>45761</v>
      </c>
      <c r="B7535" s="202" t="s">
        <v>5883</v>
      </c>
      <c r="C7535" s="200" t="s">
        <v>307</v>
      </c>
      <c r="D7535" s="204">
        <v>-3690</v>
      </c>
      <c r="E7535" s="662">
        <v>45778</v>
      </c>
      <c r="F7535" s="759" t="s">
        <v>296</v>
      </c>
      <c r="G7535" s="759" t="s">
        <v>1362</v>
      </c>
      <c r="H7535" s="759" t="s">
        <v>342</v>
      </c>
      <c r="I7535" s="200" t="s">
        <v>5635</v>
      </c>
    </row>
    <row r="7536" spans="1:9" ht="15" customHeight="1">
      <c r="A7536" s="199">
        <v>45761</v>
      </c>
      <c r="B7536" s="202" t="s">
        <v>5884</v>
      </c>
      <c r="C7536" s="200" t="s">
        <v>307</v>
      </c>
      <c r="D7536" s="204">
        <v>-47200</v>
      </c>
      <c r="E7536" s="662">
        <v>45778</v>
      </c>
      <c r="F7536" s="759" t="s">
        <v>296</v>
      </c>
      <c r="G7536" s="759" t="s">
        <v>1362</v>
      </c>
      <c r="H7536" s="759" t="s">
        <v>5384</v>
      </c>
      <c r="I7536" s="200" t="s">
        <v>5635</v>
      </c>
    </row>
    <row r="7537" spans="1:9" ht="15" customHeight="1">
      <c r="A7537" s="199">
        <v>45761</v>
      </c>
      <c r="B7537" s="202" t="s">
        <v>5885</v>
      </c>
      <c r="C7537" s="200" t="s">
        <v>307</v>
      </c>
      <c r="D7537" s="204">
        <v>-7600</v>
      </c>
      <c r="E7537" s="662">
        <v>45778</v>
      </c>
      <c r="F7537" s="759" t="s">
        <v>296</v>
      </c>
      <c r="G7537" s="759" t="s">
        <v>1362</v>
      </c>
      <c r="H7537" s="759" t="s">
        <v>342</v>
      </c>
      <c r="I7537" s="200" t="s">
        <v>5635</v>
      </c>
    </row>
    <row r="7538" spans="1:9" ht="15" customHeight="1">
      <c r="A7538" s="199">
        <v>45762</v>
      </c>
      <c r="B7538" s="202" t="s">
        <v>5882</v>
      </c>
      <c r="C7538" s="200" t="s">
        <v>307</v>
      </c>
      <c r="D7538" s="204">
        <v>-18750</v>
      </c>
      <c r="E7538" s="662">
        <v>45778</v>
      </c>
      <c r="F7538" s="759" t="s">
        <v>296</v>
      </c>
      <c r="G7538" s="759" t="s">
        <v>1362</v>
      </c>
      <c r="H7538" s="759" t="s">
        <v>342</v>
      </c>
      <c r="I7538" s="200" t="s">
        <v>5635</v>
      </c>
    </row>
    <row r="7539" spans="1:9" ht="15" customHeight="1">
      <c r="A7539" s="199">
        <v>45762</v>
      </c>
      <c r="B7539" s="202" t="s">
        <v>5883</v>
      </c>
      <c r="C7539" s="200" t="s">
        <v>307</v>
      </c>
      <c r="D7539" s="204">
        <v>-11050</v>
      </c>
      <c r="E7539" s="662">
        <v>45778</v>
      </c>
      <c r="F7539" s="759" t="s">
        <v>296</v>
      </c>
      <c r="G7539" s="759" t="s">
        <v>1362</v>
      </c>
      <c r="H7539" s="759" t="s">
        <v>342</v>
      </c>
      <c r="I7539" s="200" t="s">
        <v>5635</v>
      </c>
    </row>
    <row r="7540" spans="1:9" ht="15" customHeight="1">
      <c r="A7540" s="199">
        <v>45762</v>
      </c>
      <c r="B7540" s="202" t="s">
        <v>5886</v>
      </c>
      <c r="C7540" s="200" t="s">
        <v>307</v>
      </c>
      <c r="D7540" s="204">
        <v>-5500</v>
      </c>
      <c r="E7540" s="662">
        <v>45778</v>
      </c>
      <c r="F7540" s="759" t="s">
        <v>296</v>
      </c>
      <c r="G7540" s="759" t="s">
        <v>1362</v>
      </c>
      <c r="H7540" s="759" t="s">
        <v>5384</v>
      </c>
      <c r="I7540" s="200" t="s">
        <v>5635</v>
      </c>
    </row>
    <row r="7541" spans="1:9" ht="15" customHeight="1">
      <c r="A7541" s="199">
        <v>45762</v>
      </c>
      <c r="B7541" s="202" t="s">
        <v>5887</v>
      </c>
      <c r="C7541" s="200" t="s">
        <v>307</v>
      </c>
      <c r="D7541" s="204">
        <v>-7900</v>
      </c>
      <c r="E7541" s="662">
        <v>45778</v>
      </c>
      <c r="F7541" s="759" t="s">
        <v>296</v>
      </c>
      <c r="G7541" s="759" t="s">
        <v>1362</v>
      </c>
      <c r="H7541" s="759" t="s">
        <v>342</v>
      </c>
      <c r="I7541" s="200" t="s">
        <v>5635</v>
      </c>
    </row>
    <row r="7542" spans="1:9" ht="15" customHeight="1">
      <c r="A7542" s="199">
        <v>45762</v>
      </c>
      <c r="B7542" s="202" t="s">
        <v>5888</v>
      </c>
      <c r="C7542" s="200" t="s">
        <v>307</v>
      </c>
      <c r="D7542" s="204">
        <v>-2590</v>
      </c>
      <c r="E7542" s="662">
        <v>45778</v>
      </c>
      <c r="F7542" s="759" t="s">
        <v>296</v>
      </c>
      <c r="G7542" s="759" t="s">
        <v>1362</v>
      </c>
      <c r="H7542" s="759" t="s">
        <v>342</v>
      </c>
      <c r="I7542" s="200" t="s">
        <v>5635</v>
      </c>
    </row>
    <row r="7543" spans="1:9" ht="15" customHeight="1">
      <c r="A7543" s="199">
        <v>45762</v>
      </c>
      <c r="B7543" s="202" t="s">
        <v>5889</v>
      </c>
      <c r="C7543" s="200" t="s">
        <v>307</v>
      </c>
      <c r="D7543" s="204">
        <v>-7500</v>
      </c>
      <c r="E7543" s="662">
        <v>45778</v>
      </c>
      <c r="F7543" s="759" t="s">
        <v>296</v>
      </c>
      <c r="G7543" s="759" t="s">
        <v>1362</v>
      </c>
      <c r="H7543" s="759" t="s">
        <v>268</v>
      </c>
      <c r="I7543" s="200" t="s">
        <v>5635</v>
      </c>
    </row>
    <row r="7544" spans="1:9" ht="15" customHeight="1">
      <c r="A7544" s="199">
        <v>45762</v>
      </c>
      <c r="B7544" s="202" t="s">
        <v>5890</v>
      </c>
      <c r="C7544" s="200" t="s">
        <v>307</v>
      </c>
      <c r="D7544" s="204">
        <v>-20000</v>
      </c>
      <c r="E7544" s="662">
        <v>45778</v>
      </c>
      <c r="F7544" s="759" t="s">
        <v>296</v>
      </c>
      <c r="G7544" s="759" t="s">
        <v>1362</v>
      </c>
      <c r="H7544" s="759" t="s">
        <v>268</v>
      </c>
      <c r="I7544" s="200" t="s">
        <v>5635</v>
      </c>
    </row>
    <row r="7545" spans="1:9" ht="15" customHeight="1">
      <c r="A7545" s="199">
        <v>45762</v>
      </c>
      <c r="B7545" s="202" t="s">
        <v>5891</v>
      </c>
      <c r="C7545" s="200" t="s">
        <v>307</v>
      </c>
      <c r="D7545" s="204">
        <v>-7200</v>
      </c>
      <c r="E7545" s="662">
        <v>45778</v>
      </c>
      <c r="F7545" s="759" t="s">
        <v>296</v>
      </c>
      <c r="G7545" s="759" t="s">
        <v>1362</v>
      </c>
      <c r="H7545" s="759" t="s">
        <v>268</v>
      </c>
      <c r="I7545" s="200" t="s">
        <v>5635</v>
      </c>
    </row>
    <row r="7546" spans="1:9" ht="15" customHeight="1">
      <c r="A7546" s="199">
        <v>45762</v>
      </c>
      <c r="B7546" s="202" t="s">
        <v>5892</v>
      </c>
      <c r="C7546" s="200" t="s">
        <v>307</v>
      </c>
      <c r="D7546" s="204">
        <v>-20000</v>
      </c>
      <c r="E7546" s="662">
        <v>45778</v>
      </c>
      <c r="F7546" s="759" t="s">
        <v>296</v>
      </c>
      <c r="G7546" s="759" t="s">
        <v>1362</v>
      </c>
      <c r="H7546" s="759" t="s">
        <v>268</v>
      </c>
      <c r="I7546" s="200" t="s">
        <v>5635</v>
      </c>
    </row>
    <row r="7547" spans="1:9" ht="15" customHeight="1">
      <c r="A7547" s="199">
        <v>45763</v>
      </c>
      <c r="B7547" s="202" t="s">
        <v>5879</v>
      </c>
      <c r="C7547" s="200" t="s">
        <v>307</v>
      </c>
      <c r="D7547" s="204">
        <v>-39999</v>
      </c>
      <c r="E7547" s="662">
        <v>45778</v>
      </c>
      <c r="F7547" s="759" t="s">
        <v>296</v>
      </c>
      <c r="G7547" s="759" t="s">
        <v>1362</v>
      </c>
      <c r="H7547" s="759" t="s">
        <v>268</v>
      </c>
      <c r="I7547" s="200" t="s">
        <v>5635</v>
      </c>
    </row>
    <row r="7548" spans="1:9" ht="15" customHeight="1">
      <c r="A7548" s="199">
        <v>45763</v>
      </c>
      <c r="B7548" s="202" t="s">
        <v>5879</v>
      </c>
      <c r="C7548" s="200" t="s">
        <v>307</v>
      </c>
      <c r="D7548" s="204">
        <v>-25117</v>
      </c>
      <c r="E7548" s="662">
        <v>45778</v>
      </c>
      <c r="F7548" s="759" t="s">
        <v>296</v>
      </c>
      <c r="G7548" s="759" t="s">
        <v>1362</v>
      </c>
      <c r="H7548" s="759" t="s">
        <v>268</v>
      </c>
      <c r="I7548" s="200" t="s">
        <v>5635</v>
      </c>
    </row>
    <row r="7549" spans="1:9" ht="15" customHeight="1">
      <c r="A7549" s="199">
        <v>45763</v>
      </c>
      <c r="B7549" s="202" t="s">
        <v>5879</v>
      </c>
      <c r="C7549" s="200" t="s">
        <v>307</v>
      </c>
      <c r="D7549" s="204">
        <v>-45074</v>
      </c>
      <c r="E7549" s="662">
        <v>45778</v>
      </c>
      <c r="F7549" s="759" t="s">
        <v>296</v>
      </c>
      <c r="G7549" s="759" t="s">
        <v>1362</v>
      </c>
      <c r="H7549" s="759" t="s">
        <v>268</v>
      </c>
      <c r="I7549" s="200" t="s">
        <v>5635</v>
      </c>
    </row>
    <row r="7550" spans="1:9" ht="15" customHeight="1">
      <c r="A7550" s="199">
        <v>45767</v>
      </c>
      <c r="B7550" s="202" t="s">
        <v>5879</v>
      </c>
      <c r="C7550" s="200" t="s">
        <v>307</v>
      </c>
      <c r="D7550" s="204">
        <v>-23000</v>
      </c>
      <c r="E7550" s="662">
        <v>45778</v>
      </c>
      <c r="F7550" s="759" t="s">
        <v>296</v>
      </c>
      <c r="G7550" s="759" t="s">
        <v>1362</v>
      </c>
      <c r="H7550" s="759" t="s">
        <v>268</v>
      </c>
      <c r="I7550" s="200" t="s">
        <v>5635</v>
      </c>
    </row>
    <row r="7551" spans="1:9" ht="15" customHeight="1">
      <c r="A7551" s="199">
        <v>45768</v>
      </c>
      <c r="B7551" s="202" t="s">
        <v>5893</v>
      </c>
      <c r="C7551" s="200" t="s">
        <v>307</v>
      </c>
      <c r="D7551" s="204">
        <v>-20000</v>
      </c>
      <c r="E7551" s="662">
        <v>45778</v>
      </c>
      <c r="F7551" s="759" t="s">
        <v>296</v>
      </c>
      <c r="G7551" s="759" t="s">
        <v>1362</v>
      </c>
      <c r="H7551" s="759" t="s">
        <v>268</v>
      </c>
      <c r="I7551" s="200" t="s">
        <v>5635</v>
      </c>
    </row>
    <row r="7552" spans="1:9" ht="15" customHeight="1">
      <c r="A7552" s="199">
        <v>45768</v>
      </c>
      <c r="B7552" s="202" t="s">
        <v>5879</v>
      </c>
      <c r="C7552" s="200" t="s">
        <v>307</v>
      </c>
      <c r="D7552" s="204">
        <v>-50000</v>
      </c>
      <c r="E7552" s="662">
        <v>45778</v>
      </c>
      <c r="F7552" s="759" t="s">
        <v>296</v>
      </c>
      <c r="G7552" s="759" t="s">
        <v>1362</v>
      </c>
      <c r="H7552" s="759" t="s">
        <v>268</v>
      </c>
      <c r="I7552" s="200" t="s">
        <v>5635</v>
      </c>
    </row>
    <row r="7553" spans="1:9" ht="15" customHeight="1">
      <c r="A7553" s="199">
        <v>45768</v>
      </c>
      <c r="B7553" s="202" t="s">
        <v>5894</v>
      </c>
      <c r="C7553" s="200" t="s">
        <v>307</v>
      </c>
      <c r="D7553" s="204">
        <v>-20000</v>
      </c>
      <c r="E7553" s="662">
        <v>45778</v>
      </c>
      <c r="F7553" s="759" t="s">
        <v>296</v>
      </c>
      <c r="G7553" s="759" t="s">
        <v>1362</v>
      </c>
      <c r="H7553" s="759" t="s">
        <v>268</v>
      </c>
      <c r="I7553" s="200" t="s">
        <v>5635</v>
      </c>
    </row>
    <row r="7554" spans="1:9" ht="15" customHeight="1">
      <c r="A7554" s="199">
        <v>45768</v>
      </c>
      <c r="B7554" s="202" t="s">
        <v>5881</v>
      </c>
      <c r="C7554" s="200" t="s">
        <v>307</v>
      </c>
      <c r="D7554" s="204">
        <v>-8000</v>
      </c>
      <c r="E7554" s="662">
        <v>45778</v>
      </c>
      <c r="F7554" s="759" t="s">
        <v>296</v>
      </c>
      <c r="G7554" s="759" t="s">
        <v>1362</v>
      </c>
      <c r="H7554" s="759" t="s">
        <v>268</v>
      </c>
      <c r="I7554" s="200" t="s">
        <v>5635</v>
      </c>
    </row>
    <row r="7555" spans="1:9" ht="15" customHeight="1">
      <c r="A7555" s="199">
        <v>45768</v>
      </c>
      <c r="B7555" s="202" t="s">
        <v>5882</v>
      </c>
      <c r="C7555" s="200" t="s">
        <v>307</v>
      </c>
      <c r="D7555" s="204">
        <v>-7600</v>
      </c>
      <c r="E7555" s="662">
        <v>45778</v>
      </c>
      <c r="F7555" s="759" t="s">
        <v>296</v>
      </c>
      <c r="G7555" s="759" t="s">
        <v>1362</v>
      </c>
      <c r="H7555" s="759" t="s">
        <v>342</v>
      </c>
      <c r="I7555" s="200" t="s">
        <v>5635</v>
      </c>
    </row>
    <row r="7556" spans="1:9" ht="15" customHeight="1">
      <c r="A7556" s="199">
        <v>45768</v>
      </c>
      <c r="B7556" s="202" t="s">
        <v>5883</v>
      </c>
      <c r="C7556" s="200" t="s">
        <v>307</v>
      </c>
      <c r="D7556" s="204">
        <v>-7500</v>
      </c>
      <c r="E7556" s="662">
        <v>45778</v>
      </c>
      <c r="F7556" s="759" t="s">
        <v>296</v>
      </c>
      <c r="G7556" s="759" t="s">
        <v>1362</v>
      </c>
      <c r="H7556" s="759" t="s">
        <v>342</v>
      </c>
      <c r="I7556" s="200" t="s">
        <v>5635</v>
      </c>
    </row>
    <row r="7557" spans="1:9" ht="15" customHeight="1">
      <c r="A7557" s="199">
        <v>45768</v>
      </c>
      <c r="B7557" s="202" t="s">
        <v>5895</v>
      </c>
      <c r="C7557" s="200" t="s">
        <v>307</v>
      </c>
      <c r="D7557" s="204">
        <v>-24000</v>
      </c>
      <c r="E7557" s="662">
        <v>45778</v>
      </c>
      <c r="F7557" s="759" t="s">
        <v>296</v>
      </c>
      <c r="G7557" s="759" t="s">
        <v>1362</v>
      </c>
      <c r="H7557" s="759" t="s">
        <v>342</v>
      </c>
      <c r="I7557" s="200" t="s">
        <v>5635</v>
      </c>
    </row>
    <row r="7558" spans="1:9" ht="15" customHeight="1">
      <c r="A7558" s="199">
        <v>45768</v>
      </c>
      <c r="B7558" s="202" t="s">
        <v>5896</v>
      </c>
      <c r="C7558" s="200" t="s">
        <v>307</v>
      </c>
      <c r="D7558" s="204">
        <v>-60000</v>
      </c>
      <c r="E7558" s="662">
        <v>45778</v>
      </c>
      <c r="F7558" s="759" t="s">
        <v>296</v>
      </c>
      <c r="G7558" s="759" t="s">
        <v>1362</v>
      </c>
      <c r="H7558" s="759" t="s">
        <v>342</v>
      </c>
      <c r="I7558" s="200" t="s">
        <v>5635</v>
      </c>
    </row>
    <row r="7559" spans="1:9" ht="15" customHeight="1">
      <c r="A7559" s="199">
        <v>45768</v>
      </c>
      <c r="B7559" s="202" t="s">
        <v>5897</v>
      </c>
      <c r="C7559" s="200" t="s">
        <v>307</v>
      </c>
      <c r="D7559" s="204">
        <v>-63500</v>
      </c>
      <c r="E7559" s="662">
        <v>45778</v>
      </c>
      <c r="F7559" s="759" t="s">
        <v>296</v>
      </c>
      <c r="G7559" s="759" t="s">
        <v>1362</v>
      </c>
      <c r="H7559" s="759" t="s">
        <v>5384</v>
      </c>
      <c r="I7559" s="200" t="s">
        <v>5635</v>
      </c>
    </row>
    <row r="7560" spans="1:9" ht="15" customHeight="1">
      <c r="A7560" s="199">
        <v>45768</v>
      </c>
      <c r="B7560" s="202" t="s">
        <v>5898</v>
      </c>
      <c r="C7560" s="200" t="s">
        <v>307</v>
      </c>
      <c r="D7560" s="204">
        <v>-23700</v>
      </c>
      <c r="E7560" s="662">
        <v>45778</v>
      </c>
      <c r="F7560" s="759" t="s">
        <v>296</v>
      </c>
      <c r="G7560" s="759" t="s">
        <v>1362</v>
      </c>
      <c r="H7560" s="759" t="s">
        <v>5384</v>
      </c>
      <c r="I7560" s="200" t="s">
        <v>5635</v>
      </c>
    </row>
    <row r="7561" spans="1:9" ht="15" customHeight="1">
      <c r="A7561" s="199">
        <v>45769</v>
      </c>
      <c r="B7561" s="202" t="s">
        <v>5899</v>
      </c>
      <c r="C7561" s="200" t="s">
        <v>307</v>
      </c>
      <c r="D7561" s="204">
        <v>-20000</v>
      </c>
      <c r="E7561" s="662">
        <v>45778</v>
      </c>
      <c r="F7561" s="759" t="s">
        <v>296</v>
      </c>
      <c r="G7561" s="759" t="s">
        <v>1362</v>
      </c>
      <c r="H7561" s="759" t="s">
        <v>268</v>
      </c>
      <c r="I7561" s="200" t="s">
        <v>5635</v>
      </c>
    </row>
    <row r="7562" spans="1:9" ht="15" customHeight="1">
      <c r="A7562" s="199">
        <v>45768</v>
      </c>
      <c r="B7562" s="202" t="s">
        <v>5900</v>
      </c>
      <c r="C7562" s="200" t="s">
        <v>307</v>
      </c>
      <c r="D7562" s="204">
        <v>-12000</v>
      </c>
      <c r="E7562" s="662">
        <v>45778</v>
      </c>
      <c r="F7562" s="759" t="s">
        <v>296</v>
      </c>
      <c r="G7562" s="759" t="s">
        <v>1362</v>
      </c>
      <c r="H7562" s="759" t="s">
        <v>268</v>
      </c>
      <c r="I7562" s="200" t="s">
        <v>5635</v>
      </c>
    </row>
    <row r="7563" spans="1:9" ht="15" customHeight="1">
      <c r="A7563" s="199">
        <v>45768</v>
      </c>
      <c r="B7563" s="202" t="s">
        <v>5901</v>
      </c>
      <c r="C7563" s="200" t="s">
        <v>307</v>
      </c>
      <c r="D7563" s="204">
        <v>-8000</v>
      </c>
      <c r="E7563" s="662">
        <v>45778</v>
      </c>
      <c r="F7563" s="759" t="s">
        <v>296</v>
      </c>
      <c r="G7563" s="759" t="s">
        <v>1362</v>
      </c>
      <c r="H7563" s="759" t="s">
        <v>268</v>
      </c>
      <c r="I7563" s="200" t="s">
        <v>5635</v>
      </c>
    </row>
    <row r="7564" spans="1:9" ht="15" customHeight="1">
      <c r="A7564" s="199">
        <v>45769</v>
      </c>
      <c r="B7564" s="202" t="s">
        <v>5902</v>
      </c>
      <c r="C7564" s="200" t="s">
        <v>307</v>
      </c>
      <c r="D7564" s="204">
        <v>-20000</v>
      </c>
      <c r="E7564" s="662">
        <v>45778</v>
      </c>
      <c r="F7564" s="759" t="s">
        <v>296</v>
      </c>
      <c r="G7564" s="759" t="s">
        <v>1362</v>
      </c>
      <c r="H7564" s="759" t="s">
        <v>268</v>
      </c>
      <c r="I7564" s="200" t="s">
        <v>5635</v>
      </c>
    </row>
    <row r="7565" spans="1:9" ht="15" customHeight="1">
      <c r="A7565" s="199">
        <v>45769</v>
      </c>
      <c r="B7565" s="202" t="s">
        <v>5903</v>
      </c>
      <c r="C7565" s="200" t="s">
        <v>307</v>
      </c>
      <c r="D7565" s="204">
        <v>-7500</v>
      </c>
      <c r="E7565" s="662">
        <v>45778</v>
      </c>
      <c r="F7565" s="759" t="s">
        <v>296</v>
      </c>
      <c r="G7565" s="759" t="s">
        <v>1362</v>
      </c>
      <c r="H7565" s="759" t="s">
        <v>268</v>
      </c>
      <c r="I7565" s="200" t="s">
        <v>5635</v>
      </c>
    </row>
    <row r="7566" spans="1:9" ht="15" customHeight="1">
      <c r="A7566" s="199">
        <v>45769</v>
      </c>
      <c r="B7566" s="202" t="s">
        <v>5883</v>
      </c>
      <c r="C7566" s="200" t="s">
        <v>307</v>
      </c>
      <c r="D7566" s="204">
        <v>-7500</v>
      </c>
      <c r="E7566" s="662">
        <v>45778</v>
      </c>
      <c r="F7566" s="759" t="s">
        <v>296</v>
      </c>
      <c r="G7566" s="759" t="s">
        <v>1362</v>
      </c>
      <c r="H7566" s="759" t="s">
        <v>342</v>
      </c>
      <c r="I7566" s="200" t="s">
        <v>5635</v>
      </c>
    </row>
    <row r="7567" spans="1:9" ht="15" customHeight="1">
      <c r="A7567" s="199">
        <v>45769</v>
      </c>
      <c r="B7567" s="202" t="s">
        <v>5882</v>
      </c>
      <c r="C7567" s="200" t="s">
        <v>307</v>
      </c>
      <c r="D7567" s="204">
        <v>-7600</v>
      </c>
      <c r="E7567" s="662">
        <v>45778</v>
      </c>
      <c r="F7567" s="759" t="s">
        <v>296</v>
      </c>
      <c r="G7567" s="759" t="s">
        <v>1362</v>
      </c>
      <c r="H7567" s="759" t="s">
        <v>342</v>
      </c>
      <c r="I7567" s="200" t="s">
        <v>5635</v>
      </c>
    </row>
    <row r="7568" spans="1:9" ht="15" customHeight="1">
      <c r="A7568" s="199">
        <v>45769</v>
      </c>
      <c r="B7568" s="202" t="s">
        <v>5904</v>
      </c>
      <c r="C7568" s="200" t="s">
        <v>307</v>
      </c>
      <c r="D7568" s="204">
        <v>-18000</v>
      </c>
      <c r="E7568" s="662">
        <v>45778</v>
      </c>
      <c r="F7568" s="759" t="s">
        <v>296</v>
      </c>
      <c r="G7568" s="759" t="s">
        <v>1362</v>
      </c>
      <c r="H7568" s="759" t="s">
        <v>5384</v>
      </c>
      <c r="I7568" s="200" t="s">
        <v>5635</v>
      </c>
    </row>
    <row r="7569" spans="1:9" ht="15" customHeight="1">
      <c r="A7569" s="199">
        <v>45769</v>
      </c>
      <c r="B7569" s="202" t="s">
        <v>5905</v>
      </c>
      <c r="C7569" s="200" t="s">
        <v>307</v>
      </c>
      <c r="D7569" s="204">
        <v>-148000</v>
      </c>
      <c r="E7569" s="662">
        <v>45778</v>
      </c>
      <c r="F7569" s="759" t="s">
        <v>296</v>
      </c>
      <c r="G7569" s="759" t="s">
        <v>1362</v>
      </c>
      <c r="H7569" s="759" t="s">
        <v>5384</v>
      </c>
      <c r="I7569" s="200" t="s">
        <v>5635</v>
      </c>
    </row>
    <row r="7570" spans="1:9" ht="15" customHeight="1">
      <c r="A7570" s="199">
        <v>45769</v>
      </c>
      <c r="B7570" s="202" t="s">
        <v>5906</v>
      </c>
      <c r="C7570" s="200" t="s">
        <v>307</v>
      </c>
      <c r="D7570" s="204">
        <v>-20000</v>
      </c>
      <c r="E7570" s="662">
        <v>45778</v>
      </c>
      <c r="F7570" s="759" t="s">
        <v>296</v>
      </c>
      <c r="G7570" s="759" t="s">
        <v>1362</v>
      </c>
      <c r="H7570" s="759" t="s">
        <v>5384</v>
      </c>
      <c r="I7570" s="200" t="s">
        <v>5635</v>
      </c>
    </row>
    <row r="7571" spans="1:9" ht="15" customHeight="1">
      <c r="A7571" s="199">
        <v>45770</v>
      </c>
      <c r="B7571" s="202" t="s">
        <v>5907</v>
      </c>
      <c r="C7571" s="200" t="s">
        <v>307</v>
      </c>
      <c r="D7571" s="204">
        <v>-47500</v>
      </c>
      <c r="E7571" s="662">
        <v>45778</v>
      </c>
      <c r="F7571" s="759" t="s">
        <v>296</v>
      </c>
      <c r="G7571" s="759" t="s">
        <v>1362</v>
      </c>
      <c r="H7571" s="759" t="s">
        <v>5384</v>
      </c>
      <c r="I7571" s="200" t="s">
        <v>5635</v>
      </c>
    </row>
    <row r="7572" spans="1:9" ht="15" customHeight="1">
      <c r="A7572" s="199">
        <v>45770</v>
      </c>
      <c r="B7572" s="202" t="s">
        <v>5883</v>
      </c>
      <c r="C7572" s="200" t="s">
        <v>307</v>
      </c>
      <c r="D7572" s="204">
        <v>-3950</v>
      </c>
      <c r="E7572" s="662">
        <v>45778</v>
      </c>
      <c r="F7572" s="759" t="s">
        <v>296</v>
      </c>
      <c r="G7572" s="759" t="s">
        <v>1362</v>
      </c>
      <c r="H7572" s="759" t="s">
        <v>342</v>
      </c>
      <c r="I7572" s="200" t="s">
        <v>5635</v>
      </c>
    </row>
    <row r="7573" spans="1:9" ht="15" customHeight="1">
      <c r="A7573" s="199">
        <v>45770</v>
      </c>
      <c r="B7573" s="202" t="s">
        <v>5883</v>
      </c>
      <c r="C7573" s="200" t="s">
        <v>307</v>
      </c>
      <c r="D7573" s="204">
        <v>-7100</v>
      </c>
      <c r="E7573" s="662">
        <v>45778</v>
      </c>
      <c r="F7573" s="759" t="s">
        <v>296</v>
      </c>
      <c r="G7573" s="759" t="s">
        <v>1362</v>
      </c>
      <c r="H7573" s="759" t="s">
        <v>342</v>
      </c>
      <c r="I7573" s="200" t="s">
        <v>5635</v>
      </c>
    </row>
    <row r="7574" spans="1:9" ht="15" customHeight="1">
      <c r="A7574" s="199">
        <v>45770</v>
      </c>
      <c r="B7574" s="202" t="s">
        <v>5883</v>
      </c>
      <c r="C7574" s="200" t="s">
        <v>307</v>
      </c>
      <c r="D7574" s="204">
        <v>-2590</v>
      </c>
      <c r="E7574" s="662">
        <v>45778</v>
      </c>
      <c r="F7574" s="759" t="s">
        <v>296</v>
      </c>
      <c r="G7574" s="759" t="s">
        <v>1362</v>
      </c>
      <c r="H7574" s="759" t="s">
        <v>342</v>
      </c>
      <c r="I7574" s="200" t="s">
        <v>5635</v>
      </c>
    </row>
    <row r="7575" spans="1:9" ht="15" customHeight="1">
      <c r="A7575" s="199">
        <v>45770</v>
      </c>
      <c r="B7575" s="202" t="s">
        <v>5908</v>
      </c>
      <c r="C7575" s="200" t="s">
        <v>307</v>
      </c>
      <c r="D7575" s="204">
        <v>-34400</v>
      </c>
      <c r="E7575" s="662">
        <v>45778</v>
      </c>
      <c r="F7575" s="759" t="s">
        <v>296</v>
      </c>
      <c r="G7575" s="759" t="s">
        <v>1362</v>
      </c>
      <c r="H7575" s="759" t="s">
        <v>5384</v>
      </c>
      <c r="I7575" s="200" t="s">
        <v>5635</v>
      </c>
    </row>
    <row r="7576" spans="1:9" ht="15" customHeight="1">
      <c r="A7576" s="199">
        <v>45770</v>
      </c>
      <c r="B7576" s="202" t="s">
        <v>5909</v>
      </c>
      <c r="C7576" s="200" t="s">
        <v>307</v>
      </c>
      <c r="D7576" s="204">
        <v>-8000</v>
      </c>
      <c r="E7576" s="662">
        <v>45778</v>
      </c>
      <c r="F7576" s="759" t="s">
        <v>296</v>
      </c>
      <c r="G7576" s="759" t="s">
        <v>1362</v>
      </c>
      <c r="H7576" s="759" t="s">
        <v>5384</v>
      </c>
      <c r="I7576" s="200" t="s">
        <v>5635</v>
      </c>
    </row>
    <row r="7577" spans="1:9" ht="15" customHeight="1">
      <c r="A7577" s="199">
        <v>45770</v>
      </c>
      <c r="B7577" s="202" t="s">
        <v>5910</v>
      </c>
      <c r="C7577" s="200" t="s">
        <v>307</v>
      </c>
      <c r="D7577" s="204">
        <v>-14500</v>
      </c>
      <c r="E7577" s="662">
        <v>45778</v>
      </c>
      <c r="F7577" s="759" t="s">
        <v>296</v>
      </c>
      <c r="G7577" s="759" t="s">
        <v>1362</v>
      </c>
      <c r="H7577" s="759" t="s">
        <v>5384</v>
      </c>
      <c r="I7577" s="200" t="s">
        <v>5635</v>
      </c>
    </row>
    <row r="7578" spans="1:9" ht="15" customHeight="1">
      <c r="A7578" s="199">
        <v>45770</v>
      </c>
      <c r="B7578" s="202" t="s">
        <v>5911</v>
      </c>
      <c r="C7578" s="200" t="s">
        <v>307</v>
      </c>
      <c r="D7578" s="204">
        <v>-14500</v>
      </c>
      <c r="E7578" s="662">
        <v>45778</v>
      </c>
      <c r="F7578" s="759" t="s">
        <v>296</v>
      </c>
      <c r="G7578" s="759" t="s">
        <v>1362</v>
      </c>
      <c r="H7578" s="759" t="s">
        <v>5384</v>
      </c>
      <c r="I7578" s="200" t="s">
        <v>5635</v>
      </c>
    </row>
    <row r="7579" spans="1:9" ht="15" customHeight="1">
      <c r="A7579" s="199">
        <v>45770</v>
      </c>
      <c r="B7579" s="202" t="s">
        <v>5912</v>
      </c>
      <c r="C7579" s="200" t="s">
        <v>307</v>
      </c>
      <c r="D7579" s="204">
        <v>-6000</v>
      </c>
      <c r="E7579" s="662">
        <v>45778</v>
      </c>
      <c r="F7579" s="759" t="s">
        <v>296</v>
      </c>
      <c r="G7579" s="759" t="s">
        <v>1362</v>
      </c>
      <c r="H7579" s="759" t="s">
        <v>5384</v>
      </c>
      <c r="I7579" s="200" t="s">
        <v>5635</v>
      </c>
    </row>
    <row r="7580" spans="1:9" ht="15" customHeight="1">
      <c r="A7580" s="199">
        <v>45770</v>
      </c>
      <c r="B7580" s="202" t="s">
        <v>5913</v>
      </c>
      <c r="C7580" s="200" t="s">
        <v>307</v>
      </c>
      <c r="D7580" s="204">
        <v>-5500</v>
      </c>
      <c r="E7580" s="662">
        <v>45778</v>
      </c>
      <c r="F7580" s="759" t="s">
        <v>296</v>
      </c>
      <c r="G7580" s="759" t="s">
        <v>1362</v>
      </c>
      <c r="H7580" s="759" t="s">
        <v>5384</v>
      </c>
      <c r="I7580" s="200" t="s">
        <v>5635</v>
      </c>
    </row>
    <row r="7581" spans="1:9" ht="15" customHeight="1">
      <c r="A7581" s="199">
        <v>45779</v>
      </c>
      <c r="B7581" s="202" t="s">
        <v>5914</v>
      </c>
      <c r="C7581" s="200" t="s">
        <v>136</v>
      </c>
      <c r="D7581" s="658">
        <v>1257068</v>
      </c>
      <c r="E7581" s="201">
        <v>45778</v>
      </c>
      <c r="F7581" s="759" t="s">
        <v>295</v>
      </c>
      <c r="G7581" s="759"/>
      <c r="H7581" s="759"/>
    </row>
    <row r="7582" spans="1:9" ht="15" customHeight="1">
      <c r="A7582" s="199">
        <v>45779</v>
      </c>
      <c r="B7582" s="202" t="s">
        <v>5915</v>
      </c>
      <c r="C7582" s="200" t="s">
        <v>136</v>
      </c>
      <c r="D7582" s="658">
        <v>2375000</v>
      </c>
      <c r="E7582" s="201">
        <v>45778</v>
      </c>
      <c r="F7582" s="759" t="s">
        <v>295</v>
      </c>
      <c r="G7582" s="759"/>
      <c r="H7582" s="759"/>
    </row>
    <row r="7583" spans="1:9" ht="15" customHeight="1">
      <c r="A7583" s="199">
        <v>45779</v>
      </c>
      <c r="B7583" s="202" t="s">
        <v>5916</v>
      </c>
      <c r="C7583" s="200" t="s">
        <v>136</v>
      </c>
      <c r="D7583" s="658">
        <v>3109384</v>
      </c>
      <c r="E7583" s="201">
        <v>45778</v>
      </c>
      <c r="F7583" s="759" t="s">
        <v>295</v>
      </c>
      <c r="G7583" s="759"/>
      <c r="H7583" s="759"/>
    </row>
    <row r="7584" spans="1:9" ht="15" customHeight="1">
      <c r="A7584" s="199">
        <v>45769</v>
      </c>
      <c r="B7584" s="202" t="s">
        <v>5917</v>
      </c>
      <c r="C7584" s="200" t="s">
        <v>307</v>
      </c>
      <c r="D7584" s="204">
        <v>-32180</v>
      </c>
      <c r="E7584" s="201">
        <v>45778</v>
      </c>
      <c r="F7584" s="759" t="s">
        <v>297</v>
      </c>
      <c r="G7584" s="759" t="s">
        <v>3892</v>
      </c>
      <c r="H7584" s="759" t="s">
        <v>268</v>
      </c>
      <c r="I7584" s="200" t="s">
        <v>4979</v>
      </c>
    </row>
    <row r="7585" spans="1:9" ht="15" customHeight="1">
      <c r="A7585" s="199">
        <v>45769</v>
      </c>
      <c r="B7585" s="202" t="s">
        <v>5918</v>
      </c>
      <c r="C7585" s="200" t="s">
        <v>307</v>
      </c>
      <c r="D7585" s="204">
        <v>-25000</v>
      </c>
      <c r="E7585" s="201">
        <v>45778</v>
      </c>
      <c r="F7585" s="759" t="s">
        <v>297</v>
      </c>
      <c r="G7585" s="759" t="s">
        <v>3892</v>
      </c>
      <c r="H7585" s="759" t="s">
        <v>342</v>
      </c>
      <c r="I7585" s="200" t="s">
        <v>4979</v>
      </c>
    </row>
    <row r="7586" spans="1:9" ht="15" customHeight="1">
      <c r="A7586" s="199">
        <v>45769</v>
      </c>
      <c r="B7586" s="202" t="s">
        <v>5919</v>
      </c>
      <c r="C7586" s="200" t="s">
        <v>307</v>
      </c>
      <c r="D7586" s="204">
        <v>-70750</v>
      </c>
      <c r="E7586" s="201">
        <v>45778</v>
      </c>
      <c r="F7586" s="759" t="s">
        <v>297</v>
      </c>
      <c r="G7586" s="759" t="s">
        <v>3892</v>
      </c>
      <c r="H7586" s="759" t="s">
        <v>342</v>
      </c>
      <c r="I7586" s="200" t="s">
        <v>4979</v>
      </c>
    </row>
    <row r="7587" spans="1:9" ht="15" customHeight="1">
      <c r="A7587" s="199">
        <v>45769</v>
      </c>
      <c r="B7587" s="202" t="s">
        <v>5920</v>
      </c>
      <c r="C7587" s="200" t="s">
        <v>307</v>
      </c>
      <c r="D7587" s="204">
        <v>-16000</v>
      </c>
      <c r="E7587" s="201">
        <v>45778</v>
      </c>
      <c r="F7587" s="759" t="s">
        <v>297</v>
      </c>
      <c r="G7587" s="759" t="s">
        <v>3892</v>
      </c>
      <c r="H7587" s="759" t="s">
        <v>268</v>
      </c>
      <c r="I7587" s="200" t="s">
        <v>4979</v>
      </c>
    </row>
    <row r="7588" spans="1:9" ht="15" customHeight="1">
      <c r="A7588" s="199">
        <v>45769</v>
      </c>
      <c r="B7588" s="202" t="s">
        <v>5921</v>
      </c>
      <c r="C7588" s="200" t="s">
        <v>307</v>
      </c>
      <c r="D7588" s="204">
        <v>-20000</v>
      </c>
      <c r="E7588" s="201">
        <v>45778</v>
      </c>
      <c r="F7588" s="759" t="s">
        <v>296</v>
      </c>
      <c r="G7588" s="759" t="s">
        <v>3360</v>
      </c>
      <c r="H7588" s="759" t="s">
        <v>268</v>
      </c>
      <c r="I7588" s="200" t="s">
        <v>4979</v>
      </c>
    </row>
    <row r="7589" spans="1:9" ht="15" customHeight="1">
      <c r="A7589" s="199">
        <v>45769</v>
      </c>
      <c r="B7589" s="202" t="s">
        <v>5922</v>
      </c>
      <c r="C7589" s="200" t="s">
        <v>307</v>
      </c>
      <c r="D7589" s="204">
        <v>-20000</v>
      </c>
      <c r="E7589" s="201">
        <v>45778</v>
      </c>
      <c r="F7589" s="759" t="s">
        <v>296</v>
      </c>
      <c r="G7589" s="759" t="s">
        <v>3360</v>
      </c>
      <c r="H7589" s="759" t="s">
        <v>268</v>
      </c>
      <c r="I7589" s="200" t="s">
        <v>4979</v>
      </c>
    </row>
    <row r="7590" spans="1:9" ht="15" customHeight="1">
      <c r="A7590" s="199">
        <v>45769</v>
      </c>
      <c r="B7590" s="202" t="s">
        <v>5923</v>
      </c>
      <c r="C7590" s="200" t="s">
        <v>307</v>
      </c>
      <c r="D7590" s="204">
        <v>-20000</v>
      </c>
      <c r="E7590" s="201">
        <v>45778</v>
      </c>
      <c r="F7590" s="759" t="s">
        <v>296</v>
      </c>
      <c r="G7590" s="759" t="s">
        <v>3360</v>
      </c>
      <c r="H7590" s="759" t="s">
        <v>268</v>
      </c>
      <c r="I7590" s="200" t="s">
        <v>4979</v>
      </c>
    </row>
    <row r="7591" spans="1:9" ht="15" customHeight="1">
      <c r="A7591" s="199">
        <v>45769</v>
      </c>
      <c r="B7591" s="202" t="s">
        <v>5924</v>
      </c>
      <c r="C7591" s="200" t="s">
        <v>307</v>
      </c>
      <c r="D7591" s="204">
        <v>-25000</v>
      </c>
      <c r="E7591" s="201">
        <v>45778</v>
      </c>
      <c r="F7591" s="759" t="s">
        <v>256</v>
      </c>
      <c r="G7591" s="759" t="s">
        <v>107</v>
      </c>
      <c r="H7591" s="759" t="s">
        <v>275</v>
      </c>
      <c r="I7591" s="200" t="s">
        <v>4979</v>
      </c>
    </row>
    <row r="7592" spans="1:9" ht="15" customHeight="1">
      <c r="A7592" s="199">
        <v>45769</v>
      </c>
      <c r="B7592" s="202" t="s">
        <v>5925</v>
      </c>
      <c r="C7592" s="200" t="s">
        <v>307</v>
      </c>
      <c r="D7592" s="204">
        <v>-25000</v>
      </c>
      <c r="E7592" s="201">
        <v>45778</v>
      </c>
      <c r="F7592" s="759" t="s">
        <v>296</v>
      </c>
      <c r="G7592" s="759" t="s">
        <v>3360</v>
      </c>
      <c r="H7592" s="759" t="s">
        <v>268</v>
      </c>
      <c r="I7592" s="200" t="s">
        <v>4979</v>
      </c>
    </row>
    <row r="7593" spans="1:9" ht="15" customHeight="1">
      <c r="A7593" s="199">
        <v>45769</v>
      </c>
      <c r="B7593" s="202" t="s">
        <v>5926</v>
      </c>
      <c r="C7593" s="200" t="s">
        <v>307</v>
      </c>
      <c r="D7593" s="204">
        <v>-22000</v>
      </c>
      <c r="E7593" s="201">
        <v>45778</v>
      </c>
      <c r="F7593" s="759" t="s">
        <v>296</v>
      </c>
      <c r="G7593" s="759" t="s">
        <v>3360</v>
      </c>
      <c r="H7593" s="759" t="s">
        <v>268</v>
      </c>
      <c r="I7593" s="200" t="s">
        <v>4979</v>
      </c>
    </row>
    <row r="7594" spans="1:9" ht="15" customHeight="1">
      <c r="A7594" s="199">
        <v>45770</v>
      </c>
      <c r="B7594" s="202" t="s">
        <v>5927</v>
      </c>
      <c r="C7594" s="200" t="s">
        <v>307</v>
      </c>
      <c r="D7594" s="204">
        <v>-15000</v>
      </c>
      <c r="E7594" s="201">
        <v>45778</v>
      </c>
      <c r="F7594" s="759" t="s">
        <v>296</v>
      </c>
      <c r="G7594" s="759" t="s">
        <v>3360</v>
      </c>
      <c r="H7594" s="759" t="s">
        <v>268</v>
      </c>
      <c r="I7594" s="200" t="s">
        <v>4979</v>
      </c>
    </row>
    <row r="7595" spans="1:9" ht="15" customHeight="1">
      <c r="A7595" s="199">
        <v>45770</v>
      </c>
      <c r="B7595" s="202" t="s">
        <v>5922</v>
      </c>
      <c r="C7595" s="200" t="s">
        <v>307</v>
      </c>
      <c r="D7595" s="204">
        <v>-20000</v>
      </c>
      <c r="E7595" s="201">
        <v>45778</v>
      </c>
      <c r="F7595" s="759" t="s">
        <v>296</v>
      </c>
      <c r="G7595" s="759" t="s">
        <v>3360</v>
      </c>
      <c r="H7595" s="759" t="s">
        <v>268</v>
      </c>
      <c r="I7595" s="200" t="s">
        <v>4979</v>
      </c>
    </row>
    <row r="7596" spans="1:9" ht="15" customHeight="1">
      <c r="A7596" s="199">
        <v>45770</v>
      </c>
      <c r="B7596" s="202" t="s">
        <v>5928</v>
      </c>
      <c r="C7596" s="200" t="s">
        <v>307</v>
      </c>
      <c r="D7596" s="204">
        <v>-20000</v>
      </c>
      <c r="E7596" s="201">
        <v>45778</v>
      </c>
      <c r="F7596" s="759" t="s">
        <v>296</v>
      </c>
      <c r="G7596" s="759" t="s">
        <v>3360</v>
      </c>
      <c r="H7596" s="759" t="s">
        <v>268</v>
      </c>
      <c r="I7596" s="200" t="s">
        <v>4979</v>
      </c>
    </row>
    <row r="7597" spans="1:9" ht="15" customHeight="1">
      <c r="A7597" s="199">
        <v>45770</v>
      </c>
      <c r="B7597" s="202" t="s">
        <v>5929</v>
      </c>
      <c r="C7597" s="200" t="s">
        <v>307</v>
      </c>
      <c r="D7597" s="204">
        <v>-170000</v>
      </c>
      <c r="E7597" s="201">
        <v>45778</v>
      </c>
      <c r="F7597" s="759" t="s">
        <v>296</v>
      </c>
      <c r="G7597" s="759" t="s">
        <v>1124</v>
      </c>
      <c r="H7597" s="759" t="s">
        <v>342</v>
      </c>
      <c r="I7597" s="200" t="s">
        <v>4979</v>
      </c>
    </row>
    <row r="7598" spans="1:9" ht="15" customHeight="1">
      <c r="A7598" s="199">
        <v>45771</v>
      </c>
      <c r="B7598" s="202" t="s">
        <v>498</v>
      </c>
      <c r="C7598" s="200" t="s">
        <v>307</v>
      </c>
      <c r="D7598" s="204">
        <v>-10000</v>
      </c>
      <c r="E7598" s="201">
        <v>45778</v>
      </c>
      <c r="F7598" s="759" t="s">
        <v>297</v>
      </c>
      <c r="G7598" s="759" t="s">
        <v>3892</v>
      </c>
      <c r="H7598" s="759" t="s">
        <v>342</v>
      </c>
      <c r="I7598" s="200" t="s">
        <v>4979</v>
      </c>
    </row>
    <row r="7599" spans="1:9" ht="15" customHeight="1">
      <c r="A7599" s="199">
        <v>45771</v>
      </c>
      <c r="B7599" s="202" t="s">
        <v>5930</v>
      </c>
      <c r="C7599" s="200" t="s">
        <v>307</v>
      </c>
      <c r="D7599" s="204">
        <v>-24000</v>
      </c>
      <c r="E7599" s="201">
        <v>45778</v>
      </c>
      <c r="F7599" s="759" t="s">
        <v>297</v>
      </c>
      <c r="G7599" s="759" t="s">
        <v>3892</v>
      </c>
      <c r="H7599" s="759" t="s">
        <v>342</v>
      </c>
      <c r="I7599" s="200" t="s">
        <v>4979</v>
      </c>
    </row>
    <row r="7600" spans="1:9" ht="15" customHeight="1">
      <c r="A7600" s="199">
        <v>45771</v>
      </c>
      <c r="B7600" s="202" t="s">
        <v>5931</v>
      </c>
      <c r="C7600" s="200" t="s">
        <v>307</v>
      </c>
      <c r="D7600" s="204">
        <v>-32198</v>
      </c>
      <c r="E7600" s="201">
        <v>45778</v>
      </c>
      <c r="F7600" s="759" t="s">
        <v>297</v>
      </c>
      <c r="G7600" s="759" t="s">
        <v>3892</v>
      </c>
      <c r="H7600" s="759" t="s">
        <v>268</v>
      </c>
      <c r="I7600" s="200" t="s">
        <v>4979</v>
      </c>
    </row>
    <row r="7601" spans="1:9" ht="15" customHeight="1">
      <c r="A7601" s="199">
        <v>45771</v>
      </c>
      <c r="B7601" s="202" t="s">
        <v>498</v>
      </c>
      <c r="C7601" s="200" t="s">
        <v>307</v>
      </c>
      <c r="D7601" s="204">
        <v>-30400</v>
      </c>
      <c r="E7601" s="201">
        <v>45778</v>
      </c>
      <c r="F7601" s="759" t="s">
        <v>297</v>
      </c>
      <c r="G7601" s="759" t="s">
        <v>3892</v>
      </c>
      <c r="H7601" s="759" t="s">
        <v>342</v>
      </c>
      <c r="I7601" s="200" t="s">
        <v>4979</v>
      </c>
    </row>
    <row r="7602" spans="1:9" ht="15" customHeight="1">
      <c r="A7602" s="199">
        <v>45772</v>
      </c>
      <c r="B7602" s="202" t="s">
        <v>5931</v>
      </c>
      <c r="C7602" s="200" t="s">
        <v>307</v>
      </c>
      <c r="D7602" s="204">
        <v>-32198</v>
      </c>
      <c r="E7602" s="201">
        <v>45778</v>
      </c>
      <c r="F7602" s="759" t="s">
        <v>297</v>
      </c>
      <c r="G7602" s="759" t="s">
        <v>3892</v>
      </c>
      <c r="H7602" s="759" t="s">
        <v>268</v>
      </c>
      <c r="I7602" s="200" t="s">
        <v>4979</v>
      </c>
    </row>
    <row r="7603" spans="1:9" ht="15" customHeight="1">
      <c r="A7603" s="199">
        <v>45772</v>
      </c>
      <c r="B7603" s="202" t="s">
        <v>5932</v>
      </c>
      <c r="C7603" s="200" t="s">
        <v>307</v>
      </c>
      <c r="D7603" s="204">
        <v>-40000</v>
      </c>
      <c r="E7603" s="201">
        <v>45778</v>
      </c>
      <c r="F7603" s="759" t="s">
        <v>297</v>
      </c>
      <c r="G7603" s="759" t="s">
        <v>3892</v>
      </c>
      <c r="H7603" s="759" t="s">
        <v>268</v>
      </c>
      <c r="I7603" s="200" t="s">
        <v>4979</v>
      </c>
    </row>
    <row r="7604" spans="1:9" ht="15" customHeight="1">
      <c r="A7604" s="199">
        <v>45772</v>
      </c>
      <c r="B7604" s="202" t="s">
        <v>5933</v>
      </c>
      <c r="C7604" s="200" t="s">
        <v>307</v>
      </c>
      <c r="D7604" s="204">
        <v>-60000</v>
      </c>
      <c r="E7604" s="201">
        <v>45778</v>
      </c>
      <c r="F7604" s="759" t="s">
        <v>297</v>
      </c>
      <c r="G7604" s="759" t="s">
        <v>3892</v>
      </c>
      <c r="H7604" s="759" t="s">
        <v>268</v>
      </c>
      <c r="I7604" s="200" t="s">
        <v>4979</v>
      </c>
    </row>
    <row r="7605" spans="1:9" ht="15" customHeight="1">
      <c r="A7605" s="199">
        <v>45775</v>
      </c>
      <c r="B7605" s="202" t="s">
        <v>5921</v>
      </c>
      <c r="C7605" s="200" t="s">
        <v>307</v>
      </c>
      <c r="D7605" s="204">
        <v>-25000</v>
      </c>
      <c r="E7605" s="201">
        <v>45778</v>
      </c>
      <c r="F7605" s="759" t="s">
        <v>296</v>
      </c>
      <c r="G7605" s="759" t="s">
        <v>1124</v>
      </c>
      <c r="H7605" s="759" t="s">
        <v>268</v>
      </c>
      <c r="I7605" s="200" t="s">
        <v>4979</v>
      </c>
    </row>
    <row r="7606" spans="1:9" ht="15" customHeight="1">
      <c r="A7606" s="199">
        <v>45775</v>
      </c>
      <c r="B7606" s="202" t="s">
        <v>5922</v>
      </c>
      <c r="C7606" s="200" t="s">
        <v>307</v>
      </c>
      <c r="D7606" s="204">
        <v>-20000</v>
      </c>
      <c r="E7606" s="201">
        <v>45778</v>
      </c>
      <c r="F7606" s="759" t="s">
        <v>296</v>
      </c>
      <c r="G7606" s="759" t="s">
        <v>1124</v>
      </c>
      <c r="H7606" s="759" t="s">
        <v>268</v>
      </c>
      <c r="I7606" s="200" t="s">
        <v>4979</v>
      </c>
    </row>
    <row r="7607" spans="1:9" ht="15" customHeight="1">
      <c r="A7607" s="199">
        <v>45775</v>
      </c>
      <c r="B7607" s="202" t="s">
        <v>5934</v>
      </c>
      <c r="C7607" s="200" t="s">
        <v>307</v>
      </c>
      <c r="D7607" s="204">
        <v>-16000</v>
      </c>
      <c r="E7607" s="201">
        <v>45778</v>
      </c>
      <c r="F7607" s="759" t="s">
        <v>296</v>
      </c>
      <c r="G7607" s="759" t="s">
        <v>1124</v>
      </c>
      <c r="H7607" s="759" t="s">
        <v>268</v>
      </c>
      <c r="I7607" s="200" t="s">
        <v>4979</v>
      </c>
    </row>
    <row r="7608" spans="1:9" ht="15" customHeight="1">
      <c r="A7608" s="199">
        <v>45775</v>
      </c>
      <c r="B7608" s="202" t="s">
        <v>5935</v>
      </c>
      <c r="C7608" s="200" t="s">
        <v>307</v>
      </c>
      <c r="D7608" s="204">
        <v>-16000</v>
      </c>
      <c r="E7608" s="201">
        <v>45778</v>
      </c>
      <c r="F7608" s="759" t="s">
        <v>296</v>
      </c>
      <c r="G7608" s="759" t="s">
        <v>1124</v>
      </c>
      <c r="H7608" s="759" t="s">
        <v>268</v>
      </c>
      <c r="I7608" s="200" t="s">
        <v>4979</v>
      </c>
    </row>
    <row r="7609" spans="1:9" ht="15" customHeight="1">
      <c r="A7609" s="199">
        <v>45775</v>
      </c>
      <c r="B7609" s="202" t="s">
        <v>5922</v>
      </c>
      <c r="C7609" s="200" t="s">
        <v>307</v>
      </c>
      <c r="D7609" s="204">
        <v>-20000</v>
      </c>
      <c r="E7609" s="201">
        <v>45778</v>
      </c>
      <c r="F7609" s="759" t="s">
        <v>296</v>
      </c>
      <c r="G7609" s="759" t="s">
        <v>1124</v>
      </c>
      <c r="H7609" s="759" t="s">
        <v>268</v>
      </c>
      <c r="I7609" s="200" t="s">
        <v>4979</v>
      </c>
    </row>
    <row r="7610" spans="1:9" ht="15" customHeight="1">
      <c r="A7610" s="199">
        <v>45775</v>
      </c>
      <c r="B7610" s="202" t="s">
        <v>5936</v>
      </c>
      <c r="C7610" s="200" t="s">
        <v>307</v>
      </c>
      <c r="D7610" s="204">
        <v>-18000</v>
      </c>
      <c r="E7610" s="201">
        <v>45778</v>
      </c>
      <c r="F7610" s="759" t="s">
        <v>296</v>
      </c>
      <c r="G7610" s="759" t="s">
        <v>1124</v>
      </c>
      <c r="H7610" s="759" t="s">
        <v>268</v>
      </c>
      <c r="I7610" s="648" t="s">
        <v>329</v>
      </c>
    </row>
    <row r="7611" spans="1:9" ht="15" customHeight="1">
      <c r="A7611" s="199">
        <v>45775</v>
      </c>
      <c r="B7611" s="202" t="s">
        <v>5937</v>
      </c>
      <c r="C7611" s="200" t="s">
        <v>307</v>
      </c>
      <c r="D7611" s="204">
        <v>-32198</v>
      </c>
      <c r="E7611" s="201">
        <v>45778</v>
      </c>
      <c r="F7611" s="759" t="s">
        <v>297</v>
      </c>
      <c r="G7611" s="759" t="s">
        <v>3892</v>
      </c>
      <c r="H7611" s="759" t="s">
        <v>268</v>
      </c>
      <c r="I7611" s="200" t="s">
        <v>4979</v>
      </c>
    </row>
    <row r="7612" spans="1:9" ht="15" customHeight="1">
      <c r="A7612" s="199">
        <v>45776</v>
      </c>
      <c r="B7612" s="202" t="s">
        <v>5937</v>
      </c>
      <c r="C7612" s="200" t="s">
        <v>307</v>
      </c>
      <c r="D7612" s="204">
        <v>-32180</v>
      </c>
      <c r="E7612" s="201">
        <v>45778</v>
      </c>
      <c r="F7612" s="759" t="s">
        <v>297</v>
      </c>
      <c r="G7612" s="759" t="s">
        <v>3892</v>
      </c>
      <c r="H7612" s="759" t="s">
        <v>268</v>
      </c>
      <c r="I7612" s="200" t="s">
        <v>4979</v>
      </c>
    </row>
    <row r="7613" spans="1:9" ht="15" customHeight="1">
      <c r="A7613" s="199">
        <v>45776</v>
      </c>
      <c r="B7613" s="202" t="s">
        <v>5938</v>
      </c>
      <c r="C7613" s="200" t="s">
        <v>307</v>
      </c>
      <c r="D7613" s="204">
        <v>-32000</v>
      </c>
      <c r="E7613" s="201">
        <v>45778</v>
      </c>
      <c r="F7613" s="759" t="s">
        <v>297</v>
      </c>
      <c r="G7613" s="759" t="s">
        <v>3892</v>
      </c>
      <c r="H7613" s="759" t="s">
        <v>268</v>
      </c>
      <c r="I7613" s="200" t="s">
        <v>4979</v>
      </c>
    </row>
    <row r="7614" spans="1:9" ht="15" customHeight="1">
      <c r="A7614" s="199">
        <v>45776</v>
      </c>
      <c r="B7614" s="202" t="s">
        <v>5939</v>
      </c>
      <c r="C7614" s="200" t="s">
        <v>307</v>
      </c>
      <c r="D7614" s="204">
        <v>-24350</v>
      </c>
      <c r="E7614" s="201">
        <v>45778</v>
      </c>
      <c r="F7614" s="759" t="s">
        <v>297</v>
      </c>
      <c r="G7614" s="759" t="s">
        <v>3892</v>
      </c>
      <c r="H7614" s="759" t="s">
        <v>5384</v>
      </c>
      <c r="I7614" s="200" t="s">
        <v>4979</v>
      </c>
    </row>
    <row r="7615" spans="1:9" ht="15" customHeight="1">
      <c r="A7615" s="199">
        <v>45777</v>
      </c>
      <c r="B7615" s="202" t="s">
        <v>5921</v>
      </c>
      <c r="C7615" s="200" t="s">
        <v>307</v>
      </c>
      <c r="D7615" s="204">
        <v>-20000</v>
      </c>
      <c r="E7615" s="201">
        <v>45778</v>
      </c>
      <c r="F7615" s="759" t="s">
        <v>296</v>
      </c>
      <c r="G7615" s="759" t="s">
        <v>3360</v>
      </c>
      <c r="H7615" s="759" t="s">
        <v>268</v>
      </c>
      <c r="I7615" s="200" t="s">
        <v>4979</v>
      </c>
    </row>
    <row r="7616" spans="1:9" ht="15" customHeight="1">
      <c r="A7616" s="199">
        <v>45777</v>
      </c>
      <c r="B7616" s="202" t="s">
        <v>5922</v>
      </c>
      <c r="C7616" s="200" t="s">
        <v>307</v>
      </c>
      <c r="D7616" s="204">
        <v>-20000</v>
      </c>
      <c r="E7616" s="201">
        <v>45778</v>
      </c>
      <c r="F7616" s="759" t="s">
        <v>296</v>
      </c>
      <c r="G7616" s="759" t="s">
        <v>3360</v>
      </c>
      <c r="H7616" s="759" t="s">
        <v>268</v>
      </c>
      <c r="I7616" s="200" t="s">
        <v>4979</v>
      </c>
    </row>
    <row r="7617" spans="1:9" ht="15" customHeight="1">
      <c r="A7617" s="199">
        <v>45777</v>
      </c>
      <c r="B7617" s="202" t="s">
        <v>5940</v>
      </c>
      <c r="C7617" s="200" t="s">
        <v>307</v>
      </c>
      <c r="D7617" s="204">
        <v>-12000</v>
      </c>
      <c r="E7617" s="201">
        <v>45778</v>
      </c>
      <c r="F7617" s="759" t="s">
        <v>296</v>
      </c>
      <c r="G7617" s="759" t="s">
        <v>3360</v>
      </c>
      <c r="H7617" s="759" t="s">
        <v>268</v>
      </c>
      <c r="I7617" s="200" t="s">
        <v>4979</v>
      </c>
    </row>
    <row r="7618" spans="1:9" ht="15" customHeight="1">
      <c r="A7618" s="199">
        <v>45777</v>
      </c>
      <c r="B7618" s="202" t="s">
        <v>5941</v>
      </c>
      <c r="C7618" s="200" t="s">
        <v>307</v>
      </c>
      <c r="D7618" s="204">
        <v>-25000</v>
      </c>
      <c r="E7618" s="201">
        <v>45778</v>
      </c>
      <c r="F7618" s="759" t="s">
        <v>296</v>
      </c>
      <c r="G7618" s="759" t="s">
        <v>3360</v>
      </c>
      <c r="H7618" s="759" t="s">
        <v>268</v>
      </c>
      <c r="I7618" s="200" t="s">
        <v>4979</v>
      </c>
    </row>
    <row r="7619" spans="1:9" ht="15" customHeight="1">
      <c r="A7619" s="199">
        <v>45777</v>
      </c>
      <c r="B7619" s="202" t="s">
        <v>5942</v>
      </c>
      <c r="C7619" s="200" t="s">
        <v>307</v>
      </c>
      <c r="D7619" s="204">
        <v>-25000</v>
      </c>
      <c r="E7619" s="201">
        <v>45778</v>
      </c>
      <c r="F7619" s="759" t="s">
        <v>296</v>
      </c>
      <c r="G7619" s="759" t="s">
        <v>3360</v>
      </c>
      <c r="H7619" s="759" t="s">
        <v>268</v>
      </c>
      <c r="I7619" s="200" t="s">
        <v>4979</v>
      </c>
    </row>
    <row r="7620" spans="1:9" ht="15" customHeight="1">
      <c r="A7620" s="199">
        <v>45777</v>
      </c>
      <c r="B7620" s="202" t="s">
        <v>5943</v>
      </c>
      <c r="C7620" s="200" t="s">
        <v>307</v>
      </c>
      <c r="D7620" s="204">
        <v>-12000</v>
      </c>
      <c r="E7620" s="201">
        <v>45778</v>
      </c>
      <c r="F7620" s="759" t="s">
        <v>296</v>
      </c>
      <c r="G7620" s="759" t="s">
        <v>3360</v>
      </c>
      <c r="H7620" s="759" t="s">
        <v>268</v>
      </c>
      <c r="I7620" s="200" t="s">
        <v>4979</v>
      </c>
    </row>
    <row r="7621" spans="1:9" ht="15" customHeight="1">
      <c r="A7621" s="199">
        <v>45777</v>
      </c>
      <c r="B7621" s="202" t="s">
        <v>5922</v>
      </c>
      <c r="C7621" s="200" t="s">
        <v>307</v>
      </c>
      <c r="D7621" s="204">
        <v>-20000</v>
      </c>
      <c r="E7621" s="201">
        <v>45778</v>
      </c>
      <c r="F7621" s="759" t="s">
        <v>296</v>
      </c>
      <c r="G7621" s="759" t="s">
        <v>3360</v>
      </c>
      <c r="H7621" s="759" t="s">
        <v>268</v>
      </c>
      <c r="I7621" s="200" t="s">
        <v>4979</v>
      </c>
    </row>
    <row r="7622" spans="1:9" ht="15" customHeight="1">
      <c r="A7622" s="199">
        <v>45777</v>
      </c>
      <c r="B7622" s="202" t="s">
        <v>5944</v>
      </c>
      <c r="C7622" s="200" t="s">
        <v>307</v>
      </c>
      <c r="D7622" s="204">
        <v>-20000</v>
      </c>
      <c r="E7622" s="201">
        <v>45778</v>
      </c>
      <c r="F7622" s="759" t="s">
        <v>296</v>
      </c>
      <c r="G7622" s="759" t="s">
        <v>3360</v>
      </c>
      <c r="H7622" s="759" t="s">
        <v>268</v>
      </c>
      <c r="I7622" s="200" t="s">
        <v>4979</v>
      </c>
    </row>
    <row r="7623" spans="1:9" ht="15" customHeight="1">
      <c r="A7623" s="199">
        <v>45777</v>
      </c>
      <c r="B7623" s="202" t="s">
        <v>5936</v>
      </c>
      <c r="C7623" s="200" t="s">
        <v>307</v>
      </c>
      <c r="D7623" s="204">
        <v>-28000</v>
      </c>
      <c r="E7623" s="201">
        <v>45778</v>
      </c>
      <c r="F7623" s="759" t="s">
        <v>296</v>
      </c>
      <c r="G7623" s="759" t="s">
        <v>3360</v>
      </c>
      <c r="H7623" s="759" t="s">
        <v>268</v>
      </c>
      <c r="I7623" s="200" t="s">
        <v>4979</v>
      </c>
    </row>
    <row r="7624" spans="1:9" ht="15" customHeight="1">
      <c r="A7624" s="199">
        <v>45777</v>
      </c>
      <c r="B7624" s="202" t="s">
        <v>5937</v>
      </c>
      <c r="C7624" s="200" t="s">
        <v>307</v>
      </c>
      <c r="D7624" s="204">
        <v>-32140</v>
      </c>
      <c r="E7624" s="201">
        <v>45778</v>
      </c>
      <c r="F7624" s="759" t="s">
        <v>296</v>
      </c>
      <c r="G7624" s="759" t="s">
        <v>3360</v>
      </c>
      <c r="H7624" s="759" t="s">
        <v>268</v>
      </c>
      <c r="I7624" s="200" t="s">
        <v>4979</v>
      </c>
    </row>
    <row r="7625" spans="1:9" ht="15" customHeight="1">
      <c r="A7625" s="199">
        <v>45778</v>
      </c>
      <c r="B7625" s="202" t="s">
        <v>5937</v>
      </c>
      <c r="C7625" s="200" t="s">
        <v>307</v>
      </c>
      <c r="D7625" s="204">
        <v>-32180</v>
      </c>
      <c r="E7625" s="201">
        <v>45778</v>
      </c>
      <c r="F7625" s="759" t="s">
        <v>297</v>
      </c>
      <c r="G7625" s="759" t="s">
        <v>3892</v>
      </c>
      <c r="H7625" s="759" t="s">
        <v>268</v>
      </c>
      <c r="I7625" s="200" t="s">
        <v>4979</v>
      </c>
    </row>
    <row r="7626" spans="1:9" ht="15" customHeight="1">
      <c r="A7626" s="199">
        <v>45778</v>
      </c>
      <c r="B7626" s="202" t="s">
        <v>5945</v>
      </c>
      <c r="C7626" s="200" t="s">
        <v>307</v>
      </c>
      <c r="D7626" s="204">
        <v>-40000</v>
      </c>
      <c r="E7626" s="201">
        <v>45778</v>
      </c>
      <c r="F7626" s="759" t="s">
        <v>297</v>
      </c>
      <c r="G7626" s="759" t="s">
        <v>3892</v>
      </c>
      <c r="H7626" s="759" t="s">
        <v>342</v>
      </c>
      <c r="I7626" s="200" t="s">
        <v>4979</v>
      </c>
    </row>
    <row r="7627" spans="1:9" ht="15" customHeight="1">
      <c r="A7627" s="199">
        <v>45778</v>
      </c>
      <c r="B7627" s="202" t="s">
        <v>5945</v>
      </c>
      <c r="C7627" s="200" t="s">
        <v>307</v>
      </c>
      <c r="D7627" s="204">
        <v>-40000</v>
      </c>
      <c r="E7627" s="201">
        <v>45778</v>
      </c>
      <c r="F7627" s="759" t="s">
        <v>297</v>
      </c>
      <c r="G7627" s="759" t="s">
        <v>3892</v>
      </c>
      <c r="H7627" s="759" t="s">
        <v>342</v>
      </c>
      <c r="I7627" s="200" t="s">
        <v>4979</v>
      </c>
    </row>
    <row r="7628" spans="1:9" ht="15" customHeight="1">
      <c r="A7628" s="199">
        <v>45779</v>
      </c>
      <c r="B7628" s="202" t="s">
        <v>5921</v>
      </c>
      <c r="C7628" s="200" t="s">
        <v>307</v>
      </c>
      <c r="D7628" s="204">
        <v>-20000</v>
      </c>
      <c r="E7628" s="201">
        <v>45778</v>
      </c>
      <c r="F7628" s="759" t="s">
        <v>296</v>
      </c>
      <c r="G7628" s="759" t="s">
        <v>3360</v>
      </c>
      <c r="H7628" s="759" t="s">
        <v>268</v>
      </c>
      <c r="I7628" s="200" t="s">
        <v>4979</v>
      </c>
    </row>
    <row r="7629" spans="1:9" ht="15" customHeight="1">
      <c r="A7629" s="199">
        <v>45779</v>
      </c>
      <c r="B7629" s="202" t="s">
        <v>5922</v>
      </c>
      <c r="C7629" s="200" t="s">
        <v>307</v>
      </c>
      <c r="D7629" s="204">
        <v>-20000</v>
      </c>
      <c r="E7629" s="201">
        <v>45778</v>
      </c>
      <c r="F7629" s="759" t="s">
        <v>296</v>
      </c>
      <c r="G7629" s="759" t="s">
        <v>3360</v>
      </c>
      <c r="H7629" s="759" t="s">
        <v>268</v>
      </c>
      <c r="I7629" s="200" t="s">
        <v>4979</v>
      </c>
    </row>
    <row r="7630" spans="1:9" ht="15" customHeight="1">
      <c r="A7630" s="199">
        <v>45779</v>
      </c>
      <c r="B7630" s="202" t="s">
        <v>5946</v>
      </c>
      <c r="C7630" s="200" t="s">
        <v>307</v>
      </c>
      <c r="D7630" s="204">
        <v>-25000</v>
      </c>
      <c r="E7630" s="201">
        <v>45778</v>
      </c>
      <c r="F7630" s="759" t="s">
        <v>296</v>
      </c>
      <c r="G7630" s="759" t="s">
        <v>3360</v>
      </c>
      <c r="H7630" s="759" t="s">
        <v>268</v>
      </c>
      <c r="I7630" s="200" t="s">
        <v>4979</v>
      </c>
    </row>
    <row r="7631" spans="1:9" ht="15" customHeight="1">
      <c r="A7631" s="199">
        <v>45779</v>
      </c>
      <c r="B7631" s="202" t="s">
        <v>5947</v>
      </c>
      <c r="C7631" s="200" t="s">
        <v>307</v>
      </c>
      <c r="D7631" s="204">
        <v>-22000</v>
      </c>
      <c r="E7631" s="201">
        <v>45778</v>
      </c>
      <c r="F7631" s="759" t="s">
        <v>296</v>
      </c>
      <c r="G7631" s="759" t="s">
        <v>3360</v>
      </c>
      <c r="H7631" s="759" t="s">
        <v>342</v>
      </c>
      <c r="I7631" s="200" t="s">
        <v>4979</v>
      </c>
    </row>
    <row r="7632" spans="1:9" ht="15" customHeight="1">
      <c r="A7632" s="199">
        <v>45779</v>
      </c>
      <c r="B7632" s="202" t="s">
        <v>5948</v>
      </c>
      <c r="C7632" s="200" t="s">
        <v>307</v>
      </c>
      <c r="D7632" s="204">
        <v>-25000</v>
      </c>
      <c r="E7632" s="201">
        <v>45778</v>
      </c>
      <c r="F7632" s="759" t="s">
        <v>296</v>
      </c>
      <c r="G7632" s="759" t="s">
        <v>3360</v>
      </c>
      <c r="H7632" s="759" t="s">
        <v>268</v>
      </c>
      <c r="I7632" s="200" t="s">
        <v>4979</v>
      </c>
    </row>
    <row r="7633" spans="1:9" ht="15" customHeight="1">
      <c r="A7633" s="199">
        <v>45779</v>
      </c>
      <c r="B7633" s="202" t="s">
        <v>5922</v>
      </c>
      <c r="C7633" s="200" t="s">
        <v>307</v>
      </c>
      <c r="D7633" s="204">
        <v>-20000</v>
      </c>
      <c r="E7633" s="201">
        <v>45778</v>
      </c>
      <c r="F7633" s="759" t="s">
        <v>296</v>
      </c>
      <c r="G7633" s="759" t="s">
        <v>3360</v>
      </c>
      <c r="H7633" s="759" t="s">
        <v>268</v>
      </c>
      <c r="I7633" s="200" t="s">
        <v>4979</v>
      </c>
    </row>
    <row r="7634" spans="1:9" ht="15" customHeight="1">
      <c r="A7634" s="199">
        <v>45779</v>
      </c>
      <c r="B7634" s="202" t="s">
        <v>5949</v>
      </c>
      <c r="C7634" s="200" t="s">
        <v>307</v>
      </c>
      <c r="D7634" s="204">
        <v>-20000</v>
      </c>
      <c r="E7634" s="201">
        <v>45778</v>
      </c>
      <c r="F7634" s="759" t="s">
        <v>296</v>
      </c>
      <c r="G7634" s="759" t="s">
        <v>3360</v>
      </c>
      <c r="H7634" s="759" t="s">
        <v>342</v>
      </c>
      <c r="I7634" s="200" t="s">
        <v>4979</v>
      </c>
    </row>
    <row r="7635" spans="1:9" ht="15" customHeight="1">
      <c r="A7635" s="199">
        <v>45779</v>
      </c>
      <c r="B7635" s="202" t="s">
        <v>5936</v>
      </c>
      <c r="C7635" s="200" t="s">
        <v>307</v>
      </c>
      <c r="D7635" s="204">
        <v>-25000</v>
      </c>
      <c r="E7635" s="201">
        <v>45778</v>
      </c>
      <c r="F7635" s="759" t="s">
        <v>296</v>
      </c>
      <c r="G7635" s="759" t="s">
        <v>3360</v>
      </c>
      <c r="H7635" s="759" t="s">
        <v>268</v>
      </c>
      <c r="I7635" s="200" t="s">
        <v>4979</v>
      </c>
    </row>
    <row r="7636" spans="1:9" ht="15" customHeight="1">
      <c r="A7636" s="199">
        <v>45786</v>
      </c>
      <c r="B7636" s="202" t="s">
        <v>5950</v>
      </c>
      <c r="C7636" s="200" t="s">
        <v>204</v>
      </c>
      <c r="D7636" s="733">
        <v>-3911303</v>
      </c>
      <c r="E7636" s="201">
        <v>45778</v>
      </c>
      <c r="F7636" s="759" t="s">
        <v>296</v>
      </c>
      <c r="G7636" s="759" t="s">
        <v>522</v>
      </c>
      <c r="H7636" s="759" t="s">
        <v>442</v>
      </c>
      <c r="I7636" s="648" t="s">
        <v>329</v>
      </c>
    </row>
    <row r="7637" spans="1:9" ht="15" customHeight="1">
      <c r="A7637" s="199">
        <v>45786</v>
      </c>
      <c r="B7637" s="202" t="s">
        <v>5951</v>
      </c>
      <c r="C7637" s="200" t="s">
        <v>204</v>
      </c>
      <c r="D7637" s="733">
        <v>-4954969</v>
      </c>
      <c r="E7637" s="201">
        <v>45778</v>
      </c>
      <c r="F7637" s="759" t="s">
        <v>296</v>
      </c>
      <c r="G7637" s="759" t="s">
        <v>1980</v>
      </c>
      <c r="H7637" s="759" t="s">
        <v>442</v>
      </c>
    </row>
    <row r="7638" spans="1:9" ht="15" customHeight="1">
      <c r="A7638" s="199">
        <v>45786</v>
      </c>
      <c r="B7638" s="202" t="s">
        <v>5952</v>
      </c>
      <c r="C7638" s="200" t="s">
        <v>204</v>
      </c>
      <c r="D7638" s="733">
        <v>-3850000</v>
      </c>
      <c r="E7638" s="201">
        <v>45778</v>
      </c>
      <c r="F7638" s="759" t="s">
        <v>296</v>
      </c>
      <c r="G7638" s="759" t="s">
        <v>44</v>
      </c>
      <c r="H7638" s="759" t="s">
        <v>442</v>
      </c>
    </row>
    <row r="7639" spans="1:9" ht="15" customHeight="1">
      <c r="A7639" s="199">
        <v>45786</v>
      </c>
      <c r="B7639" s="202" t="s">
        <v>5953</v>
      </c>
      <c r="C7639" s="200" t="s">
        <v>204</v>
      </c>
      <c r="D7639" s="733">
        <v>-7073360</v>
      </c>
      <c r="E7639" s="201">
        <v>45778</v>
      </c>
      <c r="F7639" s="759" t="s">
        <v>296</v>
      </c>
      <c r="G7639" s="759" t="s">
        <v>1980</v>
      </c>
      <c r="H7639" s="759" t="s">
        <v>386</v>
      </c>
      <c r="I7639" s="648" t="s">
        <v>329</v>
      </c>
    </row>
    <row r="7640" spans="1:9" ht="15" customHeight="1">
      <c r="A7640" s="199">
        <v>45786</v>
      </c>
      <c r="B7640" s="202" t="s">
        <v>5954</v>
      </c>
      <c r="C7640" s="200" t="s">
        <v>204</v>
      </c>
      <c r="D7640" s="733">
        <v>-821100</v>
      </c>
      <c r="E7640" s="201">
        <v>45778</v>
      </c>
      <c r="F7640" s="759" t="s">
        <v>296</v>
      </c>
      <c r="G7640" s="759" t="s">
        <v>1362</v>
      </c>
      <c r="H7640" s="759" t="s">
        <v>386</v>
      </c>
    </row>
    <row r="7641" spans="1:9" ht="15" customHeight="1">
      <c r="A7641" s="199">
        <v>45786</v>
      </c>
      <c r="B7641" s="202" t="s">
        <v>5954</v>
      </c>
      <c r="C7641" s="200" t="s">
        <v>204</v>
      </c>
      <c r="D7641" s="733">
        <v>-606901</v>
      </c>
      <c r="E7641" s="201">
        <v>45778</v>
      </c>
      <c r="F7641" s="759" t="s">
        <v>296</v>
      </c>
      <c r="G7641" s="759" t="s">
        <v>1735</v>
      </c>
      <c r="H7641" s="759" t="s">
        <v>386</v>
      </c>
    </row>
    <row r="7642" spans="1:9" ht="15" customHeight="1">
      <c r="A7642" s="199">
        <v>45786</v>
      </c>
      <c r="B7642" s="202" t="s">
        <v>5955</v>
      </c>
      <c r="C7642" s="200" t="s">
        <v>204</v>
      </c>
      <c r="D7642" s="733">
        <v>-7068600</v>
      </c>
      <c r="E7642" s="201">
        <v>45778</v>
      </c>
      <c r="F7642" s="759" t="s">
        <v>296</v>
      </c>
      <c r="G7642" s="759" t="s">
        <v>1983</v>
      </c>
      <c r="H7642" s="759" t="s">
        <v>386</v>
      </c>
      <c r="I7642" s="648" t="s">
        <v>329</v>
      </c>
    </row>
    <row r="7643" spans="1:9" ht="15" customHeight="1">
      <c r="A7643" s="199">
        <v>45786</v>
      </c>
      <c r="B7643" s="202" t="s">
        <v>5956</v>
      </c>
      <c r="C7643" s="200" t="s">
        <v>204</v>
      </c>
      <c r="D7643" s="733">
        <v>-10351084</v>
      </c>
      <c r="E7643" s="201">
        <v>45778</v>
      </c>
      <c r="F7643" s="759" t="s">
        <v>256</v>
      </c>
      <c r="G7643" s="759" t="s">
        <v>256</v>
      </c>
      <c r="H7643" s="759" t="s">
        <v>259</v>
      </c>
    </row>
    <row r="7644" spans="1:9" ht="15" customHeight="1">
      <c r="A7644" s="199">
        <v>45786</v>
      </c>
      <c r="B7644" s="202" t="s">
        <v>5957</v>
      </c>
      <c r="C7644" s="200" t="s">
        <v>204</v>
      </c>
      <c r="D7644" s="733">
        <v>-18100000</v>
      </c>
      <c r="E7644" s="201">
        <v>45778</v>
      </c>
      <c r="F7644" s="759" t="s">
        <v>296</v>
      </c>
      <c r="G7644" s="759" t="s">
        <v>807</v>
      </c>
      <c r="H7644" s="759" t="s">
        <v>442</v>
      </c>
    </row>
    <row r="7645" spans="1:9" ht="15" customHeight="1">
      <c r="A7645" s="199">
        <v>45786</v>
      </c>
      <c r="B7645" s="202" t="s">
        <v>5958</v>
      </c>
      <c r="C7645" s="200" t="s">
        <v>204</v>
      </c>
      <c r="D7645" s="733">
        <v>-4000000</v>
      </c>
      <c r="E7645" s="201">
        <v>45778</v>
      </c>
      <c r="F7645" s="759" t="s">
        <v>256</v>
      </c>
      <c r="G7645" s="759" t="s">
        <v>107</v>
      </c>
      <c r="H7645" s="759" t="s">
        <v>777</v>
      </c>
    </row>
    <row r="7646" spans="1:9" ht="15" customHeight="1">
      <c r="A7646" s="199">
        <v>45786</v>
      </c>
      <c r="B7646" s="202" t="s">
        <v>5959</v>
      </c>
      <c r="C7646" s="200" t="s">
        <v>204</v>
      </c>
      <c r="D7646" s="733">
        <v>-7000000</v>
      </c>
      <c r="E7646" s="201">
        <v>45778</v>
      </c>
      <c r="F7646" s="759" t="s">
        <v>296</v>
      </c>
      <c r="G7646" s="759" t="s">
        <v>807</v>
      </c>
      <c r="H7646" s="759" t="s">
        <v>488</v>
      </c>
    </row>
    <row r="7647" spans="1:9" ht="15" customHeight="1">
      <c r="A7647" s="199">
        <v>45786</v>
      </c>
      <c r="B7647" s="202" t="s">
        <v>5960</v>
      </c>
      <c r="C7647" s="200" t="s">
        <v>204</v>
      </c>
      <c r="D7647" s="733">
        <v>-38642250</v>
      </c>
      <c r="E7647" s="201">
        <v>45778</v>
      </c>
      <c r="F7647" s="759" t="s">
        <v>296</v>
      </c>
      <c r="G7647" s="759" t="s">
        <v>807</v>
      </c>
      <c r="H7647" s="759" t="s">
        <v>1104</v>
      </c>
      <c r="I7647" s="648" t="s">
        <v>329</v>
      </c>
    </row>
    <row r="7648" spans="1:9" ht="15" customHeight="1">
      <c r="A7648" s="199">
        <v>45786</v>
      </c>
      <c r="B7648" s="202" t="s">
        <v>5961</v>
      </c>
      <c r="C7648" s="200" t="s">
        <v>204</v>
      </c>
      <c r="D7648" s="733">
        <v>-15789557</v>
      </c>
      <c r="E7648" s="201">
        <v>45778</v>
      </c>
      <c r="F7648" s="759" t="s">
        <v>296</v>
      </c>
      <c r="G7648" s="759" t="s">
        <v>5962</v>
      </c>
      <c r="H7648" s="759" t="s">
        <v>839</v>
      </c>
    </row>
    <row r="7649" spans="1:9" ht="15" customHeight="1">
      <c r="A7649" s="199">
        <v>45786</v>
      </c>
      <c r="B7649" s="202" t="s">
        <v>5963</v>
      </c>
      <c r="C7649" s="200" t="s">
        <v>372</v>
      </c>
      <c r="D7649" s="204">
        <v>-37358</v>
      </c>
      <c r="E7649" s="201">
        <v>45778</v>
      </c>
      <c r="F7649" s="759" t="s">
        <v>296</v>
      </c>
      <c r="G7649" s="759" t="s">
        <v>1735</v>
      </c>
      <c r="H7649" s="759" t="s">
        <v>839</v>
      </c>
    </row>
    <row r="7650" spans="1:9" ht="15" customHeight="1">
      <c r="A7650" s="199">
        <v>45786</v>
      </c>
      <c r="B7650" s="202" t="s">
        <v>5964</v>
      </c>
      <c r="C7650" s="200" t="s">
        <v>204</v>
      </c>
      <c r="D7650" s="733">
        <v>-1852500</v>
      </c>
      <c r="E7650" s="201">
        <v>45778</v>
      </c>
      <c r="F7650" s="759" t="s">
        <v>296</v>
      </c>
      <c r="G7650" s="759" t="s">
        <v>44</v>
      </c>
      <c r="H7650" s="759" t="s">
        <v>5965</v>
      </c>
      <c r="I7650" s="648" t="s">
        <v>329</v>
      </c>
    </row>
    <row r="7651" spans="1:9" ht="15" customHeight="1">
      <c r="A7651" s="199">
        <v>45786</v>
      </c>
      <c r="B7651" s="202" t="s">
        <v>5966</v>
      </c>
      <c r="C7651" s="200" t="s">
        <v>204</v>
      </c>
      <c r="D7651" s="733">
        <v>-2874900</v>
      </c>
      <c r="E7651" s="201">
        <v>45778</v>
      </c>
      <c r="F7651" s="759" t="s">
        <v>296</v>
      </c>
      <c r="G7651" s="759" t="s">
        <v>2994</v>
      </c>
      <c r="H7651" s="759" t="s">
        <v>839</v>
      </c>
      <c r="I7651" s="648" t="s">
        <v>329</v>
      </c>
    </row>
    <row r="7652" spans="1:9" ht="15" customHeight="1">
      <c r="A7652" s="199">
        <v>45786</v>
      </c>
      <c r="B7652" s="202" t="s">
        <v>5967</v>
      </c>
      <c r="C7652" s="200" t="s">
        <v>204</v>
      </c>
      <c r="D7652" s="733">
        <v>-17277000</v>
      </c>
      <c r="E7652" s="201">
        <v>45778</v>
      </c>
      <c r="F7652" s="759" t="s">
        <v>296</v>
      </c>
      <c r="G7652" s="759" t="s">
        <v>3360</v>
      </c>
      <c r="H7652" s="759" t="s">
        <v>839</v>
      </c>
      <c r="I7652" s="648" t="s">
        <v>329</v>
      </c>
    </row>
    <row r="7653" spans="1:9" ht="15" customHeight="1">
      <c r="A7653" s="199">
        <v>45786</v>
      </c>
      <c r="B7653" s="202" t="s">
        <v>5967</v>
      </c>
      <c r="C7653" s="200" t="s">
        <v>204</v>
      </c>
      <c r="D7653" s="733">
        <v>-34685820</v>
      </c>
      <c r="E7653" s="201">
        <v>45778</v>
      </c>
      <c r="F7653" s="759" t="s">
        <v>296</v>
      </c>
      <c r="G7653" s="759" t="s">
        <v>3360</v>
      </c>
      <c r="H7653" s="759" t="s">
        <v>5968</v>
      </c>
      <c r="I7653" s="202"/>
    </row>
    <row r="7654" spans="1:9" ht="15" customHeight="1">
      <c r="A7654" s="199">
        <v>45786</v>
      </c>
      <c r="B7654" s="202" t="s">
        <v>5967</v>
      </c>
      <c r="C7654" s="200" t="s">
        <v>204</v>
      </c>
      <c r="D7654" s="733">
        <v>-2316600</v>
      </c>
      <c r="E7654" s="201">
        <v>45778</v>
      </c>
      <c r="F7654" s="759" t="s">
        <v>296</v>
      </c>
      <c r="G7654" s="759" t="s">
        <v>3360</v>
      </c>
      <c r="H7654" s="759" t="s">
        <v>346</v>
      </c>
      <c r="I7654" s="648" t="s">
        <v>329</v>
      </c>
    </row>
    <row r="7655" spans="1:9" ht="15" customHeight="1">
      <c r="A7655" s="199">
        <v>45786</v>
      </c>
      <c r="B7655" s="202" t="s">
        <v>5969</v>
      </c>
      <c r="C7655" s="200" t="s">
        <v>204</v>
      </c>
      <c r="D7655" s="733">
        <v>-41650</v>
      </c>
      <c r="E7655" s="201">
        <v>45778</v>
      </c>
      <c r="F7655" s="759" t="s">
        <v>296</v>
      </c>
      <c r="G7655" s="759" t="s">
        <v>328</v>
      </c>
      <c r="H7655" s="759" t="s">
        <v>346</v>
      </c>
      <c r="I7655" s="648" t="s">
        <v>329</v>
      </c>
    </row>
    <row r="7656" spans="1:9" ht="15" customHeight="1">
      <c r="A7656" s="199">
        <v>45786</v>
      </c>
      <c r="B7656" s="202" t="s">
        <v>5970</v>
      </c>
      <c r="C7656" s="200" t="s">
        <v>204</v>
      </c>
      <c r="D7656" s="733">
        <v>-988200</v>
      </c>
      <c r="E7656" s="201">
        <v>45778</v>
      </c>
      <c r="F7656" s="759" t="s">
        <v>296</v>
      </c>
      <c r="G7656" s="759" t="s">
        <v>1735</v>
      </c>
      <c r="H7656" s="759" t="s">
        <v>5968</v>
      </c>
      <c r="I7656" s="202"/>
    </row>
    <row r="7657" spans="1:9" ht="15" customHeight="1">
      <c r="A7657" s="199">
        <v>45786</v>
      </c>
      <c r="B7657" s="202" t="s">
        <v>5970</v>
      </c>
      <c r="C7657" s="200" t="s">
        <v>204</v>
      </c>
      <c r="D7657" s="733">
        <v>-277200</v>
      </c>
      <c r="E7657" s="201">
        <v>45778</v>
      </c>
      <c r="F7657" s="759" t="s">
        <v>296</v>
      </c>
      <c r="G7657" s="759" t="s">
        <v>1735</v>
      </c>
      <c r="H7657" s="759" t="s">
        <v>346</v>
      </c>
      <c r="I7657" s="648" t="s">
        <v>329</v>
      </c>
    </row>
    <row r="7658" spans="1:9" ht="15" customHeight="1">
      <c r="A7658" s="199">
        <v>45786</v>
      </c>
      <c r="B7658" s="202" t="s">
        <v>5971</v>
      </c>
      <c r="C7658" s="200" t="s">
        <v>204</v>
      </c>
      <c r="D7658" s="733">
        <v>-16155750</v>
      </c>
      <c r="E7658" s="201">
        <v>45778</v>
      </c>
      <c r="F7658" s="759" t="s">
        <v>296</v>
      </c>
      <c r="G7658" s="759" t="s">
        <v>1362</v>
      </c>
      <c r="H7658" s="200" t="s">
        <v>839</v>
      </c>
    </row>
    <row r="7659" spans="1:9" ht="15" customHeight="1">
      <c r="A7659" s="199">
        <v>45786</v>
      </c>
      <c r="B7659" s="202" t="s">
        <v>5971</v>
      </c>
      <c r="C7659" s="200" t="s">
        <v>204</v>
      </c>
      <c r="D7659" s="733">
        <v>-1049400</v>
      </c>
      <c r="E7659" s="201">
        <v>45778</v>
      </c>
      <c r="F7659" s="759" t="s">
        <v>296</v>
      </c>
      <c r="G7659" s="759" t="s">
        <v>1362</v>
      </c>
      <c r="H7659" s="759" t="s">
        <v>346</v>
      </c>
      <c r="I7659" s="202"/>
    </row>
    <row r="7660" spans="1:9" ht="15" customHeight="1">
      <c r="A7660" s="199">
        <v>45786</v>
      </c>
      <c r="B7660" s="202" t="s">
        <v>5972</v>
      </c>
      <c r="C7660" s="200" t="s">
        <v>204</v>
      </c>
      <c r="D7660" s="733">
        <v>-148496</v>
      </c>
      <c r="E7660" s="201">
        <v>45778</v>
      </c>
      <c r="F7660" s="759" t="s">
        <v>296</v>
      </c>
      <c r="G7660" s="759" t="s">
        <v>328</v>
      </c>
      <c r="H7660" s="759" t="s">
        <v>375</v>
      </c>
    </row>
    <row r="7661" spans="1:9" ht="15" customHeight="1">
      <c r="A7661" s="199">
        <v>45786</v>
      </c>
      <c r="B7661" s="202" t="s">
        <v>5972</v>
      </c>
      <c r="C7661" s="200" t="s">
        <v>204</v>
      </c>
      <c r="D7661" s="733">
        <v>-40000</v>
      </c>
      <c r="E7661" s="201">
        <v>45778</v>
      </c>
      <c r="F7661" s="759" t="s">
        <v>296</v>
      </c>
      <c r="G7661" s="759" t="s">
        <v>328</v>
      </c>
      <c r="H7661" s="759" t="s">
        <v>346</v>
      </c>
      <c r="I7661" s="648" t="s">
        <v>329</v>
      </c>
    </row>
    <row r="7662" spans="1:9" ht="15" customHeight="1">
      <c r="A7662" s="199">
        <v>45786</v>
      </c>
      <c r="B7662" s="202" t="s">
        <v>5973</v>
      </c>
      <c r="C7662" s="200" t="s">
        <v>204</v>
      </c>
      <c r="D7662" s="733">
        <v>-10237500</v>
      </c>
      <c r="E7662" s="201">
        <v>45778</v>
      </c>
      <c r="F7662" s="759" t="s">
        <v>296</v>
      </c>
      <c r="G7662" s="759" t="s">
        <v>415</v>
      </c>
      <c r="H7662" s="200" t="s">
        <v>839</v>
      </c>
    </row>
    <row r="7663" spans="1:9" ht="15" customHeight="1">
      <c r="A7663" s="199">
        <v>45786</v>
      </c>
      <c r="B7663" s="202" t="s">
        <v>5973</v>
      </c>
      <c r="C7663" s="200" t="s">
        <v>204</v>
      </c>
      <c r="D7663" s="733">
        <v>-346500</v>
      </c>
      <c r="E7663" s="201">
        <v>45778</v>
      </c>
      <c r="F7663" s="759" t="s">
        <v>296</v>
      </c>
      <c r="G7663" s="759" t="s">
        <v>415</v>
      </c>
      <c r="H7663" s="200" t="s">
        <v>346</v>
      </c>
      <c r="I7663" s="648" t="s">
        <v>329</v>
      </c>
    </row>
    <row r="7664" spans="1:9" ht="15" customHeight="1">
      <c r="A7664" s="199">
        <v>45786</v>
      </c>
      <c r="B7664" s="202" t="s">
        <v>5974</v>
      </c>
      <c r="C7664" s="200" t="s">
        <v>204</v>
      </c>
      <c r="D7664" s="733">
        <v>-14664000</v>
      </c>
      <c r="E7664" s="201">
        <v>45778</v>
      </c>
      <c r="F7664" s="759" t="s">
        <v>297</v>
      </c>
      <c r="G7664" s="759" t="s">
        <v>71</v>
      </c>
      <c r="H7664" s="759" t="s">
        <v>839</v>
      </c>
    </row>
    <row r="7665" spans="1:9" ht="15" customHeight="1">
      <c r="A7665" s="199">
        <v>45786</v>
      </c>
      <c r="B7665" s="202" t="s">
        <v>5974</v>
      </c>
      <c r="C7665" s="200" t="s">
        <v>204</v>
      </c>
      <c r="D7665" s="733">
        <v>-160000</v>
      </c>
      <c r="E7665" s="201">
        <v>45778</v>
      </c>
      <c r="F7665" s="759" t="s">
        <v>297</v>
      </c>
      <c r="G7665" s="759" t="s">
        <v>71</v>
      </c>
      <c r="H7665" s="759" t="s">
        <v>346</v>
      </c>
      <c r="I7665" s="648" t="s">
        <v>329</v>
      </c>
    </row>
    <row r="7666" spans="1:9" ht="15" customHeight="1">
      <c r="A7666" s="199">
        <v>45786</v>
      </c>
      <c r="B7666" s="202" t="s">
        <v>5975</v>
      </c>
      <c r="C7666" s="200" t="s">
        <v>204</v>
      </c>
      <c r="D7666" s="733">
        <v>-114395</v>
      </c>
      <c r="E7666" s="201">
        <v>45778</v>
      </c>
      <c r="F7666" s="759" t="s">
        <v>296</v>
      </c>
      <c r="G7666" s="759" t="s">
        <v>1362</v>
      </c>
      <c r="H7666" s="759" t="s">
        <v>5376</v>
      </c>
      <c r="I7666" s="202"/>
    </row>
    <row r="7667" spans="1:9" ht="15" customHeight="1">
      <c r="A7667" s="199">
        <v>45786</v>
      </c>
      <c r="B7667" s="202" t="s">
        <v>5976</v>
      </c>
      <c r="C7667" s="200" t="s">
        <v>204</v>
      </c>
      <c r="D7667" s="733">
        <v>-70418400</v>
      </c>
      <c r="E7667" s="201">
        <v>45778</v>
      </c>
      <c r="F7667" s="759" t="s">
        <v>297</v>
      </c>
      <c r="G7667" s="759" t="s">
        <v>3892</v>
      </c>
      <c r="H7667" s="759" t="s">
        <v>5968</v>
      </c>
      <c r="I7667" s="648" t="s">
        <v>329</v>
      </c>
    </row>
    <row r="7668" spans="1:9" ht="15" customHeight="1">
      <c r="A7668" s="199">
        <v>45786</v>
      </c>
      <c r="B7668" s="202" t="s">
        <v>5976</v>
      </c>
      <c r="C7668" s="200" t="s">
        <v>204</v>
      </c>
      <c r="D7668" s="733">
        <v>-950000</v>
      </c>
      <c r="E7668" s="201">
        <v>45778</v>
      </c>
      <c r="F7668" s="759" t="s">
        <v>297</v>
      </c>
      <c r="G7668" s="759" t="s">
        <v>3892</v>
      </c>
      <c r="H7668" s="759" t="s">
        <v>346</v>
      </c>
      <c r="I7668" s="648" t="s">
        <v>329</v>
      </c>
    </row>
    <row r="7669" spans="1:9" ht="15" customHeight="1">
      <c r="A7669" s="199">
        <v>45786</v>
      </c>
      <c r="B7669" s="202" t="s">
        <v>5977</v>
      </c>
      <c r="C7669" s="200" t="s">
        <v>204</v>
      </c>
      <c r="D7669" s="733">
        <v>-1000500</v>
      </c>
      <c r="E7669" s="201">
        <v>45778</v>
      </c>
      <c r="F7669" s="759" t="s">
        <v>256</v>
      </c>
      <c r="G7669" s="759" t="s">
        <v>256</v>
      </c>
      <c r="H7669" s="759" t="s">
        <v>257</v>
      </c>
      <c r="I7669" s="200" t="s">
        <v>5635</v>
      </c>
    </row>
    <row r="7670" spans="1:9" ht="15" customHeight="1">
      <c r="A7670" s="199">
        <v>45775</v>
      </c>
      <c r="B7670" s="202" t="s">
        <v>5978</v>
      </c>
      <c r="C7670" s="200" t="s">
        <v>307</v>
      </c>
      <c r="D7670" s="204">
        <v>-19000</v>
      </c>
      <c r="E7670" s="201">
        <v>45778</v>
      </c>
      <c r="F7670" s="759" t="s">
        <v>296</v>
      </c>
      <c r="G7670" s="759" t="s">
        <v>1362</v>
      </c>
      <c r="H7670" s="759" t="s">
        <v>5384</v>
      </c>
      <c r="I7670" s="200" t="s">
        <v>5635</v>
      </c>
    </row>
    <row r="7671" spans="1:9" ht="15" customHeight="1">
      <c r="A7671" s="199">
        <v>45775</v>
      </c>
      <c r="B7671" s="202" t="s">
        <v>5979</v>
      </c>
      <c r="C7671" s="200" t="s">
        <v>307</v>
      </c>
      <c r="D7671" s="204">
        <v>-13000</v>
      </c>
      <c r="E7671" s="201">
        <v>45778</v>
      </c>
      <c r="F7671" s="759" t="s">
        <v>296</v>
      </c>
      <c r="G7671" s="759" t="s">
        <v>1362</v>
      </c>
      <c r="H7671" s="759" t="s">
        <v>268</v>
      </c>
      <c r="I7671" s="200" t="s">
        <v>5635</v>
      </c>
    </row>
    <row r="7672" spans="1:9" ht="15" customHeight="1">
      <c r="A7672" s="199">
        <v>45775</v>
      </c>
      <c r="B7672" s="202" t="s">
        <v>5980</v>
      </c>
      <c r="C7672" s="200" t="s">
        <v>307</v>
      </c>
      <c r="D7672" s="204">
        <v>-8000</v>
      </c>
      <c r="E7672" s="201">
        <v>45778</v>
      </c>
      <c r="F7672" s="759" t="s">
        <v>296</v>
      </c>
      <c r="G7672" s="759" t="s">
        <v>1362</v>
      </c>
      <c r="H7672" s="759" t="s">
        <v>268</v>
      </c>
      <c r="I7672" s="200" t="s">
        <v>5635</v>
      </c>
    </row>
    <row r="7673" spans="1:9" ht="15" customHeight="1">
      <c r="A7673" s="199">
        <v>45775</v>
      </c>
      <c r="B7673" s="202" t="s">
        <v>5981</v>
      </c>
      <c r="C7673" s="200" t="s">
        <v>307</v>
      </c>
      <c r="D7673" s="204">
        <v>-22000</v>
      </c>
      <c r="E7673" s="201">
        <v>45778</v>
      </c>
      <c r="F7673" s="759" t="s">
        <v>296</v>
      </c>
      <c r="G7673" s="759" t="s">
        <v>1362</v>
      </c>
      <c r="H7673" s="759" t="s">
        <v>5384</v>
      </c>
      <c r="I7673" s="200" t="s">
        <v>5635</v>
      </c>
    </row>
    <row r="7674" spans="1:9" ht="15" customHeight="1">
      <c r="A7674" s="199">
        <v>45775</v>
      </c>
      <c r="B7674" s="202" t="s">
        <v>5982</v>
      </c>
      <c r="C7674" s="200" t="s">
        <v>307</v>
      </c>
      <c r="D7674" s="204">
        <v>-6500</v>
      </c>
      <c r="E7674" s="201">
        <v>45778</v>
      </c>
      <c r="F7674" s="759" t="s">
        <v>296</v>
      </c>
      <c r="G7674" s="759" t="s">
        <v>1362</v>
      </c>
      <c r="H7674" s="759" t="s">
        <v>5384</v>
      </c>
      <c r="I7674" s="200" t="s">
        <v>5635</v>
      </c>
    </row>
    <row r="7675" spans="1:9" ht="15" customHeight="1">
      <c r="A7675" s="199">
        <v>45775</v>
      </c>
      <c r="B7675" s="202" t="s">
        <v>5982</v>
      </c>
      <c r="C7675" s="200" t="s">
        <v>307</v>
      </c>
      <c r="D7675" s="204">
        <v>-6500</v>
      </c>
      <c r="E7675" s="201">
        <v>45778</v>
      </c>
      <c r="F7675" s="759" t="s">
        <v>296</v>
      </c>
      <c r="G7675" s="759" t="s">
        <v>1362</v>
      </c>
      <c r="H7675" s="759" t="s">
        <v>5384</v>
      </c>
      <c r="I7675" s="200" t="s">
        <v>5635</v>
      </c>
    </row>
    <row r="7676" spans="1:9" ht="15" customHeight="1">
      <c r="A7676" s="199">
        <v>45775</v>
      </c>
      <c r="B7676" s="202" t="s">
        <v>1060</v>
      </c>
      <c r="C7676" s="200" t="s">
        <v>307</v>
      </c>
      <c r="D7676" s="204">
        <v>-5800</v>
      </c>
      <c r="E7676" s="201">
        <v>45778</v>
      </c>
      <c r="F7676" s="759" t="s">
        <v>296</v>
      </c>
      <c r="G7676" s="759" t="s">
        <v>1362</v>
      </c>
      <c r="H7676" s="759" t="s">
        <v>342</v>
      </c>
      <c r="I7676" s="200" t="s">
        <v>5635</v>
      </c>
    </row>
    <row r="7677" spans="1:9" ht="15" customHeight="1">
      <c r="A7677" s="199">
        <v>45775</v>
      </c>
      <c r="B7677" s="202" t="s">
        <v>5983</v>
      </c>
      <c r="C7677" s="200" t="s">
        <v>307</v>
      </c>
      <c r="D7677" s="204">
        <v>-3950</v>
      </c>
      <c r="E7677" s="201">
        <v>45778</v>
      </c>
      <c r="F7677" s="759" t="s">
        <v>296</v>
      </c>
      <c r="G7677" s="759" t="s">
        <v>1362</v>
      </c>
      <c r="H7677" s="759" t="s">
        <v>342</v>
      </c>
      <c r="I7677" s="200" t="s">
        <v>5635</v>
      </c>
    </row>
    <row r="7678" spans="1:9" ht="15" customHeight="1">
      <c r="A7678" s="199">
        <v>45775</v>
      </c>
      <c r="B7678" s="202" t="s">
        <v>4777</v>
      </c>
      <c r="C7678" s="200" t="s">
        <v>307</v>
      </c>
      <c r="D7678" s="204">
        <v>-20000</v>
      </c>
      <c r="E7678" s="201">
        <v>45778</v>
      </c>
      <c r="F7678" s="759" t="s">
        <v>296</v>
      </c>
      <c r="G7678" s="759" t="s">
        <v>1362</v>
      </c>
      <c r="H7678" s="759" t="s">
        <v>268</v>
      </c>
      <c r="I7678" s="200" t="s">
        <v>5635</v>
      </c>
    </row>
    <row r="7679" spans="1:9" ht="15" customHeight="1">
      <c r="A7679" s="199">
        <v>45775</v>
      </c>
      <c r="B7679" s="202" t="s">
        <v>5984</v>
      </c>
      <c r="C7679" s="200" t="s">
        <v>307</v>
      </c>
      <c r="D7679" s="204">
        <v>-59780</v>
      </c>
      <c r="E7679" s="201">
        <v>45778</v>
      </c>
      <c r="F7679" s="759" t="s">
        <v>296</v>
      </c>
      <c r="G7679" s="759" t="s">
        <v>1362</v>
      </c>
      <c r="H7679" s="759" t="s">
        <v>5384</v>
      </c>
      <c r="I7679" s="200" t="s">
        <v>5635</v>
      </c>
    </row>
    <row r="7680" spans="1:9" ht="15" customHeight="1">
      <c r="A7680" s="199">
        <v>45776</v>
      </c>
      <c r="B7680" s="202" t="s">
        <v>5985</v>
      </c>
      <c r="C7680" s="200" t="s">
        <v>307</v>
      </c>
      <c r="D7680" s="204">
        <v>-36000</v>
      </c>
      <c r="E7680" s="201">
        <v>45778</v>
      </c>
      <c r="F7680" s="759" t="s">
        <v>296</v>
      </c>
      <c r="G7680" s="759" t="s">
        <v>1362</v>
      </c>
      <c r="H7680" s="759" t="s">
        <v>5384</v>
      </c>
      <c r="I7680" s="200" t="s">
        <v>5635</v>
      </c>
    </row>
    <row r="7681" spans="1:9" ht="15" customHeight="1">
      <c r="A7681" s="199">
        <v>45776</v>
      </c>
      <c r="B7681" s="202" t="s">
        <v>5986</v>
      </c>
      <c r="C7681" s="200" t="s">
        <v>307</v>
      </c>
      <c r="D7681" s="204">
        <v>-18000</v>
      </c>
      <c r="E7681" s="201">
        <v>45778</v>
      </c>
      <c r="F7681" s="759" t="s">
        <v>296</v>
      </c>
      <c r="G7681" s="759" t="s">
        <v>1362</v>
      </c>
      <c r="H7681" s="759" t="s">
        <v>5384</v>
      </c>
      <c r="I7681" s="200" t="s">
        <v>5635</v>
      </c>
    </row>
    <row r="7682" spans="1:9" ht="15" customHeight="1">
      <c r="A7682" s="199">
        <v>45776</v>
      </c>
      <c r="B7682" s="202" t="s">
        <v>5987</v>
      </c>
      <c r="C7682" s="200" t="s">
        <v>307</v>
      </c>
      <c r="D7682" s="204">
        <v>-91000</v>
      </c>
      <c r="E7682" s="201">
        <v>45778</v>
      </c>
      <c r="F7682" s="759" t="s">
        <v>296</v>
      </c>
      <c r="G7682" s="759" t="s">
        <v>1362</v>
      </c>
      <c r="H7682" s="759" t="s">
        <v>5384</v>
      </c>
      <c r="I7682" s="200" t="s">
        <v>5635</v>
      </c>
    </row>
    <row r="7683" spans="1:9" ht="15" customHeight="1">
      <c r="A7683" s="199">
        <v>45776</v>
      </c>
      <c r="B7683" s="202" t="s">
        <v>5988</v>
      </c>
      <c r="C7683" s="200" t="s">
        <v>307</v>
      </c>
      <c r="D7683" s="204">
        <v>-20000</v>
      </c>
      <c r="E7683" s="201">
        <v>45778</v>
      </c>
      <c r="F7683" s="759" t="s">
        <v>296</v>
      </c>
      <c r="G7683" s="759" t="s">
        <v>1362</v>
      </c>
      <c r="H7683" s="759" t="s">
        <v>268</v>
      </c>
      <c r="I7683" s="200" t="s">
        <v>5635</v>
      </c>
    </row>
    <row r="7684" spans="1:9" ht="15" customHeight="1">
      <c r="A7684" s="199">
        <v>45776</v>
      </c>
      <c r="B7684" s="202" t="s">
        <v>1060</v>
      </c>
      <c r="C7684" s="200" t="s">
        <v>307</v>
      </c>
      <c r="D7684" s="204">
        <v>-21300</v>
      </c>
      <c r="E7684" s="201">
        <v>45778</v>
      </c>
      <c r="F7684" s="759" t="s">
        <v>296</v>
      </c>
      <c r="G7684" s="759" t="s">
        <v>1362</v>
      </c>
      <c r="H7684" s="759" t="s">
        <v>342</v>
      </c>
      <c r="I7684" s="200" t="s">
        <v>5635</v>
      </c>
    </row>
    <row r="7685" spans="1:9" ht="15" customHeight="1">
      <c r="A7685" s="199">
        <v>45776</v>
      </c>
      <c r="B7685" s="202" t="s">
        <v>1060</v>
      </c>
      <c r="C7685" s="200" t="s">
        <v>307</v>
      </c>
      <c r="D7685" s="204">
        <v>-7600</v>
      </c>
      <c r="E7685" s="201">
        <v>45778</v>
      </c>
      <c r="F7685" s="759" t="s">
        <v>296</v>
      </c>
      <c r="G7685" s="759" t="s">
        <v>1362</v>
      </c>
      <c r="H7685" s="759" t="s">
        <v>342</v>
      </c>
      <c r="I7685" s="200" t="s">
        <v>5635</v>
      </c>
    </row>
    <row r="7686" spans="1:9" ht="15" customHeight="1">
      <c r="A7686" s="199">
        <v>45776</v>
      </c>
      <c r="B7686" s="202" t="s">
        <v>5989</v>
      </c>
      <c r="C7686" s="200" t="s">
        <v>307</v>
      </c>
      <c r="D7686" s="204">
        <v>-1300</v>
      </c>
      <c r="E7686" s="201">
        <v>45778</v>
      </c>
      <c r="F7686" s="759" t="s">
        <v>296</v>
      </c>
      <c r="G7686" s="759" t="s">
        <v>1362</v>
      </c>
      <c r="H7686" s="759" t="s">
        <v>5384</v>
      </c>
      <c r="I7686" s="200" t="s">
        <v>5635</v>
      </c>
    </row>
    <row r="7687" spans="1:9" ht="15" customHeight="1">
      <c r="A7687" s="199">
        <v>45776</v>
      </c>
      <c r="B7687" s="202" t="s">
        <v>5990</v>
      </c>
      <c r="C7687" s="200" t="s">
        <v>307</v>
      </c>
      <c r="D7687" s="204">
        <v>-3900</v>
      </c>
      <c r="E7687" s="201">
        <v>45778</v>
      </c>
      <c r="F7687" s="759" t="s">
        <v>296</v>
      </c>
      <c r="G7687" s="759" t="s">
        <v>1362</v>
      </c>
      <c r="H7687" s="759" t="s">
        <v>5384</v>
      </c>
      <c r="I7687" s="200" t="s">
        <v>5635</v>
      </c>
    </row>
    <row r="7688" spans="1:9" ht="15" customHeight="1">
      <c r="A7688" s="199">
        <v>45776</v>
      </c>
      <c r="B7688" s="202" t="s">
        <v>5983</v>
      </c>
      <c r="C7688" s="200" t="s">
        <v>307</v>
      </c>
      <c r="D7688" s="204">
        <v>-7500</v>
      </c>
      <c r="E7688" s="201">
        <v>45778</v>
      </c>
      <c r="F7688" s="759" t="s">
        <v>296</v>
      </c>
      <c r="G7688" s="759" t="s">
        <v>1362</v>
      </c>
      <c r="H7688" s="759" t="s">
        <v>342</v>
      </c>
      <c r="I7688" s="200" t="s">
        <v>5635</v>
      </c>
    </row>
    <row r="7689" spans="1:9" ht="15" customHeight="1">
      <c r="A7689" s="199">
        <v>45776</v>
      </c>
      <c r="B7689" s="202" t="s">
        <v>5991</v>
      </c>
      <c r="C7689" s="200" t="s">
        <v>307</v>
      </c>
      <c r="D7689" s="204">
        <v>-8000</v>
      </c>
      <c r="E7689" s="201">
        <v>45778</v>
      </c>
      <c r="F7689" s="759" t="s">
        <v>296</v>
      </c>
      <c r="G7689" s="759" t="s">
        <v>1362</v>
      </c>
      <c r="H7689" s="759" t="s">
        <v>5384</v>
      </c>
      <c r="I7689" s="200" t="s">
        <v>5635</v>
      </c>
    </row>
    <row r="7690" spans="1:9" ht="15" customHeight="1">
      <c r="A7690" s="199">
        <v>45777</v>
      </c>
      <c r="B7690" s="202" t="s">
        <v>5983</v>
      </c>
      <c r="C7690" s="200" t="s">
        <v>307</v>
      </c>
      <c r="D7690" s="204">
        <v>-3950</v>
      </c>
      <c r="E7690" s="201">
        <v>45778</v>
      </c>
      <c r="F7690" s="759" t="s">
        <v>296</v>
      </c>
      <c r="G7690" s="759" t="s">
        <v>1362</v>
      </c>
      <c r="H7690" s="759" t="s">
        <v>342</v>
      </c>
      <c r="I7690" s="200" t="s">
        <v>5635</v>
      </c>
    </row>
    <row r="7691" spans="1:9" ht="15" customHeight="1">
      <c r="A7691" s="199">
        <v>45777</v>
      </c>
      <c r="B7691" s="202" t="s">
        <v>5992</v>
      </c>
      <c r="C7691" s="200" t="s">
        <v>307</v>
      </c>
      <c r="D7691" s="204">
        <v>-20000</v>
      </c>
      <c r="E7691" s="201">
        <v>45778</v>
      </c>
      <c r="F7691" s="759" t="s">
        <v>296</v>
      </c>
      <c r="G7691" s="759" t="s">
        <v>1362</v>
      </c>
      <c r="H7691" s="759" t="s">
        <v>268</v>
      </c>
      <c r="I7691" s="200" t="s">
        <v>5635</v>
      </c>
    </row>
    <row r="7692" spans="1:9" ht="15" customHeight="1">
      <c r="A7692" s="199">
        <v>45777</v>
      </c>
      <c r="B7692" s="202" t="s">
        <v>5993</v>
      </c>
      <c r="C7692" s="200" t="s">
        <v>307</v>
      </c>
      <c r="D7692" s="204">
        <v>-8700</v>
      </c>
      <c r="E7692" s="201">
        <v>45778</v>
      </c>
      <c r="F7692" s="759" t="s">
        <v>296</v>
      </c>
      <c r="G7692" s="759" t="s">
        <v>1362</v>
      </c>
      <c r="H7692" s="759" t="s">
        <v>268</v>
      </c>
      <c r="I7692" s="200" t="s">
        <v>5635</v>
      </c>
    </row>
    <row r="7693" spans="1:9" ht="15" customHeight="1">
      <c r="A7693" s="199">
        <v>45777</v>
      </c>
      <c r="B7693" s="202" t="s">
        <v>5994</v>
      </c>
      <c r="C7693" s="200" t="s">
        <v>307</v>
      </c>
      <c r="D7693" s="204">
        <v>-8100</v>
      </c>
      <c r="E7693" s="201">
        <v>45778</v>
      </c>
      <c r="F7693" s="759" t="s">
        <v>296</v>
      </c>
      <c r="G7693" s="759" t="s">
        <v>1362</v>
      </c>
      <c r="H7693" s="759" t="s">
        <v>268</v>
      </c>
      <c r="I7693" s="200" t="s">
        <v>5635</v>
      </c>
    </row>
    <row r="7694" spans="1:9" ht="15" customHeight="1">
      <c r="A7694" s="199">
        <v>45777</v>
      </c>
      <c r="B7694" s="202" t="s">
        <v>5994</v>
      </c>
      <c r="C7694" s="200" t="s">
        <v>307</v>
      </c>
      <c r="D7694" s="204">
        <v>-7500</v>
      </c>
      <c r="E7694" s="201">
        <v>45778</v>
      </c>
      <c r="F7694" s="759" t="s">
        <v>296</v>
      </c>
      <c r="G7694" s="759" t="s">
        <v>1362</v>
      </c>
      <c r="H7694" s="759" t="s">
        <v>268</v>
      </c>
      <c r="I7694" s="200" t="s">
        <v>5635</v>
      </c>
    </row>
    <row r="7695" spans="1:9" ht="15" customHeight="1">
      <c r="A7695" s="199">
        <v>45777</v>
      </c>
      <c r="B7695" s="202" t="s">
        <v>5995</v>
      </c>
      <c r="C7695" s="200" t="s">
        <v>307</v>
      </c>
      <c r="D7695" s="204">
        <v>-8000</v>
      </c>
      <c r="E7695" s="201">
        <v>45778</v>
      </c>
      <c r="F7695" s="759" t="s">
        <v>296</v>
      </c>
      <c r="G7695" s="759" t="s">
        <v>1362</v>
      </c>
      <c r="H7695" s="759" t="s">
        <v>5384</v>
      </c>
      <c r="I7695" s="200" t="s">
        <v>5635</v>
      </c>
    </row>
    <row r="7696" spans="1:9" ht="15" customHeight="1">
      <c r="A7696" s="199">
        <v>45777</v>
      </c>
      <c r="B7696" s="202" t="s">
        <v>5996</v>
      </c>
      <c r="C7696" s="200" t="s">
        <v>307</v>
      </c>
      <c r="D7696" s="204">
        <v>-44300</v>
      </c>
      <c r="E7696" s="201">
        <v>45778</v>
      </c>
      <c r="F7696" s="759" t="s">
        <v>296</v>
      </c>
      <c r="G7696" s="759" t="s">
        <v>1362</v>
      </c>
      <c r="H7696" s="759" t="s">
        <v>5384</v>
      </c>
      <c r="I7696" s="200" t="s">
        <v>5635</v>
      </c>
    </row>
    <row r="7697" spans="1:9" ht="15" customHeight="1">
      <c r="A7697" s="199">
        <v>45777</v>
      </c>
      <c r="B7697" s="202" t="s">
        <v>5997</v>
      </c>
      <c r="C7697" s="200" t="s">
        <v>307</v>
      </c>
      <c r="D7697" s="204">
        <v>-8330</v>
      </c>
      <c r="E7697" s="201">
        <v>45778</v>
      </c>
      <c r="F7697" s="759" t="s">
        <v>296</v>
      </c>
      <c r="G7697" s="759" t="s">
        <v>1362</v>
      </c>
      <c r="H7697" s="759" t="s">
        <v>5384</v>
      </c>
      <c r="I7697" s="200" t="s">
        <v>5635</v>
      </c>
    </row>
    <row r="7698" spans="1:9" ht="15" customHeight="1">
      <c r="A7698" s="199">
        <v>45777</v>
      </c>
      <c r="B7698" s="202" t="s">
        <v>5998</v>
      </c>
      <c r="C7698" s="200" t="s">
        <v>307</v>
      </c>
      <c r="D7698" s="204">
        <v>-16100</v>
      </c>
      <c r="E7698" s="201">
        <v>45778</v>
      </c>
      <c r="F7698" s="759" t="s">
        <v>296</v>
      </c>
      <c r="G7698" s="759" t="s">
        <v>1362</v>
      </c>
      <c r="H7698" s="759" t="s">
        <v>5384</v>
      </c>
      <c r="I7698" s="200" t="s">
        <v>5635</v>
      </c>
    </row>
    <row r="7699" spans="1:9" ht="15" customHeight="1">
      <c r="A7699" s="199">
        <v>45777</v>
      </c>
      <c r="B7699" s="202" t="s">
        <v>5999</v>
      </c>
      <c r="C7699" s="200" t="s">
        <v>307</v>
      </c>
      <c r="D7699" s="204">
        <v>-3300</v>
      </c>
      <c r="E7699" s="201">
        <v>45778</v>
      </c>
      <c r="F7699" s="759" t="s">
        <v>296</v>
      </c>
      <c r="G7699" s="759" t="s">
        <v>1362</v>
      </c>
      <c r="H7699" s="759" t="s">
        <v>5384</v>
      </c>
      <c r="I7699" s="200" t="s">
        <v>5635</v>
      </c>
    </row>
    <row r="7700" spans="1:9" ht="15" customHeight="1">
      <c r="A7700" s="199">
        <v>45777</v>
      </c>
      <c r="B7700" s="202" t="s">
        <v>6000</v>
      </c>
      <c r="C7700" s="200" t="s">
        <v>307</v>
      </c>
      <c r="D7700" s="785">
        <v>-34000</v>
      </c>
      <c r="E7700" s="201">
        <v>45778</v>
      </c>
      <c r="F7700" s="759" t="s">
        <v>296</v>
      </c>
      <c r="G7700" s="759" t="s">
        <v>1362</v>
      </c>
      <c r="H7700" s="759" t="s">
        <v>5384</v>
      </c>
      <c r="I7700" s="200" t="s">
        <v>5635</v>
      </c>
    </row>
    <row r="7701" spans="1:9" ht="15" customHeight="1">
      <c r="A7701" s="199">
        <v>45770</v>
      </c>
      <c r="B7701" s="202" t="s">
        <v>1521</v>
      </c>
      <c r="C7701" s="200" t="s">
        <v>307</v>
      </c>
      <c r="D7701" s="204">
        <v>-44064</v>
      </c>
      <c r="E7701" s="201">
        <v>45778</v>
      </c>
      <c r="F7701" s="759" t="s">
        <v>296</v>
      </c>
      <c r="G7701" s="759" t="s">
        <v>1362</v>
      </c>
      <c r="H7701" s="759" t="s">
        <v>268</v>
      </c>
      <c r="I7701" s="200" t="s">
        <v>5635</v>
      </c>
    </row>
    <row r="7702" spans="1:9" ht="15" customHeight="1">
      <c r="A7702" s="199">
        <v>45771</v>
      </c>
      <c r="B7702" s="202" t="s">
        <v>6001</v>
      </c>
      <c r="C7702" s="200" t="s">
        <v>307</v>
      </c>
      <c r="D7702" s="204">
        <v>-16000</v>
      </c>
      <c r="E7702" s="201">
        <v>45778</v>
      </c>
      <c r="F7702" s="759" t="s">
        <v>296</v>
      </c>
      <c r="G7702" s="759" t="s">
        <v>1362</v>
      </c>
      <c r="H7702" s="759" t="s">
        <v>5384</v>
      </c>
      <c r="I7702" s="200" t="s">
        <v>5635</v>
      </c>
    </row>
    <row r="7703" spans="1:9" ht="15" customHeight="1">
      <c r="A7703" s="199">
        <v>45771</v>
      </c>
      <c r="B7703" s="202" t="s">
        <v>6002</v>
      </c>
      <c r="C7703" s="200" t="s">
        <v>307</v>
      </c>
      <c r="D7703" s="204">
        <v>-12800</v>
      </c>
      <c r="E7703" s="201">
        <v>45778</v>
      </c>
      <c r="F7703" s="759" t="s">
        <v>296</v>
      </c>
      <c r="G7703" s="759" t="s">
        <v>1362</v>
      </c>
      <c r="H7703" s="759" t="s">
        <v>5384</v>
      </c>
      <c r="I7703" s="200" t="s">
        <v>5635</v>
      </c>
    </row>
    <row r="7704" spans="1:9" ht="15" customHeight="1">
      <c r="A7704" s="199">
        <v>45771</v>
      </c>
      <c r="B7704" s="202" t="s">
        <v>6003</v>
      </c>
      <c r="C7704" s="200" t="s">
        <v>307</v>
      </c>
      <c r="D7704" s="204">
        <v>-104000</v>
      </c>
      <c r="E7704" s="201">
        <v>45778</v>
      </c>
      <c r="F7704" s="759" t="s">
        <v>296</v>
      </c>
      <c r="G7704" s="759" t="s">
        <v>1362</v>
      </c>
      <c r="H7704" s="759" t="s">
        <v>5384</v>
      </c>
      <c r="I7704" s="200" t="s">
        <v>5635</v>
      </c>
    </row>
    <row r="7705" spans="1:9" ht="15" customHeight="1">
      <c r="A7705" s="199">
        <v>45772</v>
      </c>
      <c r="B7705" s="202" t="s">
        <v>1060</v>
      </c>
      <c r="C7705" s="200" t="s">
        <v>307</v>
      </c>
      <c r="D7705" s="204">
        <v>-7600</v>
      </c>
      <c r="E7705" s="201">
        <v>45778</v>
      </c>
      <c r="F7705" s="759" t="s">
        <v>296</v>
      </c>
      <c r="G7705" s="759" t="s">
        <v>1362</v>
      </c>
      <c r="H7705" s="759" t="s">
        <v>342</v>
      </c>
      <c r="I7705" s="200" t="s">
        <v>5635</v>
      </c>
    </row>
    <row r="7706" spans="1:9" ht="15" customHeight="1">
      <c r="A7706" s="199">
        <v>45772</v>
      </c>
      <c r="B7706" s="202" t="s">
        <v>1060</v>
      </c>
      <c r="C7706" s="200" t="s">
        <v>307</v>
      </c>
      <c r="D7706" s="204">
        <v>-1990</v>
      </c>
      <c r="E7706" s="201">
        <v>45778</v>
      </c>
      <c r="F7706" s="759" t="s">
        <v>296</v>
      </c>
      <c r="G7706" s="759" t="s">
        <v>1362</v>
      </c>
      <c r="H7706" s="759" t="s">
        <v>342</v>
      </c>
      <c r="I7706" s="200" t="s">
        <v>5635</v>
      </c>
    </row>
    <row r="7707" spans="1:9" ht="15" customHeight="1">
      <c r="A7707" s="199">
        <v>45772</v>
      </c>
      <c r="B7707" s="202" t="s">
        <v>1060</v>
      </c>
      <c r="C7707" s="200" t="s">
        <v>307</v>
      </c>
      <c r="D7707" s="204">
        <v>-7600</v>
      </c>
      <c r="E7707" s="201">
        <v>45778</v>
      </c>
      <c r="F7707" s="759" t="s">
        <v>296</v>
      </c>
      <c r="G7707" s="759" t="s">
        <v>1362</v>
      </c>
      <c r="H7707" s="759" t="s">
        <v>342</v>
      </c>
      <c r="I7707" s="200" t="s">
        <v>5635</v>
      </c>
    </row>
    <row r="7708" spans="1:9" ht="15" customHeight="1">
      <c r="A7708" s="199">
        <v>45772</v>
      </c>
      <c r="B7708" s="202" t="s">
        <v>6004</v>
      </c>
      <c r="C7708" s="200" t="s">
        <v>307</v>
      </c>
      <c r="D7708" s="204">
        <v>-10900</v>
      </c>
      <c r="E7708" s="201">
        <v>45778</v>
      </c>
      <c r="F7708" s="759" t="s">
        <v>296</v>
      </c>
      <c r="G7708" s="759" t="s">
        <v>1362</v>
      </c>
      <c r="H7708" s="759" t="s">
        <v>346</v>
      </c>
      <c r="I7708" s="200" t="s">
        <v>5635</v>
      </c>
    </row>
    <row r="7709" spans="1:9" ht="15" customHeight="1">
      <c r="A7709" s="199">
        <v>45772</v>
      </c>
      <c r="B7709" s="202" t="s">
        <v>1521</v>
      </c>
      <c r="C7709" s="200" t="s">
        <v>307</v>
      </c>
      <c r="D7709" s="204">
        <v>-34046</v>
      </c>
      <c r="E7709" s="201">
        <v>45778</v>
      </c>
      <c r="F7709" s="759" t="s">
        <v>296</v>
      </c>
      <c r="G7709" s="759" t="s">
        <v>1362</v>
      </c>
      <c r="H7709" s="759" t="s">
        <v>268</v>
      </c>
      <c r="I7709" s="200" t="s">
        <v>5635</v>
      </c>
    </row>
    <row r="7710" spans="1:9" ht="15" customHeight="1">
      <c r="A7710" s="199">
        <v>45772</v>
      </c>
      <c r="B7710" s="202" t="s">
        <v>1521</v>
      </c>
      <c r="C7710" s="200" t="s">
        <v>307</v>
      </c>
      <c r="D7710" s="204">
        <v>-12538</v>
      </c>
      <c r="E7710" s="201">
        <v>45778</v>
      </c>
      <c r="F7710" s="759" t="s">
        <v>296</v>
      </c>
      <c r="G7710" s="759" t="s">
        <v>1362</v>
      </c>
      <c r="H7710" s="759" t="s">
        <v>268</v>
      </c>
      <c r="I7710" s="200" t="s">
        <v>5635</v>
      </c>
    </row>
    <row r="7711" spans="1:9" ht="15" customHeight="1">
      <c r="A7711" s="199">
        <v>45772</v>
      </c>
      <c r="B7711" s="202" t="s">
        <v>1521</v>
      </c>
      <c r="C7711" s="200" t="s">
        <v>307</v>
      </c>
      <c r="D7711" s="204">
        <v>-50069</v>
      </c>
      <c r="E7711" s="201">
        <v>45778</v>
      </c>
      <c r="F7711" s="759" t="s">
        <v>296</v>
      </c>
      <c r="G7711" s="759" t="s">
        <v>1362</v>
      </c>
      <c r="H7711" s="759" t="s">
        <v>268</v>
      </c>
      <c r="I7711" s="200" t="s">
        <v>5635</v>
      </c>
    </row>
    <row r="7712" spans="1:9" ht="15" customHeight="1">
      <c r="A7712" s="199">
        <v>45772</v>
      </c>
      <c r="B7712" s="202" t="s">
        <v>5983</v>
      </c>
      <c r="C7712" s="200" t="s">
        <v>307</v>
      </c>
      <c r="D7712" s="204">
        <v>-11050</v>
      </c>
      <c r="E7712" s="201">
        <v>45778</v>
      </c>
      <c r="F7712" s="759" t="s">
        <v>296</v>
      </c>
      <c r="G7712" s="759" t="s">
        <v>1362</v>
      </c>
      <c r="H7712" s="759" t="s">
        <v>342</v>
      </c>
      <c r="I7712" s="200" t="s">
        <v>5635</v>
      </c>
    </row>
    <row r="7713" spans="1:10" ht="15" customHeight="1">
      <c r="A7713" s="199">
        <v>45772</v>
      </c>
      <c r="B7713" s="202" t="s">
        <v>6005</v>
      </c>
      <c r="C7713" s="200" t="s">
        <v>307</v>
      </c>
      <c r="D7713" s="204">
        <v>-6500</v>
      </c>
      <c r="E7713" s="201">
        <v>45778</v>
      </c>
      <c r="F7713" s="759" t="s">
        <v>296</v>
      </c>
      <c r="G7713" s="759" t="s">
        <v>1362</v>
      </c>
      <c r="H7713" s="759" t="s">
        <v>5384</v>
      </c>
      <c r="I7713" s="200" t="s">
        <v>5635</v>
      </c>
    </row>
    <row r="7714" spans="1:10" ht="15" customHeight="1">
      <c r="A7714" s="199">
        <v>45772</v>
      </c>
      <c r="B7714" s="202" t="s">
        <v>6006</v>
      </c>
      <c r="C7714" s="200" t="s">
        <v>307</v>
      </c>
      <c r="D7714" s="204">
        <v>-46600</v>
      </c>
      <c r="E7714" s="201">
        <v>45778</v>
      </c>
      <c r="F7714" s="759" t="s">
        <v>296</v>
      </c>
      <c r="G7714" s="759" t="s">
        <v>1362</v>
      </c>
      <c r="H7714" s="759" t="s">
        <v>5384</v>
      </c>
      <c r="I7714" s="200" t="s">
        <v>5635</v>
      </c>
    </row>
    <row r="7715" spans="1:10" ht="15" customHeight="1">
      <c r="A7715" s="199">
        <v>45772</v>
      </c>
      <c r="B7715" s="202" t="s">
        <v>6007</v>
      </c>
      <c r="C7715" s="200" t="s">
        <v>307</v>
      </c>
      <c r="D7715" s="204">
        <v>-250850</v>
      </c>
      <c r="E7715" s="201">
        <v>45778</v>
      </c>
      <c r="F7715" s="759" t="s">
        <v>296</v>
      </c>
      <c r="G7715" s="759" t="s">
        <v>1362</v>
      </c>
      <c r="H7715" s="759" t="s">
        <v>5384</v>
      </c>
      <c r="I7715" s="200" t="s">
        <v>5635</v>
      </c>
    </row>
    <row r="7716" spans="1:10" ht="15" customHeight="1">
      <c r="A7716" s="199">
        <v>45773</v>
      </c>
      <c r="B7716" s="202" t="s">
        <v>6008</v>
      </c>
      <c r="C7716" s="200" t="s">
        <v>307</v>
      </c>
      <c r="D7716" s="204">
        <v>-8500</v>
      </c>
      <c r="E7716" s="201">
        <v>45778</v>
      </c>
      <c r="F7716" s="759" t="s">
        <v>296</v>
      </c>
      <c r="G7716" s="759" t="s">
        <v>1362</v>
      </c>
      <c r="H7716" s="759" t="s">
        <v>268</v>
      </c>
      <c r="I7716" s="200" t="s">
        <v>5635</v>
      </c>
    </row>
    <row r="7717" spans="1:10" ht="15" customHeight="1">
      <c r="A7717" s="199">
        <v>45773</v>
      </c>
      <c r="B7717" s="202" t="s">
        <v>6009</v>
      </c>
      <c r="C7717" s="200" t="s">
        <v>307</v>
      </c>
      <c r="D7717" s="204">
        <v>-2200</v>
      </c>
      <c r="E7717" s="201">
        <v>45778</v>
      </c>
      <c r="F7717" s="759" t="s">
        <v>296</v>
      </c>
      <c r="G7717" s="759" t="s">
        <v>1362</v>
      </c>
      <c r="H7717" s="759" t="s">
        <v>5384</v>
      </c>
      <c r="I7717" s="200" t="s">
        <v>5635</v>
      </c>
    </row>
    <row r="7718" spans="1:10" ht="15" customHeight="1">
      <c r="A7718" s="199">
        <v>45773</v>
      </c>
      <c r="B7718" s="202" t="s">
        <v>4777</v>
      </c>
      <c r="C7718" s="200" t="s">
        <v>307</v>
      </c>
      <c r="D7718" s="204">
        <v>-20000</v>
      </c>
      <c r="E7718" s="201">
        <v>45778</v>
      </c>
      <c r="F7718" s="759" t="s">
        <v>296</v>
      </c>
      <c r="G7718" s="759" t="s">
        <v>1362</v>
      </c>
      <c r="H7718" s="759" t="s">
        <v>268</v>
      </c>
      <c r="I7718" s="200" t="s">
        <v>5635</v>
      </c>
    </row>
    <row r="7719" spans="1:10" ht="15" customHeight="1">
      <c r="A7719" s="199">
        <v>45773</v>
      </c>
      <c r="B7719" s="202" t="s">
        <v>1521</v>
      </c>
      <c r="C7719" s="200" t="s">
        <v>307</v>
      </c>
      <c r="D7719" s="204">
        <v>-35000</v>
      </c>
      <c r="E7719" s="201">
        <v>45778</v>
      </c>
      <c r="F7719" s="759" t="s">
        <v>296</v>
      </c>
      <c r="G7719" s="759" t="s">
        <v>1362</v>
      </c>
      <c r="H7719" s="759" t="s">
        <v>268</v>
      </c>
      <c r="I7719" s="648" t="s">
        <v>329</v>
      </c>
    </row>
    <row r="7720" spans="1:10" ht="15" customHeight="1">
      <c r="A7720" s="199">
        <v>45786</v>
      </c>
      <c r="B7720" s="202" t="s">
        <v>6010</v>
      </c>
      <c r="C7720" s="200" t="s">
        <v>204</v>
      </c>
      <c r="D7720" s="733">
        <v>-235600</v>
      </c>
      <c r="E7720" s="201">
        <v>45778</v>
      </c>
      <c r="F7720" s="759" t="s">
        <v>256</v>
      </c>
      <c r="G7720" s="759" t="s">
        <v>256</v>
      </c>
      <c r="H7720" s="759" t="s">
        <v>121</v>
      </c>
    </row>
    <row r="7721" spans="1:10" ht="15" customHeight="1">
      <c r="A7721" s="199">
        <v>45779</v>
      </c>
      <c r="B7721" s="202" t="s">
        <v>6011</v>
      </c>
      <c r="C7721" s="200" t="s">
        <v>204</v>
      </c>
      <c r="D7721" s="733">
        <v>-3773783</v>
      </c>
      <c r="E7721" s="201">
        <v>45778</v>
      </c>
      <c r="F7721" s="759" t="s">
        <v>298</v>
      </c>
      <c r="G7721" s="759"/>
      <c r="H7721" s="759"/>
    </row>
    <row r="7722" spans="1:10" ht="15" customHeight="1">
      <c r="A7722" s="199">
        <v>45779</v>
      </c>
      <c r="B7722" s="202" t="s">
        <v>6011</v>
      </c>
      <c r="C7722" s="200" t="s">
        <v>204</v>
      </c>
      <c r="D7722" s="733">
        <v>-1221014</v>
      </c>
      <c r="E7722" s="201">
        <v>45778</v>
      </c>
      <c r="F7722" s="759" t="s">
        <v>315</v>
      </c>
      <c r="G7722" s="759"/>
      <c r="H7722" s="759"/>
    </row>
    <row r="7723" spans="1:10" ht="15" customHeight="1">
      <c r="A7723" s="199">
        <v>45778</v>
      </c>
      <c r="B7723" s="202" t="s">
        <v>4428</v>
      </c>
      <c r="C7723" s="200" t="s">
        <v>398</v>
      </c>
      <c r="D7723" s="658">
        <v>-447798</v>
      </c>
      <c r="E7723" s="201">
        <v>45778</v>
      </c>
      <c r="F7723" s="759" t="s">
        <v>256</v>
      </c>
      <c r="G7723" s="759" t="s">
        <v>107</v>
      </c>
      <c r="H7723" s="759" t="s">
        <v>777</v>
      </c>
    </row>
    <row r="7724" spans="1:10" ht="15" customHeight="1">
      <c r="A7724" s="199">
        <v>45782</v>
      </c>
      <c r="B7724" s="202" t="s">
        <v>6012</v>
      </c>
      <c r="C7724" s="200" t="s">
        <v>398</v>
      </c>
      <c r="D7724" s="658">
        <v>-355280</v>
      </c>
      <c r="E7724" s="201">
        <v>45778</v>
      </c>
      <c r="F7724" s="759" t="s">
        <v>256</v>
      </c>
      <c r="G7724" s="759" t="s">
        <v>107</v>
      </c>
      <c r="H7724" s="759" t="s">
        <v>277</v>
      </c>
    </row>
    <row r="7725" spans="1:10" ht="15" customHeight="1">
      <c r="A7725" s="199">
        <v>45782</v>
      </c>
      <c r="B7725" s="202" t="s">
        <v>6013</v>
      </c>
      <c r="C7725" s="200" t="s">
        <v>398</v>
      </c>
      <c r="D7725" s="658">
        <v>-20468</v>
      </c>
      <c r="E7725" s="201">
        <v>45778</v>
      </c>
      <c r="F7725" s="759" t="s">
        <v>256</v>
      </c>
      <c r="G7725" s="759" t="s">
        <v>256</v>
      </c>
      <c r="H7725" s="759" t="s">
        <v>261</v>
      </c>
    </row>
    <row r="7726" spans="1:10" ht="15" customHeight="1">
      <c r="A7726" s="199">
        <v>45782</v>
      </c>
      <c r="B7726" s="202" t="s">
        <v>6014</v>
      </c>
      <c r="C7726" s="200" t="s">
        <v>398</v>
      </c>
      <c r="D7726" s="658">
        <v>-280090</v>
      </c>
      <c r="E7726" s="201">
        <v>45778</v>
      </c>
      <c r="F7726" s="759" t="s">
        <v>256</v>
      </c>
      <c r="G7726" s="759" t="s">
        <v>107</v>
      </c>
      <c r="H7726" s="759" t="s">
        <v>277</v>
      </c>
      <c r="J7726" s="184" t="s">
        <v>6015</v>
      </c>
    </row>
    <row r="7727" spans="1:10" s="792" customFormat="1" ht="15" customHeight="1">
      <c r="A7727" s="199">
        <v>45786</v>
      </c>
      <c r="B7727" s="202" t="s">
        <v>4646</v>
      </c>
      <c r="C7727" s="200" t="s">
        <v>398</v>
      </c>
      <c r="D7727" s="658">
        <v>-95520</v>
      </c>
      <c r="E7727" s="201">
        <v>45778</v>
      </c>
      <c r="F7727" s="759" t="s">
        <v>256</v>
      </c>
      <c r="G7727" s="759" t="s">
        <v>256</v>
      </c>
      <c r="H7727" s="759" t="s">
        <v>266</v>
      </c>
      <c r="I7727" s="200"/>
    </row>
    <row r="7728" spans="1:10" ht="15" customHeight="1">
      <c r="A7728" s="199">
        <v>45786</v>
      </c>
      <c r="B7728" s="202" t="s">
        <v>6016</v>
      </c>
      <c r="C7728" s="200" t="s">
        <v>398</v>
      </c>
      <c r="D7728" s="658">
        <v>-173340</v>
      </c>
      <c r="E7728" s="201">
        <v>45778</v>
      </c>
      <c r="F7728" s="759" t="s">
        <v>256</v>
      </c>
      <c r="G7728" s="759" t="s">
        <v>107</v>
      </c>
      <c r="H7728" s="759" t="s">
        <v>277</v>
      </c>
    </row>
    <row r="7729" spans="1:9" ht="15" customHeight="1">
      <c r="A7729" s="199">
        <v>45785</v>
      </c>
      <c r="B7729" s="202" t="s">
        <v>6017</v>
      </c>
      <c r="C7729" s="200" t="s">
        <v>398</v>
      </c>
      <c r="D7729" s="204">
        <v>1063702</v>
      </c>
      <c r="E7729" s="201">
        <v>45778</v>
      </c>
      <c r="F7729" s="759" t="s">
        <v>395</v>
      </c>
      <c r="G7729" s="531" t="s">
        <v>395</v>
      </c>
      <c r="H7729" s="759"/>
    </row>
    <row r="7730" spans="1:9" ht="15" customHeight="1">
      <c r="A7730" s="199">
        <v>45785</v>
      </c>
      <c r="B7730" s="202" t="s">
        <v>6018</v>
      </c>
      <c r="C7730" s="200" t="s">
        <v>398</v>
      </c>
      <c r="D7730" s="658">
        <v>-2000000</v>
      </c>
      <c r="E7730" s="201">
        <v>45778</v>
      </c>
      <c r="F7730" s="759" t="s">
        <v>256</v>
      </c>
      <c r="G7730" s="759" t="s">
        <v>256</v>
      </c>
      <c r="H7730" s="759" t="s">
        <v>9</v>
      </c>
    </row>
    <row r="7731" spans="1:9" ht="15" customHeight="1">
      <c r="A7731" s="789">
        <v>45786</v>
      </c>
      <c r="B7731" s="790" t="s">
        <v>6019</v>
      </c>
      <c r="C7731" s="790" t="s">
        <v>204</v>
      </c>
      <c r="D7731" s="733">
        <v>-138000</v>
      </c>
      <c r="E7731" s="791">
        <v>45778</v>
      </c>
      <c r="F7731" s="790" t="s">
        <v>296</v>
      </c>
      <c r="G7731" s="790" t="s">
        <v>3360</v>
      </c>
      <c r="H7731" s="790" t="s">
        <v>5384</v>
      </c>
      <c r="I7731" s="790"/>
    </row>
    <row r="7732" spans="1:9" ht="15" customHeight="1">
      <c r="A7732" s="199">
        <v>45786</v>
      </c>
      <c r="B7732" s="202" t="s">
        <v>6020</v>
      </c>
      <c r="C7732" s="200" t="s">
        <v>372</v>
      </c>
      <c r="D7732" s="204">
        <v>-4800</v>
      </c>
      <c r="E7732" s="201">
        <v>45778</v>
      </c>
      <c r="F7732" s="200" t="s">
        <v>296</v>
      </c>
      <c r="G7732" s="200" t="s">
        <v>3360</v>
      </c>
      <c r="H7732" s="200" t="s">
        <v>5384</v>
      </c>
    </row>
    <row r="7733" spans="1:9" ht="15" customHeight="1">
      <c r="A7733" s="199">
        <v>45786</v>
      </c>
      <c r="B7733" s="202" t="s">
        <v>6021</v>
      </c>
      <c r="C7733" s="200" t="s">
        <v>204</v>
      </c>
      <c r="D7733" s="733">
        <v>-216949</v>
      </c>
      <c r="E7733" s="201">
        <v>45778</v>
      </c>
      <c r="F7733" s="200" t="s">
        <v>296</v>
      </c>
      <c r="G7733" s="200" t="s">
        <v>1362</v>
      </c>
      <c r="H7733" s="200" t="s">
        <v>5376</v>
      </c>
    </row>
    <row r="7734" spans="1:9" ht="15" customHeight="1">
      <c r="A7734" s="199">
        <v>45786</v>
      </c>
      <c r="B7734" s="202" t="s">
        <v>6021</v>
      </c>
      <c r="C7734" s="200" t="s">
        <v>204</v>
      </c>
      <c r="D7734" s="733">
        <v>-28201</v>
      </c>
      <c r="E7734" s="201">
        <v>45778</v>
      </c>
      <c r="F7734" s="200" t="s">
        <v>296</v>
      </c>
      <c r="G7734" s="200" t="s">
        <v>1362</v>
      </c>
      <c r="H7734" s="200" t="s">
        <v>5384</v>
      </c>
    </row>
    <row r="7735" spans="1:9" ht="15" customHeight="1">
      <c r="A7735" s="199">
        <v>45791</v>
      </c>
      <c r="B7735" s="202" t="s">
        <v>6022</v>
      </c>
      <c r="C7735" s="200" t="s">
        <v>204</v>
      </c>
      <c r="D7735" s="733">
        <v>-18240</v>
      </c>
      <c r="E7735" s="201">
        <v>45778</v>
      </c>
      <c r="F7735" s="200" t="s">
        <v>297</v>
      </c>
      <c r="G7735" s="200" t="s">
        <v>1313</v>
      </c>
      <c r="H7735" s="200" t="s">
        <v>5384</v>
      </c>
    </row>
    <row r="7736" spans="1:9" ht="15" customHeight="1">
      <c r="A7736" s="199">
        <v>45792</v>
      </c>
      <c r="B7736" s="202" t="s">
        <v>6023</v>
      </c>
      <c r="C7736" s="200" t="s">
        <v>204</v>
      </c>
      <c r="D7736" s="733">
        <v>-606900</v>
      </c>
      <c r="E7736" s="201">
        <v>45778</v>
      </c>
      <c r="F7736" s="200" t="s">
        <v>296</v>
      </c>
      <c r="G7736" s="200" t="s">
        <v>3360</v>
      </c>
      <c r="H7736" s="200" t="s">
        <v>386</v>
      </c>
    </row>
    <row r="7737" spans="1:9" ht="15" customHeight="1">
      <c r="A7737" s="199">
        <v>45762</v>
      </c>
      <c r="B7737" s="202" t="s">
        <v>6024</v>
      </c>
      <c r="C7737" s="200" t="s">
        <v>204</v>
      </c>
      <c r="D7737" s="733">
        <v>-100000</v>
      </c>
      <c r="E7737" s="201">
        <v>45778</v>
      </c>
      <c r="F7737" s="200" t="s">
        <v>296</v>
      </c>
      <c r="G7737" s="200" t="s">
        <v>5466</v>
      </c>
      <c r="H7737" s="200" t="s">
        <v>386</v>
      </c>
    </row>
    <row r="7738" spans="1:9" ht="15" customHeight="1">
      <c r="A7738" s="199">
        <v>45762</v>
      </c>
      <c r="B7738" s="202" t="s">
        <v>6025</v>
      </c>
      <c r="C7738" s="200" t="s">
        <v>204</v>
      </c>
      <c r="D7738" s="733">
        <v>-191719</v>
      </c>
      <c r="E7738" s="201">
        <v>45778</v>
      </c>
      <c r="F7738" s="200" t="s">
        <v>296</v>
      </c>
      <c r="G7738" s="200" t="s">
        <v>5466</v>
      </c>
      <c r="H7738" s="200" t="s">
        <v>386</v>
      </c>
    </row>
    <row r="7739" spans="1:9" ht="15" customHeight="1">
      <c r="A7739" s="199">
        <v>45762</v>
      </c>
      <c r="B7739" s="202" t="s">
        <v>6026</v>
      </c>
      <c r="C7739" s="200" t="s">
        <v>204</v>
      </c>
      <c r="D7739" s="733">
        <v>-987961</v>
      </c>
      <c r="E7739" s="201">
        <v>45778</v>
      </c>
      <c r="F7739" s="200" t="s">
        <v>296</v>
      </c>
      <c r="G7739" s="200" t="s">
        <v>6027</v>
      </c>
      <c r="H7739" s="200" t="s">
        <v>386</v>
      </c>
    </row>
    <row r="7740" spans="1:9" ht="15" customHeight="1">
      <c r="A7740" s="199">
        <v>45762</v>
      </c>
      <c r="B7740" s="202" t="s">
        <v>6028</v>
      </c>
      <c r="C7740" s="200" t="s">
        <v>204</v>
      </c>
      <c r="D7740" s="733">
        <v>-13027091</v>
      </c>
      <c r="E7740" s="201">
        <v>45778</v>
      </c>
      <c r="F7740" s="200" t="s">
        <v>296</v>
      </c>
      <c r="G7740" s="200" t="s">
        <v>6027</v>
      </c>
      <c r="H7740" s="200" t="s">
        <v>386</v>
      </c>
    </row>
    <row r="7741" spans="1:9" ht="15" customHeight="1">
      <c r="A7741" s="199">
        <v>45762</v>
      </c>
      <c r="B7741" s="202" t="s">
        <v>6029</v>
      </c>
      <c r="C7741" s="200" t="s">
        <v>204</v>
      </c>
      <c r="D7741" s="733">
        <v>-1955000</v>
      </c>
      <c r="E7741" s="201">
        <v>45778</v>
      </c>
      <c r="F7741" s="200" t="s">
        <v>256</v>
      </c>
      <c r="G7741" s="200" t="s">
        <v>107</v>
      </c>
      <c r="H7741" s="200" t="s">
        <v>777</v>
      </c>
    </row>
    <row r="7742" spans="1:9" ht="15" customHeight="1">
      <c r="A7742" s="199">
        <v>45762</v>
      </c>
      <c r="B7742" s="202" t="s">
        <v>6030</v>
      </c>
      <c r="C7742" s="200" t="s">
        <v>204</v>
      </c>
      <c r="D7742" s="733">
        <v>-2737000</v>
      </c>
      <c r="E7742" s="201">
        <v>45778</v>
      </c>
      <c r="F7742" s="200" t="s">
        <v>256</v>
      </c>
      <c r="G7742" s="200" t="s">
        <v>107</v>
      </c>
      <c r="H7742" s="200" t="s">
        <v>777</v>
      </c>
    </row>
    <row r="7743" spans="1:9" ht="15" customHeight="1">
      <c r="A7743" s="199">
        <v>45762</v>
      </c>
      <c r="B7743" s="202" t="s">
        <v>6031</v>
      </c>
      <c r="C7743" s="200" t="s">
        <v>204</v>
      </c>
      <c r="D7743" s="733">
        <v>-129150</v>
      </c>
      <c r="E7743" s="201">
        <v>45778</v>
      </c>
      <c r="F7743" s="200" t="s">
        <v>256</v>
      </c>
      <c r="G7743" s="200" t="s">
        <v>256</v>
      </c>
      <c r="H7743" s="200" t="s">
        <v>267</v>
      </c>
    </row>
    <row r="7744" spans="1:9" ht="15" customHeight="1">
      <c r="A7744" s="199">
        <v>45762</v>
      </c>
      <c r="B7744" s="202" t="s">
        <v>6032</v>
      </c>
      <c r="C7744" s="200" t="s">
        <v>204</v>
      </c>
      <c r="D7744" s="733">
        <v>-5991208</v>
      </c>
      <c r="E7744" s="201">
        <v>45778</v>
      </c>
      <c r="F7744" s="200" t="s">
        <v>296</v>
      </c>
      <c r="G7744" s="200" t="s">
        <v>5466</v>
      </c>
      <c r="H7744" s="200" t="s">
        <v>5389</v>
      </c>
      <c r="I7744" s="648" t="s">
        <v>329</v>
      </c>
    </row>
    <row r="7745" spans="1:9" ht="15" customHeight="1">
      <c r="A7745" s="199">
        <v>45786</v>
      </c>
      <c r="B7745" s="202" t="s">
        <v>6033</v>
      </c>
      <c r="C7745" s="200" t="s">
        <v>314</v>
      </c>
      <c r="D7745" s="204">
        <v>-1930000</v>
      </c>
      <c r="E7745" s="201">
        <v>45778</v>
      </c>
      <c r="F7745" s="200" t="s">
        <v>256</v>
      </c>
      <c r="G7745" s="200" t="s">
        <v>256</v>
      </c>
      <c r="H7745" s="200" t="s">
        <v>257</v>
      </c>
    </row>
    <row r="7746" spans="1:9" ht="15" customHeight="1">
      <c r="A7746" s="199">
        <v>45786</v>
      </c>
      <c r="B7746" s="202" t="s">
        <v>6034</v>
      </c>
      <c r="C7746" s="200" t="s">
        <v>314</v>
      </c>
      <c r="D7746" s="204">
        <v>-807242</v>
      </c>
      <c r="E7746" s="201">
        <v>45778</v>
      </c>
      <c r="F7746" s="200" t="s">
        <v>297</v>
      </c>
      <c r="G7746" s="200" t="s">
        <v>71</v>
      </c>
      <c r="H7746" s="200" t="s">
        <v>518</v>
      </c>
    </row>
    <row r="7747" spans="1:9" ht="15" customHeight="1">
      <c r="A7747" s="199">
        <v>45786</v>
      </c>
      <c r="B7747" s="202" t="s">
        <v>6035</v>
      </c>
      <c r="C7747" s="200" t="s">
        <v>314</v>
      </c>
      <c r="D7747" s="204">
        <v>-2306700</v>
      </c>
      <c r="E7747" s="201">
        <v>45778</v>
      </c>
      <c r="F7747" s="200" t="s">
        <v>296</v>
      </c>
      <c r="G7747" s="200" t="s">
        <v>2994</v>
      </c>
      <c r="H7747" s="200" t="s">
        <v>5376</v>
      </c>
      <c r="I7747" s="648" t="s">
        <v>329</v>
      </c>
    </row>
    <row r="7748" spans="1:9" ht="15" customHeight="1">
      <c r="A7748" s="199">
        <v>45790</v>
      </c>
      <c r="B7748" s="202" t="s">
        <v>6036</v>
      </c>
      <c r="C7748" s="200" t="s">
        <v>314</v>
      </c>
      <c r="D7748" s="204">
        <v>-400000</v>
      </c>
      <c r="E7748" s="201">
        <v>45778</v>
      </c>
      <c r="F7748" s="200" t="s">
        <v>296</v>
      </c>
      <c r="G7748" s="200" t="s">
        <v>57</v>
      </c>
      <c r="H7748" s="200" t="s">
        <v>97</v>
      </c>
    </row>
    <row r="7749" spans="1:9" ht="15" customHeight="1">
      <c r="A7749" s="199">
        <v>45789</v>
      </c>
      <c r="B7749" s="202" t="s">
        <v>6037</v>
      </c>
      <c r="C7749" s="200" t="s">
        <v>136</v>
      </c>
      <c r="D7749" s="658">
        <v>-115333</v>
      </c>
      <c r="E7749" s="201">
        <v>45778</v>
      </c>
      <c r="F7749" s="200" t="s">
        <v>256</v>
      </c>
      <c r="G7749" s="200" t="s">
        <v>256</v>
      </c>
      <c r="H7749" s="200" t="s">
        <v>115</v>
      </c>
    </row>
    <row r="7750" spans="1:9" ht="15" customHeight="1">
      <c r="A7750" s="199">
        <v>45789</v>
      </c>
      <c r="B7750" s="202" t="s">
        <v>6038</v>
      </c>
      <c r="C7750" s="200" t="s">
        <v>136</v>
      </c>
      <c r="D7750" s="658">
        <v>-283940</v>
      </c>
      <c r="E7750" s="201">
        <v>45778</v>
      </c>
      <c r="F7750" s="200" t="s">
        <v>256</v>
      </c>
      <c r="G7750" s="200" t="s">
        <v>256</v>
      </c>
      <c r="H7750" s="200" t="s">
        <v>265</v>
      </c>
    </row>
    <row r="7751" spans="1:9" ht="15" customHeight="1">
      <c r="A7751" s="199">
        <v>45789</v>
      </c>
      <c r="B7751" s="202" t="s">
        <v>6039</v>
      </c>
      <c r="C7751" s="200" t="s">
        <v>136</v>
      </c>
      <c r="D7751" s="658">
        <v>-129760</v>
      </c>
      <c r="E7751" s="201">
        <v>45778</v>
      </c>
      <c r="F7751" s="200" t="s">
        <v>256</v>
      </c>
      <c r="G7751" s="200" t="s">
        <v>256</v>
      </c>
      <c r="H7751" s="200" t="s">
        <v>265</v>
      </c>
    </row>
    <row r="7752" spans="1:9" ht="15" customHeight="1">
      <c r="A7752" s="199">
        <v>45789</v>
      </c>
      <c r="B7752" s="202" t="s">
        <v>6040</v>
      </c>
      <c r="C7752" s="200" t="s">
        <v>136</v>
      </c>
      <c r="D7752" s="658">
        <v>-6490000</v>
      </c>
      <c r="E7752" s="201">
        <v>45778</v>
      </c>
      <c r="F7752" s="200" t="s">
        <v>297</v>
      </c>
      <c r="G7752" s="200" t="s">
        <v>3892</v>
      </c>
      <c r="H7752" s="200" t="s">
        <v>342</v>
      </c>
    </row>
    <row r="7753" spans="1:9" ht="15" customHeight="1">
      <c r="A7753" s="199">
        <v>45789</v>
      </c>
      <c r="B7753" s="202" t="s">
        <v>6041</v>
      </c>
      <c r="C7753" s="200" t="s">
        <v>136</v>
      </c>
      <c r="D7753" s="658">
        <v>-6393036</v>
      </c>
      <c r="E7753" s="201">
        <v>45778</v>
      </c>
      <c r="F7753" s="200" t="s">
        <v>256</v>
      </c>
      <c r="G7753" s="200" t="s">
        <v>256</v>
      </c>
      <c r="H7753" s="200" t="s">
        <v>257</v>
      </c>
    </row>
    <row r="7754" spans="1:9" ht="15" customHeight="1">
      <c r="A7754" s="199">
        <v>45789</v>
      </c>
      <c r="B7754" s="202" t="s">
        <v>6042</v>
      </c>
      <c r="C7754" s="200" t="s">
        <v>372</v>
      </c>
      <c r="D7754" s="204">
        <v>-194740</v>
      </c>
      <c r="E7754" s="201">
        <v>45778</v>
      </c>
      <c r="F7754" s="200" t="s">
        <v>256</v>
      </c>
      <c r="G7754" s="200" t="s">
        <v>256</v>
      </c>
      <c r="H7754" s="200" t="s">
        <v>257</v>
      </c>
    </row>
    <row r="7755" spans="1:9" ht="15" customHeight="1">
      <c r="A7755" s="199">
        <v>45789</v>
      </c>
      <c r="B7755" s="202" t="s">
        <v>6043</v>
      </c>
      <c r="C7755" s="200" t="s">
        <v>372</v>
      </c>
      <c r="D7755" s="204">
        <v>-33384</v>
      </c>
      <c r="E7755" s="201">
        <v>45778</v>
      </c>
      <c r="F7755" s="200" t="s">
        <v>256</v>
      </c>
      <c r="G7755" s="200" t="s">
        <v>256</v>
      </c>
      <c r="H7755" s="200" t="s">
        <v>257</v>
      </c>
    </row>
    <row r="7756" spans="1:9" ht="15" customHeight="1">
      <c r="A7756" s="199">
        <v>45789</v>
      </c>
      <c r="B7756" s="202" t="s">
        <v>6044</v>
      </c>
      <c r="C7756" s="200" t="s">
        <v>136</v>
      </c>
      <c r="D7756" s="658">
        <v>-721159</v>
      </c>
      <c r="E7756" s="201">
        <v>45778</v>
      </c>
      <c r="F7756" s="200" t="s">
        <v>256</v>
      </c>
      <c r="G7756" s="200" t="s">
        <v>256</v>
      </c>
      <c r="H7756" s="200" t="s">
        <v>263</v>
      </c>
    </row>
    <row r="7757" spans="1:9" ht="15" customHeight="1">
      <c r="A7757" s="199">
        <v>45789</v>
      </c>
      <c r="B7757" s="202" t="s">
        <v>6045</v>
      </c>
      <c r="C7757" s="200" t="s">
        <v>136</v>
      </c>
      <c r="D7757" s="658">
        <v>-3456002</v>
      </c>
      <c r="E7757" s="201">
        <v>45778</v>
      </c>
      <c r="F7757" s="200" t="s">
        <v>296</v>
      </c>
      <c r="G7757" s="200" t="s">
        <v>57</v>
      </c>
      <c r="H7757" s="200" t="s">
        <v>96</v>
      </c>
    </row>
    <row r="7758" spans="1:9" ht="15" customHeight="1">
      <c r="A7758" s="199">
        <v>45789</v>
      </c>
      <c r="B7758" s="202" t="s">
        <v>6046</v>
      </c>
      <c r="C7758" s="200" t="s">
        <v>372</v>
      </c>
      <c r="D7758" s="204">
        <v>-352000</v>
      </c>
      <c r="E7758" s="201">
        <v>45778</v>
      </c>
      <c r="F7758" s="200" t="s">
        <v>296</v>
      </c>
      <c r="G7758" s="200" t="s">
        <v>57</v>
      </c>
      <c r="H7758" s="200" t="s">
        <v>96</v>
      </c>
    </row>
    <row r="7759" spans="1:9" ht="15" customHeight="1">
      <c r="A7759" s="199">
        <v>45789</v>
      </c>
      <c r="B7759" s="202" t="s">
        <v>6047</v>
      </c>
      <c r="C7759" s="200" t="s">
        <v>136</v>
      </c>
      <c r="D7759" s="658">
        <v>-59900</v>
      </c>
      <c r="E7759" s="201">
        <v>45778</v>
      </c>
      <c r="F7759" s="200" t="s">
        <v>296</v>
      </c>
      <c r="G7759" s="200" t="s">
        <v>1980</v>
      </c>
      <c r="H7759" s="200" t="s">
        <v>322</v>
      </c>
    </row>
    <row r="7760" spans="1:9" ht="15" customHeight="1">
      <c r="A7760" s="199">
        <v>45789</v>
      </c>
      <c r="B7760" s="202" t="s">
        <v>6047</v>
      </c>
      <c r="C7760" s="200" t="s">
        <v>136</v>
      </c>
      <c r="D7760" s="658">
        <v>-240700</v>
      </c>
      <c r="E7760" s="201">
        <v>45778</v>
      </c>
      <c r="F7760" s="200" t="s">
        <v>296</v>
      </c>
      <c r="G7760" s="200" t="s">
        <v>1980</v>
      </c>
      <c r="H7760" s="200" t="s">
        <v>322</v>
      </c>
    </row>
    <row r="7761" spans="1:9" ht="15" customHeight="1">
      <c r="A7761" s="199">
        <v>45789</v>
      </c>
      <c r="B7761" s="202" t="s">
        <v>6048</v>
      </c>
      <c r="C7761" s="200" t="s">
        <v>136</v>
      </c>
      <c r="D7761" s="658">
        <v>-1918800</v>
      </c>
      <c r="E7761" s="201">
        <v>45778</v>
      </c>
      <c r="F7761" s="200" t="s">
        <v>296</v>
      </c>
      <c r="G7761" s="200" t="s">
        <v>1980</v>
      </c>
      <c r="H7761" s="200" t="s">
        <v>811</v>
      </c>
    </row>
    <row r="7762" spans="1:9" ht="15" customHeight="1">
      <c r="A7762" s="199">
        <v>45789</v>
      </c>
      <c r="B7762" s="202" t="s">
        <v>6049</v>
      </c>
      <c r="C7762" s="200" t="s">
        <v>372</v>
      </c>
      <c r="D7762" s="204">
        <v>-11700</v>
      </c>
      <c r="E7762" s="201">
        <v>45778</v>
      </c>
      <c r="F7762" s="200" t="s">
        <v>296</v>
      </c>
      <c r="G7762" s="200" t="s">
        <v>1980</v>
      </c>
      <c r="H7762" s="200" t="s">
        <v>811</v>
      </c>
    </row>
    <row r="7763" spans="1:9" ht="15" customHeight="1">
      <c r="A7763" s="199">
        <v>45789</v>
      </c>
      <c r="B7763" s="202" t="s">
        <v>6050</v>
      </c>
      <c r="C7763" s="200" t="s">
        <v>136</v>
      </c>
      <c r="D7763" s="658">
        <v>-426240</v>
      </c>
      <c r="E7763" s="201">
        <v>45778</v>
      </c>
      <c r="F7763" s="200" t="s">
        <v>296</v>
      </c>
      <c r="G7763" s="200" t="s">
        <v>1362</v>
      </c>
      <c r="H7763" s="200" t="s">
        <v>5376</v>
      </c>
    </row>
    <row r="7764" spans="1:9" ht="15" customHeight="1">
      <c r="A7764" s="199">
        <v>45789</v>
      </c>
      <c r="B7764" s="202" t="s">
        <v>6051</v>
      </c>
      <c r="C7764" s="200" t="s">
        <v>372</v>
      </c>
      <c r="D7764" s="204">
        <v>-2160</v>
      </c>
      <c r="E7764" s="201">
        <v>45778</v>
      </c>
      <c r="F7764" s="200" t="s">
        <v>296</v>
      </c>
      <c r="G7764" s="200" t="s">
        <v>1362</v>
      </c>
      <c r="H7764" s="200" t="s">
        <v>5376</v>
      </c>
    </row>
    <row r="7765" spans="1:9" ht="15" customHeight="1">
      <c r="A7765" s="199">
        <v>45789</v>
      </c>
      <c r="B7765" s="202" t="s">
        <v>6050</v>
      </c>
      <c r="C7765" s="200" t="s">
        <v>136</v>
      </c>
      <c r="D7765" s="658">
        <v>-426240</v>
      </c>
      <c r="E7765" s="201">
        <v>45778</v>
      </c>
      <c r="F7765" s="200" t="s">
        <v>296</v>
      </c>
      <c r="G7765" s="200" t="s">
        <v>1362</v>
      </c>
      <c r="H7765" s="200" t="s">
        <v>5376</v>
      </c>
    </row>
    <row r="7766" spans="1:9" ht="15" customHeight="1">
      <c r="A7766" s="199">
        <v>45789</v>
      </c>
      <c r="B7766" s="202" t="s">
        <v>6051</v>
      </c>
      <c r="C7766" s="200" t="s">
        <v>372</v>
      </c>
      <c r="D7766" s="204">
        <v>-2160</v>
      </c>
      <c r="E7766" s="201">
        <v>45778</v>
      </c>
      <c r="F7766" s="200" t="s">
        <v>296</v>
      </c>
      <c r="G7766" s="200" t="s">
        <v>1362</v>
      </c>
      <c r="H7766" s="200" t="s">
        <v>5376</v>
      </c>
      <c r="I7766" s="648" t="s">
        <v>329</v>
      </c>
    </row>
    <row r="7767" spans="1:9" ht="15" customHeight="1">
      <c r="A7767" s="199">
        <v>45789</v>
      </c>
      <c r="B7767" s="202" t="s">
        <v>6052</v>
      </c>
      <c r="C7767" s="200" t="s">
        <v>136</v>
      </c>
      <c r="D7767" s="658">
        <v>-284160</v>
      </c>
      <c r="E7767" s="201">
        <v>45778</v>
      </c>
      <c r="F7767" s="200" t="s">
        <v>296</v>
      </c>
      <c r="G7767" s="200" t="s">
        <v>1362</v>
      </c>
      <c r="H7767" s="200" t="s">
        <v>342</v>
      </c>
    </row>
    <row r="7768" spans="1:9" ht="15" customHeight="1">
      <c r="A7768" s="199">
        <v>45789</v>
      </c>
      <c r="B7768" s="202" t="s">
        <v>6053</v>
      </c>
      <c r="C7768" s="200" t="s">
        <v>372</v>
      </c>
      <c r="D7768" s="204">
        <v>-1440</v>
      </c>
      <c r="E7768" s="201">
        <v>45778</v>
      </c>
      <c r="F7768" s="200" t="s">
        <v>296</v>
      </c>
      <c r="G7768" s="200" t="s">
        <v>1362</v>
      </c>
      <c r="H7768" s="200" t="s">
        <v>342</v>
      </c>
    </row>
    <row r="7769" spans="1:9" ht="15" customHeight="1">
      <c r="A7769" s="199">
        <v>45789</v>
      </c>
      <c r="B7769" s="202" t="s">
        <v>5719</v>
      </c>
      <c r="C7769" s="200" t="s">
        <v>136</v>
      </c>
      <c r="D7769" s="658">
        <v>-11600</v>
      </c>
      <c r="E7769" s="201">
        <v>45778</v>
      </c>
      <c r="F7769" s="200" t="s">
        <v>296</v>
      </c>
      <c r="G7769" s="200" t="s">
        <v>1983</v>
      </c>
      <c r="H7769" s="200" t="s">
        <v>322</v>
      </c>
    </row>
    <row r="7770" spans="1:9" ht="15" customHeight="1">
      <c r="A7770" s="199">
        <v>45789</v>
      </c>
      <c r="B7770" s="202" t="s">
        <v>6054</v>
      </c>
      <c r="C7770" s="200" t="s">
        <v>136</v>
      </c>
      <c r="D7770" s="658">
        <v>-11600</v>
      </c>
      <c r="E7770" s="201">
        <v>45778</v>
      </c>
      <c r="F7770" s="200" t="s">
        <v>296</v>
      </c>
      <c r="G7770" s="200" t="s">
        <v>1980</v>
      </c>
      <c r="H7770" s="200" t="s">
        <v>322</v>
      </c>
    </row>
    <row r="7771" spans="1:9" ht="15" customHeight="1">
      <c r="A7771" s="199">
        <v>45789</v>
      </c>
      <c r="B7771" s="202" t="s">
        <v>6055</v>
      </c>
      <c r="C7771" s="200" t="s">
        <v>136</v>
      </c>
      <c r="D7771" s="658">
        <v>-2340000</v>
      </c>
      <c r="E7771" s="201">
        <v>45778</v>
      </c>
      <c r="F7771" s="200" t="s">
        <v>296</v>
      </c>
      <c r="G7771" s="200" t="s">
        <v>522</v>
      </c>
      <c r="H7771" s="200" t="s">
        <v>326</v>
      </c>
    </row>
    <row r="7772" spans="1:9" ht="15" customHeight="1">
      <c r="A7772" s="199">
        <v>45789</v>
      </c>
      <c r="B7772" s="202" t="s">
        <v>6056</v>
      </c>
      <c r="C7772" s="200" t="s">
        <v>372</v>
      </c>
      <c r="D7772" s="204">
        <v>-8870</v>
      </c>
      <c r="E7772" s="201">
        <v>45778</v>
      </c>
      <c r="F7772" s="200" t="s">
        <v>296</v>
      </c>
      <c r="G7772" s="200" t="s">
        <v>522</v>
      </c>
      <c r="H7772" s="200" t="s">
        <v>326</v>
      </c>
    </row>
    <row r="7773" spans="1:9" ht="15" customHeight="1">
      <c r="A7773" s="199">
        <v>45789</v>
      </c>
      <c r="B7773" s="202" t="s">
        <v>6057</v>
      </c>
      <c r="C7773" s="200" t="s">
        <v>136</v>
      </c>
      <c r="D7773" s="658">
        <v>-2725500</v>
      </c>
      <c r="E7773" s="201">
        <v>45778</v>
      </c>
      <c r="F7773" s="200" t="s">
        <v>256</v>
      </c>
      <c r="G7773" s="200" t="s">
        <v>256</v>
      </c>
      <c r="H7773" s="200" t="s">
        <v>9</v>
      </c>
    </row>
    <row r="7774" spans="1:9" ht="15" customHeight="1">
      <c r="A7774" s="199">
        <v>45789</v>
      </c>
      <c r="B7774" s="202" t="s">
        <v>6058</v>
      </c>
      <c r="C7774" s="200" t="s">
        <v>372</v>
      </c>
      <c r="D7774" s="204">
        <v>-199500</v>
      </c>
      <c r="E7774" s="201">
        <v>45778</v>
      </c>
      <c r="F7774" s="200" t="s">
        <v>256</v>
      </c>
      <c r="G7774" s="200" t="s">
        <v>256</v>
      </c>
      <c r="H7774" s="200" t="s">
        <v>9</v>
      </c>
    </row>
    <row r="7775" spans="1:9" ht="15" customHeight="1">
      <c r="A7775" s="199">
        <v>45790</v>
      </c>
      <c r="B7775" s="202" t="s">
        <v>6059</v>
      </c>
      <c r="C7775" s="200" t="s">
        <v>136</v>
      </c>
      <c r="D7775" s="658">
        <v>-59884000</v>
      </c>
      <c r="E7775" s="201">
        <v>45778</v>
      </c>
      <c r="F7775" s="200" t="s">
        <v>525</v>
      </c>
    </row>
    <row r="7776" spans="1:9" ht="15" customHeight="1">
      <c r="A7776" s="199">
        <v>45790</v>
      </c>
      <c r="B7776" s="202" t="s">
        <v>6060</v>
      </c>
      <c r="C7776" s="200" t="s">
        <v>136</v>
      </c>
      <c r="D7776" s="658">
        <v>-183000</v>
      </c>
      <c r="E7776" s="201">
        <v>45778</v>
      </c>
      <c r="F7776" s="200" t="s">
        <v>525</v>
      </c>
    </row>
    <row r="7777" spans="1:8" ht="15" customHeight="1">
      <c r="A7777" s="199">
        <v>45790</v>
      </c>
      <c r="B7777" s="722" t="s">
        <v>6061</v>
      </c>
      <c r="C7777" s="200" t="s">
        <v>136</v>
      </c>
      <c r="D7777" s="658">
        <v>-278760</v>
      </c>
      <c r="E7777" s="201">
        <v>45778</v>
      </c>
      <c r="F7777" s="200" t="s">
        <v>296</v>
      </c>
      <c r="G7777" s="200" t="s">
        <v>57</v>
      </c>
      <c r="H7777" s="200" t="s">
        <v>105</v>
      </c>
    </row>
    <row r="7778" spans="1:8" ht="15" customHeight="1">
      <c r="A7778" s="199">
        <v>45790</v>
      </c>
      <c r="B7778" s="722" t="s">
        <v>6062</v>
      </c>
      <c r="C7778" s="200" t="s">
        <v>372</v>
      </c>
      <c r="D7778" s="204">
        <v>-6840</v>
      </c>
      <c r="E7778" s="201">
        <v>45778</v>
      </c>
      <c r="F7778" s="200" t="s">
        <v>296</v>
      </c>
      <c r="G7778" s="200" t="s">
        <v>57</v>
      </c>
      <c r="H7778" s="200" t="s">
        <v>105</v>
      </c>
    </row>
    <row r="7779" spans="1:8" ht="15" customHeight="1">
      <c r="A7779" s="199">
        <v>45790</v>
      </c>
      <c r="B7779" s="722" t="s">
        <v>6063</v>
      </c>
      <c r="C7779" s="200" t="s">
        <v>136</v>
      </c>
      <c r="D7779" s="658">
        <v>-18500</v>
      </c>
      <c r="E7779" s="201">
        <v>45778</v>
      </c>
      <c r="F7779" s="200" t="s">
        <v>296</v>
      </c>
      <c r="G7779" s="200" t="s">
        <v>57</v>
      </c>
      <c r="H7779" s="200" t="s">
        <v>105</v>
      </c>
    </row>
    <row r="7780" spans="1:8" ht="15" customHeight="1">
      <c r="A7780" s="199">
        <v>45790</v>
      </c>
      <c r="B7780" s="202" t="s">
        <v>5766</v>
      </c>
      <c r="C7780" s="200" t="s">
        <v>136</v>
      </c>
      <c r="D7780" s="658">
        <v>-10100000</v>
      </c>
      <c r="E7780" s="201">
        <v>45778</v>
      </c>
      <c r="F7780" s="200" t="s">
        <v>296</v>
      </c>
      <c r="G7780" s="200" t="s">
        <v>807</v>
      </c>
      <c r="H7780" s="200" t="s">
        <v>442</v>
      </c>
    </row>
    <row r="7781" spans="1:8" ht="15" customHeight="1">
      <c r="A7781" s="199">
        <v>45790</v>
      </c>
      <c r="B7781" s="202" t="s">
        <v>6064</v>
      </c>
      <c r="C7781" s="200" t="s">
        <v>136</v>
      </c>
      <c r="D7781" s="658">
        <v>-1780000</v>
      </c>
      <c r="E7781" s="201">
        <v>45778</v>
      </c>
      <c r="F7781" s="200" t="s">
        <v>296</v>
      </c>
      <c r="G7781" s="200" t="s">
        <v>57</v>
      </c>
      <c r="H7781" s="200" t="s">
        <v>98</v>
      </c>
    </row>
    <row r="7782" spans="1:8" ht="15" customHeight="1">
      <c r="A7782" s="199">
        <v>45790</v>
      </c>
      <c r="B7782" s="202" t="s">
        <v>6065</v>
      </c>
      <c r="C7782" s="200" t="s">
        <v>136</v>
      </c>
      <c r="D7782" s="658">
        <v>-2787600</v>
      </c>
      <c r="E7782" s="201">
        <v>45778</v>
      </c>
      <c r="F7782" s="200" t="s">
        <v>256</v>
      </c>
      <c r="G7782" s="200" t="s">
        <v>107</v>
      </c>
      <c r="H7782" s="200" t="s">
        <v>777</v>
      </c>
    </row>
    <row r="7783" spans="1:8" ht="15" customHeight="1">
      <c r="A7783" s="199">
        <v>45790</v>
      </c>
      <c r="B7783" s="202" t="s">
        <v>6066</v>
      </c>
      <c r="C7783" s="200" t="s">
        <v>136</v>
      </c>
      <c r="D7783" s="658">
        <v>-989898</v>
      </c>
      <c r="E7783" s="201">
        <v>45778</v>
      </c>
      <c r="F7783" s="200" t="s">
        <v>256</v>
      </c>
      <c r="G7783" s="200" t="s">
        <v>107</v>
      </c>
      <c r="H7783" s="200" t="s">
        <v>777</v>
      </c>
    </row>
    <row r="7784" spans="1:8" ht="15" customHeight="1">
      <c r="A7784" s="199">
        <v>45790</v>
      </c>
      <c r="B7784" s="202" t="s">
        <v>6067</v>
      </c>
      <c r="C7784" s="200" t="s">
        <v>136</v>
      </c>
      <c r="D7784" s="658">
        <v>-438980</v>
      </c>
      <c r="E7784" s="201">
        <v>45778</v>
      </c>
      <c r="F7784" s="200" t="s">
        <v>296</v>
      </c>
      <c r="G7784" s="200" t="s">
        <v>522</v>
      </c>
      <c r="H7784" s="200" t="s">
        <v>429</v>
      </c>
    </row>
    <row r="7785" spans="1:8" ht="15" customHeight="1">
      <c r="A7785" s="199">
        <v>45790</v>
      </c>
      <c r="B7785" s="202" t="s">
        <v>5689</v>
      </c>
      <c r="C7785" s="200" t="s">
        <v>136</v>
      </c>
      <c r="D7785" s="658">
        <v>-558350</v>
      </c>
      <c r="E7785" s="201">
        <v>45778</v>
      </c>
      <c r="F7785" s="200" t="s">
        <v>256</v>
      </c>
      <c r="G7785" s="200" t="s">
        <v>256</v>
      </c>
      <c r="H7785" s="200" t="s">
        <v>269</v>
      </c>
    </row>
    <row r="7786" spans="1:8" ht="15" customHeight="1">
      <c r="A7786" s="199">
        <v>45790</v>
      </c>
      <c r="B7786" s="202" t="s">
        <v>6068</v>
      </c>
      <c r="C7786" s="200" t="s">
        <v>136</v>
      </c>
      <c r="D7786" s="658">
        <v>-599730</v>
      </c>
      <c r="E7786" s="201">
        <v>45778</v>
      </c>
      <c r="F7786" s="200" t="s">
        <v>296</v>
      </c>
      <c r="G7786" s="200" t="s">
        <v>522</v>
      </c>
      <c r="H7786" s="200" t="s">
        <v>429</v>
      </c>
    </row>
    <row r="7787" spans="1:8" ht="15" customHeight="1">
      <c r="A7787" s="199">
        <v>45790</v>
      </c>
      <c r="B7787" s="202" t="s">
        <v>6069</v>
      </c>
      <c r="C7787" s="200" t="s">
        <v>136</v>
      </c>
      <c r="D7787" s="658">
        <v>-16255400</v>
      </c>
      <c r="E7787" s="201">
        <v>45778</v>
      </c>
      <c r="F7787" s="200" t="s">
        <v>296</v>
      </c>
      <c r="G7787" s="200" t="s">
        <v>44</v>
      </c>
      <c r="H7787" s="200" t="s">
        <v>1066</v>
      </c>
    </row>
    <row r="7788" spans="1:8" ht="15" customHeight="1">
      <c r="A7788" s="199">
        <v>45790</v>
      </c>
      <c r="B7788" s="202" t="s">
        <v>6070</v>
      </c>
      <c r="C7788" s="200" t="s">
        <v>136</v>
      </c>
      <c r="D7788" s="658">
        <v>-2200000</v>
      </c>
      <c r="E7788" s="201">
        <v>45778</v>
      </c>
      <c r="F7788" s="200" t="s">
        <v>296</v>
      </c>
      <c r="G7788" s="200" t="s">
        <v>57</v>
      </c>
      <c r="H7788" s="200" t="s">
        <v>101</v>
      </c>
    </row>
    <row r="7789" spans="1:8" ht="15" customHeight="1">
      <c r="A7789" s="199">
        <v>45790</v>
      </c>
      <c r="B7789" s="202" t="s">
        <v>6071</v>
      </c>
      <c r="C7789" s="200" t="s">
        <v>136</v>
      </c>
      <c r="D7789" s="658">
        <v>-694370</v>
      </c>
      <c r="E7789" s="201">
        <v>45778</v>
      </c>
      <c r="F7789" s="200" t="s">
        <v>256</v>
      </c>
      <c r="G7789" s="200" t="s">
        <v>256</v>
      </c>
      <c r="H7789" s="200" t="s">
        <v>270</v>
      </c>
    </row>
    <row r="7790" spans="1:8" ht="15" customHeight="1">
      <c r="A7790" s="199">
        <v>45790</v>
      </c>
      <c r="B7790" s="202" t="s">
        <v>6072</v>
      </c>
      <c r="C7790" s="200" t="s">
        <v>136</v>
      </c>
      <c r="D7790" s="658">
        <v>-3851250</v>
      </c>
      <c r="E7790" s="201">
        <v>45778</v>
      </c>
      <c r="F7790" s="200" t="s">
        <v>296</v>
      </c>
      <c r="G7790" s="200" t="s">
        <v>1980</v>
      </c>
      <c r="H7790" s="200" t="s">
        <v>322</v>
      </c>
    </row>
    <row r="7791" spans="1:8" ht="15" customHeight="1">
      <c r="A7791" s="199">
        <v>45790</v>
      </c>
      <c r="B7791" s="202" t="s">
        <v>6072</v>
      </c>
      <c r="C7791" s="200" t="s">
        <v>136</v>
      </c>
      <c r="D7791" s="658">
        <v>-2742500</v>
      </c>
      <c r="E7791" s="201">
        <v>45778</v>
      </c>
      <c r="F7791" s="200" t="s">
        <v>296</v>
      </c>
      <c r="G7791" s="200" t="s">
        <v>807</v>
      </c>
      <c r="H7791" s="200" t="s">
        <v>322</v>
      </c>
    </row>
    <row r="7792" spans="1:8" ht="15" customHeight="1">
      <c r="A7792" s="199">
        <v>45790</v>
      </c>
      <c r="B7792" s="202" t="s">
        <v>6072</v>
      </c>
      <c r="C7792" s="200" t="s">
        <v>136</v>
      </c>
      <c r="D7792" s="658">
        <v>-37500</v>
      </c>
      <c r="E7792" s="201">
        <v>45778</v>
      </c>
      <c r="F7792" s="200" t="s">
        <v>296</v>
      </c>
      <c r="G7792" s="200" t="s">
        <v>1980</v>
      </c>
      <c r="H7792" s="200" t="s">
        <v>322</v>
      </c>
    </row>
    <row r="7793" spans="1:9" ht="15" customHeight="1">
      <c r="A7793" s="199">
        <v>45790</v>
      </c>
      <c r="B7793" s="202" t="s">
        <v>6072</v>
      </c>
      <c r="C7793" s="200" t="s">
        <v>136</v>
      </c>
      <c r="D7793" s="658">
        <v>-37500</v>
      </c>
      <c r="E7793" s="201">
        <v>45778</v>
      </c>
      <c r="F7793" s="200" t="s">
        <v>296</v>
      </c>
      <c r="G7793" s="200" t="s">
        <v>807</v>
      </c>
      <c r="H7793" s="200" t="s">
        <v>322</v>
      </c>
    </row>
    <row r="7794" spans="1:9" ht="15" customHeight="1">
      <c r="A7794" s="199">
        <v>45790</v>
      </c>
      <c r="B7794" s="202" t="s">
        <v>6073</v>
      </c>
      <c r="C7794" s="200" t="s">
        <v>136</v>
      </c>
      <c r="D7794" s="658">
        <v>-138040</v>
      </c>
      <c r="E7794" s="201">
        <v>45778</v>
      </c>
      <c r="F7794" s="200" t="s">
        <v>296</v>
      </c>
      <c r="G7794" s="200" t="s">
        <v>522</v>
      </c>
      <c r="H7794" s="200" t="s">
        <v>366</v>
      </c>
      <c r="I7794" s="200" t="s">
        <v>5744</v>
      </c>
    </row>
    <row r="7795" spans="1:9" ht="15" customHeight="1">
      <c r="A7795" s="199">
        <v>45790</v>
      </c>
      <c r="B7795" s="202" t="s">
        <v>6074</v>
      </c>
      <c r="C7795" s="200" t="s">
        <v>136</v>
      </c>
      <c r="D7795" s="658">
        <v>-16255400</v>
      </c>
      <c r="E7795" s="201">
        <v>45778</v>
      </c>
      <c r="F7795" s="200" t="s">
        <v>296</v>
      </c>
      <c r="G7795" s="200" t="s">
        <v>522</v>
      </c>
      <c r="H7795" s="200" t="s">
        <v>1066</v>
      </c>
    </row>
    <row r="7796" spans="1:9" ht="15" customHeight="1">
      <c r="A7796" s="199">
        <v>45790</v>
      </c>
      <c r="B7796" s="202" t="s">
        <v>6075</v>
      </c>
      <c r="C7796" s="200" t="s">
        <v>136</v>
      </c>
      <c r="D7796" s="658">
        <v>-8798487</v>
      </c>
      <c r="E7796" s="201">
        <v>45778</v>
      </c>
      <c r="F7796" s="200" t="s">
        <v>296</v>
      </c>
      <c r="G7796" s="200" t="s">
        <v>1980</v>
      </c>
      <c r="H7796" s="200" t="s">
        <v>518</v>
      </c>
    </row>
    <row r="7797" spans="1:9" ht="15" customHeight="1">
      <c r="A7797" s="199">
        <v>45790</v>
      </c>
      <c r="B7797" s="202" t="s">
        <v>6076</v>
      </c>
      <c r="C7797" s="200" t="s">
        <v>136</v>
      </c>
      <c r="D7797" s="658">
        <v>-8393621</v>
      </c>
      <c r="E7797" s="201">
        <v>45778</v>
      </c>
      <c r="F7797" s="200" t="s">
        <v>296</v>
      </c>
      <c r="G7797" s="200" t="s">
        <v>1983</v>
      </c>
      <c r="H7797" s="200" t="s">
        <v>518</v>
      </c>
    </row>
    <row r="7798" spans="1:9" ht="15" customHeight="1">
      <c r="A7798" s="199">
        <v>45790</v>
      </c>
      <c r="B7798" s="202" t="s">
        <v>6077</v>
      </c>
      <c r="C7798" s="200" t="s">
        <v>136</v>
      </c>
      <c r="D7798" s="658">
        <v>-3474000</v>
      </c>
      <c r="E7798" s="201">
        <v>45778</v>
      </c>
      <c r="F7798" s="200" t="s">
        <v>256</v>
      </c>
      <c r="G7798" s="200" t="s">
        <v>256</v>
      </c>
      <c r="H7798" s="200" t="s">
        <v>257</v>
      </c>
    </row>
    <row r="7799" spans="1:9" ht="15" customHeight="1">
      <c r="A7799" s="199">
        <v>45790</v>
      </c>
      <c r="B7799" s="202" t="s">
        <v>6078</v>
      </c>
      <c r="C7799" s="200" t="s">
        <v>136</v>
      </c>
      <c r="D7799" s="658">
        <v>-9653900</v>
      </c>
      <c r="E7799" s="201">
        <v>45778</v>
      </c>
      <c r="F7799" s="200" t="s">
        <v>297</v>
      </c>
      <c r="G7799" s="200" t="s">
        <v>3892</v>
      </c>
      <c r="H7799" s="200" t="s">
        <v>839</v>
      </c>
    </row>
    <row r="7800" spans="1:9" ht="15" customHeight="1">
      <c r="A7800" s="199">
        <v>45790</v>
      </c>
      <c r="B7800" s="202" t="s">
        <v>6079</v>
      </c>
      <c r="C7800" s="200" t="s">
        <v>136</v>
      </c>
      <c r="D7800" s="658">
        <v>-1406441</v>
      </c>
      <c r="E7800" s="201">
        <v>45778</v>
      </c>
      <c r="F7800" s="202" t="s">
        <v>296</v>
      </c>
      <c r="G7800" s="202" t="s">
        <v>522</v>
      </c>
      <c r="H7800" s="202" t="s">
        <v>1079</v>
      </c>
    </row>
    <row r="7801" spans="1:9" ht="15" customHeight="1">
      <c r="A7801" s="199">
        <v>45790</v>
      </c>
      <c r="B7801" s="202" t="s">
        <v>6080</v>
      </c>
      <c r="C7801" s="200" t="s">
        <v>136</v>
      </c>
      <c r="D7801" s="658">
        <v>-138040</v>
      </c>
      <c r="E7801" s="201">
        <v>45778</v>
      </c>
      <c r="F7801" s="200" t="s">
        <v>296</v>
      </c>
      <c r="G7801" s="200" t="s">
        <v>44</v>
      </c>
      <c r="H7801" s="200" t="s">
        <v>366</v>
      </c>
      <c r="I7801" s="200" t="s">
        <v>5744</v>
      </c>
    </row>
    <row r="7802" spans="1:9" ht="15" customHeight="1">
      <c r="A7802" s="199">
        <v>45791</v>
      </c>
      <c r="B7802" s="202" t="s">
        <v>6081</v>
      </c>
      <c r="C7802" s="200" t="s">
        <v>136</v>
      </c>
      <c r="D7802" s="658">
        <v>-65700</v>
      </c>
      <c r="E7802" s="201">
        <v>45778</v>
      </c>
      <c r="F7802" s="200" t="s">
        <v>256</v>
      </c>
      <c r="G7802" s="200" t="s">
        <v>256</v>
      </c>
      <c r="H7802" s="200" t="s">
        <v>261</v>
      </c>
    </row>
    <row r="7803" spans="1:9" ht="15" customHeight="1">
      <c r="A7803" s="199">
        <v>45791</v>
      </c>
      <c r="B7803" s="202" t="s">
        <v>5780</v>
      </c>
      <c r="C7803" s="200" t="s">
        <v>136</v>
      </c>
      <c r="D7803" s="658">
        <v>-3456002</v>
      </c>
      <c r="E7803" s="201">
        <v>45778</v>
      </c>
      <c r="F7803" s="200" t="s">
        <v>296</v>
      </c>
      <c r="G7803" s="200" t="s">
        <v>57</v>
      </c>
      <c r="H7803" s="200" t="s">
        <v>96</v>
      </c>
    </row>
    <row r="7804" spans="1:9" ht="15" customHeight="1">
      <c r="A7804" s="199">
        <v>45791</v>
      </c>
      <c r="B7804" s="202" t="s">
        <v>6082</v>
      </c>
      <c r="C7804" s="200" t="s">
        <v>372</v>
      </c>
      <c r="D7804" s="204">
        <v>-352000</v>
      </c>
      <c r="E7804" s="201">
        <v>45778</v>
      </c>
      <c r="F7804" s="200" t="s">
        <v>296</v>
      </c>
      <c r="G7804" s="200" t="s">
        <v>57</v>
      </c>
      <c r="H7804" s="200" t="s">
        <v>96</v>
      </c>
    </row>
    <row r="7805" spans="1:9" ht="15" customHeight="1">
      <c r="A7805" s="199">
        <v>45791</v>
      </c>
      <c r="B7805" s="202" t="s">
        <v>6083</v>
      </c>
      <c r="C7805" s="200" t="s">
        <v>136</v>
      </c>
      <c r="D7805" s="658">
        <v>-180000</v>
      </c>
      <c r="E7805" s="201">
        <v>45778</v>
      </c>
      <c r="F7805" s="200" t="s">
        <v>296</v>
      </c>
      <c r="G7805" s="200" t="s">
        <v>1980</v>
      </c>
      <c r="H7805" s="200" t="s">
        <v>429</v>
      </c>
    </row>
    <row r="7806" spans="1:9" ht="15" customHeight="1">
      <c r="A7806" s="199">
        <v>45791</v>
      </c>
      <c r="B7806" s="202" t="s">
        <v>6084</v>
      </c>
      <c r="C7806" s="200" t="s">
        <v>136</v>
      </c>
      <c r="D7806" s="658">
        <v>-1750000</v>
      </c>
      <c r="E7806" s="201">
        <v>45778</v>
      </c>
      <c r="F7806" s="200" t="s">
        <v>296</v>
      </c>
      <c r="G7806" s="200" t="s">
        <v>57</v>
      </c>
      <c r="H7806" s="200" t="s">
        <v>101</v>
      </c>
    </row>
    <row r="7807" spans="1:9" ht="15" customHeight="1">
      <c r="A7807" s="199">
        <v>45791</v>
      </c>
      <c r="B7807" s="202" t="s">
        <v>6085</v>
      </c>
      <c r="C7807" s="200" t="s">
        <v>136</v>
      </c>
      <c r="D7807" s="658">
        <v>-92000</v>
      </c>
      <c r="E7807" s="201">
        <v>45778</v>
      </c>
      <c r="F7807" s="200" t="s">
        <v>297</v>
      </c>
      <c r="G7807" s="200" t="s">
        <v>71</v>
      </c>
      <c r="H7807" s="200" t="s">
        <v>379</v>
      </c>
    </row>
    <row r="7808" spans="1:9" ht="15" customHeight="1">
      <c r="A7808" s="199">
        <v>45792</v>
      </c>
      <c r="B7808" s="202" t="s">
        <v>5434</v>
      </c>
      <c r="C7808" s="200" t="s">
        <v>204</v>
      </c>
      <c r="D7808" s="733">
        <v>-300000</v>
      </c>
      <c r="E7808" s="201">
        <v>45778</v>
      </c>
      <c r="F7808" s="200" t="s">
        <v>256</v>
      </c>
      <c r="G7808" s="200" t="s">
        <v>256</v>
      </c>
      <c r="H7808" s="200" t="s">
        <v>9</v>
      </c>
    </row>
    <row r="7809" spans="1:9" ht="15" customHeight="1">
      <c r="A7809" s="199">
        <v>45792</v>
      </c>
      <c r="B7809" s="202" t="s">
        <v>6086</v>
      </c>
      <c r="C7809" s="200" t="s">
        <v>204</v>
      </c>
      <c r="D7809" s="733">
        <v>-594440</v>
      </c>
      <c r="E7809" s="201">
        <v>45778</v>
      </c>
      <c r="F7809" s="200" t="s">
        <v>296</v>
      </c>
      <c r="G7809" s="200" t="s">
        <v>1362</v>
      </c>
      <c r="H7809" s="200" t="s">
        <v>342</v>
      </c>
    </row>
    <row r="7810" spans="1:9" ht="15" customHeight="1">
      <c r="A7810" s="199">
        <v>45792</v>
      </c>
      <c r="B7810" s="202" t="s">
        <v>6087</v>
      </c>
      <c r="C7810" s="200" t="s">
        <v>372</v>
      </c>
      <c r="D7810" s="204">
        <v>-21560</v>
      </c>
      <c r="E7810" s="201">
        <v>45778</v>
      </c>
      <c r="F7810" s="200" t="s">
        <v>296</v>
      </c>
      <c r="G7810" s="200" t="s">
        <v>1362</v>
      </c>
      <c r="H7810" s="200" t="s">
        <v>342</v>
      </c>
    </row>
    <row r="7811" spans="1:9" ht="15" customHeight="1">
      <c r="A7811" s="199">
        <v>45792</v>
      </c>
      <c r="B7811" s="202" t="s">
        <v>6088</v>
      </c>
      <c r="C7811" s="200" t="s">
        <v>204</v>
      </c>
      <c r="D7811" s="733">
        <v>-1275470</v>
      </c>
      <c r="E7811" s="201">
        <v>45778</v>
      </c>
      <c r="F7811" s="200" t="s">
        <v>296</v>
      </c>
      <c r="G7811" s="200" t="s">
        <v>2418</v>
      </c>
      <c r="H7811" s="200" t="s">
        <v>379</v>
      </c>
    </row>
    <row r="7812" spans="1:9" ht="15" customHeight="1">
      <c r="A7812" s="199">
        <v>45792</v>
      </c>
      <c r="B7812" s="202" t="s">
        <v>6089</v>
      </c>
      <c r="C7812" s="200" t="s">
        <v>372</v>
      </c>
      <c r="D7812" s="204">
        <v>-46550</v>
      </c>
      <c r="E7812" s="201">
        <v>45778</v>
      </c>
      <c r="F7812" s="200" t="s">
        <v>296</v>
      </c>
      <c r="G7812" s="200" t="s">
        <v>2418</v>
      </c>
      <c r="H7812" s="200" t="s">
        <v>379</v>
      </c>
    </row>
    <row r="7813" spans="1:9" ht="15" customHeight="1">
      <c r="A7813" s="199">
        <v>45792</v>
      </c>
      <c r="B7813" s="202" t="s">
        <v>6090</v>
      </c>
      <c r="C7813" s="200" t="s">
        <v>372</v>
      </c>
      <c r="D7813" s="204">
        <v>-7980</v>
      </c>
      <c r="E7813" s="201">
        <v>45778</v>
      </c>
      <c r="F7813" s="200" t="s">
        <v>296</v>
      </c>
      <c r="G7813" s="200" t="s">
        <v>2418</v>
      </c>
      <c r="H7813" s="200" t="s">
        <v>379</v>
      </c>
      <c r="I7813" s="648" t="s">
        <v>329</v>
      </c>
    </row>
    <row r="7814" spans="1:9" ht="15" customHeight="1">
      <c r="A7814" s="199">
        <v>45792</v>
      </c>
      <c r="B7814" s="202" t="s">
        <v>6088</v>
      </c>
      <c r="C7814" s="200" t="s">
        <v>204</v>
      </c>
      <c r="D7814" s="733">
        <v>-402780</v>
      </c>
      <c r="E7814" s="201">
        <v>45778</v>
      </c>
      <c r="F7814" s="200" t="s">
        <v>297</v>
      </c>
      <c r="G7814" s="200" t="s">
        <v>5404</v>
      </c>
      <c r="H7814" s="200" t="s">
        <v>379</v>
      </c>
    </row>
    <row r="7815" spans="1:9" ht="15" customHeight="1">
      <c r="A7815" s="199">
        <v>45792</v>
      </c>
      <c r="B7815" s="202" t="s">
        <v>6089</v>
      </c>
      <c r="C7815" s="200" t="s">
        <v>372</v>
      </c>
      <c r="D7815" s="204">
        <v>-14700</v>
      </c>
      <c r="E7815" s="201">
        <v>45778</v>
      </c>
      <c r="F7815" s="200" t="s">
        <v>297</v>
      </c>
      <c r="G7815" s="200" t="s">
        <v>5404</v>
      </c>
      <c r="H7815" s="200" t="s">
        <v>379</v>
      </c>
    </row>
    <row r="7816" spans="1:9" ht="15" customHeight="1">
      <c r="A7816" s="199">
        <v>45792</v>
      </c>
      <c r="B7816" s="202" t="s">
        <v>6090</v>
      </c>
      <c r="C7816" s="200" t="s">
        <v>372</v>
      </c>
      <c r="D7816" s="204">
        <v>-2520</v>
      </c>
      <c r="E7816" s="201">
        <v>45778</v>
      </c>
      <c r="F7816" s="200" t="s">
        <v>297</v>
      </c>
      <c r="G7816" s="200" t="s">
        <v>5404</v>
      </c>
      <c r="H7816" s="200" t="s">
        <v>379</v>
      </c>
      <c r="I7816" s="648" t="s">
        <v>329</v>
      </c>
    </row>
    <row r="7817" spans="1:9" ht="15" customHeight="1">
      <c r="A7817" s="199">
        <v>45792</v>
      </c>
      <c r="B7817" s="202" t="s">
        <v>6088</v>
      </c>
      <c r="C7817" s="200" t="s">
        <v>204</v>
      </c>
      <c r="D7817" s="733">
        <v>-402780</v>
      </c>
      <c r="E7817" s="201">
        <v>45778</v>
      </c>
      <c r="F7817" s="200" t="s">
        <v>297</v>
      </c>
      <c r="G7817" s="200" t="s">
        <v>71</v>
      </c>
      <c r="H7817" s="200" t="s">
        <v>379</v>
      </c>
    </row>
    <row r="7818" spans="1:9" ht="15" customHeight="1">
      <c r="A7818" s="199">
        <v>45792</v>
      </c>
      <c r="B7818" s="202" t="s">
        <v>6089</v>
      </c>
      <c r="C7818" s="200" t="s">
        <v>372</v>
      </c>
      <c r="D7818" s="204">
        <v>-14700</v>
      </c>
      <c r="E7818" s="201">
        <v>45778</v>
      </c>
      <c r="F7818" s="200" t="s">
        <v>297</v>
      </c>
      <c r="G7818" s="200" t="s">
        <v>71</v>
      </c>
      <c r="H7818" s="200" t="s">
        <v>379</v>
      </c>
    </row>
    <row r="7819" spans="1:9" ht="15" customHeight="1">
      <c r="A7819" s="199">
        <v>45792</v>
      </c>
      <c r="B7819" s="202" t="s">
        <v>6090</v>
      </c>
      <c r="C7819" s="200" t="s">
        <v>372</v>
      </c>
      <c r="D7819" s="204">
        <v>-2520</v>
      </c>
      <c r="E7819" s="201">
        <v>45778</v>
      </c>
      <c r="F7819" s="200" t="s">
        <v>297</v>
      </c>
      <c r="G7819" s="200" t="s">
        <v>71</v>
      </c>
      <c r="H7819" s="200" t="s">
        <v>379</v>
      </c>
    </row>
    <row r="7820" spans="1:9" ht="15" customHeight="1">
      <c r="A7820" s="199">
        <v>45792</v>
      </c>
      <c r="B7820" s="202" t="s">
        <v>6088</v>
      </c>
      <c r="C7820" s="200" t="s">
        <v>204</v>
      </c>
      <c r="D7820" s="733">
        <v>-268520</v>
      </c>
      <c r="E7820" s="201">
        <v>45778</v>
      </c>
      <c r="F7820" s="200" t="s">
        <v>296</v>
      </c>
      <c r="G7820" s="200" t="s">
        <v>5424</v>
      </c>
      <c r="H7820" s="200" t="s">
        <v>379</v>
      </c>
    </row>
    <row r="7821" spans="1:9" ht="15" customHeight="1">
      <c r="A7821" s="199">
        <v>45792</v>
      </c>
      <c r="B7821" s="202" t="s">
        <v>6089</v>
      </c>
      <c r="C7821" s="200" t="s">
        <v>372</v>
      </c>
      <c r="D7821" s="204">
        <v>-9800</v>
      </c>
      <c r="E7821" s="201">
        <v>45778</v>
      </c>
      <c r="F7821" s="200" t="s">
        <v>296</v>
      </c>
      <c r="G7821" s="200" t="s">
        <v>5424</v>
      </c>
      <c r="H7821" s="200" t="s">
        <v>379</v>
      </c>
    </row>
    <row r="7822" spans="1:9" ht="15" customHeight="1">
      <c r="A7822" s="199">
        <v>45792</v>
      </c>
      <c r="B7822" s="202" t="s">
        <v>6090</v>
      </c>
      <c r="C7822" s="200" t="s">
        <v>372</v>
      </c>
      <c r="D7822" s="204">
        <v>-680</v>
      </c>
      <c r="E7822" s="201">
        <v>45778</v>
      </c>
      <c r="F7822" s="200" t="s">
        <v>296</v>
      </c>
      <c r="G7822" s="200" t="s">
        <v>5424</v>
      </c>
      <c r="H7822" s="200" t="s">
        <v>379</v>
      </c>
      <c r="I7822" s="648" t="s">
        <v>329</v>
      </c>
    </row>
    <row r="7823" spans="1:9" ht="15" customHeight="1">
      <c r="A7823" s="199">
        <v>45792</v>
      </c>
      <c r="B7823" s="202" t="s">
        <v>6088</v>
      </c>
      <c r="C7823" s="200" t="s">
        <v>204</v>
      </c>
      <c r="D7823" s="733">
        <v>-67130</v>
      </c>
      <c r="E7823" s="201">
        <v>45778</v>
      </c>
      <c r="F7823" s="200" t="s">
        <v>296</v>
      </c>
      <c r="G7823" s="200" t="s">
        <v>5422</v>
      </c>
      <c r="H7823" s="200" t="s">
        <v>379</v>
      </c>
    </row>
    <row r="7824" spans="1:9" ht="15" customHeight="1">
      <c r="A7824" s="199">
        <v>45792</v>
      </c>
      <c r="B7824" s="202" t="s">
        <v>6089</v>
      </c>
      <c r="C7824" s="200" t="s">
        <v>372</v>
      </c>
      <c r="D7824" s="204">
        <v>-2450</v>
      </c>
      <c r="E7824" s="201">
        <v>45778</v>
      </c>
      <c r="F7824" s="200" t="s">
        <v>296</v>
      </c>
      <c r="G7824" s="200" t="s">
        <v>5422</v>
      </c>
      <c r="H7824" s="200" t="s">
        <v>379</v>
      </c>
    </row>
    <row r="7825" spans="1:9" ht="15" customHeight="1">
      <c r="A7825" s="199">
        <v>45792</v>
      </c>
      <c r="B7825" s="202" t="s">
        <v>6090</v>
      </c>
      <c r="C7825" s="200" t="s">
        <v>372</v>
      </c>
      <c r="D7825" s="204">
        <v>-420</v>
      </c>
      <c r="E7825" s="201">
        <v>45778</v>
      </c>
      <c r="F7825" s="200" t="s">
        <v>296</v>
      </c>
      <c r="G7825" s="200" t="s">
        <v>5422</v>
      </c>
      <c r="H7825" s="200" t="s">
        <v>379</v>
      </c>
      <c r="I7825" s="648" t="s">
        <v>329</v>
      </c>
    </row>
    <row r="7826" spans="1:9" ht="15" customHeight="1">
      <c r="A7826" s="199">
        <v>45792</v>
      </c>
      <c r="B7826" s="202" t="s">
        <v>6088</v>
      </c>
      <c r="C7826" s="200" t="s">
        <v>204</v>
      </c>
      <c r="D7826" s="733">
        <v>-268520</v>
      </c>
      <c r="E7826" s="201">
        <v>45778</v>
      </c>
      <c r="F7826" s="200" t="s">
        <v>395</v>
      </c>
      <c r="G7826" s="531" t="s">
        <v>395</v>
      </c>
      <c r="H7826" s="200" t="s">
        <v>379</v>
      </c>
    </row>
    <row r="7827" spans="1:9" ht="15" customHeight="1">
      <c r="A7827" s="199">
        <v>45792</v>
      </c>
      <c r="B7827" s="202" t="s">
        <v>6089</v>
      </c>
      <c r="C7827" s="200" t="s">
        <v>372</v>
      </c>
      <c r="D7827" s="204">
        <v>-9800</v>
      </c>
      <c r="E7827" s="201">
        <v>45778</v>
      </c>
      <c r="F7827" s="200" t="s">
        <v>395</v>
      </c>
      <c r="G7827" s="531" t="s">
        <v>395</v>
      </c>
      <c r="H7827" s="200" t="s">
        <v>379</v>
      </c>
    </row>
    <row r="7828" spans="1:9" ht="15" customHeight="1">
      <c r="A7828" s="199">
        <v>45792</v>
      </c>
      <c r="B7828" s="202" t="s">
        <v>6090</v>
      </c>
      <c r="C7828" s="200" t="s">
        <v>372</v>
      </c>
      <c r="D7828" s="204">
        <v>-1680</v>
      </c>
      <c r="E7828" s="201">
        <v>45778</v>
      </c>
      <c r="F7828" s="200" t="s">
        <v>395</v>
      </c>
      <c r="G7828" s="531" t="s">
        <v>395</v>
      </c>
      <c r="H7828" s="200" t="s">
        <v>379</v>
      </c>
    </row>
    <row r="7829" spans="1:9" ht="15" customHeight="1">
      <c r="A7829" s="199">
        <v>45792</v>
      </c>
      <c r="B7829" s="202" t="s">
        <v>6088</v>
      </c>
      <c r="C7829" s="200" t="s">
        <v>204</v>
      </c>
      <c r="D7829" s="733">
        <v>-671300</v>
      </c>
      <c r="E7829" s="201">
        <v>45778</v>
      </c>
      <c r="F7829" s="200" t="s">
        <v>256</v>
      </c>
      <c r="G7829" s="200" t="s">
        <v>256</v>
      </c>
      <c r="H7829" s="200" t="s">
        <v>257</v>
      </c>
    </row>
    <row r="7830" spans="1:9" ht="15" customHeight="1">
      <c r="A7830" s="199">
        <v>45792</v>
      </c>
      <c r="B7830" s="202" t="s">
        <v>6089</v>
      </c>
      <c r="C7830" s="200" t="s">
        <v>372</v>
      </c>
      <c r="D7830" s="204">
        <v>-24500</v>
      </c>
      <c r="E7830" s="201">
        <v>45778</v>
      </c>
      <c r="F7830" s="200" t="s">
        <v>256</v>
      </c>
      <c r="G7830" s="200" t="s">
        <v>256</v>
      </c>
      <c r="H7830" s="200" t="s">
        <v>257</v>
      </c>
    </row>
    <row r="7831" spans="1:9" ht="15" customHeight="1">
      <c r="A7831" s="199">
        <v>45792</v>
      </c>
      <c r="B7831" s="202" t="s">
        <v>6090</v>
      </c>
      <c r="C7831" s="200" t="s">
        <v>372</v>
      </c>
      <c r="D7831" s="204">
        <v>-4200</v>
      </c>
      <c r="E7831" s="201">
        <v>45778</v>
      </c>
      <c r="F7831" s="200" t="s">
        <v>256</v>
      </c>
      <c r="G7831" s="200" t="s">
        <v>256</v>
      </c>
      <c r="H7831" s="200" t="s">
        <v>257</v>
      </c>
    </row>
    <row r="7832" spans="1:9" ht="15" customHeight="1">
      <c r="A7832" s="199">
        <v>45792</v>
      </c>
      <c r="B7832" s="202" t="s">
        <v>5766</v>
      </c>
      <c r="C7832" s="200" t="s">
        <v>136</v>
      </c>
      <c r="D7832" s="658">
        <v>-10100000</v>
      </c>
      <c r="E7832" s="201">
        <v>45778</v>
      </c>
      <c r="F7832" s="200" t="s">
        <v>296</v>
      </c>
      <c r="G7832" s="200" t="s">
        <v>807</v>
      </c>
      <c r="H7832" s="200" t="s">
        <v>442</v>
      </c>
    </row>
    <row r="7833" spans="1:9" ht="15" customHeight="1">
      <c r="A7833" s="199">
        <v>45790</v>
      </c>
      <c r="B7833" s="202" t="s">
        <v>1523</v>
      </c>
      <c r="C7833" s="200" t="s">
        <v>307</v>
      </c>
      <c r="D7833" s="204">
        <v>-60000</v>
      </c>
      <c r="E7833" s="201">
        <v>45778</v>
      </c>
      <c r="F7833" s="200" t="s">
        <v>296</v>
      </c>
      <c r="G7833" s="200" t="s">
        <v>57</v>
      </c>
      <c r="H7833" s="200" t="s">
        <v>97</v>
      </c>
      <c r="I7833" s="200" t="s">
        <v>6091</v>
      </c>
    </row>
    <row r="7834" spans="1:9" ht="15" customHeight="1">
      <c r="A7834" s="199">
        <v>45790</v>
      </c>
      <c r="B7834" s="202" t="s">
        <v>1745</v>
      </c>
      <c r="C7834" s="200" t="s">
        <v>307</v>
      </c>
      <c r="D7834" s="204">
        <v>-80000</v>
      </c>
      <c r="E7834" s="201">
        <v>45778</v>
      </c>
      <c r="F7834" s="200" t="s">
        <v>296</v>
      </c>
      <c r="G7834" s="200" t="s">
        <v>57</v>
      </c>
      <c r="H7834" s="200" t="s">
        <v>97</v>
      </c>
      <c r="I7834" s="200" t="s">
        <v>6091</v>
      </c>
    </row>
    <row r="7835" spans="1:9" ht="15" customHeight="1">
      <c r="A7835" s="199">
        <v>45790</v>
      </c>
      <c r="B7835" s="202" t="s">
        <v>498</v>
      </c>
      <c r="C7835" s="200" t="s">
        <v>307</v>
      </c>
      <c r="D7835" s="204">
        <v>-20000</v>
      </c>
      <c r="E7835" s="201">
        <v>45778</v>
      </c>
      <c r="F7835" s="200" t="s">
        <v>296</v>
      </c>
      <c r="G7835" s="200" t="s">
        <v>57</v>
      </c>
      <c r="H7835" s="200" t="s">
        <v>97</v>
      </c>
      <c r="I7835" s="200" t="s">
        <v>6091</v>
      </c>
    </row>
    <row r="7836" spans="1:9" ht="15" customHeight="1">
      <c r="A7836" s="199">
        <v>45790</v>
      </c>
      <c r="B7836" s="202" t="s">
        <v>6092</v>
      </c>
      <c r="C7836" s="200" t="s">
        <v>307</v>
      </c>
      <c r="D7836" s="204">
        <v>-65000</v>
      </c>
      <c r="E7836" s="201">
        <v>45778</v>
      </c>
      <c r="F7836" s="200" t="s">
        <v>296</v>
      </c>
      <c r="G7836" s="200" t="s">
        <v>57</v>
      </c>
      <c r="H7836" s="200" t="s">
        <v>97</v>
      </c>
      <c r="I7836" s="200" t="s">
        <v>6091</v>
      </c>
    </row>
    <row r="7837" spans="1:9" ht="15" customHeight="1">
      <c r="A7837" s="199">
        <v>45790</v>
      </c>
      <c r="B7837" s="672" t="s">
        <v>6093</v>
      </c>
      <c r="C7837" s="200" t="s">
        <v>307</v>
      </c>
      <c r="D7837" s="204">
        <v>-15000</v>
      </c>
      <c r="E7837" s="201">
        <v>45778</v>
      </c>
      <c r="F7837" s="200" t="s">
        <v>296</v>
      </c>
      <c r="G7837" s="200" t="s">
        <v>57</v>
      </c>
      <c r="H7837" s="200" t="s">
        <v>97</v>
      </c>
      <c r="I7837" s="200" t="s">
        <v>6091</v>
      </c>
    </row>
    <row r="7838" spans="1:9" ht="15" customHeight="1">
      <c r="A7838" s="199">
        <v>45786</v>
      </c>
      <c r="B7838" s="202" t="s">
        <v>6094</v>
      </c>
      <c r="C7838" s="200" t="s">
        <v>307</v>
      </c>
      <c r="D7838" s="204">
        <v>-3000</v>
      </c>
      <c r="E7838" s="201">
        <v>45778</v>
      </c>
      <c r="F7838" s="200" t="s">
        <v>296</v>
      </c>
      <c r="G7838" s="200" t="s">
        <v>44</v>
      </c>
      <c r="H7838" s="200" t="s">
        <v>326</v>
      </c>
      <c r="I7838" s="200" t="s">
        <v>6091</v>
      </c>
    </row>
    <row r="7839" spans="1:9" ht="15" customHeight="1">
      <c r="A7839" s="199">
        <v>45786</v>
      </c>
      <c r="B7839" s="202" t="s">
        <v>6094</v>
      </c>
      <c r="C7839" s="200" t="s">
        <v>307</v>
      </c>
      <c r="D7839" s="204">
        <v>-3000</v>
      </c>
      <c r="E7839" s="201">
        <v>45778</v>
      </c>
      <c r="F7839" s="200" t="s">
        <v>296</v>
      </c>
      <c r="G7839" s="200" t="s">
        <v>522</v>
      </c>
      <c r="H7839" s="200" t="s">
        <v>326</v>
      </c>
      <c r="I7839" s="200" t="s">
        <v>6091</v>
      </c>
    </row>
    <row r="7840" spans="1:9" ht="15" customHeight="1">
      <c r="A7840" s="199">
        <v>45786</v>
      </c>
      <c r="B7840" s="202" t="s">
        <v>6095</v>
      </c>
      <c r="C7840" s="200" t="s">
        <v>307</v>
      </c>
      <c r="D7840" s="204">
        <v>-10000</v>
      </c>
      <c r="E7840" s="201">
        <v>45778</v>
      </c>
      <c r="F7840" s="200" t="s">
        <v>296</v>
      </c>
      <c r="G7840" s="200" t="s">
        <v>1825</v>
      </c>
      <c r="H7840" s="200" t="s">
        <v>326</v>
      </c>
      <c r="I7840" s="200" t="s">
        <v>6091</v>
      </c>
    </row>
    <row r="7841" spans="1:9" ht="15" customHeight="1">
      <c r="A7841" s="199">
        <v>45786</v>
      </c>
      <c r="B7841" s="202" t="s">
        <v>6095</v>
      </c>
      <c r="C7841" s="200" t="s">
        <v>307</v>
      </c>
      <c r="D7841" s="204">
        <v>-10000</v>
      </c>
      <c r="E7841" s="201">
        <v>45778</v>
      </c>
      <c r="F7841" s="200" t="s">
        <v>296</v>
      </c>
      <c r="G7841" s="200" t="s">
        <v>522</v>
      </c>
      <c r="H7841" s="200" t="s">
        <v>326</v>
      </c>
      <c r="I7841" s="200" t="s">
        <v>6091</v>
      </c>
    </row>
    <row r="7842" spans="1:9" ht="15" customHeight="1">
      <c r="A7842" s="199">
        <v>45786</v>
      </c>
      <c r="B7842" s="202" t="s">
        <v>498</v>
      </c>
      <c r="C7842" s="200" t="s">
        <v>307</v>
      </c>
      <c r="D7842" s="204">
        <v>-5000</v>
      </c>
      <c r="E7842" s="201">
        <v>45778</v>
      </c>
      <c r="F7842" s="200" t="s">
        <v>296</v>
      </c>
      <c r="G7842" s="200" t="s">
        <v>44</v>
      </c>
      <c r="H7842" s="200" t="s">
        <v>326</v>
      </c>
      <c r="I7842" s="200" t="s">
        <v>6091</v>
      </c>
    </row>
    <row r="7843" spans="1:9" ht="15" customHeight="1">
      <c r="A7843" s="199">
        <v>45786</v>
      </c>
      <c r="B7843" s="202" t="s">
        <v>498</v>
      </c>
      <c r="C7843" s="200" t="s">
        <v>307</v>
      </c>
      <c r="D7843" s="204">
        <v>-5000</v>
      </c>
      <c r="E7843" s="201">
        <v>45778</v>
      </c>
      <c r="F7843" s="200" t="s">
        <v>296</v>
      </c>
      <c r="G7843" s="200" t="s">
        <v>522</v>
      </c>
      <c r="H7843" s="200" t="s">
        <v>326</v>
      </c>
      <c r="I7843" s="200" t="s">
        <v>6091</v>
      </c>
    </row>
    <row r="7844" spans="1:9" ht="15" customHeight="1">
      <c r="A7844" s="199">
        <v>45786</v>
      </c>
      <c r="B7844" s="202" t="s">
        <v>6096</v>
      </c>
      <c r="C7844" s="200" t="s">
        <v>307</v>
      </c>
      <c r="D7844" s="204">
        <v>-35675</v>
      </c>
      <c r="E7844" s="201">
        <v>45778</v>
      </c>
      <c r="F7844" s="200" t="s">
        <v>296</v>
      </c>
      <c r="G7844" s="200" t="s">
        <v>1825</v>
      </c>
      <c r="H7844" s="200" t="s">
        <v>326</v>
      </c>
      <c r="I7844" s="200" t="s">
        <v>6091</v>
      </c>
    </row>
    <row r="7845" spans="1:9" ht="15" customHeight="1">
      <c r="A7845" s="199">
        <v>45786</v>
      </c>
      <c r="B7845" s="202" t="s">
        <v>6096</v>
      </c>
      <c r="C7845" s="200" t="s">
        <v>307</v>
      </c>
      <c r="D7845" s="204">
        <v>-35675</v>
      </c>
      <c r="E7845" s="201">
        <v>45778</v>
      </c>
      <c r="F7845" s="200" t="s">
        <v>296</v>
      </c>
      <c r="G7845" s="200" t="s">
        <v>522</v>
      </c>
      <c r="H7845" s="200" t="s">
        <v>326</v>
      </c>
      <c r="I7845" s="200" t="s">
        <v>6091</v>
      </c>
    </row>
    <row r="7846" spans="1:9" ht="15" customHeight="1">
      <c r="A7846" s="199">
        <v>45776</v>
      </c>
      <c r="B7846" s="202" t="s">
        <v>6097</v>
      </c>
      <c r="C7846" s="200" t="s">
        <v>307</v>
      </c>
      <c r="D7846" s="204">
        <v>-58000</v>
      </c>
      <c r="E7846" s="201">
        <v>45778</v>
      </c>
      <c r="F7846" s="200" t="s">
        <v>256</v>
      </c>
      <c r="G7846" s="200" t="s">
        <v>107</v>
      </c>
      <c r="H7846" s="200" t="s">
        <v>275</v>
      </c>
      <c r="I7846" s="200" t="s">
        <v>206</v>
      </c>
    </row>
    <row r="7847" spans="1:9" ht="15" customHeight="1">
      <c r="A7847" s="199">
        <v>45776</v>
      </c>
      <c r="B7847" s="202" t="s">
        <v>6098</v>
      </c>
      <c r="C7847" s="200" t="s">
        <v>307</v>
      </c>
      <c r="D7847" s="204">
        <v>-40000</v>
      </c>
      <c r="E7847" s="201">
        <v>45778</v>
      </c>
      <c r="F7847" s="200" t="s">
        <v>256</v>
      </c>
      <c r="G7847" s="200" t="s">
        <v>107</v>
      </c>
      <c r="H7847" s="200" t="s">
        <v>275</v>
      </c>
      <c r="I7847" s="200" t="s">
        <v>206</v>
      </c>
    </row>
    <row r="7848" spans="1:9" ht="15" customHeight="1">
      <c r="A7848" s="199">
        <v>45776</v>
      </c>
      <c r="B7848" s="202" t="s">
        <v>6099</v>
      </c>
      <c r="C7848" s="200" t="s">
        <v>307</v>
      </c>
      <c r="D7848" s="204">
        <v>-16300</v>
      </c>
      <c r="E7848" s="201">
        <v>45778</v>
      </c>
      <c r="F7848" s="200" t="s">
        <v>256</v>
      </c>
      <c r="G7848" s="200" t="s">
        <v>107</v>
      </c>
      <c r="H7848" s="200" t="s">
        <v>275</v>
      </c>
      <c r="I7848" s="200" t="s">
        <v>206</v>
      </c>
    </row>
    <row r="7849" spans="1:9" ht="15" customHeight="1">
      <c r="A7849" s="199">
        <v>45776</v>
      </c>
      <c r="B7849" s="202" t="s">
        <v>6099</v>
      </c>
      <c r="C7849" s="200" t="s">
        <v>307</v>
      </c>
      <c r="D7849" s="204">
        <v>-16300</v>
      </c>
      <c r="E7849" s="201">
        <v>45778</v>
      </c>
      <c r="F7849" s="200" t="s">
        <v>256</v>
      </c>
      <c r="G7849" s="200" t="s">
        <v>107</v>
      </c>
      <c r="H7849" s="200" t="s">
        <v>275</v>
      </c>
      <c r="I7849" s="200" t="s">
        <v>206</v>
      </c>
    </row>
    <row r="7850" spans="1:9" ht="15" customHeight="1">
      <c r="A7850" s="199">
        <v>45776</v>
      </c>
      <c r="B7850" s="202" t="s">
        <v>6097</v>
      </c>
      <c r="C7850" s="200" t="s">
        <v>307</v>
      </c>
      <c r="D7850" s="204">
        <v>-26000</v>
      </c>
      <c r="E7850" s="201">
        <v>45778</v>
      </c>
      <c r="F7850" s="200" t="s">
        <v>256</v>
      </c>
      <c r="G7850" s="200" t="s">
        <v>107</v>
      </c>
      <c r="H7850" s="200" t="s">
        <v>275</v>
      </c>
      <c r="I7850" s="200" t="s">
        <v>206</v>
      </c>
    </row>
    <row r="7851" spans="1:9" ht="15" customHeight="1">
      <c r="A7851" s="199">
        <v>45776</v>
      </c>
      <c r="B7851" s="202" t="s">
        <v>6098</v>
      </c>
      <c r="C7851" s="200" t="s">
        <v>307</v>
      </c>
      <c r="D7851" s="204">
        <v>-80000</v>
      </c>
      <c r="E7851" s="201">
        <v>45778</v>
      </c>
      <c r="F7851" s="200" t="s">
        <v>256</v>
      </c>
      <c r="G7851" s="200" t="s">
        <v>107</v>
      </c>
      <c r="H7851" s="200" t="s">
        <v>275</v>
      </c>
      <c r="I7851" s="200" t="s">
        <v>206</v>
      </c>
    </row>
    <row r="7852" spans="1:9" ht="15" customHeight="1">
      <c r="A7852" s="199">
        <v>45786</v>
      </c>
      <c r="B7852" s="202" t="s">
        <v>6100</v>
      </c>
      <c r="C7852" s="200" t="s">
        <v>307</v>
      </c>
      <c r="D7852" s="204">
        <v>-60000</v>
      </c>
      <c r="E7852" s="201">
        <v>45778</v>
      </c>
      <c r="F7852" s="200" t="s">
        <v>296</v>
      </c>
      <c r="G7852" s="200" t="s">
        <v>44</v>
      </c>
      <c r="H7852" s="200" t="s">
        <v>326</v>
      </c>
      <c r="I7852" s="200" t="s">
        <v>718</v>
      </c>
    </row>
    <row r="7853" spans="1:9" ht="15" customHeight="1">
      <c r="A7853" s="199">
        <v>45786</v>
      </c>
      <c r="B7853" s="202" t="s">
        <v>6101</v>
      </c>
      <c r="C7853" s="200" t="s">
        <v>307</v>
      </c>
      <c r="D7853" s="204">
        <v>-20000</v>
      </c>
      <c r="E7853" s="201">
        <v>45778</v>
      </c>
      <c r="F7853" s="200" t="s">
        <v>296</v>
      </c>
      <c r="G7853" s="200" t="s">
        <v>522</v>
      </c>
      <c r="H7853" s="200" t="s">
        <v>326</v>
      </c>
      <c r="I7853" s="200" t="s">
        <v>718</v>
      </c>
    </row>
    <row r="7854" spans="1:9" ht="15" customHeight="1">
      <c r="A7854" s="199">
        <v>45786</v>
      </c>
      <c r="B7854" s="202" t="s">
        <v>6100</v>
      </c>
      <c r="C7854" s="200" t="s">
        <v>307</v>
      </c>
      <c r="D7854" s="204">
        <v>-40000</v>
      </c>
      <c r="E7854" s="201">
        <v>45778</v>
      </c>
      <c r="F7854" s="200" t="s">
        <v>296</v>
      </c>
      <c r="G7854" s="200" t="s">
        <v>44</v>
      </c>
      <c r="H7854" s="200" t="s">
        <v>326</v>
      </c>
      <c r="I7854" s="200" t="s">
        <v>718</v>
      </c>
    </row>
    <row r="7855" spans="1:9" ht="15" customHeight="1">
      <c r="A7855" s="199">
        <v>45786</v>
      </c>
      <c r="B7855" s="202" t="s">
        <v>6102</v>
      </c>
      <c r="C7855" s="200" t="s">
        <v>307</v>
      </c>
      <c r="D7855" s="204">
        <v>-12000</v>
      </c>
      <c r="E7855" s="201">
        <v>45778</v>
      </c>
      <c r="F7855" s="200" t="s">
        <v>296</v>
      </c>
      <c r="G7855" s="200" t="s">
        <v>522</v>
      </c>
      <c r="H7855" s="200" t="s">
        <v>326</v>
      </c>
      <c r="I7855" s="200" t="s">
        <v>718</v>
      </c>
    </row>
    <row r="7856" spans="1:9" ht="15" customHeight="1">
      <c r="A7856" s="199">
        <v>45786</v>
      </c>
      <c r="B7856" s="202" t="s">
        <v>6102</v>
      </c>
      <c r="C7856" s="200" t="s">
        <v>307</v>
      </c>
      <c r="D7856" s="204">
        <v>-3800</v>
      </c>
      <c r="E7856" s="201">
        <v>45778</v>
      </c>
      <c r="F7856" s="200" t="s">
        <v>296</v>
      </c>
      <c r="G7856" s="200" t="s">
        <v>44</v>
      </c>
      <c r="H7856" s="200" t="s">
        <v>326</v>
      </c>
      <c r="I7856" s="200" t="s">
        <v>718</v>
      </c>
    </row>
    <row r="7857" spans="1:9" ht="15" customHeight="1">
      <c r="A7857" s="199">
        <v>45786</v>
      </c>
      <c r="B7857" s="202" t="s">
        <v>6103</v>
      </c>
      <c r="C7857" s="200" t="s">
        <v>307</v>
      </c>
      <c r="D7857" s="204">
        <v>-33950</v>
      </c>
      <c r="E7857" s="201">
        <v>45778</v>
      </c>
      <c r="F7857" s="200" t="s">
        <v>296</v>
      </c>
      <c r="G7857" s="200" t="s">
        <v>522</v>
      </c>
      <c r="H7857" s="200" t="s">
        <v>326</v>
      </c>
      <c r="I7857" s="200" t="s">
        <v>718</v>
      </c>
    </row>
    <row r="7858" spans="1:9" ht="15" customHeight="1">
      <c r="A7858" s="199">
        <v>45786</v>
      </c>
      <c r="B7858" s="202" t="s">
        <v>6104</v>
      </c>
      <c r="C7858" s="200" t="s">
        <v>307</v>
      </c>
      <c r="D7858" s="204">
        <v>-12200</v>
      </c>
      <c r="E7858" s="201">
        <v>45778</v>
      </c>
      <c r="F7858" s="200" t="s">
        <v>296</v>
      </c>
      <c r="G7858" s="200" t="s">
        <v>44</v>
      </c>
      <c r="H7858" s="200" t="s">
        <v>326</v>
      </c>
      <c r="I7858" s="200" t="s">
        <v>718</v>
      </c>
    </row>
    <row r="7859" spans="1:9" ht="15" customHeight="1">
      <c r="A7859" s="199">
        <v>45792</v>
      </c>
      <c r="B7859" s="202" t="s">
        <v>4394</v>
      </c>
      <c r="C7859" s="200" t="s">
        <v>307</v>
      </c>
      <c r="D7859" s="204">
        <v>-119776</v>
      </c>
      <c r="E7859" s="201">
        <v>45778</v>
      </c>
      <c r="F7859" s="200" t="s">
        <v>296</v>
      </c>
      <c r="G7859" s="200" t="s">
        <v>522</v>
      </c>
      <c r="H7859" s="200" t="s">
        <v>326</v>
      </c>
    </row>
    <row r="7860" spans="1:9" ht="15" customHeight="1">
      <c r="A7860" s="199">
        <v>45792</v>
      </c>
      <c r="B7860" s="202" t="s">
        <v>4394</v>
      </c>
      <c r="C7860" s="200" t="s">
        <v>307</v>
      </c>
      <c r="D7860" s="204">
        <v>-35000</v>
      </c>
      <c r="E7860" s="201">
        <v>45778</v>
      </c>
      <c r="F7860" s="200" t="s">
        <v>296</v>
      </c>
      <c r="G7860" s="200" t="s">
        <v>1362</v>
      </c>
      <c r="H7860" s="200" t="s">
        <v>268</v>
      </c>
    </row>
    <row r="7861" spans="1:9" ht="15" customHeight="1">
      <c r="A7861" s="199">
        <v>45792</v>
      </c>
      <c r="B7861" s="202" t="s">
        <v>4394</v>
      </c>
      <c r="C7861" s="200" t="s">
        <v>307</v>
      </c>
      <c r="D7861" s="204">
        <v>-64000</v>
      </c>
      <c r="E7861" s="201">
        <v>45778</v>
      </c>
      <c r="F7861" s="200" t="s">
        <v>296</v>
      </c>
      <c r="G7861" s="200" t="s">
        <v>1980</v>
      </c>
      <c r="H7861" s="200" t="s">
        <v>442</v>
      </c>
    </row>
    <row r="7862" spans="1:9" ht="15" customHeight="1">
      <c r="A7862" s="199">
        <v>45792</v>
      </c>
      <c r="B7862" s="202" t="s">
        <v>4394</v>
      </c>
      <c r="C7862" s="200" t="s">
        <v>307</v>
      </c>
      <c r="D7862" s="204">
        <v>-108000</v>
      </c>
      <c r="E7862" s="201">
        <v>45778</v>
      </c>
      <c r="F7862" s="200" t="s">
        <v>296</v>
      </c>
      <c r="G7862" s="200" t="s">
        <v>44</v>
      </c>
      <c r="H7862" s="200" t="s">
        <v>442</v>
      </c>
    </row>
    <row r="7863" spans="1:9" ht="15" customHeight="1">
      <c r="A7863" s="199">
        <v>45792</v>
      </c>
      <c r="B7863" s="202" t="s">
        <v>4394</v>
      </c>
      <c r="C7863" s="200" t="s">
        <v>307</v>
      </c>
      <c r="D7863" s="204">
        <v>-79000</v>
      </c>
      <c r="E7863" s="201">
        <v>45778</v>
      </c>
      <c r="F7863" s="200" t="s">
        <v>297</v>
      </c>
      <c r="G7863" s="200" t="s">
        <v>71</v>
      </c>
      <c r="H7863" s="200" t="s">
        <v>268</v>
      </c>
    </row>
    <row r="7864" spans="1:9" ht="15" customHeight="1">
      <c r="A7864" s="199">
        <v>45792</v>
      </c>
      <c r="B7864" s="202" t="s">
        <v>4394</v>
      </c>
      <c r="C7864" s="200" t="s">
        <v>307</v>
      </c>
      <c r="D7864" s="204">
        <v>-64000</v>
      </c>
      <c r="E7864" s="201">
        <v>45778</v>
      </c>
      <c r="F7864" s="200" t="s">
        <v>256</v>
      </c>
      <c r="G7864" s="200" t="s">
        <v>256</v>
      </c>
      <c r="H7864" s="200" t="s">
        <v>268</v>
      </c>
    </row>
    <row r="7865" spans="1:9" ht="15" customHeight="1">
      <c r="A7865" s="199">
        <v>45792</v>
      </c>
      <c r="B7865" s="202" t="s">
        <v>4394</v>
      </c>
      <c r="C7865" s="200" t="s">
        <v>307</v>
      </c>
      <c r="D7865" s="204">
        <v>-14000</v>
      </c>
      <c r="E7865" s="201">
        <v>45778</v>
      </c>
      <c r="F7865" s="200" t="s">
        <v>296</v>
      </c>
      <c r="G7865" s="200" t="s">
        <v>1735</v>
      </c>
      <c r="H7865" s="200" t="s">
        <v>268</v>
      </c>
    </row>
    <row r="7866" spans="1:9" ht="15" customHeight="1">
      <c r="A7866" s="199">
        <v>45792</v>
      </c>
      <c r="B7866" s="202" t="s">
        <v>4394</v>
      </c>
      <c r="C7866" s="200" t="s">
        <v>307</v>
      </c>
      <c r="D7866" s="204">
        <v>-22000</v>
      </c>
      <c r="E7866" s="201">
        <v>45778</v>
      </c>
      <c r="F7866" s="200" t="s">
        <v>296</v>
      </c>
      <c r="G7866" s="200" t="s">
        <v>1825</v>
      </c>
      <c r="H7866" s="200" t="s">
        <v>442</v>
      </c>
    </row>
    <row r="7867" spans="1:9" ht="15" customHeight="1">
      <c r="A7867" s="199">
        <v>45792</v>
      </c>
      <c r="B7867" s="202" t="s">
        <v>4395</v>
      </c>
      <c r="C7867" s="200" t="s">
        <v>372</v>
      </c>
      <c r="D7867" s="204">
        <v>-3084</v>
      </c>
      <c r="E7867" s="201">
        <v>45778</v>
      </c>
      <c r="F7867" s="200" t="s">
        <v>296</v>
      </c>
      <c r="G7867" s="200" t="s">
        <v>522</v>
      </c>
      <c r="H7867" s="200" t="s">
        <v>326</v>
      </c>
    </row>
    <row r="7868" spans="1:9" ht="15" customHeight="1">
      <c r="A7868" s="199">
        <v>45792</v>
      </c>
      <c r="B7868" s="202" t="s">
        <v>4396</v>
      </c>
      <c r="C7868" s="200" t="s">
        <v>372</v>
      </c>
      <c r="D7868" s="204">
        <v>-5140</v>
      </c>
      <c r="E7868" s="201">
        <v>45778</v>
      </c>
      <c r="F7868" s="200" t="s">
        <v>296</v>
      </c>
      <c r="G7868" s="200" t="s">
        <v>522</v>
      </c>
      <c r="H7868" s="200" t="s">
        <v>326</v>
      </c>
    </row>
    <row r="7869" spans="1:9" ht="15" customHeight="1">
      <c r="A7869" s="199">
        <v>45779</v>
      </c>
      <c r="B7869" s="202" t="s">
        <v>5273</v>
      </c>
      <c r="C7869" s="200" t="s">
        <v>307</v>
      </c>
      <c r="D7869" s="204">
        <v>-100015</v>
      </c>
      <c r="E7869" s="201">
        <v>45778</v>
      </c>
      <c r="F7869" s="200" t="s">
        <v>296</v>
      </c>
      <c r="G7869" s="200" t="s">
        <v>1980</v>
      </c>
      <c r="H7869" s="200" t="s">
        <v>326</v>
      </c>
      <c r="I7869" s="200" t="s">
        <v>2951</v>
      </c>
    </row>
    <row r="7870" spans="1:9" ht="15" customHeight="1">
      <c r="A7870" s="199">
        <v>45779</v>
      </c>
      <c r="B7870" s="202" t="s">
        <v>6105</v>
      </c>
      <c r="C7870" s="200" t="s">
        <v>307</v>
      </c>
      <c r="D7870" s="204">
        <v>-108019</v>
      </c>
      <c r="E7870" s="201">
        <v>45778</v>
      </c>
      <c r="F7870" s="200" t="s">
        <v>296</v>
      </c>
      <c r="G7870" s="200" t="s">
        <v>1980</v>
      </c>
      <c r="H7870" s="200" t="s">
        <v>490</v>
      </c>
      <c r="I7870" s="200" t="s">
        <v>2951</v>
      </c>
    </row>
    <row r="7871" spans="1:9" ht="15" customHeight="1">
      <c r="A7871" s="199">
        <v>45779</v>
      </c>
      <c r="B7871" s="202" t="s">
        <v>6106</v>
      </c>
      <c r="C7871" s="200" t="s">
        <v>307</v>
      </c>
      <c r="D7871" s="204">
        <v>-70036</v>
      </c>
      <c r="E7871" s="201">
        <v>45778</v>
      </c>
      <c r="F7871" s="200" t="s">
        <v>296</v>
      </c>
      <c r="G7871" s="200" t="s">
        <v>1980</v>
      </c>
      <c r="H7871" s="200" t="s">
        <v>429</v>
      </c>
      <c r="I7871" s="200" t="s">
        <v>2951</v>
      </c>
    </row>
    <row r="7872" spans="1:9" ht="15" customHeight="1">
      <c r="A7872" s="199">
        <v>45779</v>
      </c>
      <c r="B7872" s="202" t="s">
        <v>2954</v>
      </c>
      <c r="C7872" s="200" t="s">
        <v>307</v>
      </c>
      <c r="D7872" s="204">
        <v>-30000</v>
      </c>
      <c r="E7872" s="201">
        <v>45778</v>
      </c>
      <c r="F7872" s="200" t="s">
        <v>296</v>
      </c>
      <c r="G7872" s="200" t="s">
        <v>1980</v>
      </c>
      <c r="H7872" s="200" t="s">
        <v>326</v>
      </c>
      <c r="I7872" s="200" t="s">
        <v>2951</v>
      </c>
    </row>
    <row r="7873" spans="1:9" ht="15" customHeight="1">
      <c r="A7873" s="199">
        <v>45780</v>
      </c>
      <c r="B7873" s="202" t="s">
        <v>6107</v>
      </c>
      <c r="C7873" s="200" t="s">
        <v>307</v>
      </c>
      <c r="D7873" s="204">
        <v>-135000</v>
      </c>
      <c r="E7873" s="201">
        <v>45778</v>
      </c>
      <c r="F7873" s="200" t="s">
        <v>296</v>
      </c>
      <c r="G7873" s="200" t="s">
        <v>1980</v>
      </c>
      <c r="H7873" s="200" t="s">
        <v>326</v>
      </c>
      <c r="I7873" s="200" t="s">
        <v>2951</v>
      </c>
    </row>
    <row r="7874" spans="1:9" ht="15" customHeight="1">
      <c r="A7874" s="199">
        <v>45780</v>
      </c>
      <c r="B7874" s="202" t="s">
        <v>6108</v>
      </c>
      <c r="C7874" s="200" t="s">
        <v>307</v>
      </c>
      <c r="D7874" s="204">
        <v>-120000</v>
      </c>
      <c r="E7874" s="201">
        <v>45778</v>
      </c>
      <c r="F7874" s="200" t="s">
        <v>296</v>
      </c>
      <c r="G7874" s="200" t="s">
        <v>1980</v>
      </c>
      <c r="H7874" s="200" t="s">
        <v>1213</v>
      </c>
      <c r="I7874" s="200" t="s">
        <v>2951</v>
      </c>
    </row>
    <row r="7875" spans="1:9" ht="15" customHeight="1">
      <c r="A7875" s="199">
        <v>45783</v>
      </c>
      <c r="B7875" s="202" t="s">
        <v>2954</v>
      </c>
      <c r="C7875" s="200" t="s">
        <v>307</v>
      </c>
      <c r="D7875" s="204">
        <v>-45000</v>
      </c>
      <c r="E7875" s="201">
        <v>45778</v>
      </c>
      <c r="F7875" s="200" t="s">
        <v>296</v>
      </c>
      <c r="G7875" s="200" t="s">
        <v>1980</v>
      </c>
      <c r="H7875" s="200" t="s">
        <v>326</v>
      </c>
      <c r="I7875" s="200" t="s">
        <v>2951</v>
      </c>
    </row>
    <row r="7876" spans="1:9" ht="15" customHeight="1">
      <c r="A7876" s="199">
        <v>45783</v>
      </c>
      <c r="B7876" s="202" t="s">
        <v>6109</v>
      </c>
      <c r="C7876" s="200" t="s">
        <v>307</v>
      </c>
      <c r="D7876" s="204">
        <v>-61600</v>
      </c>
      <c r="E7876" s="201">
        <v>45778</v>
      </c>
      <c r="F7876" s="200" t="s">
        <v>296</v>
      </c>
      <c r="G7876" s="200" t="s">
        <v>1980</v>
      </c>
      <c r="H7876" s="200" t="s">
        <v>490</v>
      </c>
      <c r="I7876" s="200" t="s">
        <v>2951</v>
      </c>
    </row>
    <row r="7877" spans="1:9" ht="15" customHeight="1">
      <c r="A7877" s="199">
        <v>45784</v>
      </c>
      <c r="B7877" s="202" t="s">
        <v>2954</v>
      </c>
      <c r="C7877" s="200" t="s">
        <v>307</v>
      </c>
      <c r="D7877" s="204">
        <v>-45000</v>
      </c>
      <c r="E7877" s="201">
        <v>45778</v>
      </c>
      <c r="F7877" s="200" t="s">
        <v>296</v>
      </c>
      <c r="G7877" s="200" t="s">
        <v>1980</v>
      </c>
      <c r="H7877" s="200" t="s">
        <v>326</v>
      </c>
      <c r="I7877" s="200" t="s">
        <v>2951</v>
      </c>
    </row>
    <row r="7878" spans="1:9" ht="15" customHeight="1">
      <c r="A7878" s="199">
        <v>45785</v>
      </c>
      <c r="B7878" s="202" t="s">
        <v>2955</v>
      </c>
      <c r="C7878" s="200" t="s">
        <v>307</v>
      </c>
      <c r="D7878" s="204">
        <v>-12500</v>
      </c>
      <c r="E7878" s="201">
        <v>45778</v>
      </c>
      <c r="F7878" s="200" t="s">
        <v>296</v>
      </c>
      <c r="G7878" s="200" t="s">
        <v>1980</v>
      </c>
      <c r="H7878" s="200" t="s">
        <v>326</v>
      </c>
      <c r="I7878" s="200" t="s">
        <v>2951</v>
      </c>
    </row>
    <row r="7879" spans="1:9" ht="15" customHeight="1">
      <c r="A7879" s="199">
        <v>45786</v>
      </c>
      <c r="B7879" s="202" t="s">
        <v>2954</v>
      </c>
      <c r="C7879" s="200" t="s">
        <v>307</v>
      </c>
      <c r="D7879" s="204">
        <v>-60000</v>
      </c>
      <c r="E7879" s="201">
        <v>45778</v>
      </c>
      <c r="F7879" s="200" t="s">
        <v>296</v>
      </c>
      <c r="G7879" s="200" t="s">
        <v>1980</v>
      </c>
      <c r="H7879" s="200" t="s">
        <v>326</v>
      </c>
      <c r="I7879" s="200" t="s">
        <v>2951</v>
      </c>
    </row>
    <row r="7880" spans="1:9" ht="15" customHeight="1">
      <c r="A7880" s="199">
        <v>45786</v>
      </c>
      <c r="B7880" s="202" t="s">
        <v>6110</v>
      </c>
      <c r="C7880" s="200" t="s">
        <v>307</v>
      </c>
      <c r="D7880" s="204">
        <v>-10000</v>
      </c>
      <c r="E7880" s="201">
        <v>45778</v>
      </c>
      <c r="F7880" s="200" t="s">
        <v>296</v>
      </c>
      <c r="G7880" s="200" t="s">
        <v>1980</v>
      </c>
      <c r="H7880" s="200" t="s">
        <v>326</v>
      </c>
      <c r="I7880" s="200" t="s">
        <v>2951</v>
      </c>
    </row>
    <row r="7881" spans="1:9" ht="15" customHeight="1">
      <c r="A7881" s="199">
        <v>45791</v>
      </c>
      <c r="B7881" s="202" t="s">
        <v>6111</v>
      </c>
      <c r="C7881" s="200" t="s">
        <v>307</v>
      </c>
      <c r="D7881" s="204">
        <v>-22800</v>
      </c>
      <c r="E7881" s="201">
        <v>45778</v>
      </c>
      <c r="F7881" s="200" t="s">
        <v>256</v>
      </c>
      <c r="G7881" s="200" t="s">
        <v>256</v>
      </c>
      <c r="H7881" s="200" t="s">
        <v>267</v>
      </c>
    </row>
    <row r="7882" spans="1:9" ht="15" customHeight="1">
      <c r="A7882" s="199">
        <v>45789</v>
      </c>
      <c r="B7882" s="202" t="s">
        <v>6112</v>
      </c>
      <c r="C7882" s="200" t="s">
        <v>307</v>
      </c>
      <c r="D7882" s="204">
        <v>-40000</v>
      </c>
      <c r="E7882" s="201">
        <v>45778</v>
      </c>
      <c r="F7882" s="200" t="s">
        <v>256</v>
      </c>
      <c r="G7882" s="200" t="s">
        <v>107</v>
      </c>
      <c r="H7882" s="200" t="s">
        <v>275</v>
      </c>
    </row>
    <row r="7883" spans="1:9" ht="15" customHeight="1">
      <c r="A7883" s="199">
        <v>45790</v>
      </c>
      <c r="B7883" s="202" t="s">
        <v>6113</v>
      </c>
      <c r="C7883" s="200" t="s">
        <v>307</v>
      </c>
      <c r="D7883" s="204">
        <v>-40000</v>
      </c>
      <c r="E7883" s="201">
        <v>45778</v>
      </c>
      <c r="F7883" s="200" t="s">
        <v>256</v>
      </c>
      <c r="G7883" s="200" t="s">
        <v>256</v>
      </c>
      <c r="H7883" s="200" t="s">
        <v>267</v>
      </c>
    </row>
    <row r="7884" spans="1:9" ht="15" customHeight="1">
      <c r="A7884" s="199">
        <v>45790</v>
      </c>
      <c r="B7884" s="202" t="s">
        <v>6114</v>
      </c>
      <c r="C7884" s="200" t="s">
        <v>307</v>
      </c>
      <c r="D7884" s="204">
        <v>-55000</v>
      </c>
      <c r="E7884" s="201">
        <v>45778</v>
      </c>
      <c r="F7884" s="200" t="s">
        <v>256</v>
      </c>
      <c r="G7884" s="200" t="s">
        <v>256</v>
      </c>
      <c r="H7884" s="200" t="s">
        <v>267</v>
      </c>
    </row>
    <row r="7885" spans="1:9" ht="15" customHeight="1">
      <c r="A7885" s="199">
        <v>45790</v>
      </c>
      <c r="B7885" s="202" t="s">
        <v>6115</v>
      </c>
      <c r="C7885" s="200" t="s">
        <v>307</v>
      </c>
      <c r="D7885" s="204">
        <v>-40000</v>
      </c>
      <c r="E7885" s="201">
        <v>45778</v>
      </c>
      <c r="F7885" s="200" t="s">
        <v>256</v>
      </c>
      <c r="G7885" s="200" t="s">
        <v>256</v>
      </c>
      <c r="H7885" s="200" t="s">
        <v>267</v>
      </c>
    </row>
    <row r="7886" spans="1:9" ht="15" customHeight="1">
      <c r="A7886" s="199">
        <v>45792</v>
      </c>
      <c r="B7886" s="202" t="s">
        <v>6116</v>
      </c>
      <c r="C7886" s="200" t="s">
        <v>136</v>
      </c>
      <c r="D7886" s="658">
        <v>-138000</v>
      </c>
      <c r="E7886" s="201">
        <v>45778</v>
      </c>
      <c r="F7886" s="200" t="s">
        <v>296</v>
      </c>
      <c r="G7886" s="200" t="s">
        <v>1980</v>
      </c>
      <c r="H7886" s="200" t="s">
        <v>488</v>
      </c>
    </row>
    <row r="7887" spans="1:9" ht="15" customHeight="1">
      <c r="A7887" s="199">
        <v>45786</v>
      </c>
      <c r="B7887" s="202" t="s">
        <v>6117</v>
      </c>
      <c r="C7887" s="200" t="s">
        <v>136</v>
      </c>
      <c r="D7887" s="658">
        <v>214999224</v>
      </c>
      <c r="E7887" s="201">
        <v>45778</v>
      </c>
      <c r="F7887" s="200" t="s">
        <v>983</v>
      </c>
      <c r="G7887" s="200" t="s">
        <v>328</v>
      </c>
    </row>
    <row r="7888" spans="1:9" ht="15" customHeight="1">
      <c r="A7888" s="199">
        <v>45786</v>
      </c>
      <c r="B7888" s="202" t="s">
        <v>6118</v>
      </c>
      <c r="C7888" s="200" t="s">
        <v>136</v>
      </c>
      <c r="D7888" s="658">
        <v>1243900</v>
      </c>
      <c r="E7888" s="201">
        <v>45778</v>
      </c>
      <c r="F7888" s="200" t="s">
        <v>295</v>
      </c>
    </row>
    <row r="7889" spans="1:9" ht="15" customHeight="1">
      <c r="A7889" s="199">
        <v>45789</v>
      </c>
      <c r="B7889" s="202" t="s">
        <v>6119</v>
      </c>
      <c r="C7889" s="200" t="s">
        <v>136</v>
      </c>
      <c r="D7889" s="658">
        <v>1439115</v>
      </c>
      <c r="E7889" s="201">
        <v>45778</v>
      </c>
      <c r="F7889" s="200" t="s">
        <v>295</v>
      </c>
    </row>
    <row r="7890" spans="1:9" ht="15" customHeight="1">
      <c r="A7890" s="199">
        <v>45789</v>
      </c>
      <c r="B7890" s="202" t="s">
        <v>6119</v>
      </c>
      <c r="C7890" s="200" t="s">
        <v>136</v>
      </c>
      <c r="D7890" s="658">
        <v>536206</v>
      </c>
      <c r="E7890" s="201">
        <v>45778</v>
      </c>
      <c r="F7890" s="200" t="s">
        <v>295</v>
      </c>
    </row>
    <row r="7891" spans="1:9" ht="15" customHeight="1">
      <c r="A7891" s="199">
        <v>45790</v>
      </c>
      <c r="B7891" s="202" t="s">
        <v>6119</v>
      </c>
      <c r="C7891" s="200" t="s">
        <v>136</v>
      </c>
      <c r="D7891" s="658">
        <v>1832157</v>
      </c>
      <c r="E7891" s="201">
        <v>45778</v>
      </c>
      <c r="F7891" s="200" t="s">
        <v>295</v>
      </c>
    </row>
    <row r="7892" spans="1:9" ht="15" customHeight="1">
      <c r="A7892" s="199">
        <v>45791</v>
      </c>
      <c r="B7892" s="202" t="s">
        <v>6120</v>
      </c>
      <c r="C7892" s="200" t="s">
        <v>136</v>
      </c>
      <c r="D7892" s="658">
        <v>616328.55000000005</v>
      </c>
      <c r="E7892" s="201">
        <v>45778</v>
      </c>
      <c r="F7892" s="200" t="s">
        <v>295</v>
      </c>
    </row>
    <row r="7893" spans="1:9" ht="15" customHeight="1">
      <c r="A7893" s="199">
        <v>45791</v>
      </c>
      <c r="B7893" s="202" t="s">
        <v>6121</v>
      </c>
      <c r="C7893" s="200" t="s">
        <v>136</v>
      </c>
      <c r="D7893" s="658">
        <v>2690245</v>
      </c>
      <c r="E7893" s="201">
        <v>45778</v>
      </c>
      <c r="F7893" s="200" t="s">
        <v>983</v>
      </c>
      <c r="G7893" s="200" t="s">
        <v>390</v>
      </c>
    </row>
    <row r="7894" spans="1:9" ht="15" customHeight="1">
      <c r="A7894" s="199">
        <v>45790</v>
      </c>
      <c r="B7894" s="202" t="s">
        <v>6122</v>
      </c>
      <c r="C7894" s="200" t="s">
        <v>314</v>
      </c>
      <c r="D7894" s="204">
        <v>438800</v>
      </c>
      <c r="E7894" s="662">
        <v>45778</v>
      </c>
      <c r="F7894" s="200" t="s">
        <v>295</v>
      </c>
    </row>
    <row r="7895" spans="1:9" ht="15" customHeight="1">
      <c r="A7895" s="199">
        <v>45792</v>
      </c>
      <c r="B7895" s="202" t="s">
        <v>6123</v>
      </c>
      <c r="C7895" s="200" t="s">
        <v>314</v>
      </c>
      <c r="D7895" s="204">
        <v>1209600.1599999999</v>
      </c>
      <c r="E7895" s="662">
        <v>45778</v>
      </c>
      <c r="F7895" s="200" t="s">
        <v>295</v>
      </c>
    </row>
    <row r="7896" spans="1:9" ht="15" customHeight="1">
      <c r="A7896" s="199">
        <v>45783</v>
      </c>
      <c r="B7896" s="202" t="s">
        <v>498</v>
      </c>
      <c r="C7896" s="200" t="s">
        <v>307</v>
      </c>
      <c r="D7896" s="204">
        <v>-45600</v>
      </c>
      <c r="E7896" s="662">
        <v>45778</v>
      </c>
      <c r="F7896" s="200" t="s">
        <v>297</v>
      </c>
      <c r="G7896" s="200" t="s">
        <v>3892</v>
      </c>
      <c r="H7896" s="200" t="s">
        <v>342</v>
      </c>
      <c r="I7896" s="200" t="s">
        <v>4979</v>
      </c>
    </row>
    <row r="7897" spans="1:9" ht="15" customHeight="1">
      <c r="A7897" s="199">
        <v>45783</v>
      </c>
      <c r="B7897" s="202" t="s">
        <v>6124</v>
      </c>
      <c r="C7897" s="200" t="s">
        <v>307</v>
      </c>
      <c r="D7897" s="204">
        <v>-32000</v>
      </c>
      <c r="E7897" s="662">
        <v>45778</v>
      </c>
      <c r="F7897" s="200" t="s">
        <v>297</v>
      </c>
      <c r="G7897" s="200" t="s">
        <v>3892</v>
      </c>
      <c r="H7897" s="200" t="s">
        <v>268</v>
      </c>
      <c r="I7897" s="200" t="s">
        <v>4979</v>
      </c>
    </row>
    <row r="7898" spans="1:9" ht="15" customHeight="1">
      <c r="A7898" s="199">
        <v>45783</v>
      </c>
      <c r="B7898" s="202" t="s">
        <v>6125</v>
      </c>
      <c r="C7898" s="200" t="s">
        <v>307</v>
      </c>
      <c r="D7898" s="204">
        <v>-32220</v>
      </c>
      <c r="E7898" s="662">
        <v>45778</v>
      </c>
      <c r="F7898" s="200" t="s">
        <v>297</v>
      </c>
      <c r="G7898" s="200" t="s">
        <v>3892</v>
      </c>
      <c r="H7898" s="200" t="s">
        <v>268</v>
      </c>
      <c r="I7898" s="200" t="s">
        <v>4979</v>
      </c>
    </row>
    <row r="7899" spans="1:9" ht="15" customHeight="1">
      <c r="A7899" s="199">
        <v>45784</v>
      </c>
      <c r="B7899" s="202" t="s">
        <v>6124</v>
      </c>
      <c r="C7899" s="200" t="s">
        <v>307</v>
      </c>
      <c r="D7899" s="204">
        <v>-32480</v>
      </c>
      <c r="E7899" s="662">
        <v>45778</v>
      </c>
      <c r="F7899" s="200" t="s">
        <v>297</v>
      </c>
      <c r="G7899" s="200" t="s">
        <v>3892</v>
      </c>
      <c r="H7899" s="200" t="s">
        <v>268</v>
      </c>
      <c r="I7899" s="200" t="s">
        <v>4979</v>
      </c>
    </row>
    <row r="7900" spans="1:9" ht="15" customHeight="1">
      <c r="A7900" s="199">
        <v>45784</v>
      </c>
      <c r="B7900" s="202" t="s">
        <v>6126</v>
      </c>
      <c r="C7900" s="200" t="s">
        <v>307</v>
      </c>
      <c r="D7900" s="204">
        <v>-20000</v>
      </c>
      <c r="E7900" s="662">
        <v>45778</v>
      </c>
      <c r="F7900" s="200" t="s">
        <v>297</v>
      </c>
      <c r="G7900" s="200" t="s">
        <v>3892</v>
      </c>
      <c r="H7900" s="200" t="s">
        <v>268</v>
      </c>
      <c r="I7900" s="200" t="s">
        <v>4979</v>
      </c>
    </row>
    <row r="7901" spans="1:9" ht="15" customHeight="1">
      <c r="A7901" s="199">
        <v>45785</v>
      </c>
      <c r="B7901" s="202" t="s">
        <v>5921</v>
      </c>
      <c r="C7901" s="200" t="s">
        <v>307</v>
      </c>
      <c r="D7901" s="204">
        <v>-20000</v>
      </c>
      <c r="E7901" s="662">
        <v>45778</v>
      </c>
      <c r="F7901" s="200" t="s">
        <v>296</v>
      </c>
      <c r="G7901" s="200" t="s">
        <v>3360</v>
      </c>
      <c r="H7901" s="200" t="s">
        <v>268</v>
      </c>
      <c r="I7901" s="200" t="s">
        <v>4979</v>
      </c>
    </row>
    <row r="7902" spans="1:9" ht="15" customHeight="1">
      <c r="A7902" s="199">
        <v>45785</v>
      </c>
      <c r="B7902" s="202" t="s">
        <v>5922</v>
      </c>
      <c r="C7902" s="200" t="s">
        <v>307</v>
      </c>
      <c r="D7902" s="204">
        <v>-20000</v>
      </c>
      <c r="E7902" s="662">
        <v>45778</v>
      </c>
      <c r="F7902" s="200" t="s">
        <v>296</v>
      </c>
      <c r="G7902" s="200" t="s">
        <v>3360</v>
      </c>
      <c r="H7902" s="200" t="s">
        <v>268</v>
      </c>
      <c r="I7902" s="200" t="s">
        <v>4979</v>
      </c>
    </row>
    <row r="7903" spans="1:9" ht="15" customHeight="1">
      <c r="A7903" s="199">
        <v>45785</v>
      </c>
      <c r="B7903" s="202" t="s">
        <v>5940</v>
      </c>
      <c r="C7903" s="200" t="s">
        <v>307</v>
      </c>
      <c r="D7903" s="204">
        <v>-15000</v>
      </c>
      <c r="E7903" s="662">
        <v>45778</v>
      </c>
      <c r="F7903" s="200" t="s">
        <v>296</v>
      </c>
      <c r="G7903" s="200" t="s">
        <v>3360</v>
      </c>
      <c r="H7903" s="200" t="s">
        <v>268</v>
      </c>
      <c r="I7903" s="200" t="s">
        <v>4979</v>
      </c>
    </row>
    <row r="7904" spans="1:9" ht="15" customHeight="1">
      <c r="A7904" s="199">
        <v>45785</v>
      </c>
      <c r="B7904" s="202" t="s">
        <v>6127</v>
      </c>
      <c r="C7904" s="200" t="s">
        <v>307</v>
      </c>
      <c r="D7904" s="204">
        <v>-320000</v>
      </c>
      <c r="E7904" s="662">
        <v>45778</v>
      </c>
      <c r="F7904" s="200" t="s">
        <v>296</v>
      </c>
      <c r="G7904" s="200" t="s">
        <v>3360</v>
      </c>
      <c r="H7904" s="200" t="s">
        <v>268</v>
      </c>
      <c r="I7904" s="200" t="s">
        <v>4979</v>
      </c>
    </row>
    <row r="7905" spans="1:9" ht="15" customHeight="1">
      <c r="A7905" s="199">
        <v>45785</v>
      </c>
      <c r="B7905" s="202" t="s">
        <v>5941</v>
      </c>
      <c r="C7905" s="200" t="s">
        <v>307</v>
      </c>
      <c r="D7905" s="204">
        <v>-25000</v>
      </c>
      <c r="E7905" s="662">
        <v>45778</v>
      </c>
      <c r="F7905" s="200" t="s">
        <v>296</v>
      </c>
      <c r="G7905" s="200" t="s">
        <v>3360</v>
      </c>
      <c r="H7905" s="200" t="s">
        <v>268</v>
      </c>
      <c r="I7905" s="200" t="s">
        <v>4979</v>
      </c>
    </row>
    <row r="7906" spans="1:9" ht="15" customHeight="1">
      <c r="A7906" s="199">
        <v>45785</v>
      </c>
      <c r="B7906" s="202" t="s">
        <v>5942</v>
      </c>
      <c r="C7906" s="200" t="s">
        <v>307</v>
      </c>
      <c r="D7906" s="204">
        <v>-25000</v>
      </c>
      <c r="E7906" s="662">
        <v>45778</v>
      </c>
      <c r="F7906" s="200" t="s">
        <v>296</v>
      </c>
      <c r="G7906" s="200" t="s">
        <v>3360</v>
      </c>
      <c r="H7906" s="200" t="s">
        <v>268</v>
      </c>
      <c r="I7906" s="200" t="s">
        <v>4979</v>
      </c>
    </row>
    <row r="7907" spans="1:9" ht="15" customHeight="1">
      <c r="A7907" s="199">
        <v>45785</v>
      </c>
      <c r="B7907" s="202" t="s">
        <v>3106</v>
      </c>
      <c r="C7907" s="200" t="s">
        <v>307</v>
      </c>
      <c r="D7907" s="204">
        <v>-7128</v>
      </c>
      <c r="E7907" s="662">
        <v>45778</v>
      </c>
      <c r="F7907" s="200" t="s">
        <v>296</v>
      </c>
      <c r="G7907" s="200" t="s">
        <v>3360</v>
      </c>
      <c r="H7907" s="200" t="s">
        <v>268</v>
      </c>
      <c r="I7907" s="200" t="s">
        <v>4979</v>
      </c>
    </row>
    <row r="7908" spans="1:9" ht="15" customHeight="1">
      <c r="A7908" s="199">
        <v>45785</v>
      </c>
      <c r="B7908" s="202" t="s">
        <v>5922</v>
      </c>
      <c r="C7908" s="200" t="s">
        <v>307</v>
      </c>
      <c r="D7908" s="204">
        <v>-20000</v>
      </c>
      <c r="E7908" s="662">
        <v>45778</v>
      </c>
      <c r="F7908" s="200" t="s">
        <v>296</v>
      </c>
      <c r="G7908" s="200" t="s">
        <v>3360</v>
      </c>
      <c r="H7908" s="200" t="s">
        <v>268</v>
      </c>
      <c r="I7908" s="200" t="s">
        <v>4979</v>
      </c>
    </row>
    <row r="7909" spans="1:9" ht="15" customHeight="1">
      <c r="A7909" s="199">
        <v>45785</v>
      </c>
      <c r="B7909" s="202" t="s">
        <v>6128</v>
      </c>
      <c r="C7909" s="200" t="s">
        <v>307</v>
      </c>
      <c r="D7909" s="204">
        <v>-22000</v>
      </c>
      <c r="E7909" s="662">
        <v>45778</v>
      </c>
      <c r="F7909" s="200" t="s">
        <v>296</v>
      </c>
      <c r="G7909" s="200" t="s">
        <v>3360</v>
      </c>
      <c r="H7909" s="200" t="s">
        <v>268</v>
      </c>
      <c r="I7909" s="200" t="s">
        <v>4979</v>
      </c>
    </row>
    <row r="7910" spans="1:9" ht="15" customHeight="1">
      <c r="A7910" s="199">
        <v>45785</v>
      </c>
      <c r="B7910" s="202" t="s">
        <v>6129</v>
      </c>
      <c r="C7910" s="200" t="s">
        <v>307</v>
      </c>
      <c r="D7910" s="204">
        <v>-32000</v>
      </c>
      <c r="E7910" s="662">
        <v>45778</v>
      </c>
      <c r="F7910" s="200" t="s">
        <v>297</v>
      </c>
      <c r="G7910" s="200" t="s">
        <v>3892</v>
      </c>
      <c r="H7910" s="200" t="s">
        <v>268</v>
      </c>
      <c r="I7910" s="200" t="s">
        <v>4979</v>
      </c>
    </row>
    <row r="7911" spans="1:9" ht="15" customHeight="1">
      <c r="A7911" s="199">
        <v>45786</v>
      </c>
      <c r="B7911" s="202" t="s">
        <v>6130</v>
      </c>
      <c r="C7911" s="200" t="s">
        <v>307</v>
      </c>
      <c r="D7911" s="204">
        <v>-42009</v>
      </c>
      <c r="E7911" s="662">
        <v>45778</v>
      </c>
      <c r="F7911" s="200" t="s">
        <v>297</v>
      </c>
      <c r="G7911" s="200" t="s">
        <v>3892</v>
      </c>
      <c r="H7911" s="200" t="s">
        <v>268</v>
      </c>
      <c r="I7911" s="200" t="s">
        <v>4979</v>
      </c>
    </row>
    <row r="7912" spans="1:9" ht="15" customHeight="1">
      <c r="A7912" s="199">
        <v>45787</v>
      </c>
      <c r="B7912" s="202" t="s">
        <v>729</v>
      </c>
      <c r="C7912" s="200" t="s">
        <v>307</v>
      </c>
      <c r="D7912" s="204">
        <v>-76000</v>
      </c>
      <c r="E7912" s="662">
        <v>45778</v>
      </c>
      <c r="F7912" s="200" t="s">
        <v>297</v>
      </c>
      <c r="G7912" s="200" t="s">
        <v>3892</v>
      </c>
      <c r="H7912" s="200" t="s">
        <v>342</v>
      </c>
      <c r="I7912" s="200" t="s">
        <v>4979</v>
      </c>
    </row>
    <row r="7913" spans="1:9" ht="15" customHeight="1">
      <c r="A7913" s="199">
        <v>45787</v>
      </c>
      <c r="B7913" s="202" t="s">
        <v>268</v>
      </c>
      <c r="C7913" s="200" t="s">
        <v>307</v>
      </c>
      <c r="D7913" s="204">
        <v>-24000</v>
      </c>
      <c r="E7913" s="662">
        <v>45778</v>
      </c>
      <c r="F7913" s="200" t="s">
        <v>297</v>
      </c>
      <c r="G7913" s="200" t="s">
        <v>3892</v>
      </c>
      <c r="H7913" s="200" t="s">
        <v>268</v>
      </c>
      <c r="I7913" s="200" t="s">
        <v>4979</v>
      </c>
    </row>
    <row r="7914" spans="1:9" ht="15" customHeight="1">
      <c r="A7914" s="199">
        <v>45793</v>
      </c>
      <c r="B7914" s="202" t="s">
        <v>6131</v>
      </c>
      <c r="C7914" s="200" t="s">
        <v>204</v>
      </c>
      <c r="D7914" s="733">
        <v>-17500000</v>
      </c>
      <c r="E7914" s="662">
        <v>45778</v>
      </c>
      <c r="F7914" s="200" t="s">
        <v>4520</v>
      </c>
      <c r="G7914" s="200" t="s">
        <v>4521</v>
      </c>
    </row>
    <row r="7915" spans="1:9" ht="15" customHeight="1">
      <c r="A7915" s="199">
        <v>45793</v>
      </c>
      <c r="B7915" s="202" t="s">
        <v>6132</v>
      </c>
      <c r="C7915" s="200" t="s">
        <v>204</v>
      </c>
      <c r="D7915" s="733">
        <v>-57600000</v>
      </c>
      <c r="E7915" s="662">
        <v>45778</v>
      </c>
      <c r="F7915" s="200" t="s">
        <v>1825</v>
      </c>
      <c r="G7915" s="200" t="s">
        <v>4523</v>
      </c>
    </row>
    <row r="7916" spans="1:9" ht="15" customHeight="1">
      <c r="A7916" s="199">
        <v>45793</v>
      </c>
      <c r="B7916" s="202" t="s">
        <v>6133</v>
      </c>
      <c r="C7916" s="200" t="s">
        <v>204</v>
      </c>
      <c r="D7916" s="733">
        <v>-66750000</v>
      </c>
      <c r="E7916" s="662">
        <v>45778</v>
      </c>
      <c r="F7916" s="200" t="s">
        <v>1980</v>
      </c>
      <c r="G7916" s="200" t="s">
        <v>1981</v>
      </c>
    </row>
    <row r="7917" spans="1:9" ht="15" customHeight="1">
      <c r="A7917" s="199">
        <v>45793</v>
      </c>
      <c r="B7917" s="202" t="s">
        <v>6134</v>
      </c>
      <c r="C7917" s="200" t="s">
        <v>204</v>
      </c>
      <c r="D7917" s="733">
        <v>-192500000</v>
      </c>
      <c r="E7917" s="662">
        <v>45778</v>
      </c>
      <c r="F7917" s="200" t="s">
        <v>6135</v>
      </c>
      <c r="G7917" s="200" t="s">
        <v>6136</v>
      </c>
    </row>
    <row r="7918" spans="1:9" ht="15" customHeight="1">
      <c r="A7918" s="199">
        <v>45793</v>
      </c>
      <c r="B7918" s="727" t="s">
        <v>6137</v>
      </c>
      <c r="C7918" s="200" t="s">
        <v>204</v>
      </c>
      <c r="D7918" s="733">
        <v>-60300000</v>
      </c>
      <c r="E7918" s="662">
        <v>45778</v>
      </c>
      <c r="F7918" s="200" t="s">
        <v>807</v>
      </c>
      <c r="G7918" s="200" t="s">
        <v>4575</v>
      </c>
    </row>
    <row r="7919" spans="1:9" ht="15" customHeight="1">
      <c r="A7919" s="199">
        <v>45793</v>
      </c>
      <c r="B7919" s="202" t="s">
        <v>6138</v>
      </c>
      <c r="C7919" s="200" t="s">
        <v>204</v>
      </c>
      <c r="D7919" s="733">
        <v>-187500000</v>
      </c>
      <c r="E7919" s="662">
        <v>45778</v>
      </c>
      <c r="F7919" s="200" t="s">
        <v>4577</v>
      </c>
      <c r="G7919" s="200" t="s">
        <v>4578</v>
      </c>
    </row>
    <row r="7920" spans="1:9" ht="15" customHeight="1">
      <c r="A7920" s="199">
        <v>45772</v>
      </c>
      <c r="B7920" s="202" t="s">
        <v>6139</v>
      </c>
      <c r="C7920" s="200" t="s">
        <v>307</v>
      </c>
      <c r="D7920" s="204">
        <v>-44000</v>
      </c>
      <c r="E7920" s="662">
        <v>45778</v>
      </c>
      <c r="F7920" s="200" t="s">
        <v>296</v>
      </c>
      <c r="G7920" s="200" t="s">
        <v>1362</v>
      </c>
      <c r="H7920" s="200" t="s">
        <v>5384</v>
      </c>
      <c r="I7920" s="200" t="s">
        <v>5635</v>
      </c>
    </row>
    <row r="7921" spans="1:9" ht="15" customHeight="1">
      <c r="A7921" s="199">
        <v>45772</v>
      </c>
      <c r="B7921" s="202" t="s">
        <v>6140</v>
      </c>
      <c r="C7921" s="200" t="s">
        <v>307</v>
      </c>
      <c r="D7921" s="204">
        <v>-16750</v>
      </c>
      <c r="E7921" s="662">
        <v>45778</v>
      </c>
      <c r="F7921" s="200" t="s">
        <v>296</v>
      </c>
      <c r="G7921" s="200" t="s">
        <v>1362</v>
      </c>
      <c r="H7921" s="200" t="s">
        <v>5384</v>
      </c>
      <c r="I7921" s="200" t="s">
        <v>5635</v>
      </c>
    </row>
    <row r="7922" spans="1:9" ht="15" customHeight="1">
      <c r="A7922" s="199">
        <v>45772</v>
      </c>
      <c r="B7922" s="202" t="s">
        <v>6141</v>
      </c>
      <c r="C7922" s="200" t="s">
        <v>307</v>
      </c>
      <c r="D7922" s="204">
        <v>-17950</v>
      </c>
      <c r="E7922" s="662">
        <v>45778</v>
      </c>
      <c r="F7922" s="200" t="s">
        <v>296</v>
      </c>
      <c r="G7922" s="200" t="s">
        <v>1362</v>
      </c>
      <c r="H7922" s="200" t="s">
        <v>342</v>
      </c>
      <c r="I7922" s="200" t="s">
        <v>5635</v>
      </c>
    </row>
    <row r="7923" spans="1:9" ht="15" customHeight="1">
      <c r="A7923" s="199">
        <v>45772</v>
      </c>
      <c r="B7923" s="202" t="s">
        <v>6142</v>
      </c>
      <c r="C7923" s="200" t="s">
        <v>307</v>
      </c>
      <c r="D7923" s="204">
        <v>-7800</v>
      </c>
      <c r="E7923" s="662">
        <v>45778</v>
      </c>
      <c r="F7923" s="200" t="s">
        <v>296</v>
      </c>
      <c r="G7923" s="200" t="s">
        <v>1362</v>
      </c>
      <c r="H7923" s="200" t="s">
        <v>5384</v>
      </c>
      <c r="I7923" s="200" t="s">
        <v>5635</v>
      </c>
    </row>
    <row r="7924" spans="1:9" ht="15" customHeight="1">
      <c r="A7924" s="199">
        <v>45773</v>
      </c>
      <c r="B7924" s="202" t="s">
        <v>5992</v>
      </c>
      <c r="C7924" s="200" t="s">
        <v>307</v>
      </c>
      <c r="D7924" s="204">
        <v>-20000</v>
      </c>
      <c r="E7924" s="662">
        <v>45778</v>
      </c>
      <c r="F7924" s="200" t="s">
        <v>296</v>
      </c>
      <c r="G7924" s="200" t="s">
        <v>1362</v>
      </c>
      <c r="H7924" s="200" t="s">
        <v>268</v>
      </c>
      <c r="I7924" s="200" t="s">
        <v>5635</v>
      </c>
    </row>
    <row r="7925" spans="1:9" ht="15" customHeight="1">
      <c r="A7925" s="199">
        <v>45775</v>
      </c>
      <c r="B7925" s="202" t="s">
        <v>4776</v>
      </c>
      <c r="C7925" s="200" t="s">
        <v>307</v>
      </c>
      <c r="D7925" s="204">
        <v>-18000</v>
      </c>
      <c r="E7925" s="662">
        <v>45778</v>
      </c>
      <c r="F7925" s="200" t="s">
        <v>296</v>
      </c>
      <c r="G7925" s="200" t="s">
        <v>1362</v>
      </c>
      <c r="H7925" s="200" t="s">
        <v>268</v>
      </c>
      <c r="I7925" s="200" t="s">
        <v>5635</v>
      </c>
    </row>
    <row r="7926" spans="1:9" ht="15" customHeight="1">
      <c r="A7926" s="199">
        <v>45775</v>
      </c>
      <c r="B7926" s="202" t="s">
        <v>4693</v>
      </c>
      <c r="C7926" s="200" t="s">
        <v>307</v>
      </c>
      <c r="D7926" s="204">
        <v>-7500</v>
      </c>
      <c r="E7926" s="662">
        <v>45778</v>
      </c>
      <c r="F7926" s="200" t="s">
        <v>296</v>
      </c>
      <c r="G7926" s="200" t="s">
        <v>1362</v>
      </c>
      <c r="H7926" s="200" t="s">
        <v>268</v>
      </c>
      <c r="I7926" s="200" t="s">
        <v>5635</v>
      </c>
    </row>
    <row r="7927" spans="1:9" ht="15" customHeight="1">
      <c r="A7927" s="199">
        <v>45775</v>
      </c>
      <c r="B7927" s="202" t="s">
        <v>4779</v>
      </c>
      <c r="C7927" s="200" t="s">
        <v>307</v>
      </c>
      <c r="D7927" s="204">
        <v>-7500</v>
      </c>
      <c r="E7927" s="662">
        <v>45778</v>
      </c>
      <c r="F7927" s="200" t="s">
        <v>296</v>
      </c>
      <c r="G7927" s="200" t="s">
        <v>1362</v>
      </c>
      <c r="H7927" s="200" t="s">
        <v>268</v>
      </c>
      <c r="I7927" s="200" t="s">
        <v>5635</v>
      </c>
    </row>
    <row r="7928" spans="1:9" ht="15" customHeight="1">
      <c r="A7928" s="199">
        <v>45775</v>
      </c>
      <c r="B7928" s="202" t="s">
        <v>6143</v>
      </c>
      <c r="C7928" s="200" t="s">
        <v>307</v>
      </c>
      <c r="D7928" s="204">
        <v>-20000</v>
      </c>
      <c r="E7928" s="662">
        <v>45778</v>
      </c>
      <c r="F7928" s="200" t="s">
        <v>296</v>
      </c>
      <c r="G7928" s="200" t="s">
        <v>1362</v>
      </c>
      <c r="H7928" s="200" t="s">
        <v>268</v>
      </c>
      <c r="I7928" s="200" t="s">
        <v>5635</v>
      </c>
    </row>
    <row r="7929" spans="1:9" ht="15" customHeight="1">
      <c r="A7929" s="199">
        <v>45777</v>
      </c>
      <c r="B7929" s="202" t="s">
        <v>5994</v>
      </c>
      <c r="C7929" s="200" t="s">
        <v>307</v>
      </c>
      <c r="D7929" s="204">
        <v>-20000</v>
      </c>
      <c r="E7929" s="662">
        <v>45778</v>
      </c>
      <c r="F7929" s="200" t="s">
        <v>296</v>
      </c>
      <c r="G7929" s="200" t="s">
        <v>1362</v>
      </c>
      <c r="H7929" s="200" t="s">
        <v>268</v>
      </c>
      <c r="I7929" s="200" t="s">
        <v>5635</v>
      </c>
    </row>
    <row r="7930" spans="1:9" ht="15" customHeight="1">
      <c r="A7930" s="199">
        <v>45777</v>
      </c>
      <c r="B7930" s="202" t="s">
        <v>1060</v>
      </c>
      <c r="C7930" s="200" t="s">
        <v>307</v>
      </c>
      <c r="D7930" s="204">
        <v>-7600</v>
      </c>
      <c r="E7930" s="662">
        <v>45778</v>
      </c>
      <c r="F7930" s="200" t="s">
        <v>296</v>
      </c>
      <c r="G7930" s="200" t="s">
        <v>1362</v>
      </c>
      <c r="H7930" s="200" t="s">
        <v>342</v>
      </c>
      <c r="I7930" s="200" t="s">
        <v>5635</v>
      </c>
    </row>
    <row r="7931" spans="1:9" ht="15" customHeight="1">
      <c r="A7931" s="199">
        <v>45777</v>
      </c>
      <c r="B7931" s="202" t="s">
        <v>6144</v>
      </c>
      <c r="C7931" s="200" t="s">
        <v>307</v>
      </c>
      <c r="D7931" s="204">
        <v>-2600</v>
      </c>
      <c r="E7931" s="662">
        <v>45778</v>
      </c>
      <c r="F7931" s="200" t="s">
        <v>296</v>
      </c>
      <c r="G7931" s="200" t="s">
        <v>1362</v>
      </c>
      <c r="H7931" s="200" t="s">
        <v>5384</v>
      </c>
      <c r="I7931" s="200" t="s">
        <v>5635</v>
      </c>
    </row>
    <row r="7932" spans="1:9" ht="15" customHeight="1">
      <c r="A7932" s="199">
        <v>45777</v>
      </c>
      <c r="B7932" s="202" t="s">
        <v>6145</v>
      </c>
      <c r="C7932" s="200" t="s">
        <v>307</v>
      </c>
      <c r="D7932" s="204">
        <v>-7700</v>
      </c>
      <c r="E7932" s="662">
        <v>45778</v>
      </c>
      <c r="F7932" s="200" t="s">
        <v>296</v>
      </c>
      <c r="G7932" s="200" t="s">
        <v>1362</v>
      </c>
      <c r="H7932" s="200" t="s">
        <v>268</v>
      </c>
      <c r="I7932" s="200" t="s">
        <v>5635</v>
      </c>
    </row>
    <row r="7933" spans="1:9" ht="15" customHeight="1">
      <c r="A7933" s="199">
        <v>45777</v>
      </c>
      <c r="B7933" s="202" t="s">
        <v>6146</v>
      </c>
      <c r="C7933" s="200" t="s">
        <v>307</v>
      </c>
      <c r="D7933" s="204">
        <v>-15000</v>
      </c>
      <c r="E7933" s="662">
        <v>45778</v>
      </c>
      <c r="F7933" s="200" t="s">
        <v>296</v>
      </c>
      <c r="G7933" s="200" t="s">
        <v>1362</v>
      </c>
      <c r="H7933" s="200" t="s">
        <v>268</v>
      </c>
      <c r="I7933" s="200" t="s">
        <v>5635</v>
      </c>
    </row>
    <row r="7934" spans="1:9" ht="15" customHeight="1">
      <c r="A7934" s="199">
        <v>45777</v>
      </c>
      <c r="B7934" s="202" t="s">
        <v>4776</v>
      </c>
      <c r="C7934" s="200" t="s">
        <v>307</v>
      </c>
      <c r="D7934" s="204">
        <v>-20000</v>
      </c>
      <c r="E7934" s="662">
        <v>45778</v>
      </c>
      <c r="F7934" s="200" t="s">
        <v>296</v>
      </c>
      <c r="G7934" s="200" t="s">
        <v>1362</v>
      </c>
      <c r="H7934" s="200" t="s">
        <v>268</v>
      </c>
      <c r="I7934" s="200" t="s">
        <v>5635</v>
      </c>
    </row>
    <row r="7935" spans="1:9" ht="15" customHeight="1">
      <c r="A7935" s="199">
        <v>45777</v>
      </c>
      <c r="B7935" s="202" t="s">
        <v>6147</v>
      </c>
      <c r="C7935" s="200" t="s">
        <v>307</v>
      </c>
      <c r="D7935" s="204">
        <v>-16000</v>
      </c>
      <c r="E7935" s="662">
        <v>45778</v>
      </c>
      <c r="F7935" s="200" t="s">
        <v>296</v>
      </c>
      <c r="G7935" s="200" t="s">
        <v>1362</v>
      </c>
      <c r="H7935" s="200" t="s">
        <v>342</v>
      </c>
      <c r="I7935" s="200" t="s">
        <v>5635</v>
      </c>
    </row>
    <row r="7936" spans="1:9" ht="15" customHeight="1">
      <c r="A7936" s="199">
        <v>45777</v>
      </c>
      <c r="B7936" s="202" t="s">
        <v>5983</v>
      </c>
      <c r="C7936" s="200" t="s">
        <v>307</v>
      </c>
      <c r="D7936" s="204">
        <v>-3950</v>
      </c>
      <c r="E7936" s="662">
        <v>45778</v>
      </c>
      <c r="F7936" s="200" t="s">
        <v>296</v>
      </c>
      <c r="G7936" s="200" t="s">
        <v>1362</v>
      </c>
      <c r="H7936" s="200" t="s">
        <v>342</v>
      </c>
      <c r="I7936" s="200" t="s">
        <v>5635</v>
      </c>
    </row>
    <row r="7937" spans="1:9" ht="15" customHeight="1">
      <c r="A7937" s="199">
        <v>45777</v>
      </c>
      <c r="B7937" s="202" t="s">
        <v>1521</v>
      </c>
      <c r="C7937" s="200" t="s">
        <v>307</v>
      </c>
      <c r="D7937" s="204">
        <v>-14055</v>
      </c>
      <c r="E7937" s="662">
        <v>45778</v>
      </c>
      <c r="F7937" s="200" t="s">
        <v>296</v>
      </c>
      <c r="G7937" s="200" t="s">
        <v>1362</v>
      </c>
      <c r="H7937" s="200" t="s">
        <v>342</v>
      </c>
      <c r="I7937" s="200" t="s">
        <v>5635</v>
      </c>
    </row>
    <row r="7938" spans="1:9" ht="15" customHeight="1">
      <c r="A7938" s="199">
        <v>45778</v>
      </c>
      <c r="B7938" s="202" t="s">
        <v>1521</v>
      </c>
      <c r="C7938" s="200" t="s">
        <v>307</v>
      </c>
      <c r="D7938" s="204">
        <v>-50001</v>
      </c>
      <c r="E7938" s="662">
        <v>45778</v>
      </c>
      <c r="F7938" s="200" t="s">
        <v>296</v>
      </c>
      <c r="G7938" s="200" t="s">
        <v>1362</v>
      </c>
      <c r="H7938" s="200" t="s">
        <v>342</v>
      </c>
      <c r="I7938" s="200" t="s">
        <v>5635</v>
      </c>
    </row>
    <row r="7939" spans="1:9" ht="15" customHeight="1">
      <c r="A7939" s="199">
        <v>45778</v>
      </c>
      <c r="B7939" s="202" t="s">
        <v>6148</v>
      </c>
      <c r="C7939" s="200" t="s">
        <v>307</v>
      </c>
      <c r="D7939" s="204">
        <v>-7500</v>
      </c>
      <c r="E7939" s="662">
        <v>45778</v>
      </c>
      <c r="F7939" s="200" t="s">
        <v>296</v>
      </c>
      <c r="G7939" s="200" t="s">
        <v>1362</v>
      </c>
      <c r="H7939" s="200" t="s">
        <v>342</v>
      </c>
      <c r="I7939" s="200" t="s">
        <v>5635</v>
      </c>
    </row>
    <row r="7940" spans="1:9" ht="15" customHeight="1">
      <c r="A7940" s="199">
        <v>45778</v>
      </c>
      <c r="B7940" s="202" t="s">
        <v>1060</v>
      </c>
      <c r="C7940" s="200" t="s">
        <v>307</v>
      </c>
      <c r="D7940" s="204">
        <v>-7600</v>
      </c>
      <c r="E7940" s="662">
        <v>45778</v>
      </c>
      <c r="F7940" s="200" t="s">
        <v>296</v>
      </c>
      <c r="G7940" s="200" t="s">
        <v>1362</v>
      </c>
      <c r="H7940" s="200" t="s">
        <v>342</v>
      </c>
      <c r="I7940" s="200" t="s">
        <v>5635</v>
      </c>
    </row>
    <row r="7941" spans="1:9" ht="15" customHeight="1">
      <c r="A7941" s="199">
        <v>45778</v>
      </c>
      <c r="B7941" s="202" t="s">
        <v>6149</v>
      </c>
      <c r="C7941" s="200" t="s">
        <v>307</v>
      </c>
      <c r="D7941" s="204">
        <v>-12500</v>
      </c>
      <c r="E7941" s="662">
        <v>45778</v>
      </c>
      <c r="F7941" s="200" t="s">
        <v>296</v>
      </c>
      <c r="G7941" s="200" t="s">
        <v>1362</v>
      </c>
      <c r="H7941" s="200" t="s">
        <v>5384</v>
      </c>
      <c r="I7941" s="200" t="s">
        <v>5635</v>
      </c>
    </row>
    <row r="7942" spans="1:9" ht="15" customHeight="1">
      <c r="A7942" s="199">
        <v>45778</v>
      </c>
      <c r="B7942" s="202" t="s">
        <v>5983</v>
      </c>
      <c r="C7942" s="200" t="s">
        <v>307</v>
      </c>
      <c r="D7942" s="204">
        <v>-5180</v>
      </c>
      <c r="E7942" s="662">
        <v>45778</v>
      </c>
      <c r="F7942" s="200" t="s">
        <v>296</v>
      </c>
      <c r="G7942" s="200" t="s">
        <v>1362</v>
      </c>
      <c r="H7942" s="200" t="s">
        <v>342</v>
      </c>
      <c r="I7942" s="200" t="s">
        <v>5635</v>
      </c>
    </row>
    <row r="7943" spans="1:9" ht="15" customHeight="1">
      <c r="A7943" s="199">
        <v>45778</v>
      </c>
      <c r="B7943" s="202" t="s">
        <v>6150</v>
      </c>
      <c r="C7943" s="200" t="s">
        <v>307</v>
      </c>
      <c r="D7943" s="204">
        <v>-7000</v>
      </c>
      <c r="E7943" s="662">
        <v>45778</v>
      </c>
      <c r="F7943" s="200" t="s">
        <v>296</v>
      </c>
      <c r="G7943" s="200" t="s">
        <v>1362</v>
      </c>
      <c r="H7943" s="200" t="s">
        <v>268</v>
      </c>
      <c r="I7943" s="200" t="s">
        <v>5635</v>
      </c>
    </row>
    <row r="7944" spans="1:9" ht="15" customHeight="1">
      <c r="A7944" s="199">
        <v>45778</v>
      </c>
      <c r="B7944" s="202" t="s">
        <v>4691</v>
      </c>
      <c r="C7944" s="200" t="s">
        <v>307</v>
      </c>
      <c r="D7944" s="204">
        <v>-20000</v>
      </c>
      <c r="E7944" s="662">
        <v>45778</v>
      </c>
      <c r="F7944" s="200" t="s">
        <v>296</v>
      </c>
      <c r="G7944" s="200" t="s">
        <v>1362</v>
      </c>
      <c r="H7944" s="200" t="s">
        <v>268</v>
      </c>
      <c r="I7944" s="200" t="s">
        <v>5635</v>
      </c>
    </row>
    <row r="7945" spans="1:9" ht="15" customHeight="1">
      <c r="A7945" s="199">
        <v>45779</v>
      </c>
      <c r="B7945" s="202" t="s">
        <v>1521</v>
      </c>
      <c r="C7945" s="200" t="s">
        <v>307</v>
      </c>
      <c r="D7945" s="204">
        <v>-13917</v>
      </c>
      <c r="E7945" s="662">
        <v>45778</v>
      </c>
      <c r="F7945" s="200" t="s">
        <v>296</v>
      </c>
      <c r="G7945" s="200" t="s">
        <v>1362</v>
      </c>
      <c r="H7945" s="200" t="s">
        <v>342</v>
      </c>
      <c r="I7945" s="200" t="s">
        <v>5635</v>
      </c>
    </row>
    <row r="7946" spans="1:9" ht="15" customHeight="1">
      <c r="A7946" s="199">
        <v>45780</v>
      </c>
      <c r="B7946" s="202" t="s">
        <v>1521</v>
      </c>
      <c r="C7946" s="200" t="s">
        <v>307</v>
      </c>
      <c r="D7946" s="204">
        <v>-34014</v>
      </c>
      <c r="E7946" s="662">
        <v>45778</v>
      </c>
      <c r="F7946" s="200" t="s">
        <v>296</v>
      </c>
      <c r="G7946" s="200" t="s">
        <v>1362</v>
      </c>
      <c r="H7946" s="200" t="s">
        <v>342</v>
      </c>
      <c r="I7946" s="200" t="s">
        <v>5635</v>
      </c>
    </row>
    <row r="7947" spans="1:9" ht="15" customHeight="1">
      <c r="A7947" s="199">
        <v>45781</v>
      </c>
      <c r="B7947" s="202" t="s">
        <v>1521</v>
      </c>
      <c r="C7947" s="200" t="s">
        <v>307</v>
      </c>
      <c r="D7947" s="204">
        <v>-40000</v>
      </c>
      <c r="E7947" s="662">
        <v>45778</v>
      </c>
      <c r="F7947" s="200" t="s">
        <v>296</v>
      </c>
      <c r="G7947" s="200" t="s">
        <v>1362</v>
      </c>
      <c r="H7947" s="200" t="s">
        <v>342</v>
      </c>
      <c r="I7947" s="200" t="s">
        <v>5635</v>
      </c>
    </row>
    <row r="7948" spans="1:9" ht="15" customHeight="1">
      <c r="A7948" s="199">
        <v>45782</v>
      </c>
      <c r="B7948" s="202" t="s">
        <v>6151</v>
      </c>
      <c r="C7948" s="200" t="s">
        <v>307</v>
      </c>
      <c r="D7948" s="204">
        <v>-85900</v>
      </c>
      <c r="E7948" s="662">
        <v>45778</v>
      </c>
      <c r="F7948" s="200" t="s">
        <v>296</v>
      </c>
      <c r="G7948" s="200" t="s">
        <v>1362</v>
      </c>
      <c r="H7948" s="200" t="s">
        <v>342</v>
      </c>
      <c r="I7948" s="200" t="s">
        <v>5635</v>
      </c>
    </row>
    <row r="7949" spans="1:9" ht="15" customHeight="1">
      <c r="A7949" s="199">
        <v>45782</v>
      </c>
      <c r="B7949" s="202" t="s">
        <v>6152</v>
      </c>
      <c r="C7949" s="200" t="s">
        <v>307</v>
      </c>
      <c r="D7949" s="204">
        <v>-10000</v>
      </c>
      <c r="E7949" s="662">
        <v>45778</v>
      </c>
      <c r="F7949" s="200" t="s">
        <v>296</v>
      </c>
      <c r="G7949" s="200" t="s">
        <v>1362</v>
      </c>
      <c r="H7949" s="200" t="s">
        <v>268</v>
      </c>
      <c r="I7949" s="200" t="s">
        <v>5635</v>
      </c>
    </row>
    <row r="7950" spans="1:9" ht="15" customHeight="1">
      <c r="A7950" s="199">
        <v>45782</v>
      </c>
      <c r="B7950" s="202" t="s">
        <v>3088</v>
      </c>
      <c r="C7950" s="200" t="s">
        <v>307</v>
      </c>
      <c r="D7950" s="204">
        <v>-20000</v>
      </c>
      <c r="E7950" s="662">
        <v>45778</v>
      </c>
      <c r="F7950" s="200" t="s">
        <v>296</v>
      </c>
      <c r="G7950" s="200" t="s">
        <v>1362</v>
      </c>
      <c r="H7950" s="200" t="s">
        <v>268</v>
      </c>
      <c r="I7950" s="200" t="s">
        <v>5635</v>
      </c>
    </row>
    <row r="7951" spans="1:9" ht="15" customHeight="1">
      <c r="A7951" s="199">
        <v>45782</v>
      </c>
      <c r="B7951" s="202" t="s">
        <v>6153</v>
      </c>
      <c r="C7951" s="200" t="s">
        <v>307</v>
      </c>
      <c r="D7951" s="204">
        <v>-7600</v>
      </c>
      <c r="E7951" s="662">
        <v>45778</v>
      </c>
      <c r="F7951" s="200" t="s">
        <v>296</v>
      </c>
      <c r="G7951" s="200" t="s">
        <v>1362</v>
      </c>
      <c r="H7951" s="200" t="s">
        <v>268</v>
      </c>
      <c r="I7951" s="200" t="s">
        <v>5635</v>
      </c>
    </row>
    <row r="7952" spans="1:9" ht="15" customHeight="1">
      <c r="A7952" s="199">
        <v>45782</v>
      </c>
      <c r="B7952" s="202" t="s">
        <v>5983</v>
      </c>
      <c r="C7952" s="200" t="s">
        <v>307</v>
      </c>
      <c r="D7952" s="204">
        <v>-7500</v>
      </c>
      <c r="E7952" s="662">
        <v>45778</v>
      </c>
      <c r="F7952" s="200" t="s">
        <v>296</v>
      </c>
      <c r="G7952" s="200" t="s">
        <v>1362</v>
      </c>
      <c r="H7952" s="200" t="s">
        <v>342</v>
      </c>
      <c r="I7952" s="200" t="s">
        <v>5635</v>
      </c>
    </row>
    <row r="7953" spans="1:9" ht="15" customHeight="1">
      <c r="A7953" s="199">
        <v>45782</v>
      </c>
      <c r="B7953" s="202" t="s">
        <v>1060</v>
      </c>
      <c r="C7953" s="200" t="s">
        <v>307</v>
      </c>
      <c r="D7953" s="204">
        <v>-7600</v>
      </c>
      <c r="E7953" s="662">
        <v>45778</v>
      </c>
      <c r="F7953" s="200" t="s">
        <v>296</v>
      </c>
      <c r="G7953" s="200" t="s">
        <v>1362</v>
      </c>
      <c r="H7953" s="200" t="s">
        <v>342</v>
      </c>
      <c r="I7953" s="200" t="s">
        <v>5635</v>
      </c>
    </row>
    <row r="7954" spans="1:9" ht="15" customHeight="1">
      <c r="A7954" s="199">
        <v>45782</v>
      </c>
      <c r="B7954" s="202" t="s">
        <v>6154</v>
      </c>
      <c r="C7954" s="200" t="s">
        <v>307</v>
      </c>
      <c r="D7954" s="204">
        <v>-41000</v>
      </c>
      <c r="E7954" s="662">
        <v>45778</v>
      </c>
      <c r="F7954" s="200" t="s">
        <v>296</v>
      </c>
      <c r="G7954" s="200" t="s">
        <v>1362</v>
      </c>
      <c r="H7954" s="200" t="s">
        <v>5384</v>
      </c>
      <c r="I7954" s="200" t="s">
        <v>5635</v>
      </c>
    </row>
    <row r="7955" spans="1:9" ht="15" customHeight="1">
      <c r="A7955" s="199">
        <v>45782</v>
      </c>
      <c r="B7955" s="202" t="s">
        <v>6155</v>
      </c>
      <c r="C7955" s="200" t="s">
        <v>307</v>
      </c>
      <c r="D7955" s="204">
        <v>-11400</v>
      </c>
      <c r="E7955" s="662">
        <v>45778</v>
      </c>
      <c r="F7955" s="200" t="s">
        <v>296</v>
      </c>
      <c r="G7955" s="200" t="s">
        <v>1362</v>
      </c>
      <c r="H7955" s="200" t="s">
        <v>5384</v>
      </c>
      <c r="I7955" s="200" t="s">
        <v>5635</v>
      </c>
    </row>
    <row r="7956" spans="1:9" ht="15" customHeight="1">
      <c r="A7956" s="199">
        <v>45782</v>
      </c>
      <c r="B7956" s="202" t="s">
        <v>1521</v>
      </c>
      <c r="C7956" s="200" t="s">
        <v>307</v>
      </c>
      <c r="D7956" s="204">
        <v>-13008</v>
      </c>
      <c r="E7956" s="662">
        <v>45778</v>
      </c>
      <c r="F7956" s="200" t="s">
        <v>296</v>
      </c>
      <c r="G7956" s="200" t="s">
        <v>1362</v>
      </c>
      <c r="H7956" s="200" t="s">
        <v>342</v>
      </c>
      <c r="I7956" s="200" t="s">
        <v>5635</v>
      </c>
    </row>
    <row r="7957" spans="1:9" ht="15" customHeight="1">
      <c r="A7957" s="199">
        <v>45782</v>
      </c>
      <c r="B7957" s="202" t="s">
        <v>4691</v>
      </c>
      <c r="C7957" s="200" t="s">
        <v>307</v>
      </c>
      <c r="D7957" s="204">
        <v>-20000</v>
      </c>
      <c r="E7957" s="662">
        <v>45778</v>
      </c>
      <c r="F7957" s="200" t="s">
        <v>296</v>
      </c>
      <c r="G7957" s="200" t="s">
        <v>1362</v>
      </c>
      <c r="H7957" s="200" t="s">
        <v>268</v>
      </c>
      <c r="I7957" s="200" t="s">
        <v>5635</v>
      </c>
    </row>
    <row r="7958" spans="1:9" ht="15" customHeight="1">
      <c r="A7958" s="199">
        <v>45782</v>
      </c>
      <c r="B7958" s="202" t="s">
        <v>6156</v>
      </c>
      <c r="C7958" s="200" t="s">
        <v>307</v>
      </c>
      <c r="D7958" s="204">
        <v>-112800</v>
      </c>
      <c r="E7958" s="662">
        <v>45778</v>
      </c>
      <c r="F7958" s="200" t="s">
        <v>296</v>
      </c>
      <c r="G7958" s="200" t="s">
        <v>1362</v>
      </c>
      <c r="H7958" s="200" t="s">
        <v>342</v>
      </c>
      <c r="I7958" s="200" t="s">
        <v>5635</v>
      </c>
    </row>
    <row r="7959" spans="1:9" ht="15" customHeight="1">
      <c r="A7959" s="199">
        <v>45782</v>
      </c>
      <c r="B7959" s="202" t="s">
        <v>1060</v>
      </c>
      <c r="C7959" s="200" t="s">
        <v>307</v>
      </c>
      <c r="D7959" s="204">
        <v>-5180</v>
      </c>
      <c r="E7959" s="662">
        <v>45778</v>
      </c>
      <c r="F7959" s="200" t="s">
        <v>296</v>
      </c>
      <c r="G7959" s="200" t="s">
        <v>1362</v>
      </c>
      <c r="H7959" s="200" t="s">
        <v>342</v>
      </c>
      <c r="I7959" s="200" t="s">
        <v>5635</v>
      </c>
    </row>
    <row r="7960" spans="1:9" ht="15" customHeight="1">
      <c r="A7960" s="199">
        <v>45782</v>
      </c>
      <c r="B7960" s="202" t="s">
        <v>6157</v>
      </c>
      <c r="C7960" s="200" t="s">
        <v>307</v>
      </c>
      <c r="D7960" s="204">
        <v>-5300</v>
      </c>
      <c r="E7960" s="662">
        <v>45778</v>
      </c>
      <c r="F7960" s="200" t="s">
        <v>296</v>
      </c>
      <c r="G7960" s="200" t="s">
        <v>1362</v>
      </c>
      <c r="H7960" s="200" t="s">
        <v>5384</v>
      </c>
      <c r="I7960" s="200" t="s">
        <v>5635</v>
      </c>
    </row>
    <row r="7961" spans="1:9" ht="15" customHeight="1">
      <c r="A7961" s="199">
        <v>45782</v>
      </c>
      <c r="B7961" s="202" t="s">
        <v>6158</v>
      </c>
      <c r="C7961" s="200" t="s">
        <v>307</v>
      </c>
      <c r="D7961" s="204">
        <v>-33000</v>
      </c>
      <c r="E7961" s="662">
        <v>45778</v>
      </c>
      <c r="F7961" s="200" t="s">
        <v>296</v>
      </c>
      <c r="G7961" s="200" t="s">
        <v>1362</v>
      </c>
      <c r="H7961" s="200" t="s">
        <v>5384</v>
      </c>
      <c r="I7961" s="648" t="s">
        <v>329</v>
      </c>
    </row>
    <row r="7962" spans="1:9" ht="15" customHeight="1">
      <c r="A7962" s="199">
        <v>45782</v>
      </c>
      <c r="B7962" s="202" t="s">
        <v>6159</v>
      </c>
      <c r="C7962" s="200" t="s">
        <v>307</v>
      </c>
      <c r="D7962" s="204">
        <v>-7500</v>
      </c>
      <c r="E7962" s="662">
        <v>45778</v>
      </c>
      <c r="F7962" s="200" t="s">
        <v>296</v>
      </c>
      <c r="G7962" s="200" t="s">
        <v>1362</v>
      </c>
      <c r="H7962" s="200" t="s">
        <v>268</v>
      </c>
      <c r="I7962" s="200" t="s">
        <v>5635</v>
      </c>
    </row>
    <row r="7963" spans="1:9" ht="15" customHeight="1">
      <c r="A7963" s="199">
        <v>45783</v>
      </c>
      <c r="B7963" s="202" t="s">
        <v>6160</v>
      </c>
      <c r="C7963" s="200" t="s">
        <v>307</v>
      </c>
      <c r="D7963" s="204">
        <v>-10000</v>
      </c>
      <c r="E7963" s="662">
        <v>45778</v>
      </c>
      <c r="F7963" s="200" t="s">
        <v>296</v>
      </c>
      <c r="G7963" s="200" t="s">
        <v>1362</v>
      </c>
      <c r="H7963" s="200" t="s">
        <v>268</v>
      </c>
      <c r="I7963" s="200" t="s">
        <v>5635</v>
      </c>
    </row>
    <row r="7964" spans="1:9" ht="15" customHeight="1">
      <c r="A7964" s="199">
        <v>45783</v>
      </c>
      <c r="B7964" s="202" t="s">
        <v>6161</v>
      </c>
      <c r="C7964" s="200" t="s">
        <v>307</v>
      </c>
      <c r="D7964" s="204">
        <v>-10300</v>
      </c>
      <c r="E7964" s="662">
        <v>45778</v>
      </c>
      <c r="F7964" s="200" t="s">
        <v>296</v>
      </c>
      <c r="G7964" s="200" t="s">
        <v>1362</v>
      </c>
      <c r="H7964" s="200" t="s">
        <v>268</v>
      </c>
      <c r="I7964" s="200" t="s">
        <v>5635</v>
      </c>
    </row>
    <row r="7965" spans="1:9" ht="15" customHeight="1">
      <c r="A7965" s="199">
        <v>45783</v>
      </c>
      <c r="B7965" s="202" t="s">
        <v>6162</v>
      </c>
      <c r="C7965" s="200" t="s">
        <v>307</v>
      </c>
      <c r="D7965" s="204">
        <v>-60000</v>
      </c>
      <c r="E7965" s="662">
        <v>45778</v>
      </c>
      <c r="F7965" s="200" t="s">
        <v>296</v>
      </c>
      <c r="G7965" s="200" t="s">
        <v>1362</v>
      </c>
      <c r="H7965" s="200" t="s">
        <v>268</v>
      </c>
      <c r="I7965" s="200" t="s">
        <v>5635</v>
      </c>
    </row>
    <row r="7966" spans="1:9" ht="15" customHeight="1">
      <c r="A7966" s="199">
        <v>45790</v>
      </c>
      <c r="B7966" s="202" t="s">
        <v>6163</v>
      </c>
      <c r="C7966" s="200" t="s">
        <v>204</v>
      </c>
      <c r="D7966" s="204">
        <v>3693940</v>
      </c>
      <c r="E7966" s="662">
        <v>45778</v>
      </c>
      <c r="F7966" s="200" t="s">
        <v>295</v>
      </c>
    </row>
    <row r="7967" spans="1:9" ht="15" customHeight="1">
      <c r="A7967" s="199">
        <v>45791</v>
      </c>
      <c r="B7967" s="202" t="s">
        <v>6164</v>
      </c>
      <c r="C7967" s="200" t="s">
        <v>204</v>
      </c>
      <c r="D7967" s="204">
        <v>2925743</v>
      </c>
      <c r="E7967" s="662">
        <v>45778</v>
      </c>
      <c r="F7967" s="200" t="s">
        <v>295</v>
      </c>
    </row>
    <row r="7968" spans="1:9" ht="15" customHeight="1">
      <c r="A7968" s="199">
        <v>45792</v>
      </c>
      <c r="B7968" s="202" t="s">
        <v>6165</v>
      </c>
      <c r="C7968" s="200" t="s">
        <v>204</v>
      </c>
      <c r="D7968" s="204">
        <v>1376050</v>
      </c>
      <c r="E7968" s="662">
        <v>45778</v>
      </c>
      <c r="F7968" s="200" t="s">
        <v>296</v>
      </c>
      <c r="G7968" s="200" t="s">
        <v>522</v>
      </c>
    </row>
    <row r="7969" spans="1:8" ht="15" customHeight="1">
      <c r="A7969" s="199">
        <v>45793</v>
      </c>
      <c r="B7969" s="202" t="s">
        <v>3843</v>
      </c>
      <c r="C7969" s="200" t="s">
        <v>204</v>
      </c>
      <c r="D7969" s="204">
        <v>500000000</v>
      </c>
      <c r="E7969" s="662">
        <v>45778</v>
      </c>
      <c r="F7969" s="200" t="s">
        <v>652</v>
      </c>
      <c r="G7969" s="200" t="s">
        <v>1980</v>
      </c>
    </row>
    <row r="7970" spans="1:8" ht="15" customHeight="1">
      <c r="A7970" s="199">
        <v>45793</v>
      </c>
      <c r="B7970" s="202" t="s">
        <v>4630</v>
      </c>
      <c r="C7970" s="200" t="s">
        <v>204</v>
      </c>
      <c r="D7970" s="204">
        <v>500000000</v>
      </c>
      <c r="E7970" s="662">
        <v>45778</v>
      </c>
      <c r="F7970" s="200" t="s">
        <v>652</v>
      </c>
      <c r="G7970" s="200" t="s">
        <v>522</v>
      </c>
    </row>
    <row r="7971" spans="1:8" ht="15" customHeight="1">
      <c r="A7971" s="199">
        <v>45793</v>
      </c>
      <c r="B7971" s="202" t="s">
        <v>6166</v>
      </c>
      <c r="C7971" s="200" t="s">
        <v>204</v>
      </c>
      <c r="D7971" s="204">
        <v>1480000000</v>
      </c>
      <c r="E7971" s="662">
        <v>45778</v>
      </c>
      <c r="F7971" s="200" t="s">
        <v>298</v>
      </c>
    </row>
    <row r="7972" spans="1:8" ht="15" customHeight="1">
      <c r="A7972" s="199">
        <v>45791</v>
      </c>
      <c r="B7972" s="202" t="s">
        <v>6167</v>
      </c>
      <c r="C7972" s="200" t="s">
        <v>204</v>
      </c>
      <c r="D7972" s="733">
        <v>-882000</v>
      </c>
      <c r="E7972" s="662">
        <v>45778</v>
      </c>
      <c r="F7972" s="200" t="s">
        <v>256</v>
      </c>
      <c r="G7972" s="200" t="s">
        <v>256</v>
      </c>
      <c r="H7972" s="200" t="s">
        <v>121</v>
      </c>
    </row>
    <row r="7973" spans="1:8" ht="15" customHeight="1">
      <c r="A7973" s="199">
        <v>45791</v>
      </c>
      <c r="B7973" s="202" t="s">
        <v>6168</v>
      </c>
      <c r="C7973" s="200" t="s">
        <v>204</v>
      </c>
      <c r="D7973" s="733">
        <v>-2300000</v>
      </c>
      <c r="E7973" s="662">
        <v>45778</v>
      </c>
      <c r="F7973" s="200" t="s">
        <v>256</v>
      </c>
      <c r="G7973" s="200" t="s">
        <v>256</v>
      </c>
      <c r="H7973" s="200" t="s">
        <v>121</v>
      </c>
    </row>
    <row r="7974" spans="1:8" ht="15" customHeight="1">
      <c r="A7974" s="199">
        <v>45791</v>
      </c>
      <c r="B7974" s="202" t="s">
        <v>6169</v>
      </c>
      <c r="C7974" s="200" t="s">
        <v>204</v>
      </c>
      <c r="D7974" s="733">
        <v>-877413.33333333326</v>
      </c>
      <c r="E7974" s="662">
        <v>45778</v>
      </c>
      <c r="F7974" s="200" t="s">
        <v>256</v>
      </c>
      <c r="G7974" s="200" t="s">
        <v>256</v>
      </c>
      <c r="H7974" s="200" t="s">
        <v>121</v>
      </c>
    </row>
    <row r="7975" spans="1:8" ht="15" customHeight="1">
      <c r="A7975" s="199">
        <v>45791</v>
      </c>
      <c r="B7975" s="202" t="s">
        <v>6170</v>
      </c>
      <c r="C7975" s="200" t="s">
        <v>204</v>
      </c>
      <c r="D7975" s="733">
        <v>-754810</v>
      </c>
      <c r="E7975" s="662">
        <v>45778</v>
      </c>
      <c r="F7975" s="200" t="s">
        <v>256</v>
      </c>
      <c r="G7975" s="200" t="s">
        <v>256</v>
      </c>
      <c r="H7975" s="200" t="s">
        <v>121</v>
      </c>
    </row>
    <row r="7976" spans="1:8" ht="15" customHeight="1">
      <c r="A7976" s="199">
        <v>45791</v>
      </c>
      <c r="B7976" s="202" t="s">
        <v>6171</v>
      </c>
      <c r="C7976" s="200" t="s">
        <v>204</v>
      </c>
      <c r="D7976" s="733">
        <v>-813000</v>
      </c>
      <c r="E7976" s="662">
        <v>45778</v>
      </c>
      <c r="F7976" s="200" t="s">
        <v>256</v>
      </c>
      <c r="G7976" s="200" t="s">
        <v>256</v>
      </c>
      <c r="H7976" s="200" t="s">
        <v>121</v>
      </c>
    </row>
    <row r="7977" spans="1:8" ht="15" customHeight="1">
      <c r="A7977" s="199">
        <v>45791</v>
      </c>
      <c r="B7977" s="202" t="s">
        <v>6172</v>
      </c>
      <c r="C7977" s="200" t="s">
        <v>204</v>
      </c>
      <c r="D7977" s="733">
        <v>-533812.5</v>
      </c>
      <c r="E7977" s="662">
        <v>45778</v>
      </c>
      <c r="F7977" s="200" t="s">
        <v>256</v>
      </c>
      <c r="G7977" s="200" t="s">
        <v>256</v>
      </c>
      <c r="H7977" s="200" t="s">
        <v>121</v>
      </c>
    </row>
    <row r="7978" spans="1:8" ht="15" customHeight="1">
      <c r="A7978" s="199">
        <v>45791</v>
      </c>
      <c r="B7978" s="202" t="s">
        <v>6173</v>
      </c>
      <c r="C7978" s="200" t="s">
        <v>204</v>
      </c>
      <c r="D7978" s="733">
        <v>-882000</v>
      </c>
      <c r="E7978" s="662">
        <v>45778</v>
      </c>
      <c r="F7978" s="200" t="s">
        <v>256</v>
      </c>
      <c r="G7978" s="200" t="s">
        <v>256</v>
      </c>
      <c r="H7978" s="200" t="s">
        <v>121</v>
      </c>
    </row>
    <row r="7979" spans="1:8" ht="15" customHeight="1">
      <c r="A7979" s="199">
        <v>45791</v>
      </c>
      <c r="B7979" s="202" t="s">
        <v>6174</v>
      </c>
      <c r="C7979" s="200" t="s">
        <v>204</v>
      </c>
      <c r="D7979" s="733">
        <v>-754810</v>
      </c>
      <c r="E7979" s="662">
        <v>45778</v>
      </c>
      <c r="F7979" s="200" t="s">
        <v>256</v>
      </c>
      <c r="G7979" s="200" t="s">
        <v>256</v>
      </c>
      <c r="H7979" s="200" t="s">
        <v>121</v>
      </c>
    </row>
    <row r="7980" spans="1:8" ht="15" customHeight="1">
      <c r="A7980" s="199">
        <v>45791</v>
      </c>
      <c r="B7980" s="202" t="s">
        <v>6175</v>
      </c>
      <c r="C7980" s="200" t="s">
        <v>204</v>
      </c>
      <c r="D7980" s="733">
        <v>-754810</v>
      </c>
      <c r="E7980" s="662">
        <v>45778</v>
      </c>
      <c r="F7980" s="200" t="s">
        <v>256</v>
      </c>
      <c r="G7980" s="200" t="s">
        <v>256</v>
      </c>
      <c r="H7980" s="200" t="s">
        <v>121</v>
      </c>
    </row>
    <row r="7981" spans="1:8" ht="15" customHeight="1">
      <c r="A7981" s="199">
        <v>45791</v>
      </c>
      <c r="B7981" s="202" t="s">
        <v>6176</v>
      </c>
      <c r="C7981" s="200" t="s">
        <v>204</v>
      </c>
      <c r="D7981" s="733">
        <v>-754810</v>
      </c>
      <c r="E7981" s="662">
        <v>45778</v>
      </c>
      <c r="F7981" s="200" t="s">
        <v>256</v>
      </c>
      <c r="G7981" s="200" t="s">
        <v>256</v>
      </c>
      <c r="H7981" s="200" t="s">
        <v>121</v>
      </c>
    </row>
    <row r="7982" spans="1:8" ht="15" customHeight="1">
      <c r="A7982" s="199">
        <v>45791</v>
      </c>
      <c r="B7982" s="202" t="s">
        <v>6177</v>
      </c>
      <c r="C7982" s="200" t="s">
        <v>204</v>
      </c>
      <c r="D7982" s="733">
        <v>-882000</v>
      </c>
      <c r="E7982" s="662">
        <v>45778</v>
      </c>
      <c r="F7982" s="200" t="s">
        <v>256</v>
      </c>
      <c r="G7982" s="200" t="s">
        <v>256</v>
      </c>
      <c r="H7982" s="200" t="s">
        <v>121</v>
      </c>
    </row>
    <row r="7983" spans="1:8" ht="15" customHeight="1">
      <c r="A7983" s="199">
        <v>45791</v>
      </c>
      <c r="B7983" s="202" t="s">
        <v>6178</v>
      </c>
      <c r="C7983" s="200" t="s">
        <v>204</v>
      </c>
      <c r="D7983" s="733">
        <v>-754810</v>
      </c>
      <c r="E7983" s="662">
        <v>45778</v>
      </c>
      <c r="F7983" s="200" t="s">
        <v>256</v>
      </c>
      <c r="G7983" s="200" t="s">
        <v>256</v>
      </c>
      <c r="H7983" s="200" t="s">
        <v>121</v>
      </c>
    </row>
    <row r="7984" spans="1:8" ht="15" customHeight="1">
      <c r="A7984" s="199">
        <v>45791</v>
      </c>
      <c r="B7984" s="202" t="s">
        <v>6179</v>
      </c>
      <c r="C7984" s="200" t="s">
        <v>204</v>
      </c>
      <c r="D7984" s="733">
        <v>-754810</v>
      </c>
      <c r="E7984" s="662">
        <v>45778</v>
      </c>
      <c r="F7984" s="200" t="s">
        <v>256</v>
      </c>
      <c r="G7984" s="200" t="s">
        <v>107</v>
      </c>
      <c r="H7984" s="200" t="s">
        <v>121</v>
      </c>
    </row>
    <row r="7985" spans="1:9" ht="15" customHeight="1">
      <c r="A7985" s="199">
        <v>45791</v>
      </c>
      <c r="B7985" s="202" t="s">
        <v>6180</v>
      </c>
      <c r="C7985" s="200" t="s">
        <v>204</v>
      </c>
      <c r="D7985" s="733">
        <v>-75481</v>
      </c>
      <c r="E7985" s="662">
        <v>45778</v>
      </c>
      <c r="F7985" s="200" t="s">
        <v>296</v>
      </c>
      <c r="G7985" s="200" t="s">
        <v>328</v>
      </c>
      <c r="H7985" s="200" t="s">
        <v>567</v>
      </c>
      <c r="I7985" s="648" t="s">
        <v>329</v>
      </c>
    </row>
    <row r="7986" spans="1:9" ht="15" customHeight="1">
      <c r="A7986" s="199">
        <v>45791</v>
      </c>
      <c r="B7986" s="202" t="s">
        <v>6180</v>
      </c>
      <c r="C7986" s="200" t="s">
        <v>204</v>
      </c>
      <c r="D7986" s="733">
        <v>-75481</v>
      </c>
      <c r="E7986" s="662">
        <v>45778</v>
      </c>
      <c r="F7986" s="200" t="s">
        <v>297</v>
      </c>
      <c r="G7986" s="200" t="s">
        <v>1313</v>
      </c>
      <c r="H7986" s="200" t="s">
        <v>567</v>
      </c>
      <c r="I7986" s="648" t="s">
        <v>329</v>
      </c>
    </row>
    <row r="7987" spans="1:9" ht="15" customHeight="1">
      <c r="A7987" s="199">
        <v>45791</v>
      </c>
      <c r="B7987" s="202" t="s">
        <v>6180</v>
      </c>
      <c r="C7987" s="200" t="s">
        <v>204</v>
      </c>
      <c r="D7987" s="733">
        <v>-603848</v>
      </c>
      <c r="E7987" s="662">
        <v>45778</v>
      </c>
      <c r="F7987" s="200" t="s">
        <v>256</v>
      </c>
      <c r="G7987" s="200" t="s">
        <v>107</v>
      </c>
      <c r="H7987" s="200" t="s">
        <v>121</v>
      </c>
    </row>
    <row r="7988" spans="1:9" ht="15" customHeight="1">
      <c r="A7988" s="199">
        <v>45791</v>
      </c>
      <c r="B7988" s="202" t="s">
        <v>6181</v>
      </c>
      <c r="C7988" s="200" t="s">
        <v>204</v>
      </c>
      <c r="D7988" s="733">
        <v>-90040</v>
      </c>
      <c r="E7988" s="662">
        <v>45778</v>
      </c>
      <c r="F7988" s="200" t="s">
        <v>296</v>
      </c>
      <c r="G7988" s="200" t="s">
        <v>411</v>
      </c>
      <c r="H7988" s="200" t="s">
        <v>567</v>
      </c>
      <c r="I7988" s="648" t="s">
        <v>329</v>
      </c>
    </row>
    <row r="7989" spans="1:9" ht="15" customHeight="1">
      <c r="A7989" s="199">
        <v>45791</v>
      </c>
      <c r="B7989" s="202" t="s">
        <v>6181</v>
      </c>
      <c r="C7989" s="200" t="s">
        <v>204</v>
      </c>
      <c r="D7989" s="733">
        <v>-180080</v>
      </c>
      <c r="E7989" s="662">
        <v>45778</v>
      </c>
      <c r="F7989" s="200" t="s">
        <v>296</v>
      </c>
      <c r="G7989" s="200" t="s">
        <v>341</v>
      </c>
      <c r="H7989" s="200" t="s">
        <v>567</v>
      </c>
      <c r="I7989" s="648" t="s">
        <v>329</v>
      </c>
    </row>
    <row r="7990" spans="1:9" ht="15" customHeight="1">
      <c r="A7990" s="199">
        <v>45791</v>
      </c>
      <c r="B7990" s="202" t="s">
        <v>6181</v>
      </c>
      <c r="C7990" s="200" t="s">
        <v>204</v>
      </c>
      <c r="D7990" s="733">
        <v>-180080</v>
      </c>
      <c r="E7990" s="662">
        <v>45778</v>
      </c>
      <c r="F7990" s="200" t="s">
        <v>296</v>
      </c>
      <c r="G7990" s="200" t="s">
        <v>1124</v>
      </c>
      <c r="H7990" s="200" t="s">
        <v>567</v>
      </c>
      <c r="I7990" s="648" t="s">
        <v>329</v>
      </c>
    </row>
    <row r="7991" spans="1:9" ht="15" customHeight="1">
      <c r="A7991" s="199">
        <v>45791</v>
      </c>
      <c r="B7991" s="202" t="s">
        <v>6181</v>
      </c>
      <c r="C7991" s="200" t="s">
        <v>204</v>
      </c>
      <c r="D7991" s="733">
        <v>-180080</v>
      </c>
      <c r="E7991" s="662">
        <v>45778</v>
      </c>
      <c r="F7991" s="200" t="s">
        <v>296</v>
      </c>
      <c r="G7991" s="200" t="s">
        <v>1362</v>
      </c>
      <c r="H7991" s="200" t="s">
        <v>567</v>
      </c>
    </row>
    <row r="7992" spans="1:9" ht="15" customHeight="1">
      <c r="A7992" s="199">
        <v>45791</v>
      </c>
      <c r="B7992" s="202" t="s">
        <v>6181</v>
      </c>
      <c r="C7992" s="200" t="s">
        <v>204</v>
      </c>
      <c r="D7992" s="733">
        <v>-180080</v>
      </c>
      <c r="E7992" s="662">
        <v>45778</v>
      </c>
      <c r="F7992" s="200" t="s">
        <v>296</v>
      </c>
      <c r="G7992" s="200" t="s">
        <v>1735</v>
      </c>
      <c r="H7992" s="200" t="s">
        <v>567</v>
      </c>
      <c r="I7992" s="648" t="s">
        <v>329</v>
      </c>
    </row>
    <row r="7993" spans="1:9" ht="15" customHeight="1">
      <c r="A7993" s="199">
        <v>45791</v>
      </c>
      <c r="B7993" s="202" t="s">
        <v>6181</v>
      </c>
      <c r="C7993" s="200" t="s">
        <v>204</v>
      </c>
      <c r="D7993" s="733">
        <v>-45020</v>
      </c>
      <c r="E7993" s="662">
        <v>45778</v>
      </c>
      <c r="F7993" s="200" t="s">
        <v>296</v>
      </c>
      <c r="G7993" s="200" t="s">
        <v>3360</v>
      </c>
      <c r="H7993" s="200" t="s">
        <v>567</v>
      </c>
      <c r="I7993" s="648" t="s">
        <v>329</v>
      </c>
    </row>
    <row r="7994" spans="1:9" ht="15" customHeight="1">
      <c r="A7994" s="199">
        <v>45791</v>
      </c>
      <c r="B7994" s="202" t="s">
        <v>6181</v>
      </c>
      <c r="C7994" s="200" t="s">
        <v>204</v>
      </c>
      <c r="D7994" s="733">
        <v>-45020</v>
      </c>
      <c r="E7994" s="662">
        <v>45778</v>
      </c>
      <c r="F7994" s="200" t="s">
        <v>297</v>
      </c>
      <c r="G7994" s="200" t="s">
        <v>3892</v>
      </c>
      <c r="H7994" s="200" t="s">
        <v>567</v>
      </c>
    </row>
    <row r="7995" spans="1:9" ht="15" customHeight="1">
      <c r="A7995" s="199">
        <v>45791</v>
      </c>
      <c r="B7995" s="202" t="s">
        <v>6182</v>
      </c>
      <c r="C7995" s="200" t="s">
        <v>204</v>
      </c>
      <c r="D7995" s="733">
        <v>-88200</v>
      </c>
      <c r="E7995" s="662">
        <v>45778</v>
      </c>
      <c r="F7995" s="200" t="s">
        <v>296</v>
      </c>
      <c r="G7995" s="200" t="s">
        <v>482</v>
      </c>
      <c r="H7995" s="200" t="s">
        <v>567</v>
      </c>
      <c r="I7995" s="648" t="s">
        <v>329</v>
      </c>
    </row>
    <row r="7996" spans="1:9" ht="15" customHeight="1">
      <c r="A7996" s="199">
        <v>45791</v>
      </c>
      <c r="B7996" s="202" t="s">
        <v>6182</v>
      </c>
      <c r="C7996" s="200" t="s">
        <v>204</v>
      </c>
      <c r="D7996" s="733">
        <v>-793800</v>
      </c>
      <c r="E7996" s="662">
        <v>45778</v>
      </c>
      <c r="F7996" s="200" t="s">
        <v>256</v>
      </c>
      <c r="G7996" s="200" t="s">
        <v>107</v>
      </c>
      <c r="H7996" s="200" t="s">
        <v>121</v>
      </c>
    </row>
    <row r="7997" spans="1:9" ht="15" customHeight="1">
      <c r="A7997" s="199">
        <v>45791</v>
      </c>
      <c r="B7997" s="202" t="s">
        <v>6183</v>
      </c>
      <c r="C7997" s="200" t="s">
        <v>204</v>
      </c>
      <c r="D7997" s="733">
        <v>-754810</v>
      </c>
      <c r="E7997" s="662">
        <v>45778</v>
      </c>
      <c r="F7997" s="200" t="s">
        <v>297</v>
      </c>
      <c r="G7997" s="200" t="s">
        <v>71</v>
      </c>
      <c r="H7997" s="200" t="s">
        <v>342</v>
      </c>
    </row>
    <row r="7998" spans="1:9" ht="15" customHeight="1">
      <c r="A7998" s="199">
        <v>45791</v>
      </c>
      <c r="B7998" s="202" t="s">
        <v>6184</v>
      </c>
      <c r="C7998" s="200" t="s">
        <v>204</v>
      </c>
      <c r="D7998" s="733">
        <v>-1077040</v>
      </c>
      <c r="E7998" s="662">
        <v>45778</v>
      </c>
      <c r="F7998" s="200" t="s">
        <v>297</v>
      </c>
      <c r="G7998" s="200" t="s">
        <v>71</v>
      </c>
      <c r="H7998" s="200" t="s">
        <v>342</v>
      </c>
    </row>
    <row r="7999" spans="1:9" ht="15" customHeight="1">
      <c r="A7999" s="199">
        <v>45791</v>
      </c>
      <c r="B7999" s="202" t="s">
        <v>6185</v>
      </c>
      <c r="C7999" s="200" t="s">
        <v>204</v>
      </c>
      <c r="D7999" s="733">
        <v>-754810</v>
      </c>
      <c r="E7999" s="662">
        <v>45778</v>
      </c>
      <c r="F7999" s="200" t="s">
        <v>297</v>
      </c>
      <c r="G7999" s="200" t="s">
        <v>71</v>
      </c>
      <c r="H7999" s="200" t="s">
        <v>342</v>
      </c>
    </row>
    <row r="8000" spans="1:9" ht="15" customHeight="1">
      <c r="A8000" s="199">
        <v>45791</v>
      </c>
      <c r="B8000" s="202" t="s">
        <v>6186</v>
      </c>
      <c r="C8000" s="200" t="s">
        <v>204</v>
      </c>
      <c r="D8000" s="733">
        <v>-754810</v>
      </c>
      <c r="E8000" s="662">
        <v>45778</v>
      </c>
      <c r="F8000" s="200" t="s">
        <v>297</v>
      </c>
      <c r="G8000" s="200" t="s">
        <v>71</v>
      </c>
      <c r="H8000" s="200" t="s">
        <v>342</v>
      </c>
    </row>
    <row r="8001" spans="1:9" ht="15" customHeight="1">
      <c r="A8001" s="199">
        <v>45791</v>
      </c>
      <c r="B8001" s="202" t="s">
        <v>6187</v>
      </c>
      <c r="C8001" s="200" t="s">
        <v>204</v>
      </c>
      <c r="D8001" s="733">
        <v>-754810</v>
      </c>
      <c r="E8001" s="662">
        <v>45778</v>
      </c>
      <c r="F8001" s="200" t="s">
        <v>297</v>
      </c>
      <c r="G8001" s="200" t="s">
        <v>71</v>
      </c>
      <c r="H8001" s="200" t="s">
        <v>342</v>
      </c>
      <c r="I8001" s="648" t="s">
        <v>329</v>
      </c>
    </row>
    <row r="8002" spans="1:9" ht="15" customHeight="1">
      <c r="A8002" s="199">
        <v>45791</v>
      </c>
      <c r="B8002" s="202" t="s">
        <v>6188</v>
      </c>
      <c r="C8002" s="200" t="s">
        <v>204</v>
      </c>
      <c r="D8002" s="733">
        <v>-201282.66666666666</v>
      </c>
      <c r="E8002" s="662">
        <v>45778</v>
      </c>
      <c r="F8002" s="200" t="s">
        <v>296</v>
      </c>
      <c r="G8002" s="200" t="s">
        <v>1311</v>
      </c>
      <c r="H8002" s="200" t="s">
        <v>342</v>
      </c>
      <c r="I8002" s="648" t="s">
        <v>329</v>
      </c>
    </row>
    <row r="8003" spans="1:9" ht="15" customHeight="1">
      <c r="A8003" s="199">
        <v>45791</v>
      </c>
      <c r="B8003" s="202" t="s">
        <v>6189</v>
      </c>
      <c r="C8003" s="200" t="s">
        <v>204</v>
      </c>
      <c r="D8003" s="733">
        <v>-853480</v>
      </c>
      <c r="E8003" s="662">
        <v>45778</v>
      </c>
      <c r="F8003" s="200" t="s">
        <v>296</v>
      </c>
      <c r="G8003" s="200" t="s">
        <v>1362</v>
      </c>
      <c r="H8003" s="200" t="s">
        <v>342</v>
      </c>
    </row>
    <row r="8004" spans="1:9" ht="15" customHeight="1">
      <c r="A8004" s="199">
        <v>45791</v>
      </c>
      <c r="B8004" s="202" t="s">
        <v>6190</v>
      </c>
      <c r="C8004" s="200" t="s">
        <v>204</v>
      </c>
      <c r="D8004" s="733">
        <v>-1307500</v>
      </c>
      <c r="E8004" s="662">
        <v>45778</v>
      </c>
      <c r="F8004" s="200" t="s">
        <v>296</v>
      </c>
      <c r="G8004" s="200" t="s">
        <v>1362</v>
      </c>
      <c r="H8004" s="200" t="s">
        <v>342</v>
      </c>
    </row>
    <row r="8005" spans="1:9" ht="15" customHeight="1">
      <c r="A8005" s="199">
        <v>45791</v>
      </c>
      <c r="B8005" s="202" t="s">
        <v>6191</v>
      </c>
      <c r="C8005" s="200" t="s">
        <v>204</v>
      </c>
      <c r="D8005" s="733">
        <v>-853480</v>
      </c>
      <c r="E8005" s="662">
        <v>45778</v>
      </c>
      <c r="F8005" s="200" t="s">
        <v>296</v>
      </c>
      <c r="G8005" s="200" t="s">
        <v>1362</v>
      </c>
      <c r="H8005" s="200" t="s">
        <v>342</v>
      </c>
    </row>
    <row r="8006" spans="1:9" ht="15" customHeight="1">
      <c r="A8006" s="199">
        <v>45791</v>
      </c>
      <c r="B8006" s="202" t="s">
        <v>6192</v>
      </c>
      <c r="C8006" s="200" t="s">
        <v>204</v>
      </c>
      <c r="D8006" s="733">
        <v>-1247700</v>
      </c>
      <c r="E8006" s="662">
        <v>45778</v>
      </c>
      <c r="F8006" s="200" t="s">
        <v>297</v>
      </c>
      <c r="G8006" s="200" t="s">
        <v>3892</v>
      </c>
      <c r="H8006" s="200" t="s">
        <v>342</v>
      </c>
    </row>
    <row r="8007" spans="1:9" ht="15" customHeight="1">
      <c r="A8007" s="199">
        <v>45791</v>
      </c>
      <c r="B8007" s="202" t="s">
        <v>6193</v>
      </c>
      <c r="C8007" s="200" t="s">
        <v>204</v>
      </c>
      <c r="D8007" s="733">
        <v>-836000</v>
      </c>
      <c r="E8007" s="662">
        <v>45778</v>
      </c>
      <c r="F8007" s="200" t="s">
        <v>297</v>
      </c>
      <c r="G8007" s="200" t="s">
        <v>3892</v>
      </c>
      <c r="H8007" s="200" t="s">
        <v>342</v>
      </c>
    </row>
    <row r="8008" spans="1:9" ht="15" customHeight="1">
      <c r="A8008" s="199">
        <v>45791</v>
      </c>
      <c r="B8008" s="202" t="s">
        <v>6194</v>
      </c>
      <c r="C8008" s="200" t="s">
        <v>204</v>
      </c>
      <c r="D8008" s="733">
        <v>-754810</v>
      </c>
      <c r="E8008" s="662">
        <v>45778</v>
      </c>
      <c r="F8008" s="200" t="s">
        <v>297</v>
      </c>
      <c r="G8008" s="200" t="s">
        <v>3892</v>
      </c>
      <c r="H8008" s="200" t="s">
        <v>342</v>
      </c>
    </row>
    <row r="8009" spans="1:9" ht="15" customHeight="1">
      <c r="A8009" s="199">
        <v>45791</v>
      </c>
      <c r="B8009" s="202" t="s">
        <v>6195</v>
      </c>
      <c r="C8009" s="200" t="s">
        <v>204</v>
      </c>
      <c r="D8009" s="733">
        <v>-754810</v>
      </c>
      <c r="E8009" s="662">
        <v>45778</v>
      </c>
      <c r="F8009" s="200" t="s">
        <v>297</v>
      </c>
      <c r="G8009" s="200" t="s">
        <v>3892</v>
      </c>
      <c r="H8009" s="200" t="s">
        <v>342</v>
      </c>
    </row>
    <row r="8010" spans="1:9" ht="15" customHeight="1">
      <c r="A8010" s="199">
        <v>45791</v>
      </c>
      <c r="B8010" s="202" t="s">
        <v>6196</v>
      </c>
      <c r="C8010" s="200" t="s">
        <v>204</v>
      </c>
      <c r="D8010" s="733">
        <v>-170696</v>
      </c>
      <c r="E8010" s="662">
        <v>45778</v>
      </c>
      <c r="F8010" s="200" t="s">
        <v>296</v>
      </c>
      <c r="G8010" s="200" t="s">
        <v>1362</v>
      </c>
      <c r="H8010" s="200" t="s">
        <v>342</v>
      </c>
      <c r="I8010" s="648" t="s">
        <v>329</v>
      </c>
    </row>
    <row r="8011" spans="1:9" ht="15" customHeight="1">
      <c r="A8011" s="199">
        <v>45791</v>
      </c>
      <c r="B8011" s="202" t="s">
        <v>6196</v>
      </c>
      <c r="C8011" s="200" t="s">
        <v>204</v>
      </c>
      <c r="D8011" s="733">
        <v>-682784</v>
      </c>
      <c r="E8011" s="662">
        <v>45778</v>
      </c>
      <c r="F8011" s="200" t="s">
        <v>297</v>
      </c>
      <c r="G8011" s="200" t="s">
        <v>3892</v>
      </c>
      <c r="H8011" s="200" t="s">
        <v>342</v>
      </c>
      <c r="I8011" s="648" t="s">
        <v>329</v>
      </c>
    </row>
    <row r="8012" spans="1:9" ht="15" customHeight="1">
      <c r="A8012" s="199">
        <v>45791</v>
      </c>
      <c r="B8012" s="202" t="s">
        <v>6197</v>
      </c>
      <c r="C8012" s="200" t="s">
        <v>204</v>
      </c>
      <c r="D8012" s="733">
        <v>-704489.33333333337</v>
      </c>
      <c r="E8012" s="662">
        <v>45778</v>
      </c>
      <c r="F8012" s="200" t="s">
        <v>296</v>
      </c>
      <c r="G8012" s="200" t="s">
        <v>522</v>
      </c>
      <c r="H8012" s="200" t="s">
        <v>421</v>
      </c>
    </row>
    <row r="8013" spans="1:9" ht="15" customHeight="1">
      <c r="A8013" s="199">
        <v>45791</v>
      </c>
      <c r="B8013" s="202" t="s">
        <v>6198</v>
      </c>
      <c r="C8013" s="200" t="s">
        <v>204</v>
      </c>
      <c r="D8013" s="733">
        <v>-754810</v>
      </c>
      <c r="E8013" s="662">
        <v>45778</v>
      </c>
      <c r="F8013" s="200" t="s">
        <v>296</v>
      </c>
      <c r="G8013" s="200" t="s">
        <v>522</v>
      </c>
      <c r="H8013" s="200" t="s">
        <v>1079</v>
      </c>
    </row>
    <row r="8014" spans="1:9" ht="15" customHeight="1">
      <c r="A8014" s="199">
        <v>45791</v>
      </c>
      <c r="B8014" s="202" t="s">
        <v>6199</v>
      </c>
      <c r="C8014" s="200" t="s">
        <v>204</v>
      </c>
      <c r="D8014" s="733">
        <v>-769045</v>
      </c>
      <c r="E8014" s="662">
        <v>45778</v>
      </c>
      <c r="F8014" s="200" t="s">
        <v>296</v>
      </c>
      <c r="G8014" s="200" t="s">
        <v>522</v>
      </c>
      <c r="H8014" s="200" t="s">
        <v>429</v>
      </c>
    </row>
    <row r="8015" spans="1:9" ht="15" customHeight="1">
      <c r="A8015" s="199">
        <v>45791</v>
      </c>
      <c r="B8015" s="202" t="s">
        <v>6200</v>
      </c>
      <c r="C8015" s="200" t="s">
        <v>204</v>
      </c>
      <c r="D8015" s="733">
        <v>-761927.5</v>
      </c>
      <c r="E8015" s="662">
        <v>45778</v>
      </c>
      <c r="F8015" s="200" t="s">
        <v>296</v>
      </c>
      <c r="G8015" s="200" t="s">
        <v>522</v>
      </c>
      <c r="H8015" s="200" t="s">
        <v>429</v>
      </c>
    </row>
    <row r="8016" spans="1:9" ht="15" customHeight="1">
      <c r="A8016" s="199">
        <v>45791</v>
      </c>
      <c r="B8016" s="202" t="s">
        <v>6201</v>
      </c>
      <c r="C8016" s="200" t="s">
        <v>204</v>
      </c>
      <c r="D8016" s="733">
        <v>-553527.33333333337</v>
      </c>
      <c r="E8016" s="662">
        <v>45778</v>
      </c>
      <c r="F8016" s="200" t="s">
        <v>296</v>
      </c>
      <c r="G8016" s="200" t="s">
        <v>522</v>
      </c>
      <c r="H8016" s="200" t="s">
        <v>5616</v>
      </c>
    </row>
    <row r="8017" spans="1:8" ht="15" customHeight="1">
      <c r="A8017" s="199">
        <v>45791</v>
      </c>
      <c r="B8017" s="202" t="s">
        <v>6202</v>
      </c>
      <c r="C8017" s="200" t="s">
        <v>204</v>
      </c>
      <c r="D8017" s="733">
        <v>-680533.33333333337</v>
      </c>
      <c r="E8017" s="662">
        <v>45778</v>
      </c>
      <c r="F8017" s="200" t="s">
        <v>296</v>
      </c>
      <c r="G8017" s="200" t="s">
        <v>522</v>
      </c>
      <c r="H8017" s="200" t="s">
        <v>421</v>
      </c>
    </row>
    <row r="8018" spans="1:8" ht="15" customHeight="1">
      <c r="A8018" s="199">
        <v>45791</v>
      </c>
      <c r="B8018" s="202" t="s">
        <v>6203</v>
      </c>
      <c r="C8018" s="200" t="s">
        <v>204</v>
      </c>
      <c r="D8018" s="733">
        <v>-553527.33333333337</v>
      </c>
      <c r="E8018" s="662">
        <v>45778</v>
      </c>
      <c r="F8018" s="200" t="s">
        <v>296</v>
      </c>
      <c r="G8018" s="200" t="s">
        <v>522</v>
      </c>
      <c r="H8018" s="200" t="s">
        <v>421</v>
      </c>
    </row>
    <row r="8019" spans="1:8" ht="15" customHeight="1">
      <c r="A8019" s="199">
        <v>45791</v>
      </c>
      <c r="B8019" s="202" t="s">
        <v>6204</v>
      </c>
      <c r="C8019" s="200" t="s">
        <v>204</v>
      </c>
      <c r="D8019" s="733">
        <v>-769045</v>
      </c>
      <c r="E8019" s="662">
        <v>45778</v>
      </c>
      <c r="F8019" s="200" t="s">
        <v>296</v>
      </c>
      <c r="G8019" s="200" t="s">
        <v>807</v>
      </c>
      <c r="H8019" s="200" t="s">
        <v>429</v>
      </c>
    </row>
    <row r="8020" spans="1:8" ht="15" customHeight="1">
      <c r="A8020" s="199">
        <v>45791</v>
      </c>
      <c r="B8020" s="202" t="s">
        <v>6205</v>
      </c>
      <c r="C8020" s="200" t="s">
        <v>204</v>
      </c>
      <c r="D8020" s="733">
        <v>-769045</v>
      </c>
      <c r="E8020" s="662">
        <v>45778</v>
      </c>
      <c r="F8020" s="200" t="s">
        <v>296</v>
      </c>
      <c r="G8020" s="200" t="s">
        <v>807</v>
      </c>
      <c r="H8020" s="200" t="s">
        <v>429</v>
      </c>
    </row>
    <row r="8021" spans="1:8" ht="15" customHeight="1">
      <c r="A8021" s="199">
        <v>45791</v>
      </c>
      <c r="B8021" s="202" t="s">
        <v>6206</v>
      </c>
      <c r="C8021" s="200" t="s">
        <v>204</v>
      </c>
      <c r="D8021" s="733">
        <v>-769045</v>
      </c>
      <c r="E8021" s="662">
        <v>45778</v>
      </c>
      <c r="F8021" s="200" t="s">
        <v>296</v>
      </c>
      <c r="G8021" s="200" t="s">
        <v>807</v>
      </c>
      <c r="H8021" s="200" t="s">
        <v>429</v>
      </c>
    </row>
    <row r="8022" spans="1:8" ht="15" customHeight="1">
      <c r="A8022" s="199">
        <v>45791</v>
      </c>
      <c r="B8022" s="202" t="s">
        <v>6207</v>
      </c>
      <c r="C8022" s="200" t="s">
        <v>204</v>
      </c>
      <c r="D8022" s="733">
        <v>-899000</v>
      </c>
      <c r="E8022" s="662">
        <v>45778</v>
      </c>
      <c r="F8022" s="200" t="s">
        <v>296</v>
      </c>
      <c r="G8022" s="200" t="s">
        <v>807</v>
      </c>
      <c r="H8022" s="200" t="s">
        <v>490</v>
      </c>
    </row>
    <row r="8023" spans="1:8" ht="15" customHeight="1">
      <c r="A8023" s="199">
        <v>45791</v>
      </c>
      <c r="B8023" s="202" t="s">
        <v>6208</v>
      </c>
      <c r="C8023" s="200" t="s">
        <v>204</v>
      </c>
      <c r="D8023" s="733">
        <v>-769045</v>
      </c>
      <c r="E8023" s="662">
        <v>45778</v>
      </c>
      <c r="F8023" s="200" t="s">
        <v>296</v>
      </c>
      <c r="G8023" s="200" t="s">
        <v>807</v>
      </c>
      <c r="H8023" s="200" t="s">
        <v>429</v>
      </c>
    </row>
    <row r="8024" spans="1:8" ht="15" customHeight="1">
      <c r="A8024" s="199">
        <v>45791</v>
      </c>
      <c r="B8024" s="202" t="s">
        <v>6209</v>
      </c>
      <c r="C8024" s="200" t="s">
        <v>204</v>
      </c>
      <c r="D8024" s="733">
        <v>-761927.5</v>
      </c>
      <c r="E8024" s="662">
        <v>45778</v>
      </c>
      <c r="F8024" s="200" t="s">
        <v>296</v>
      </c>
      <c r="G8024" s="200" t="s">
        <v>807</v>
      </c>
      <c r="H8024" s="200" t="s">
        <v>490</v>
      </c>
    </row>
    <row r="8025" spans="1:8" ht="15" customHeight="1">
      <c r="A8025" s="199">
        <v>45791</v>
      </c>
      <c r="B8025" s="202" t="s">
        <v>6210</v>
      </c>
      <c r="C8025" s="200" t="s">
        <v>204</v>
      </c>
      <c r="D8025" s="733">
        <v>-748594.16666666663</v>
      </c>
      <c r="E8025" s="662">
        <v>45778</v>
      </c>
      <c r="F8025" s="200" t="s">
        <v>296</v>
      </c>
      <c r="G8025" s="200" t="s">
        <v>807</v>
      </c>
      <c r="H8025" s="200" t="s">
        <v>429</v>
      </c>
    </row>
    <row r="8026" spans="1:8" ht="15" customHeight="1">
      <c r="A8026" s="199">
        <v>45791</v>
      </c>
      <c r="B8026" s="202" t="s">
        <v>6211</v>
      </c>
      <c r="C8026" s="200" t="s">
        <v>204</v>
      </c>
      <c r="D8026" s="733">
        <v>-769045</v>
      </c>
      <c r="E8026" s="662">
        <v>45778</v>
      </c>
      <c r="F8026" s="200" t="s">
        <v>296</v>
      </c>
      <c r="G8026" s="200" t="s">
        <v>807</v>
      </c>
      <c r="H8026" s="200" t="s">
        <v>429</v>
      </c>
    </row>
    <row r="8027" spans="1:8" ht="15" customHeight="1">
      <c r="A8027" s="199">
        <v>45791</v>
      </c>
      <c r="B8027" s="202" t="s">
        <v>6212</v>
      </c>
      <c r="C8027" s="200" t="s">
        <v>204</v>
      </c>
      <c r="D8027" s="733">
        <v>-761927.5</v>
      </c>
      <c r="E8027" s="662">
        <v>45778</v>
      </c>
      <c r="F8027" s="200" t="s">
        <v>296</v>
      </c>
      <c r="G8027" s="200" t="s">
        <v>807</v>
      </c>
      <c r="H8027" s="200" t="s">
        <v>490</v>
      </c>
    </row>
    <row r="8028" spans="1:8" ht="15" customHeight="1">
      <c r="A8028" s="199">
        <v>45791</v>
      </c>
      <c r="B8028" s="202" t="s">
        <v>6213</v>
      </c>
      <c r="C8028" s="200" t="s">
        <v>204</v>
      </c>
      <c r="D8028" s="733">
        <v>-754810</v>
      </c>
      <c r="E8028" s="662">
        <v>45778</v>
      </c>
      <c r="F8028" s="200" t="s">
        <v>296</v>
      </c>
      <c r="G8028" s="200" t="s">
        <v>807</v>
      </c>
      <c r="H8028" s="200" t="s">
        <v>429</v>
      </c>
    </row>
    <row r="8029" spans="1:8" ht="15" customHeight="1">
      <c r="A8029" s="199">
        <v>45791</v>
      </c>
      <c r="B8029" s="202" t="s">
        <v>6214</v>
      </c>
      <c r="C8029" s="200" t="s">
        <v>204</v>
      </c>
      <c r="D8029" s="733">
        <v>-769045</v>
      </c>
      <c r="E8029" s="662">
        <v>45778</v>
      </c>
      <c r="F8029" s="200" t="s">
        <v>296</v>
      </c>
      <c r="G8029" s="200" t="s">
        <v>807</v>
      </c>
      <c r="H8029" s="200" t="s">
        <v>490</v>
      </c>
    </row>
    <row r="8030" spans="1:8" ht="15" customHeight="1">
      <c r="A8030" s="199">
        <v>45791</v>
      </c>
      <c r="B8030" s="202" t="s">
        <v>6215</v>
      </c>
      <c r="C8030" s="200" t="s">
        <v>204</v>
      </c>
      <c r="D8030" s="733">
        <v>-654810</v>
      </c>
      <c r="E8030" s="662">
        <v>45778</v>
      </c>
      <c r="F8030" s="200" t="s">
        <v>296</v>
      </c>
      <c r="G8030" s="200" t="s">
        <v>807</v>
      </c>
      <c r="H8030" s="200" t="s">
        <v>490</v>
      </c>
    </row>
    <row r="8031" spans="1:8" ht="15" customHeight="1">
      <c r="A8031" s="199">
        <v>45791</v>
      </c>
      <c r="B8031" s="202" t="s">
        <v>6216</v>
      </c>
      <c r="C8031" s="200" t="s">
        <v>204</v>
      </c>
      <c r="D8031" s="733">
        <v>-769045</v>
      </c>
      <c r="E8031" s="662">
        <v>45778</v>
      </c>
      <c r="F8031" s="200" t="s">
        <v>296</v>
      </c>
      <c r="G8031" s="200" t="s">
        <v>807</v>
      </c>
      <c r="H8031" s="200" t="s">
        <v>429</v>
      </c>
    </row>
    <row r="8032" spans="1:8" ht="15" customHeight="1">
      <c r="A8032" s="199">
        <v>45791</v>
      </c>
      <c r="B8032" s="202" t="s">
        <v>6217</v>
      </c>
      <c r="C8032" s="200" t="s">
        <v>204</v>
      </c>
      <c r="D8032" s="733">
        <v>-769045</v>
      </c>
      <c r="E8032" s="662">
        <v>45778</v>
      </c>
      <c r="F8032" s="200" t="s">
        <v>296</v>
      </c>
      <c r="G8032" s="200" t="s">
        <v>807</v>
      </c>
      <c r="H8032" s="200" t="s">
        <v>429</v>
      </c>
    </row>
    <row r="8033" spans="1:9" ht="15" customHeight="1">
      <c r="A8033" s="199">
        <v>45791</v>
      </c>
      <c r="B8033" s="202" t="s">
        <v>6218</v>
      </c>
      <c r="C8033" s="200" t="s">
        <v>204</v>
      </c>
      <c r="D8033" s="733">
        <v>-769045</v>
      </c>
      <c r="E8033" s="662">
        <v>45778</v>
      </c>
      <c r="F8033" s="200" t="s">
        <v>296</v>
      </c>
      <c r="G8033" s="200" t="s">
        <v>807</v>
      </c>
      <c r="H8033" s="200" t="s">
        <v>1079</v>
      </c>
    </row>
    <row r="8034" spans="1:9" ht="15" customHeight="1">
      <c r="A8034" s="199">
        <v>45791</v>
      </c>
      <c r="B8034" s="202" t="s">
        <v>6219</v>
      </c>
      <c r="C8034" s="200" t="s">
        <v>204</v>
      </c>
      <c r="D8034" s="733">
        <v>-654810</v>
      </c>
      <c r="E8034" s="662">
        <v>45778</v>
      </c>
      <c r="F8034" s="200" t="s">
        <v>296</v>
      </c>
      <c r="G8034" s="200" t="s">
        <v>807</v>
      </c>
      <c r="H8034" s="200" t="s">
        <v>429</v>
      </c>
    </row>
    <row r="8035" spans="1:9" ht="15" customHeight="1">
      <c r="A8035" s="199">
        <v>45791</v>
      </c>
      <c r="B8035" s="202" t="s">
        <v>6220</v>
      </c>
      <c r="C8035" s="200" t="s">
        <v>204</v>
      </c>
      <c r="D8035" s="733">
        <v>-761927.5</v>
      </c>
      <c r="E8035" s="662">
        <v>45778</v>
      </c>
      <c r="F8035" s="200" t="s">
        <v>296</v>
      </c>
      <c r="G8035" s="200" t="s">
        <v>807</v>
      </c>
      <c r="H8035" s="200" t="s">
        <v>429</v>
      </c>
    </row>
    <row r="8036" spans="1:9" ht="15" customHeight="1">
      <c r="A8036" s="199">
        <v>45791</v>
      </c>
      <c r="B8036" s="202" t="s">
        <v>6221</v>
      </c>
      <c r="C8036" s="200" t="s">
        <v>204</v>
      </c>
      <c r="D8036" s="733">
        <v>-761927.5</v>
      </c>
      <c r="E8036" s="662">
        <v>45778</v>
      </c>
      <c r="F8036" s="200" t="s">
        <v>296</v>
      </c>
      <c r="G8036" s="200" t="s">
        <v>807</v>
      </c>
      <c r="H8036" s="200" t="s">
        <v>429</v>
      </c>
    </row>
    <row r="8037" spans="1:9" ht="15" customHeight="1">
      <c r="A8037" s="199">
        <v>45791</v>
      </c>
      <c r="B8037" s="202" t="s">
        <v>6222</v>
      </c>
      <c r="C8037" s="200" t="s">
        <v>204</v>
      </c>
      <c r="D8037" s="733">
        <v>-769045</v>
      </c>
      <c r="E8037" s="662">
        <v>45778</v>
      </c>
      <c r="F8037" s="200" t="s">
        <v>296</v>
      </c>
      <c r="G8037" s="200" t="s">
        <v>807</v>
      </c>
      <c r="H8037" s="200" t="s">
        <v>490</v>
      </c>
    </row>
    <row r="8038" spans="1:9" ht="15" customHeight="1">
      <c r="A8038" s="199">
        <v>45791</v>
      </c>
      <c r="B8038" s="202" t="s">
        <v>6223</v>
      </c>
      <c r="C8038" s="200" t="s">
        <v>204</v>
      </c>
      <c r="D8038" s="733">
        <v>-553527.33333333337</v>
      </c>
      <c r="E8038" s="662">
        <v>45778</v>
      </c>
      <c r="F8038" s="200" t="s">
        <v>296</v>
      </c>
      <c r="G8038" s="200" t="s">
        <v>807</v>
      </c>
      <c r="H8038" s="200" t="s">
        <v>429</v>
      </c>
    </row>
    <row r="8039" spans="1:9" ht="15" customHeight="1">
      <c r="A8039" s="199">
        <v>45791</v>
      </c>
      <c r="B8039" s="202" t="s">
        <v>6224</v>
      </c>
      <c r="C8039" s="200" t="s">
        <v>204</v>
      </c>
      <c r="D8039" s="733">
        <v>-150962</v>
      </c>
      <c r="E8039" s="662">
        <v>45778</v>
      </c>
      <c r="F8039" s="200" t="s">
        <v>296</v>
      </c>
      <c r="G8039" s="200" t="s">
        <v>807</v>
      </c>
      <c r="H8039" s="200" t="s">
        <v>429</v>
      </c>
    </row>
    <row r="8040" spans="1:9" ht="15" customHeight="1">
      <c r="A8040" s="199">
        <v>45791</v>
      </c>
      <c r="B8040" s="202" t="s">
        <v>6225</v>
      </c>
      <c r="C8040" s="200" t="s">
        <v>204</v>
      </c>
      <c r="D8040" s="733">
        <v>-150962</v>
      </c>
      <c r="E8040" s="662">
        <v>45778</v>
      </c>
      <c r="F8040" s="200" t="s">
        <v>296</v>
      </c>
      <c r="G8040" s="200" t="s">
        <v>807</v>
      </c>
      <c r="H8040" s="200" t="s">
        <v>429</v>
      </c>
    </row>
    <row r="8041" spans="1:9" ht="15" customHeight="1">
      <c r="A8041" s="199">
        <v>45791</v>
      </c>
      <c r="B8041" s="202" t="s">
        <v>6226</v>
      </c>
      <c r="C8041" s="200" t="s">
        <v>204</v>
      </c>
      <c r="D8041" s="733">
        <v>-150962</v>
      </c>
      <c r="E8041" s="662">
        <v>45778</v>
      </c>
      <c r="F8041" s="200" t="s">
        <v>296</v>
      </c>
      <c r="G8041" s="200" t="s">
        <v>807</v>
      </c>
      <c r="H8041" s="200" t="s">
        <v>490</v>
      </c>
    </row>
    <row r="8042" spans="1:9" ht="15" customHeight="1">
      <c r="A8042" s="199">
        <v>45791</v>
      </c>
      <c r="B8042" s="202" t="s">
        <v>6227</v>
      </c>
      <c r="C8042" s="200" t="s">
        <v>204</v>
      </c>
      <c r="D8042" s="733">
        <v>-150962</v>
      </c>
      <c r="E8042" s="662">
        <v>45778</v>
      </c>
      <c r="F8042" s="200" t="s">
        <v>296</v>
      </c>
      <c r="G8042" s="200" t="s">
        <v>807</v>
      </c>
      <c r="H8042" s="200" t="s">
        <v>490</v>
      </c>
      <c r="I8042" s="648" t="s">
        <v>329</v>
      </c>
    </row>
    <row r="8043" spans="1:9" ht="15" customHeight="1">
      <c r="A8043" s="199">
        <v>45791</v>
      </c>
      <c r="B8043" s="202" t="s">
        <v>6228</v>
      </c>
      <c r="C8043" s="200" t="s">
        <v>204</v>
      </c>
      <c r="D8043" s="733">
        <v>-1334000</v>
      </c>
      <c r="E8043" s="662">
        <v>45778</v>
      </c>
      <c r="F8043" s="200" t="s">
        <v>296</v>
      </c>
      <c r="G8043" s="200" t="s">
        <v>44</v>
      </c>
      <c r="H8043" s="200" t="s">
        <v>366</v>
      </c>
    </row>
    <row r="8044" spans="1:9" ht="15" customHeight="1">
      <c r="A8044" s="199">
        <v>45791</v>
      </c>
      <c r="B8044" s="202" t="s">
        <v>6229</v>
      </c>
      <c r="C8044" s="200" t="s">
        <v>204</v>
      </c>
      <c r="D8044" s="733">
        <v>-754810</v>
      </c>
      <c r="E8044" s="662">
        <v>45778</v>
      </c>
      <c r="F8044" s="200" t="s">
        <v>296</v>
      </c>
      <c r="G8044" s="200" t="s">
        <v>44</v>
      </c>
      <c r="H8044" s="200" t="s">
        <v>421</v>
      </c>
    </row>
    <row r="8045" spans="1:9" ht="15" customHeight="1">
      <c r="A8045" s="199">
        <v>45791</v>
      </c>
      <c r="B8045" s="202" t="s">
        <v>6230</v>
      </c>
      <c r="C8045" s="200" t="s">
        <v>204</v>
      </c>
      <c r="D8045" s="733">
        <v>-754810</v>
      </c>
      <c r="E8045" s="662">
        <v>45778</v>
      </c>
      <c r="F8045" s="200" t="s">
        <v>296</v>
      </c>
      <c r="G8045" s="200" t="s">
        <v>44</v>
      </c>
      <c r="H8045" s="200" t="s">
        <v>421</v>
      </c>
    </row>
    <row r="8046" spans="1:9" ht="15" customHeight="1">
      <c r="A8046" s="199">
        <v>45791</v>
      </c>
      <c r="B8046" s="202" t="s">
        <v>6231</v>
      </c>
      <c r="C8046" s="200" t="s">
        <v>204</v>
      </c>
      <c r="D8046" s="733">
        <v>-754810</v>
      </c>
      <c r="E8046" s="662">
        <v>45778</v>
      </c>
      <c r="F8046" s="200" t="s">
        <v>296</v>
      </c>
      <c r="G8046" s="200" t="s">
        <v>44</v>
      </c>
      <c r="H8046" s="200" t="s">
        <v>421</v>
      </c>
    </row>
    <row r="8047" spans="1:9" ht="15" customHeight="1">
      <c r="A8047" s="199">
        <v>45791</v>
      </c>
      <c r="B8047" s="202" t="s">
        <v>6232</v>
      </c>
      <c r="C8047" s="200" t="s">
        <v>204</v>
      </c>
      <c r="D8047" s="733">
        <v>-754810</v>
      </c>
      <c r="E8047" s="662">
        <v>45778</v>
      </c>
      <c r="F8047" s="200" t="s">
        <v>296</v>
      </c>
      <c r="G8047" s="200" t="s">
        <v>44</v>
      </c>
      <c r="H8047" s="200" t="s">
        <v>366</v>
      </c>
    </row>
    <row r="8048" spans="1:9" ht="15" customHeight="1">
      <c r="A8048" s="199">
        <v>45791</v>
      </c>
      <c r="B8048" s="202" t="s">
        <v>6233</v>
      </c>
      <c r="C8048" s="200" t="s">
        <v>204</v>
      </c>
      <c r="D8048" s="733">
        <v>-1066000</v>
      </c>
      <c r="E8048" s="662">
        <v>45778</v>
      </c>
      <c r="F8048" s="200" t="s">
        <v>296</v>
      </c>
      <c r="G8048" s="200" t="s">
        <v>44</v>
      </c>
      <c r="H8048" s="200" t="s">
        <v>366</v>
      </c>
    </row>
    <row r="8049" spans="1:9" ht="15" customHeight="1">
      <c r="A8049" s="199">
        <v>45791</v>
      </c>
      <c r="B8049" s="202" t="s">
        <v>6234</v>
      </c>
      <c r="C8049" s="200" t="s">
        <v>204</v>
      </c>
      <c r="D8049" s="733">
        <v>-1250000</v>
      </c>
      <c r="E8049" s="662">
        <v>45778</v>
      </c>
      <c r="F8049" s="200" t="s">
        <v>296</v>
      </c>
      <c r="G8049" s="200" t="s">
        <v>44</v>
      </c>
      <c r="H8049" s="200" t="s">
        <v>421</v>
      </c>
      <c r="I8049" s="648" t="s">
        <v>329</v>
      </c>
    </row>
    <row r="8050" spans="1:9" ht="15" customHeight="1">
      <c r="A8050" s="199">
        <v>45791</v>
      </c>
      <c r="B8050" s="202" t="s">
        <v>6235</v>
      </c>
      <c r="C8050" s="200" t="s">
        <v>204</v>
      </c>
      <c r="D8050" s="733">
        <v>-1066000</v>
      </c>
      <c r="E8050" s="662">
        <v>45778</v>
      </c>
      <c r="F8050" s="200" t="s">
        <v>296</v>
      </c>
      <c r="G8050" s="200" t="s">
        <v>1825</v>
      </c>
      <c r="H8050" s="200" t="s">
        <v>429</v>
      </c>
    </row>
    <row r="8051" spans="1:9" ht="15" customHeight="1">
      <c r="A8051" s="199">
        <v>45791</v>
      </c>
      <c r="B8051" s="202" t="s">
        <v>6236</v>
      </c>
      <c r="C8051" s="200" t="s">
        <v>204</v>
      </c>
      <c r="D8051" s="733">
        <v>-882000</v>
      </c>
      <c r="E8051" s="662">
        <v>45778</v>
      </c>
      <c r="F8051" s="200" t="s">
        <v>296</v>
      </c>
      <c r="G8051" s="200" t="s">
        <v>1825</v>
      </c>
      <c r="H8051" s="200" t="s">
        <v>429</v>
      </c>
    </row>
    <row r="8052" spans="1:9" ht="15" customHeight="1">
      <c r="A8052" s="199">
        <v>45791</v>
      </c>
      <c r="B8052" s="202" t="s">
        <v>6237</v>
      </c>
      <c r="C8052" s="200" t="s">
        <v>204</v>
      </c>
      <c r="D8052" s="733">
        <v>-754810</v>
      </c>
      <c r="E8052" s="662">
        <v>45778</v>
      </c>
      <c r="F8052" s="200" t="s">
        <v>296</v>
      </c>
      <c r="G8052" s="200" t="s">
        <v>1825</v>
      </c>
      <c r="H8052" s="200" t="s">
        <v>429</v>
      </c>
    </row>
    <row r="8053" spans="1:9" ht="15" customHeight="1">
      <c r="A8053" s="199">
        <v>45791</v>
      </c>
      <c r="B8053" s="202" t="s">
        <v>6238</v>
      </c>
      <c r="C8053" s="200" t="s">
        <v>204</v>
      </c>
      <c r="D8053" s="733">
        <v>-754810</v>
      </c>
      <c r="E8053" s="662">
        <v>45778</v>
      </c>
      <c r="F8053" s="200" t="s">
        <v>296</v>
      </c>
      <c r="G8053" s="200" t="s">
        <v>1825</v>
      </c>
      <c r="H8053" s="200" t="s">
        <v>429</v>
      </c>
    </row>
    <row r="8054" spans="1:9" ht="15" customHeight="1">
      <c r="A8054" s="199">
        <v>45791</v>
      </c>
      <c r="B8054" s="202" t="s">
        <v>6239</v>
      </c>
      <c r="C8054" s="200" t="s">
        <v>204</v>
      </c>
      <c r="D8054" s="733">
        <v>-1250000</v>
      </c>
      <c r="E8054" s="662">
        <v>45778</v>
      </c>
      <c r="F8054" s="200" t="s">
        <v>296</v>
      </c>
      <c r="G8054" s="200" t="s">
        <v>1825</v>
      </c>
      <c r="H8054" s="200" t="s">
        <v>338</v>
      </c>
    </row>
    <row r="8055" spans="1:9" ht="15" customHeight="1">
      <c r="A8055" s="199">
        <v>45791</v>
      </c>
      <c r="B8055" s="202" t="s">
        <v>6240</v>
      </c>
      <c r="C8055" s="200" t="s">
        <v>204</v>
      </c>
      <c r="D8055" s="733">
        <v>-754810</v>
      </c>
      <c r="E8055" s="662">
        <v>45778</v>
      </c>
      <c r="F8055" s="200" t="s">
        <v>296</v>
      </c>
      <c r="G8055" s="200" t="s">
        <v>1825</v>
      </c>
      <c r="H8055" s="200" t="s">
        <v>429</v>
      </c>
    </row>
    <row r="8056" spans="1:9" ht="15" customHeight="1">
      <c r="A8056" s="199">
        <v>45791</v>
      </c>
      <c r="B8056" s="202" t="s">
        <v>6241</v>
      </c>
      <c r="C8056" s="200" t="s">
        <v>204</v>
      </c>
      <c r="D8056" s="733">
        <v>-754810</v>
      </c>
      <c r="E8056" s="662">
        <v>45778</v>
      </c>
      <c r="F8056" s="200" t="s">
        <v>296</v>
      </c>
      <c r="G8056" s="200" t="s">
        <v>1825</v>
      </c>
      <c r="H8056" s="200" t="s">
        <v>429</v>
      </c>
    </row>
    <row r="8057" spans="1:9" ht="15" customHeight="1">
      <c r="A8057" s="199">
        <v>45791</v>
      </c>
      <c r="B8057" s="202" t="s">
        <v>6242</v>
      </c>
      <c r="C8057" s="200" t="s">
        <v>204</v>
      </c>
      <c r="D8057" s="733">
        <v>-754810</v>
      </c>
      <c r="E8057" s="662">
        <v>45778</v>
      </c>
      <c r="F8057" s="200" t="s">
        <v>296</v>
      </c>
      <c r="G8057" s="200" t="s">
        <v>1825</v>
      </c>
      <c r="H8057" s="200" t="s">
        <v>429</v>
      </c>
    </row>
    <row r="8058" spans="1:9" ht="15" customHeight="1">
      <c r="A8058" s="199">
        <v>45791</v>
      </c>
      <c r="B8058" s="202" t="s">
        <v>6243</v>
      </c>
      <c r="C8058" s="200" t="s">
        <v>204</v>
      </c>
      <c r="D8058" s="733">
        <v>-754810</v>
      </c>
      <c r="E8058" s="662">
        <v>45778</v>
      </c>
      <c r="F8058" s="200" t="s">
        <v>296</v>
      </c>
      <c r="G8058" s="200" t="s">
        <v>1825</v>
      </c>
      <c r="H8058" s="200" t="s">
        <v>429</v>
      </c>
    </row>
    <row r="8059" spans="1:9" ht="15" customHeight="1">
      <c r="A8059" s="199">
        <v>45791</v>
      </c>
      <c r="B8059" s="202" t="s">
        <v>6244</v>
      </c>
      <c r="C8059" s="200" t="s">
        <v>204</v>
      </c>
      <c r="D8059" s="733">
        <v>-754810</v>
      </c>
      <c r="E8059" s="662">
        <v>45778</v>
      </c>
      <c r="F8059" s="200" t="s">
        <v>296</v>
      </c>
      <c r="G8059" s="200" t="s">
        <v>1825</v>
      </c>
      <c r="H8059" s="200" t="s">
        <v>429</v>
      </c>
    </row>
    <row r="8060" spans="1:9" ht="15" customHeight="1">
      <c r="A8060" s="199">
        <v>45791</v>
      </c>
      <c r="B8060" s="202" t="s">
        <v>6245</v>
      </c>
      <c r="C8060" s="200" t="s">
        <v>204</v>
      </c>
      <c r="D8060" s="733">
        <v>-754810</v>
      </c>
      <c r="E8060" s="662">
        <v>45778</v>
      </c>
      <c r="F8060" s="200" t="s">
        <v>296</v>
      </c>
      <c r="G8060" s="200" t="s">
        <v>1825</v>
      </c>
      <c r="H8060" s="200" t="s">
        <v>429</v>
      </c>
    </row>
    <row r="8061" spans="1:9" ht="15" customHeight="1">
      <c r="A8061" s="199">
        <v>45791</v>
      </c>
      <c r="B8061" s="202" t="s">
        <v>6246</v>
      </c>
      <c r="C8061" s="200" t="s">
        <v>204</v>
      </c>
      <c r="D8061" s="733">
        <v>-754810</v>
      </c>
      <c r="E8061" s="662">
        <v>45778</v>
      </c>
      <c r="F8061" s="200" t="s">
        <v>296</v>
      </c>
      <c r="G8061" s="200" t="s">
        <v>1825</v>
      </c>
      <c r="H8061" s="200" t="s">
        <v>429</v>
      </c>
    </row>
    <row r="8062" spans="1:9" ht="15" customHeight="1">
      <c r="A8062" s="199">
        <v>45791</v>
      </c>
      <c r="B8062" s="202" t="s">
        <v>6247</v>
      </c>
      <c r="C8062" s="200" t="s">
        <v>204</v>
      </c>
      <c r="D8062" s="733">
        <v>-754810</v>
      </c>
      <c r="E8062" s="662">
        <v>45778</v>
      </c>
      <c r="F8062" s="200" t="s">
        <v>296</v>
      </c>
      <c r="G8062" s="200" t="s">
        <v>1825</v>
      </c>
      <c r="H8062" s="200" t="s">
        <v>429</v>
      </c>
    </row>
    <row r="8063" spans="1:9" ht="15" customHeight="1">
      <c r="A8063" s="199">
        <v>45791</v>
      </c>
      <c r="B8063" s="202" t="s">
        <v>6248</v>
      </c>
      <c r="C8063" s="200" t="s">
        <v>204</v>
      </c>
      <c r="D8063" s="733">
        <v>-754810</v>
      </c>
      <c r="E8063" s="662">
        <v>45778</v>
      </c>
      <c r="F8063" s="200" t="s">
        <v>296</v>
      </c>
      <c r="G8063" s="200" t="s">
        <v>1825</v>
      </c>
      <c r="H8063" s="200" t="s">
        <v>429</v>
      </c>
    </row>
    <row r="8064" spans="1:9" ht="15" customHeight="1">
      <c r="A8064" s="199">
        <v>45791</v>
      </c>
      <c r="B8064" s="202" t="s">
        <v>6249</v>
      </c>
      <c r="C8064" s="200" t="s">
        <v>204</v>
      </c>
      <c r="D8064" s="733">
        <v>-754810</v>
      </c>
      <c r="E8064" s="662">
        <v>45778</v>
      </c>
      <c r="F8064" s="200" t="s">
        <v>296</v>
      </c>
      <c r="G8064" s="200" t="s">
        <v>1825</v>
      </c>
      <c r="H8064" s="200" t="s">
        <v>429</v>
      </c>
    </row>
    <row r="8065" spans="1:9" ht="15" customHeight="1">
      <c r="A8065" s="199">
        <v>45791</v>
      </c>
      <c r="B8065" s="202" t="s">
        <v>6250</v>
      </c>
      <c r="C8065" s="200" t="s">
        <v>204</v>
      </c>
      <c r="D8065" s="733">
        <v>-754810</v>
      </c>
      <c r="E8065" s="662">
        <v>45778</v>
      </c>
      <c r="F8065" s="200" t="s">
        <v>296</v>
      </c>
      <c r="G8065" s="200" t="s">
        <v>1825</v>
      </c>
      <c r="H8065" s="200" t="s">
        <v>429</v>
      </c>
    </row>
    <row r="8066" spans="1:9" ht="15" customHeight="1">
      <c r="A8066" s="199">
        <v>45791</v>
      </c>
      <c r="B8066" s="202" t="s">
        <v>6251</v>
      </c>
      <c r="C8066" s="200" t="s">
        <v>204</v>
      </c>
      <c r="D8066" s="733">
        <v>-754810</v>
      </c>
      <c r="E8066" s="662">
        <v>45778</v>
      </c>
      <c r="F8066" s="200" t="s">
        <v>296</v>
      </c>
      <c r="G8066" s="200" t="s">
        <v>1825</v>
      </c>
      <c r="H8066" s="200" t="s">
        <v>429</v>
      </c>
    </row>
    <row r="8067" spans="1:9" ht="15" customHeight="1">
      <c r="A8067" s="199">
        <v>45791</v>
      </c>
      <c r="B8067" s="202" t="s">
        <v>6252</v>
      </c>
      <c r="C8067" s="200" t="s">
        <v>204</v>
      </c>
      <c r="D8067" s="733">
        <v>-754810</v>
      </c>
      <c r="E8067" s="662">
        <v>45778</v>
      </c>
      <c r="F8067" s="200" t="s">
        <v>296</v>
      </c>
      <c r="G8067" s="200" t="s">
        <v>1825</v>
      </c>
      <c r="H8067" s="200" t="s">
        <v>429</v>
      </c>
    </row>
    <row r="8068" spans="1:9" ht="15" customHeight="1">
      <c r="A8068" s="199">
        <v>45791</v>
      </c>
      <c r="B8068" s="202" t="s">
        <v>6253</v>
      </c>
      <c r="C8068" s="200" t="s">
        <v>204</v>
      </c>
      <c r="D8068" s="733">
        <v>-754810</v>
      </c>
      <c r="E8068" s="662">
        <v>45778</v>
      </c>
      <c r="F8068" s="200" t="s">
        <v>296</v>
      </c>
      <c r="G8068" s="200" t="s">
        <v>1825</v>
      </c>
      <c r="H8068" s="200" t="s">
        <v>429</v>
      </c>
    </row>
    <row r="8069" spans="1:9" ht="15" customHeight="1">
      <c r="A8069" s="199">
        <v>45791</v>
      </c>
      <c r="B8069" s="202" t="s">
        <v>6254</v>
      </c>
      <c r="C8069" s="200" t="s">
        <v>204</v>
      </c>
      <c r="D8069" s="733">
        <v>-553527.33333333337</v>
      </c>
      <c r="E8069" s="662">
        <v>45778</v>
      </c>
      <c r="F8069" s="200" t="s">
        <v>296</v>
      </c>
      <c r="G8069" s="200" t="s">
        <v>1825</v>
      </c>
      <c r="H8069" s="200" t="s">
        <v>429</v>
      </c>
      <c r="I8069" s="648" t="s">
        <v>329</v>
      </c>
    </row>
    <row r="8070" spans="1:9" ht="15" customHeight="1">
      <c r="A8070" s="199">
        <v>45791</v>
      </c>
      <c r="B8070" s="202" t="s">
        <v>6255</v>
      </c>
      <c r="C8070" s="200" t="s">
        <v>204</v>
      </c>
      <c r="D8070" s="733">
        <v>-754810</v>
      </c>
      <c r="E8070" s="662">
        <v>45778</v>
      </c>
      <c r="F8070" s="200" t="s">
        <v>296</v>
      </c>
      <c r="G8070" s="200" t="s">
        <v>1980</v>
      </c>
      <c r="H8070" s="200" t="s">
        <v>1213</v>
      </c>
    </row>
    <row r="8071" spans="1:9" ht="15" customHeight="1">
      <c r="A8071" s="199">
        <v>45791</v>
      </c>
      <c r="B8071" s="202" t="s">
        <v>6256</v>
      </c>
      <c r="C8071" s="200" t="s">
        <v>204</v>
      </c>
      <c r="D8071" s="733">
        <v>-863833.33333333337</v>
      </c>
      <c r="E8071" s="662">
        <v>45778</v>
      </c>
      <c r="F8071" s="200" t="s">
        <v>296</v>
      </c>
      <c r="G8071" s="200" t="s">
        <v>1980</v>
      </c>
      <c r="H8071" s="200" t="s">
        <v>490</v>
      </c>
    </row>
    <row r="8072" spans="1:9" ht="15" customHeight="1">
      <c r="A8072" s="199">
        <v>45791</v>
      </c>
      <c r="B8072" s="202" t="s">
        <v>6257</v>
      </c>
      <c r="C8072" s="200" t="s">
        <v>204</v>
      </c>
      <c r="D8072" s="733">
        <v>-754810</v>
      </c>
      <c r="E8072" s="662">
        <v>45778</v>
      </c>
      <c r="F8072" s="200" t="s">
        <v>296</v>
      </c>
      <c r="G8072" s="200" t="s">
        <v>1980</v>
      </c>
      <c r="H8072" s="200" t="s">
        <v>429</v>
      </c>
    </row>
    <row r="8073" spans="1:9" ht="15" customHeight="1">
      <c r="A8073" s="199">
        <v>45791</v>
      </c>
      <c r="B8073" s="202" t="s">
        <v>6258</v>
      </c>
      <c r="C8073" s="200" t="s">
        <v>204</v>
      </c>
      <c r="D8073" s="733">
        <v>-741476.66666666663</v>
      </c>
      <c r="E8073" s="662">
        <v>45778</v>
      </c>
      <c r="F8073" s="200" t="s">
        <v>296</v>
      </c>
      <c r="G8073" s="200" t="s">
        <v>1980</v>
      </c>
      <c r="H8073" s="200" t="s">
        <v>1079</v>
      </c>
    </row>
    <row r="8074" spans="1:9" ht="15" customHeight="1">
      <c r="A8074" s="199">
        <v>45791</v>
      </c>
      <c r="B8074" s="202" t="s">
        <v>6259</v>
      </c>
      <c r="C8074" s="200" t="s">
        <v>204</v>
      </c>
      <c r="D8074" s="733">
        <v>-754810</v>
      </c>
      <c r="E8074" s="662">
        <v>45778</v>
      </c>
      <c r="F8074" s="200" t="s">
        <v>296</v>
      </c>
      <c r="G8074" s="200" t="s">
        <v>1980</v>
      </c>
      <c r="H8074" s="200" t="s">
        <v>1213</v>
      </c>
    </row>
    <row r="8075" spans="1:9" ht="15" customHeight="1">
      <c r="A8075" s="199">
        <v>45791</v>
      </c>
      <c r="B8075" s="202" t="s">
        <v>6260</v>
      </c>
      <c r="C8075" s="200" t="s">
        <v>204</v>
      </c>
      <c r="D8075" s="733">
        <v>-761927.5</v>
      </c>
      <c r="E8075" s="662">
        <v>45778</v>
      </c>
      <c r="F8075" s="200" t="s">
        <v>296</v>
      </c>
      <c r="G8075" s="200" t="s">
        <v>1980</v>
      </c>
      <c r="H8075" s="200" t="s">
        <v>429</v>
      </c>
    </row>
    <row r="8076" spans="1:9" ht="15" customHeight="1">
      <c r="A8076" s="199">
        <v>45791</v>
      </c>
      <c r="B8076" s="202" t="s">
        <v>6261</v>
      </c>
      <c r="C8076" s="200" t="s">
        <v>204</v>
      </c>
      <c r="D8076" s="733">
        <v>-754810</v>
      </c>
      <c r="E8076" s="662">
        <v>45778</v>
      </c>
      <c r="F8076" s="200" t="s">
        <v>296</v>
      </c>
      <c r="G8076" s="200" t="s">
        <v>1980</v>
      </c>
      <c r="H8076" s="200" t="s">
        <v>429</v>
      </c>
    </row>
    <row r="8077" spans="1:9" ht="15" customHeight="1">
      <c r="A8077" s="199">
        <v>45791</v>
      </c>
      <c r="B8077" s="202" t="s">
        <v>6262</v>
      </c>
      <c r="C8077" s="200" t="s">
        <v>204</v>
      </c>
      <c r="D8077" s="733">
        <v>-754810</v>
      </c>
      <c r="E8077" s="662">
        <v>45778</v>
      </c>
      <c r="F8077" s="200" t="s">
        <v>296</v>
      </c>
      <c r="G8077" s="200" t="s">
        <v>1980</v>
      </c>
      <c r="H8077" s="200" t="s">
        <v>1079</v>
      </c>
    </row>
    <row r="8078" spans="1:9" ht="15" customHeight="1">
      <c r="A8078" s="199">
        <v>45791</v>
      </c>
      <c r="B8078" s="202" t="s">
        <v>6263</v>
      </c>
      <c r="C8078" s="200" t="s">
        <v>204</v>
      </c>
      <c r="D8078" s="733">
        <v>-754810</v>
      </c>
      <c r="E8078" s="662">
        <v>45778</v>
      </c>
      <c r="F8078" s="200" t="s">
        <v>296</v>
      </c>
      <c r="G8078" s="200" t="s">
        <v>1980</v>
      </c>
      <c r="H8078" s="200" t="s">
        <v>429</v>
      </c>
    </row>
    <row r="8079" spans="1:9" ht="15" customHeight="1">
      <c r="A8079" s="199">
        <v>45791</v>
      </c>
      <c r="B8079" s="202" t="s">
        <v>6264</v>
      </c>
      <c r="C8079" s="200" t="s">
        <v>204</v>
      </c>
      <c r="D8079" s="733">
        <v>-754810</v>
      </c>
      <c r="E8079" s="662">
        <v>45778</v>
      </c>
      <c r="F8079" s="200" t="s">
        <v>296</v>
      </c>
      <c r="G8079" s="200" t="s">
        <v>1980</v>
      </c>
      <c r="H8079" s="200" t="s">
        <v>429</v>
      </c>
    </row>
    <row r="8080" spans="1:9" ht="15" customHeight="1">
      <c r="A8080" s="199">
        <v>45791</v>
      </c>
      <c r="B8080" s="202" t="s">
        <v>6265</v>
      </c>
      <c r="C8080" s="200" t="s">
        <v>204</v>
      </c>
      <c r="D8080" s="733">
        <v>-701476.66666666663</v>
      </c>
      <c r="E8080" s="662">
        <v>45778</v>
      </c>
      <c r="F8080" s="200" t="s">
        <v>296</v>
      </c>
      <c r="G8080" s="200" t="s">
        <v>1980</v>
      </c>
      <c r="H8080" s="200" t="s">
        <v>490</v>
      </c>
    </row>
    <row r="8081" spans="1:9" ht="15" customHeight="1">
      <c r="A8081" s="199">
        <v>45791</v>
      </c>
      <c r="B8081" s="202" t="s">
        <v>6266</v>
      </c>
      <c r="C8081" s="200" t="s">
        <v>204</v>
      </c>
      <c r="D8081" s="733">
        <v>-754810</v>
      </c>
      <c r="E8081" s="662">
        <v>45778</v>
      </c>
      <c r="F8081" s="200" t="s">
        <v>296</v>
      </c>
      <c r="G8081" s="200" t="s">
        <v>1980</v>
      </c>
      <c r="H8081" s="200" t="s">
        <v>429</v>
      </c>
    </row>
    <row r="8082" spans="1:9" ht="15" customHeight="1">
      <c r="A8082" s="199">
        <v>45791</v>
      </c>
      <c r="B8082" s="202" t="s">
        <v>6267</v>
      </c>
      <c r="C8082" s="200" t="s">
        <v>204</v>
      </c>
      <c r="D8082" s="733">
        <v>-754810</v>
      </c>
      <c r="E8082" s="662">
        <v>45778</v>
      </c>
      <c r="F8082" s="200" t="s">
        <v>296</v>
      </c>
      <c r="G8082" s="200" t="s">
        <v>1980</v>
      </c>
      <c r="H8082" s="200" t="s">
        <v>429</v>
      </c>
    </row>
    <row r="8083" spans="1:9" ht="15" customHeight="1">
      <c r="A8083" s="199">
        <v>45791</v>
      </c>
      <c r="B8083" s="202" t="s">
        <v>6268</v>
      </c>
      <c r="C8083" s="200" t="s">
        <v>204</v>
      </c>
      <c r="D8083" s="733">
        <v>-754810</v>
      </c>
      <c r="E8083" s="662">
        <v>45778</v>
      </c>
      <c r="F8083" s="200" t="s">
        <v>296</v>
      </c>
      <c r="G8083" s="200" t="s">
        <v>1980</v>
      </c>
      <c r="H8083" s="200" t="s">
        <v>1213</v>
      </c>
    </row>
    <row r="8084" spans="1:9" ht="15" customHeight="1">
      <c r="A8084" s="199">
        <v>45791</v>
      </c>
      <c r="B8084" s="202" t="s">
        <v>6269</v>
      </c>
      <c r="C8084" s="200" t="s">
        <v>204</v>
      </c>
      <c r="D8084" s="733">
        <v>-754810</v>
      </c>
      <c r="E8084" s="662">
        <v>45778</v>
      </c>
      <c r="F8084" s="200" t="s">
        <v>296</v>
      </c>
      <c r="G8084" s="200" t="s">
        <v>1980</v>
      </c>
      <c r="H8084" s="200" t="s">
        <v>429</v>
      </c>
    </row>
    <row r="8085" spans="1:9" ht="15" customHeight="1">
      <c r="A8085" s="199">
        <v>45791</v>
      </c>
      <c r="B8085" s="202" t="s">
        <v>6270</v>
      </c>
      <c r="C8085" s="200" t="s">
        <v>204</v>
      </c>
      <c r="D8085" s="733">
        <v>-754810</v>
      </c>
      <c r="E8085" s="662">
        <v>45778</v>
      </c>
      <c r="F8085" s="200" t="s">
        <v>296</v>
      </c>
      <c r="G8085" s="200" t="s">
        <v>1980</v>
      </c>
      <c r="H8085" s="200" t="s">
        <v>429</v>
      </c>
    </row>
    <row r="8086" spans="1:9" ht="15" customHeight="1">
      <c r="A8086" s="199">
        <v>45791</v>
      </c>
      <c r="B8086" s="202" t="s">
        <v>6271</v>
      </c>
      <c r="C8086" s="200" t="s">
        <v>204</v>
      </c>
      <c r="D8086" s="733">
        <v>-754810</v>
      </c>
      <c r="E8086" s="662">
        <v>45778</v>
      </c>
      <c r="F8086" s="200" t="s">
        <v>296</v>
      </c>
      <c r="G8086" s="200" t="s">
        <v>1980</v>
      </c>
      <c r="H8086" s="200" t="s">
        <v>429</v>
      </c>
    </row>
    <row r="8087" spans="1:9" ht="15" customHeight="1">
      <c r="A8087" s="199">
        <v>45791</v>
      </c>
      <c r="B8087" s="202" t="s">
        <v>6272</v>
      </c>
      <c r="C8087" s="200" t="s">
        <v>204</v>
      </c>
      <c r="D8087" s="733">
        <v>-761927.5</v>
      </c>
      <c r="E8087" s="662">
        <v>45778</v>
      </c>
      <c r="F8087" s="200" t="s">
        <v>296</v>
      </c>
      <c r="G8087" s="200" t="s">
        <v>1980</v>
      </c>
      <c r="H8087" s="200" t="s">
        <v>429</v>
      </c>
    </row>
    <row r="8088" spans="1:9" ht="15" customHeight="1">
      <c r="A8088" s="199">
        <v>45791</v>
      </c>
      <c r="B8088" s="202" t="s">
        <v>6273</v>
      </c>
      <c r="C8088" s="200" t="s">
        <v>204</v>
      </c>
      <c r="D8088" s="733">
        <v>-754810</v>
      </c>
      <c r="E8088" s="662">
        <v>45778</v>
      </c>
      <c r="F8088" s="200" t="s">
        <v>296</v>
      </c>
      <c r="G8088" s="200" t="s">
        <v>1980</v>
      </c>
      <c r="H8088" s="200" t="s">
        <v>429</v>
      </c>
    </row>
    <row r="8089" spans="1:9" ht="15" customHeight="1">
      <c r="A8089" s="199">
        <v>45791</v>
      </c>
      <c r="B8089" s="202" t="s">
        <v>6274</v>
      </c>
      <c r="C8089" s="200" t="s">
        <v>204</v>
      </c>
      <c r="D8089" s="733">
        <v>-704489.33333333337</v>
      </c>
      <c r="E8089" s="662">
        <v>45778</v>
      </c>
      <c r="F8089" s="200" t="s">
        <v>296</v>
      </c>
      <c r="G8089" s="200" t="s">
        <v>1980</v>
      </c>
      <c r="H8089" s="200" t="s">
        <v>429</v>
      </c>
    </row>
    <row r="8090" spans="1:9" ht="15" customHeight="1">
      <c r="A8090" s="199">
        <v>45791</v>
      </c>
      <c r="B8090" s="202" t="s">
        <v>6275</v>
      </c>
      <c r="C8090" s="200" t="s">
        <v>204</v>
      </c>
      <c r="D8090" s="733">
        <v>-553527.33333333337</v>
      </c>
      <c r="E8090" s="662">
        <v>45778</v>
      </c>
      <c r="F8090" s="200" t="s">
        <v>296</v>
      </c>
      <c r="G8090" s="200" t="s">
        <v>1980</v>
      </c>
      <c r="H8090" s="200" t="s">
        <v>1213</v>
      </c>
    </row>
    <row r="8091" spans="1:9" ht="15" customHeight="1">
      <c r="A8091" s="199">
        <v>45791</v>
      </c>
      <c r="B8091" s="202" t="s">
        <v>6276</v>
      </c>
      <c r="C8091" s="200" t="s">
        <v>204</v>
      </c>
      <c r="D8091" s="733">
        <v>-553527.33333333337</v>
      </c>
      <c r="E8091" s="662">
        <v>45778</v>
      </c>
      <c r="F8091" s="200" t="s">
        <v>296</v>
      </c>
      <c r="G8091" s="200" t="s">
        <v>1980</v>
      </c>
      <c r="H8091" s="200" t="s">
        <v>429</v>
      </c>
    </row>
    <row r="8092" spans="1:9" ht="15" customHeight="1">
      <c r="A8092" s="199">
        <v>45791</v>
      </c>
      <c r="B8092" s="202" t="s">
        <v>6277</v>
      </c>
      <c r="C8092" s="200" t="s">
        <v>204</v>
      </c>
      <c r="D8092" s="733">
        <v>-553527.33333333337</v>
      </c>
      <c r="E8092" s="662">
        <v>45778</v>
      </c>
      <c r="F8092" s="200" t="s">
        <v>296</v>
      </c>
      <c r="G8092" s="200" t="s">
        <v>1980</v>
      </c>
      <c r="H8092" s="200" t="s">
        <v>429</v>
      </c>
    </row>
    <row r="8093" spans="1:9" ht="15" customHeight="1">
      <c r="A8093" s="199">
        <v>45791</v>
      </c>
      <c r="B8093" s="202" t="s">
        <v>6278</v>
      </c>
      <c r="C8093" s="200" t="s">
        <v>204</v>
      </c>
      <c r="D8093" s="733">
        <v>-150962</v>
      </c>
      <c r="E8093" s="662">
        <v>45778</v>
      </c>
      <c r="F8093" s="200" t="s">
        <v>296</v>
      </c>
      <c r="G8093" s="200" t="s">
        <v>1980</v>
      </c>
      <c r="H8093" s="200" t="s">
        <v>429</v>
      </c>
    </row>
    <row r="8094" spans="1:9" ht="15" customHeight="1">
      <c r="A8094" s="199">
        <v>45791</v>
      </c>
      <c r="B8094" s="202" t="s">
        <v>6279</v>
      </c>
      <c r="C8094" s="200" t="s">
        <v>204</v>
      </c>
      <c r="D8094" s="733">
        <v>-150962</v>
      </c>
      <c r="E8094" s="662">
        <v>45778</v>
      </c>
      <c r="F8094" s="200" t="s">
        <v>296</v>
      </c>
      <c r="G8094" s="200" t="s">
        <v>1980</v>
      </c>
      <c r="H8094" s="200" t="s">
        <v>429</v>
      </c>
      <c r="I8094" s="648" t="s">
        <v>329</v>
      </c>
    </row>
    <row r="8095" spans="1:9" ht="15" customHeight="1">
      <c r="A8095" s="199">
        <v>45791</v>
      </c>
      <c r="B8095" s="202" t="s">
        <v>6280</v>
      </c>
      <c r="C8095" s="200" t="s">
        <v>204</v>
      </c>
      <c r="D8095" s="733">
        <v>-754810</v>
      </c>
      <c r="E8095" s="662">
        <v>45778</v>
      </c>
      <c r="F8095" s="200" t="s">
        <v>296</v>
      </c>
      <c r="G8095" s="200" t="s">
        <v>1983</v>
      </c>
      <c r="H8095" s="200" t="s">
        <v>490</v>
      </c>
    </row>
    <row r="8096" spans="1:9" ht="15" customHeight="1">
      <c r="A8096" s="199">
        <v>45791</v>
      </c>
      <c r="B8096" s="202" t="s">
        <v>6281</v>
      </c>
      <c r="C8096" s="200" t="s">
        <v>204</v>
      </c>
      <c r="D8096" s="733">
        <v>-553527.33333333337</v>
      </c>
      <c r="E8096" s="662">
        <v>45778</v>
      </c>
      <c r="F8096" s="200" t="s">
        <v>296</v>
      </c>
      <c r="G8096" s="200" t="s">
        <v>1983</v>
      </c>
      <c r="H8096" s="200" t="s">
        <v>490</v>
      </c>
    </row>
    <row r="8097" spans="1:9" ht="15" customHeight="1">
      <c r="A8097" s="199">
        <v>45791</v>
      </c>
      <c r="B8097" s="202" t="s">
        <v>6282</v>
      </c>
      <c r="C8097" s="200" t="s">
        <v>204</v>
      </c>
      <c r="D8097" s="733">
        <v>-533527.33333333337</v>
      </c>
      <c r="E8097" s="662">
        <v>45778</v>
      </c>
      <c r="F8097" s="200" t="s">
        <v>296</v>
      </c>
      <c r="G8097" s="200" t="s">
        <v>1983</v>
      </c>
      <c r="H8097" s="200" t="s">
        <v>429</v>
      </c>
    </row>
    <row r="8098" spans="1:9" ht="15" customHeight="1">
      <c r="A8098" s="199">
        <v>45791</v>
      </c>
      <c r="B8098" s="202" t="s">
        <v>6283</v>
      </c>
      <c r="C8098" s="200" t="s">
        <v>204</v>
      </c>
      <c r="D8098" s="733">
        <v>-553527.33333333337</v>
      </c>
      <c r="E8098" s="662">
        <v>45778</v>
      </c>
      <c r="F8098" s="200" t="s">
        <v>296</v>
      </c>
      <c r="G8098" s="200" t="s">
        <v>1983</v>
      </c>
      <c r="H8098" s="200" t="s">
        <v>490</v>
      </c>
    </row>
    <row r="8099" spans="1:9" ht="15" customHeight="1">
      <c r="A8099" s="199">
        <v>45791</v>
      </c>
      <c r="B8099" s="202" t="s">
        <v>6284</v>
      </c>
      <c r="C8099" s="200" t="s">
        <v>204</v>
      </c>
      <c r="D8099" s="733">
        <v>-150962</v>
      </c>
      <c r="E8099" s="662">
        <v>45778</v>
      </c>
      <c r="F8099" s="200" t="s">
        <v>296</v>
      </c>
      <c r="G8099" s="200" t="s">
        <v>1983</v>
      </c>
      <c r="H8099" s="200" t="s">
        <v>429</v>
      </c>
    </row>
    <row r="8100" spans="1:9" ht="15" customHeight="1">
      <c r="A8100" s="199">
        <v>45791</v>
      </c>
      <c r="B8100" s="202" t="s">
        <v>6285</v>
      </c>
      <c r="C8100" s="200" t="s">
        <v>204</v>
      </c>
      <c r="D8100" s="733">
        <v>-150962</v>
      </c>
      <c r="E8100" s="662">
        <v>45778</v>
      </c>
      <c r="F8100" s="200" t="s">
        <v>296</v>
      </c>
      <c r="G8100" s="200" t="s">
        <v>1983</v>
      </c>
      <c r="H8100" s="200" t="s">
        <v>490</v>
      </c>
    </row>
    <row r="8101" spans="1:9" ht="15" customHeight="1">
      <c r="A8101" s="199">
        <v>45791</v>
      </c>
      <c r="B8101" s="202" t="s">
        <v>6286</v>
      </c>
      <c r="C8101" s="200" t="s">
        <v>204</v>
      </c>
      <c r="D8101" s="733">
        <v>-150962</v>
      </c>
      <c r="E8101" s="662">
        <v>45778</v>
      </c>
      <c r="F8101" s="200" t="s">
        <v>296</v>
      </c>
      <c r="G8101" s="200" t="s">
        <v>1983</v>
      </c>
      <c r="H8101" s="200" t="s">
        <v>429</v>
      </c>
    </row>
    <row r="8102" spans="1:9" ht="15" customHeight="1">
      <c r="A8102" s="199">
        <v>45791</v>
      </c>
      <c r="B8102" s="202" t="s">
        <v>6287</v>
      </c>
      <c r="C8102" s="200" t="s">
        <v>204</v>
      </c>
      <c r="D8102" s="733">
        <v>-150962</v>
      </c>
      <c r="E8102" s="662">
        <v>45778</v>
      </c>
      <c r="F8102" s="200" t="s">
        <v>296</v>
      </c>
      <c r="G8102" s="200" t="s">
        <v>1983</v>
      </c>
      <c r="H8102" s="200" t="s">
        <v>429</v>
      </c>
      <c r="I8102" s="648" t="s">
        <v>329</v>
      </c>
    </row>
    <row r="8103" spans="1:9" ht="15" customHeight="1">
      <c r="A8103" s="199">
        <v>45791</v>
      </c>
      <c r="B8103" s="202" t="s">
        <v>6288</v>
      </c>
      <c r="C8103" s="200" t="s">
        <v>204</v>
      </c>
      <c r="D8103" s="733">
        <v>-1247700</v>
      </c>
      <c r="E8103" s="662">
        <v>45778</v>
      </c>
      <c r="F8103" s="200" t="s">
        <v>296</v>
      </c>
      <c r="G8103" s="200" t="s">
        <v>522</v>
      </c>
      <c r="H8103" s="200" t="s">
        <v>429</v>
      </c>
    </row>
    <row r="8104" spans="1:9" ht="15" customHeight="1">
      <c r="A8104" s="199">
        <v>45791</v>
      </c>
      <c r="B8104" s="202" t="s">
        <v>6289</v>
      </c>
      <c r="C8104" s="200" t="s">
        <v>204</v>
      </c>
      <c r="D8104" s="733">
        <v>-836000</v>
      </c>
      <c r="E8104" s="662">
        <v>45778</v>
      </c>
      <c r="F8104" s="200" t="s">
        <v>296</v>
      </c>
      <c r="G8104" s="200" t="s">
        <v>522</v>
      </c>
      <c r="H8104" s="200" t="s">
        <v>429</v>
      </c>
    </row>
    <row r="8105" spans="1:9" ht="15" customHeight="1">
      <c r="A8105" s="199">
        <v>45791</v>
      </c>
      <c r="B8105" s="202" t="s">
        <v>6290</v>
      </c>
      <c r="C8105" s="200" t="s">
        <v>204</v>
      </c>
      <c r="D8105" s="733">
        <v>-754810</v>
      </c>
      <c r="E8105" s="662">
        <v>45778</v>
      </c>
      <c r="F8105" s="200" t="s">
        <v>296</v>
      </c>
      <c r="G8105" s="200" t="s">
        <v>522</v>
      </c>
      <c r="H8105" s="200" t="s">
        <v>429</v>
      </c>
    </row>
    <row r="8106" spans="1:9" ht="15" customHeight="1">
      <c r="A8106" s="199">
        <v>45791</v>
      </c>
      <c r="B8106" s="202" t="s">
        <v>6291</v>
      </c>
      <c r="C8106" s="200" t="s">
        <v>204</v>
      </c>
      <c r="D8106" s="733">
        <v>-754810</v>
      </c>
      <c r="E8106" s="662">
        <v>45778</v>
      </c>
      <c r="F8106" s="200" t="s">
        <v>296</v>
      </c>
      <c r="G8106" s="200" t="s">
        <v>522</v>
      </c>
      <c r="H8106" s="200" t="s">
        <v>429</v>
      </c>
    </row>
    <row r="8107" spans="1:9" ht="15" customHeight="1">
      <c r="A8107" s="199">
        <v>45791</v>
      </c>
      <c r="B8107" s="202" t="s">
        <v>6292</v>
      </c>
      <c r="C8107" s="200" t="s">
        <v>204</v>
      </c>
      <c r="D8107" s="733">
        <v>-734810</v>
      </c>
      <c r="E8107" s="662">
        <v>45778</v>
      </c>
      <c r="F8107" s="200" t="s">
        <v>296</v>
      </c>
      <c r="G8107" s="200" t="s">
        <v>522</v>
      </c>
      <c r="H8107" s="200" t="s">
        <v>429</v>
      </c>
    </row>
    <row r="8108" spans="1:9" ht="15" customHeight="1">
      <c r="A8108" s="199">
        <v>45791</v>
      </c>
      <c r="B8108" s="202" t="s">
        <v>6293</v>
      </c>
      <c r="C8108" s="200" t="s">
        <v>204</v>
      </c>
      <c r="D8108" s="733">
        <v>-754810</v>
      </c>
      <c r="E8108" s="662">
        <v>45778</v>
      </c>
      <c r="F8108" s="200" t="s">
        <v>296</v>
      </c>
      <c r="G8108" s="200" t="s">
        <v>522</v>
      </c>
      <c r="H8108" s="200" t="s">
        <v>429</v>
      </c>
      <c r="I8108" s="648" t="s">
        <v>329</v>
      </c>
    </row>
    <row r="8109" spans="1:9" ht="15" customHeight="1">
      <c r="A8109" s="199">
        <v>45789</v>
      </c>
      <c r="B8109" s="202" t="s">
        <v>6294</v>
      </c>
      <c r="C8109" s="200" t="s">
        <v>398</v>
      </c>
      <c r="D8109" s="658">
        <v>-263280</v>
      </c>
      <c r="E8109" s="201">
        <v>45778</v>
      </c>
      <c r="F8109" s="200" t="s">
        <v>256</v>
      </c>
      <c r="G8109" s="200" t="s">
        <v>107</v>
      </c>
      <c r="H8109" s="200" t="s">
        <v>277</v>
      </c>
    </row>
    <row r="8110" spans="1:9" ht="15" customHeight="1">
      <c r="A8110" s="199">
        <v>45789</v>
      </c>
      <c r="B8110" s="202" t="s">
        <v>6294</v>
      </c>
      <c r="C8110" s="200" t="s">
        <v>398</v>
      </c>
      <c r="D8110" s="658">
        <v>-580960</v>
      </c>
      <c r="E8110" s="201">
        <v>45778</v>
      </c>
      <c r="F8110" s="200" t="s">
        <v>256</v>
      </c>
      <c r="G8110" s="200" t="s">
        <v>107</v>
      </c>
      <c r="H8110" s="200" t="s">
        <v>277</v>
      </c>
    </row>
    <row r="8111" spans="1:9" ht="15" customHeight="1">
      <c r="A8111" s="199">
        <v>45790</v>
      </c>
      <c r="B8111" s="202" t="s">
        <v>665</v>
      </c>
      <c r="C8111" s="200" t="s">
        <v>398</v>
      </c>
      <c r="D8111" s="658">
        <v>-169418.97</v>
      </c>
      <c r="E8111" s="201">
        <v>45778</v>
      </c>
      <c r="F8111" s="200" t="s">
        <v>256</v>
      </c>
      <c r="G8111" s="200" t="s">
        <v>256</v>
      </c>
      <c r="H8111" s="200" t="s">
        <v>266</v>
      </c>
    </row>
    <row r="8112" spans="1:9" ht="15" customHeight="1">
      <c r="A8112" s="199">
        <v>45791</v>
      </c>
      <c r="B8112" s="202" t="s">
        <v>6295</v>
      </c>
      <c r="C8112" s="200" t="s">
        <v>398</v>
      </c>
      <c r="D8112" s="658">
        <v>-77500</v>
      </c>
      <c r="E8112" s="201">
        <v>45778</v>
      </c>
      <c r="F8112" s="200" t="s">
        <v>256</v>
      </c>
      <c r="G8112" s="200" t="s">
        <v>107</v>
      </c>
      <c r="H8112" s="200" t="s">
        <v>277</v>
      </c>
    </row>
    <row r="8113" spans="1:9" ht="15" customHeight="1">
      <c r="A8113" s="199">
        <v>45791</v>
      </c>
      <c r="B8113" s="202" t="s">
        <v>6296</v>
      </c>
      <c r="C8113" s="200" t="s">
        <v>398</v>
      </c>
      <c r="D8113" s="658">
        <v>-263566</v>
      </c>
      <c r="E8113" s="201">
        <v>45778</v>
      </c>
      <c r="F8113" s="200" t="s">
        <v>256</v>
      </c>
      <c r="G8113" s="200" t="s">
        <v>107</v>
      </c>
      <c r="H8113" s="200" t="s">
        <v>277</v>
      </c>
    </row>
    <row r="8114" spans="1:9" ht="15" customHeight="1">
      <c r="A8114" s="199">
        <v>45791</v>
      </c>
      <c r="B8114" s="202" t="s">
        <v>6297</v>
      </c>
      <c r="C8114" s="200" t="s">
        <v>398</v>
      </c>
      <c r="D8114" s="658">
        <v>-8000</v>
      </c>
      <c r="E8114" s="201">
        <v>45778</v>
      </c>
      <c r="F8114" s="200" t="s">
        <v>256</v>
      </c>
      <c r="G8114" s="200" t="s">
        <v>107</v>
      </c>
      <c r="H8114" s="200" t="s">
        <v>277</v>
      </c>
    </row>
    <row r="8115" spans="1:9" ht="15" customHeight="1">
      <c r="A8115" s="199">
        <v>45792</v>
      </c>
      <c r="B8115" s="202" t="s">
        <v>6295</v>
      </c>
      <c r="C8115" s="200" t="s">
        <v>398</v>
      </c>
      <c r="D8115" s="658">
        <v>-11000</v>
      </c>
      <c r="E8115" s="201">
        <v>45778</v>
      </c>
      <c r="F8115" s="200" t="s">
        <v>256</v>
      </c>
      <c r="G8115" s="200" t="s">
        <v>107</v>
      </c>
      <c r="H8115" s="200" t="s">
        <v>277</v>
      </c>
    </row>
    <row r="8116" spans="1:9" ht="15" customHeight="1">
      <c r="A8116" s="199">
        <v>45792</v>
      </c>
      <c r="B8116" s="202" t="s">
        <v>6295</v>
      </c>
      <c r="C8116" s="200" t="s">
        <v>398</v>
      </c>
      <c r="D8116" s="658">
        <v>-79759</v>
      </c>
      <c r="E8116" s="201">
        <v>45778</v>
      </c>
      <c r="F8116" s="200" t="s">
        <v>256</v>
      </c>
      <c r="G8116" s="200" t="s">
        <v>107</v>
      </c>
      <c r="H8116" s="200" t="s">
        <v>277</v>
      </c>
    </row>
    <row r="8117" spans="1:9" ht="15" customHeight="1">
      <c r="A8117" s="199">
        <v>45792</v>
      </c>
      <c r="B8117" s="202" t="s">
        <v>4646</v>
      </c>
      <c r="C8117" s="200" t="s">
        <v>398</v>
      </c>
      <c r="D8117" s="658">
        <v>-123500</v>
      </c>
      <c r="E8117" s="201">
        <v>45778</v>
      </c>
      <c r="F8117" s="200" t="s">
        <v>256</v>
      </c>
      <c r="G8117" s="200" t="s">
        <v>256</v>
      </c>
      <c r="H8117" s="200" t="s">
        <v>266</v>
      </c>
      <c r="I8117" s="648" t="s">
        <v>329</v>
      </c>
    </row>
    <row r="8118" spans="1:9" ht="15" customHeight="1">
      <c r="A8118" s="199">
        <v>45792</v>
      </c>
      <c r="B8118" s="202" t="s">
        <v>6298</v>
      </c>
      <c r="C8118" s="200" t="s">
        <v>398</v>
      </c>
      <c r="D8118" s="658">
        <v>-11700</v>
      </c>
      <c r="E8118" s="201">
        <v>45778</v>
      </c>
      <c r="F8118" s="200" t="s">
        <v>256</v>
      </c>
      <c r="G8118" s="200" t="s">
        <v>107</v>
      </c>
      <c r="H8118" s="200" t="s">
        <v>277</v>
      </c>
    </row>
    <row r="8119" spans="1:9" ht="15" customHeight="1">
      <c r="A8119" s="199">
        <v>45792</v>
      </c>
      <c r="B8119" s="202" t="s">
        <v>6299</v>
      </c>
      <c r="C8119" s="200" t="s">
        <v>398</v>
      </c>
      <c r="D8119" s="204">
        <v>4487146.68</v>
      </c>
      <c r="E8119" s="201">
        <v>45778</v>
      </c>
      <c r="F8119" s="200" t="s">
        <v>295</v>
      </c>
    </row>
    <row r="8120" spans="1:9" ht="15" customHeight="1">
      <c r="A8120" s="199">
        <v>45792</v>
      </c>
      <c r="B8120" s="202" t="s">
        <v>6300</v>
      </c>
      <c r="C8120" s="200" t="s">
        <v>398</v>
      </c>
      <c r="D8120" s="658">
        <v>-24900</v>
      </c>
      <c r="E8120" s="201">
        <v>45778</v>
      </c>
      <c r="F8120" s="200" t="s">
        <v>256</v>
      </c>
      <c r="G8120" s="200" t="s">
        <v>107</v>
      </c>
      <c r="H8120" s="200" t="s">
        <v>277</v>
      </c>
      <c r="I8120" s="648" t="s">
        <v>329</v>
      </c>
    </row>
    <row r="8121" spans="1:9" ht="15" customHeight="1">
      <c r="A8121" s="199">
        <v>45786</v>
      </c>
      <c r="B8121" s="202" t="s">
        <v>6301</v>
      </c>
      <c r="C8121" s="200" t="s">
        <v>307</v>
      </c>
      <c r="D8121" s="204">
        <v>-20000</v>
      </c>
      <c r="E8121" s="201">
        <v>45778</v>
      </c>
      <c r="F8121" s="200" t="s">
        <v>296</v>
      </c>
      <c r="G8121" s="200" t="s">
        <v>57</v>
      </c>
      <c r="H8121" s="200" t="s">
        <v>97</v>
      </c>
      <c r="I8121" s="200" t="s">
        <v>3089</v>
      </c>
    </row>
    <row r="8122" spans="1:9" ht="15" customHeight="1">
      <c r="A8122" s="199">
        <v>45786</v>
      </c>
      <c r="B8122" s="202" t="s">
        <v>729</v>
      </c>
      <c r="C8122" s="200" t="s">
        <v>307</v>
      </c>
      <c r="D8122" s="204">
        <v>-10000</v>
      </c>
      <c r="E8122" s="201">
        <v>45778</v>
      </c>
      <c r="F8122" s="200" t="s">
        <v>296</v>
      </c>
      <c r="G8122" s="200" t="s">
        <v>57</v>
      </c>
      <c r="H8122" s="200" t="s">
        <v>97</v>
      </c>
      <c r="I8122" s="200" t="s">
        <v>3089</v>
      </c>
    </row>
    <row r="8123" spans="1:9" s="810" customFormat="1" ht="15" customHeight="1">
      <c r="A8123" s="808">
        <v>45793</v>
      </c>
      <c r="B8123" s="809" t="s">
        <v>6302</v>
      </c>
      <c r="C8123" s="809" t="s">
        <v>136</v>
      </c>
      <c r="D8123" s="658">
        <v>-414560</v>
      </c>
      <c r="E8123" s="811">
        <v>45778</v>
      </c>
      <c r="F8123" s="809" t="s">
        <v>296</v>
      </c>
      <c r="G8123" s="809" t="s">
        <v>57</v>
      </c>
      <c r="H8123" s="809" t="s">
        <v>97</v>
      </c>
      <c r="I8123" s="809"/>
    </row>
    <row r="8124" spans="1:9" ht="15" customHeight="1">
      <c r="A8124" s="199">
        <v>45793</v>
      </c>
      <c r="B8124" s="202" t="s">
        <v>6303</v>
      </c>
      <c r="C8124" s="200" t="s">
        <v>136</v>
      </c>
      <c r="D8124" s="658">
        <v>-351410</v>
      </c>
      <c r="E8124" s="201">
        <v>45778</v>
      </c>
      <c r="F8124" s="200" t="s">
        <v>256</v>
      </c>
      <c r="G8124" s="200" t="s">
        <v>256</v>
      </c>
      <c r="H8124" s="200" t="s">
        <v>9</v>
      </c>
    </row>
    <row r="8125" spans="1:9" ht="15" customHeight="1">
      <c r="A8125" s="199">
        <v>45793</v>
      </c>
      <c r="B8125" s="202" t="s">
        <v>6304</v>
      </c>
      <c r="C8125" s="200" t="s">
        <v>136</v>
      </c>
      <c r="D8125" s="658">
        <v>-267100</v>
      </c>
      <c r="E8125" s="201">
        <v>45778</v>
      </c>
      <c r="F8125" s="200" t="s">
        <v>296</v>
      </c>
      <c r="G8125" s="200" t="s">
        <v>57</v>
      </c>
      <c r="H8125" s="200" t="s">
        <v>97</v>
      </c>
    </row>
    <row r="8126" spans="1:9" ht="15" customHeight="1">
      <c r="A8126" s="199">
        <v>45796</v>
      </c>
      <c r="B8126" s="202" t="s">
        <v>6305</v>
      </c>
      <c r="C8126" s="200" t="s">
        <v>136</v>
      </c>
      <c r="D8126" s="658">
        <f>-263280</f>
        <v>-263280</v>
      </c>
      <c r="E8126" s="201">
        <v>45778</v>
      </c>
      <c r="F8126" s="200" t="s">
        <v>296</v>
      </c>
      <c r="G8126" s="200" t="s">
        <v>1362</v>
      </c>
      <c r="H8126" s="200" t="s">
        <v>342</v>
      </c>
    </row>
    <row r="8127" spans="1:9" ht="15" customHeight="1">
      <c r="A8127" s="199">
        <v>45796</v>
      </c>
      <c r="B8127" s="202" t="s">
        <v>6306</v>
      </c>
      <c r="C8127" s="200" t="s">
        <v>136</v>
      </c>
      <c r="D8127" s="658">
        <v>-21900</v>
      </c>
      <c r="E8127" s="201">
        <v>45778</v>
      </c>
      <c r="F8127" s="200" t="s">
        <v>256</v>
      </c>
      <c r="G8127" s="200" t="s">
        <v>256</v>
      </c>
      <c r="H8127" s="200" t="s">
        <v>261</v>
      </c>
    </row>
    <row r="8128" spans="1:9" ht="15" customHeight="1">
      <c r="A8128" s="199">
        <v>45796</v>
      </c>
      <c r="B8128" s="202" t="s">
        <v>6307</v>
      </c>
      <c r="C8128" s="200" t="s">
        <v>136</v>
      </c>
      <c r="D8128" s="658">
        <v>-32102</v>
      </c>
      <c r="E8128" s="201">
        <v>45778</v>
      </c>
      <c r="F8128" s="200" t="s">
        <v>256</v>
      </c>
      <c r="G8128" s="200" t="s">
        <v>107</v>
      </c>
      <c r="H8128" s="200" t="s">
        <v>9</v>
      </c>
    </row>
    <row r="8129" spans="1:8" ht="15" customHeight="1">
      <c r="A8129" s="199">
        <v>45798</v>
      </c>
      <c r="B8129" s="202" t="s">
        <v>6308</v>
      </c>
      <c r="C8129" s="200" t="s">
        <v>136</v>
      </c>
      <c r="D8129" s="658">
        <v>-363970</v>
      </c>
      <c r="E8129" s="201">
        <v>45778</v>
      </c>
      <c r="F8129" s="200" t="s">
        <v>296</v>
      </c>
      <c r="G8129" s="200" t="s">
        <v>57</v>
      </c>
      <c r="H8129" s="200" t="s">
        <v>97</v>
      </c>
    </row>
    <row r="8130" spans="1:8" ht="15" customHeight="1">
      <c r="A8130" s="199">
        <v>45798</v>
      </c>
      <c r="B8130" s="202" t="s">
        <v>6309</v>
      </c>
      <c r="C8130" s="200" t="s">
        <v>136</v>
      </c>
      <c r="D8130" s="658">
        <v>-356580</v>
      </c>
      <c r="E8130" s="201">
        <v>45778</v>
      </c>
      <c r="F8130" s="200" t="s">
        <v>296</v>
      </c>
      <c r="G8130" s="200" t="s">
        <v>57</v>
      </c>
      <c r="H8130" s="200" t="s">
        <v>97</v>
      </c>
    </row>
    <row r="8131" spans="1:8" ht="15" customHeight="1">
      <c r="A8131" s="199">
        <v>45798</v>
      </c>
      <c r="B8131" s="202" t="s">
        <v>6310</v>
      </c>
      <c r="C8131" s="200" t="s">
        <v>136</v>
      </c>
      <c r="D8131" s="658">
        <v>-203400</v>
      </c>
      <c r="E8131" s="201">
        <v>45778</v>
      </c>
      <c r="F8131" s="200" t="s">
        <v>296</v>
      </c>
      <c r="G8131" s="200" t="s">
        <v>1825</v>
      </c>
      <c r="H8131" s="200" t="s">
        <v>429</v>
      </c>
    </row>
    <row r="8132" spans="1:8" ht="15" customHeight="1">
      <c r="A8132" s="199">
        <v>45798</v>
      </c>
      <c r="B8132" s="202" t="s">
        <v>6311</v>
      </c>
      <c r="C8132" s="200" t="s">
        <v>136</v>
      </c>
      <c r="D8132" s="658">
        <v>-1253680</v>
      </c>
      <c r="E8132" s="201">
        <v>45778</v>
      </c>
      <c r="F8132" s="200" t="s">
        <v>256</v>
      </c>
      <c r="G8132" s="200" t="s">
        <v>256</v>
      </c>
      <c r="H8132" s="200" t="s">
        <v>269</v>
      </c>
    </row>
    <row r="8133" spans="1:8" ht="15" customHeight="1">
      <c r="A8133" s="199">
        <v>45793</v>
      </c>
      <c r="B8133" s="202" t="s">
        <v>6312</v>
      </c>
      <c r="C8133" s="200" t="s">
        <v>204</v>
      </c>
      <c r="D8133" s="733">
        <v>-380850</v>
      </c>
      <c r="E8133" s="201">
        <v>45778</v>
      </c>
      <c r="F8133" s="200" t="s">
        <v>296</v>
      </c>
      <c r="G8133" s="200" t="s">
        <v>1983</v>
      </c>
      <c r="H8133" s="200" t="s">
        <v>490</v>
      </c>
    </row>
    <row r="8134" spans="1:8" ht="15" customHeight="1">
      <c r="A8134" s="199">
        <v>45793</v>
      </c>
      <c r="B8134" s="202" t="s">
        <v>6313</v>
      </c>
      <c r="C8134" s="200" t="s">
        <v>204</v>
      </c>
      <c r="D8134" s="733">
        <v>-639784</v>
      </c>
      <c r="E8134" s="201">
        <v>45778</v>
      </c>
      <c r="F8134" s="200" t="s">
        <v>296</v>
      </c>
      <c r="G8134" s="200" t="s">
        <v>44</v>
      </c>
      <c r="H8134" s="200" t="s">
        <v>366</v>
      </c>
    </row>
    <row r="8135" spans="1:8" ht="15" customHeight="1">
      <c r="A8135" s="199">
        <v>45793</v>
      </c>
      <c r="B8135" s="202" t="s">
        <v>6314</v>
      </c>
      <c r="C8135" s="200" t="s">
        <v>372</v>
      </c>
      <c r="D8135" s="204">
        <v>-1617</v>
      </c>
      <c r="E8135" s="201">
        <v>45778</v>
      </c>
      <c r="F8135" s="200" t="s">
        <v>296</v>
      </c>
      <c r="G8135" s="200" t="s">
        <v>44</v>
      </c>
      <c r="H8135" s="200" t="s">
        <v>366</v>
      </c>
    </row>
    <row r="8136" spans="1:8" ht="15" customHeight="1">
      <c r="A8136" s="199">
        <v>45793</v>
      </c>
      <c r="B8136" s="202" t="s">
        <v>6315</v>
      </c>
      <c r="C8136" s="200" t="s">
        <v>204</v>
      </c>
      <c r="D8136" s="733">
        <v>-619150</v>
      </c>
      <c r="E8136" s="201">
        <v>45778</v>
      </c>
      <c r="F8136" s="200" t="s">
        <v>296</v>
      </c>
      <c r="G8136" s="200" t="s">
        <v>522</v>
      </c>
      <c r="H8136" s="200" t="s">
        <v>366</v>
      </c>
    </row>
    <row r="8137" spans="1:8" ht="15" customHeight="1">
      <c r="A8137" s="199">
        <v>45793</v>
      </c>
      <c r="B8137" s="202" t="s">
        <v>6316</v>
      </c>
      <c r="C8137" s="200" t="s">
        <v>204</v>
      </c>
      <c r="D8137" s="733">
        <v>-212443</v>
      </c>
      <c r="E8137" s="201">
        <v>45778</v>
      </c>
      <c r="F8137" s="200" t="s">
        <v>296</v>
      </c>
      <c r="G8137" s="200" t="s">
        <v>44</v>
      </c>
      <c r="H8137" s="200" t="s">
        <v>366</v>
      </c>
    </row>
    <row r="8138" spans="1:8" ht="15" customHeight="1">
      <c r="A8138" s="199">
        <v>45793</v>
      </c>
      <c r="B8138" s="202" t="s">
        <v>6317</v>
      </c>
      <c r="C8138" s="200" t="s">
        <v>372</v>
      </c>
      <c r="D8138" s="204">
        <v>-537</v>
      </c>
      <c r="E8138" s="201">
        <v>45778</v>
      </c>
      <c r="F8138" s="200" t="s">
        <v>296</v>
      </c>
      <c r="G8138" s="200" t="s">
        <v>44</v>
      </c>
      <c r="H8138" s="200" t="s">
        <v>366</v>
      </c>
    </row>
    <row r="8139" spans="1:8" ht="15" customHeight="1">
      <c r="A8139" s="199">
        <v>45793</v>
      </c>
      <c r="B8139" s="202" t="s">
        <v>6318</v>
      </c>
      <c r="C8139" s="200" t="s">
        <v>204</v>
      </c>
      <c r="D8139" s="733">
        <v>-406469</v>
      </c>
      <c r="E8139" s="201">
        <v>45778</v>
      </c>
      <c r="F8139" s="200" t="s">
        <v>296</v>
      </c>
      <c r="G8139" s="200" t="s">
        <v>522</v>
      </c>
      <c r="H8139" s="200" t="s">
        <v>366</v>
      </c>
    </row>
    <row r="8140" spans="1:8" ht="15" customHeight="1">
      <c r="A8140" s="199">
        <v>45793</v>
      </c>
      <c r="B8140" s="202" t="s">
        <v>6319</v>
      </c>
      <c r="C8140" s="200" t="s">
        <v>204</v>
      </c>
      <c r="D8140" s="733">
        <v>-1990000</v>
      </c>
      <c r="E8140" s="201">
        <v>45778</v>
      </c>
      <c r="F8140" s="200" t="s">
        <v>256</v>
      </c>
      <c r="G8140" s="200" t="s">
        <v>256</v>
      </c>
      <c r="H8140" s="200" t="s">
        <v>258</v>
      </c>
    </row>
    <row r="8141" spans="1:8" ht="15" customHeight="1">
      <c r="A8141" s="199">
        <v>45793</v>
      </c>
      <c r="B8141" s="202" t="s">
        <v>6320</v>
      </c>
      <c r="C8141" s="200" t="s">
        <v>204</v>
      </c>
      <c r="D8141" s="733">
        <v>-491920</v>
      </c>
      <c r="E8141" s="201">
        <v>45778</v>
      </c>
      <c r="F8141" s="200" t="s">
        <v>297</v>
      </c>
      <c r="G8141" s="200" t="s">
        <v>71</v>
      </c>
      <c r="H8141" s="200" t="s">
        <v>5384</v>
      </c>
    </row>
    <row r="8142" spans="1:8" ht="15" customHeight="1">
      <c r="A8142" s="199">
        <v>45793</v>
      </c>
      <c r="B8142" s="202" t="s">
        <v>6321</v>
      </c>
      <c r="C8142" s="200" t="s">
        <v>372</v>
      </c>
      <c r="D8142" s="204">
        <v>-17200</v>
      </c>
      <c r="E8142" s="201">
        <v>45778</v>
      </c>
      <c r="F8142" s="200" t="s">
        <v>297</v>
      </c>
      <c r="G8142" s="200" t="s">
        <v>71</v>
      </c>
      <c r="H8142" s="200" t="s">
        <v>5384</v>
      </c>
    </row>
    <row r="8143" spans="1:8" ht="15" customHeight="1">
      <c r="A8143" s="199">
        <v>45793</v>
      </c>
      <c r="B8143" s="202" t="s">
        <v>6322</v>
      </c>
      <c r="C8143" s="200" t="s">
        <v>372</v>
      </c>
      <c r="D8143" s="204">
        <v>-2580</v>
      </c>
      <c r="E8143" s="201">
        <v>45778</v>
      </c>
      <c r="F8143" s="200" t="s">
        <v>297</v>
      </c>
      <c r="G8143" s="200" t="s">
        <v>71</v>
      </c>
      <c r="H8143" s="200" t="s">
        <v>5384</v>
      </c>
    </row>
    <row r="8144" spans="1:8" ht="15" customHeight="1">
      <c r="A8144" s="199">
        <v>45793</v>
      </c>
      <c r="B8144" s="202" t="s">
        <v>6323</v>
      </c>
      <c r="C8144" s="200" t="s">
        <v>204</v>
      </c>
      <c r="D8144" s="733">
        <v>-209900</v>
      </c>
      <c r="E8144" s="201">
        <v>45778</v>
      </c>
      <c r="F8144" s="200" t="s">
        <v>296</v>
      </c>
      <c r="G8144" s="200" t="s">
        <v>1980</v>
      </c>
      <c r="H8144" s="200" t="s">
        <v>322</v>
      </c>
    </row>
    <row r="8145" spans="1:8" ht="15" customHeight="1">
      <c r="A8145" s="199">
        <v>45793</v>
      </c>
      <c r="B8145" s="202" t="s">
        <v>6324</v>
      </c>
      <c r="C8145" s="200" t="s">
        <v>204</v>
      </c>
      <c r="D8145" s="733">
        <v>-11926850</v>
      </c>
      <c r="E8145" s="201">
        <v>45778</v>
      </c>
      <c r="F8145" s="200" t="s">
        <v>297</v>
      </c>
      <c r="G8145" s="200" t="s">
        <v>3892</v>
      </c>
      <c r="H8145" s="200" t="s">
        <v>5389</v>
      </c>
    </row>
    <row r="8146" spans="1:8" ht="15" customHeight="1">
      <c r="A8146" s="199">
        <v>45793</v>
      </c>
      <c r="B8146" s="202" t="s">
        <v>6325</v>
      </c>
      <c r="C8146" s="200" t="s">
        <v>372</v>
      </c>
      <c r="D8146" s="204">
        <v>-523107</v>
      </c>
      <c r="E8146" s="201">
        <v>45778</v>
      </c>
      <c r="F8146" s="200" t="s">
        <v>297</v>
      </c>
      <c r="G8146" s="200" t="s">
        <v>3892</v>
      </c>
      <c r="H8146" s="200" t="s">
        <v>5389</v>
      </c>
    </row>
    <row r="8147" spans="1:8" ht="15" customHeight="1">
      <c r="A8147" s="199">
        <v>45796</v>
      </c>
      <c r="B8147" s="202" t="s">
        <v>6326</v>
      </c>
      <c r="C8147" s="200" t="s">
        <v>204</v>
      </c>
      <c r="D8147" s="733">
        <v>-2328366</v>
      </c>
      <c r="E8147" s="201">
        <v>45778</v>
      </c>
      <c r="F8147" s="200" t="s">
        <v>296</v>
      </c>
      <c r="G8147" s="200" t="s">
        <v>522</v>
      </c>
      <c r="H8147" s="200" t="s">
        <v>366</v>
      </c>
    </row>
    <row r="8148" spans="1:8" ht="15" customHeight="1">
      <c r="A8148" s="199">
        <v>45796</v>
      </c>
      <c r="B8148" s="202" t="s">
        <v>6327</v>
      </c>
      <c r="C8148" s="200" t="s">
        <v>372</v>
      </c>
      <c r="D8148" s="204">
        <v>-5885</v>
      </c>
      <c r="E8148" s="201">
        <v>45778</v>
      </c>
      <c r="F8148" s="200" t="s">
        <v>296</v>
      </c>
      <c r="G8148" s="200" t="s">
        <v>522</v>
      </c>
      <c r="H8148" s="200" t="s">
        <v>366</v>
      </c>
    </row>
    <row r="8149" spans="1:8" ht="15" customHeight="1">
      <c r="A8149" s="199">
        <v>45796</v>
      </c>
      <c r="B8149" s="202" t="s">
        <v>6328</v>
      </c>
      <c r="C8149" s="200" t="s">
        <v>204</v>
      </c>
      <c r="D8149" s="733">
        <v>-1751649</v>
      </c>
      <c r="E8149" s="201">
        <v>45778</v>
      </c>
      <c r="F8149" s="200" t="s">
        <v>297</v>
      </c>
      <c r="G8149" s="200" t="s">
        <v>71</v>
      </c>
      <c r="H8149" s="200" t="s">
        <v>5384</v>
      </c>
    </row>
    <row r="8150" spans="1:8" ht="15" customHeight="1">
      <c r="A8150" s="199">
        <v>45796</v>
      </c>
      <c r="B8150" s="202" t="s">
        <v>6329</v>
      </c>
      <c r="C8150" s="200" t="s">
        <v>372</v>
      </c>
      <c r="D8150" s="204">
        <v>-37784</v>
      </c>
      <c r="E8150" s="201">
        <v>45778</v>
      </c>
      <c r="F8150" s="200" t="s">
        <v>297</v>
      </c>
      <c r="G8150" s="200" t="s">
        <v>71</v>
      </c>
      <c r="H8150" s="200" t="s">
        <v>5384</v>
      </c>
    </row>
    <row r="8151" spans="1:8" ht="15" customHeight="1">
      <c r="A8151" s="199">
        <v>45796</v>
      </c>
      <c r="B8151" s="202" t="s">
        <v>6330</v>
      </c>
      <c r="C8151" s="200" t="s">
        <v>372</v>
      </c>
      <c r="D8151" s="204">
        <v>-9068</v>
      </c>
      <c r="E8151" s="201">
        <v>45778</v>
      </c>
      <c r="F8151" s="200" t="s">
        <v>297</v>
      </c>
      <c r="G8151" s="200" t="s">
        <v>71</v>
      </c>
      <c r="H8151" s="200" t="s">
        <v>5384</v>
      </c>
    </row>
    <row r="8152" spans="1:8" ht="15" customHeight="1">
      <c r="A8152" s="199">
        <v>45796</v>
      </c>
      <c r="B8152" s="202" t="s">
        <v>6328</v>
      </c>
      <c r="C8152" s="200" t="s">
        <v>204</v>
      </c>
      <c r="D8152" s="733">
        <v>-20140</v>
      </c>
      <c r="E8152" s="201">
        <v>45778</v>
      </c>
      <c r="F8152" s="200" t="s">
        <v>297</v>
      </c>
      <c r="G8152" s="200" t="s">
        <v>71</v>
      </c>
      <c r="H8152" s="200" t="s">
        <v>5376</v>
      </c>
    </row>
    <row r="8153" spans="1:8" ht="15" customHeight="1">
      <c r="A8153" s="199">
        <v>45796</v>
      </c>
      <c r="B8153" s="202" t="s">
        <v>6329</v>
      </c>
      <c r="C8153" s="200" t="s">
        <v>372</v>
      </c>
      <c r="D8153" s="204">
        <v>-434</v>
      </c>
      <c r="E8153" s="201">
        <v>45778</v>
      </c>
      <c r="F8153" s="200" t="s">
        <v>297</v>
      </c>
      <c r="G8153" s="200" t="s">
        <v>71</v>
      </c>
      <c r="H8153" s="200" t="s">
        <v>5376</v>
      </c>
    </row>
    <row r="8154" spans="1:8" ht="15" customHeight="1">
      <c r="A8154" s="199">
        <v>45796</v>
      </c>
      <c r="B8154" s="202" t="s">
        <v>6330</v>
      </c>
      <c r="C8154" s="200" t="s">
        <v>372</v>
      </c>
      <c r="D8154" s="204">
        <v>-104</v>
      </c>
      <c r="E8154" s="201">
        <v>45778</v>
      </c>
      <c r="F8154" s="200" t="s">
        <v>297</v>
      </c>
      <c r="G8154" s="200" t="s">
        <v>71</v>
      </c>
      <c r="H8154" s="200" t="s">
        <v>5376</v>
      </c>
    </row>
    <row r="8155" spans="1:8" ht="15" customHeight="1">
      <c r="A8155" s="199">
        <v>45796</v>
      </c>
      <c r="B8155" s="202" t="s">
        <v>6331</v>
      </c>
      <c r="C8155" s="200" t="s">
        <v>204</v>
      </c>
      <c r="D8155" s="733">
        <v>-4118807</v>
      </c>
      <c r="E8155" s="201">
        <v>45778</v>
      </c>
      <c r="F8155" s="200" t="s">
        <v>296</v>
      </c>
      <c r="G8155" s="200" t="s">
        <v>3360</v>
      </c>
      <c r="H8155" s="200" t="s">
        <v>5389</v>
      </c>
    </row>
    <row r="8156" spans="1:8" ht="15" customHeight="1">
      <c r="A8156" s="199">
        <v>45796</v>
      </c>
      <c r="B8156" s="202" t="s">
        <v>6332</v>
      </c>
      <c r="C8156" s="200" t="s">
        <v>372</v>
      </c>
      <c r="D8156" s="204">
        <v>-88386</v>
      </c>
      <c r="E8156" s="201">
        <v>45778</v>
      </c>
      <c r="F8156" s="200" t="s">
        <v>296</v>
      </c>
      <c r="G8156" s="200" t="s">
        <v>3360</v>
      </c>
      <c r="H8156" s="200" t="s">
        <v>5389</v>
      </c>
    </row>
    <row r="8157" spans="1:8" ht="15" customHeight="1">
      <c r="A8157" s="199">
        <v>45796</v>
      </c>
      <c r="B8157" s="202" t="s">
        <v>6333</v>
      </c>
      <c r="C8157" s="200" t="s">
        <v>204</v>
      </c>
      <c r="D8157" s="733">
        <v>-403127</v>
      </c>
      <c r="E8157" s="201">
        <v>45778</v>
      </c>
      <c r="F8157" s="200" t="s">
        <v>296</v>
      </c>
      <c r="G8157" s="200" t="s">
        <v>57</v>
      </c>
      <c r="H8157" s="200" t="s">
        <v>98</v>
      </c>
    </row>
    <row r="8158" spans="1:8" ht="15" customHeight="1">
      <c r="A8158" s="199">
        <v>45796</v>
      </c>
      <c r="B8158" s="202" t="s">
        <v>6334</v>
      </c>
      <c r="C8158" s="200" t="s">
        <v>204</v>
      </c>
      <c r="D8158" s="733">
        <v>-111400</v>
      </c>
      <c r="E8158" s="201">
        <v>45778</v>
      </c>
      <c r="F8158" s="200" t="s">
        <v>256</v>
      </c>
      <c r="G8158" s="200" t="s">
        <v>256</v>
      </c>
      <c r="H8158" s="200" t="s">
        <v>269</v>
      </c>
    </row>
    <row r="8159" spans="1:8" ht="15" customHeight="1">
      <c r="A8159" s="199">
        <v>45796</v>
      </c>
      <c r="B8159" s="202" t="s">
        <v>6335</v>
      </c>
      <c r="C8159" s="200" t="s">
        <v>204</v>
      </c>
      <c r="D8159" s="733">
        <v>-44155</v>
      </c>
      <c r="E8159" s="201">
        <v>45778</v>
      </c>
      <c r="F8159" s="200" t="s">
        <v>256</v>
      </c>
      <c r="G8159" s="200" t="s">
        <v>256</v>
      </c>
      <c r="H8159" s="200" t="s">
        <v>269</v>
      </c>
    </row>
    <row r="8160" spans="1:8" ht="15" customHeight="1">
      <c r="A8160" s="199">
        <v>45796</v>
      </c>
      <c r="B8160" s="202" t="s">
        <v>6336</v>
      </c>
      <c r="C8160" s="200" t="s">
        <v>204</v>
      </c>
      <c r="D8160" s="733">
        <v>-21478760</v>
      </c>
      <c r="E8160" s="201">
        <v>45778</v>
      </c>
      <c r="F8160" s="200" t="s">
        <v>256</v>
      </c>
      <c r="G8160" s="200" t="s">
        <v>256</v>
      </c>
      <c r="H8160" s="200" t="s">
        <v>9</v>
      </c>
    </row>
    <row r="8161" spans="1:9" ht="15" customHeight="1">
      <c r="A8161" s="199">
        <v>45796</v>
      </c>
      <c r="B8161" s="202" t="s">
        <v>6337</v>
      </c>
      <c r="C8161" s="200" t="s">
        <v>204</v>
      </c>
      <c r="D8161" s="733">
        <v>-76720</v>
      </c>
      <c r="E8161" s="201">
        <v>45778</v>
      </c>
      <c r="F8161" s="200" t="s">
        <v>256</v>
      </c>
      <c r="G8161" s="200" t="s">
        <v>256</v>
      </c>
      <c r="H8161" s="200" t="s">
        <v>267</v>
      </c>
    </row>
    <row r="8162" spans="1:9" ht="15" customHeight="1">
      <c r="A8162" s="199">
        <v>45796</v>
      </c>
      <c r="B8162" s="202" t="s">
        <v>6338</v>
      </c>
      <c r="C8162" s="200" t="s">
        <v>372</v>
      </c>
      <c r="D8162" s="204">
        <v>-2800</v>
      </c>
      <c r="E8162" s="201">
        <v>45778</v>
      </c>
      <c r="F8162" s="200" t="s">
        <v>256</v>
      </c>
      <c r="G8162" s="200" t="s">
        <v>256</v>
      </c>
      <c r="H8162" s="200" t="s">
        <v>267</v>
      </c>
    </row>
    <row r="8163" spans="1:9" ht="15" customHeight="1">
      <c r="A8163" s="199">
        <v>45796</v>
      </c>
      <c r="B8163" s="202" t="s">
        <v>6339</v>
      </c>
      <c r="C8163" s="200" t="s">
        <v>372</v>
      </c>
      <c r="D8163" s="204">
        <v>-480</v>
      </c>
      <c r="E8163" s="201">
        <v>45778</v>
      </c>
      <c r="F8163" s="200" t="s">
        <v>256</v>
      </c>
      <c r="G8163" s="200" t="s">
        <v>256</v>
      </c>
      <c r="H8163" s="200" t="s">
        <v>267</v>
      </c>
    </row>
    <row r="8164" spans="1:9" ht="15" customHeight="1">
      <c r="A8164" s="199">
        <v>45796</v>
      </c>
      <c r="B8164" s="202" t="s">
        <v>6340</v>
      </c>
      <c r="C8164" s="200" t="s">
        <v>204</v>
      </c>
      <c r="D8164" s="733">
        <v>-153440</v>
      </c>
      <c r="E8164" s="201">
        <v>45778</v>
      </c>
      <c r="F8164" s="200" t="s">
        <v>256</v>
      </c>
      <c r="G8164" s="200" t="s">
        <v>107</v>
      </c>
      <c r="H8164" s="200" t="s">
        <v>275</v>
      </c>
    </row>
    <row r="8165" spans="1:9" ht="15" customHeight="1">
      <c r="A8165" s="199">
        <v>45796</v>
      </c>
      <c r="B8165" s="202" t="s">
        <v>6341</v>
      </c>
      <c r="C8165" s="200" t="s">
        <v>372</v>
      </c>
      <c r="D8165" s="204">
        <v>-5600</v>
      </c>
      <c r="E8165" s="201">
        <v>45778</v>
      </c>
      <c r="F8165" s="200" t="s">
        <v>256</v>
      </c>
      <c r="G8165" s="200" t="s">
        <v>107</v>
      </c>
      <c r="H8165" s="200" t="s">
        <v>275</v>
      </c>
    </row>
    <row r="8166" spans="1:9" ht="15" customHeight="1">
      <c r="A8166" s="199">
        <v>45796</v>
      </c>
      <c r="B8166" s="202" t="s">
        <v>6342</v>
      </c>
      <c r="C8166" s="200" t="s">
        <v>372</v>
      </c>
      <c r="D8166" s="204">
        <v>-960</v>
      </c>
      <c r="E8166" s="201">
        <v>45778</v>
      </c>
      <c r="F8166" s="200" t="s">
        <v>256</v>
      </c>
      <c r="G8166" s="200" t="s">
        <v>107</v>
      </c>
      <c r="H8166" s="200" t="s">
        <v>275</v>
      </c>
    </row>
    <row r="8167" spans="1:9" ht="15" customHeight="1">
      <c r="A8167" s="199">
        <v>45796</v>
      </c>
      <c r="B8167" s="202" t="s">
        <v>6343</v>
      </c>
      <c r="C8167" s="200" t="s">
        <v>204</v>
      </c>
      <c r="D8167" s="733">
        <v>-73200</v>
      </c>
      <c r="E8167" s="201">
        <v>45778</v>
      </c>
      <c r="F8167" s="200" t="s">
        <v>296</v>
      </c>
      <c r="G8167" s="200" t="s">
        <v>1362</v>
      </c>
      <c r="H8167" s="200" t="s">
        <v>342</v>
      </c>
    </row>
    <row r="8168" spans="1:9" ht="15" customHeight="1">
      <c r="A8168" s="199">
        <v>45796</v>
      </c>
      <c r="B8168" s="202" t="s">
        <v>6344</v>
      </c>
      <c r="C8168" s="200" t="s">
        <v>204</v>
      </c>
      <c r="D8168" s="733">
        <v>-207000</v>
      </c>
      <c r="E8168" s="201">
        <v>45778</v>
      </c>
      <c r="F8168" s="200" t="s">
        <v>296</v>
      </c>
      <c r="G8168" s="200" t="s">
        <v>807</v>
      </c>
      <c r="H8168" s="200" t="s">
        <v>488</v>
      </c>
      <c r="I8168" s="200" t="s">
        <v>5744</v>
      </c>
    </row>
    <row r="8169" spans="1:9" ht="15" customHeight="1">
      <c r="A8169" s="199">
        <v>45796</v>
      </c>
      <c r="B8169" s="202" t="s">
        <v>6345</v>
      </c>
      <c r="C8169" s="200" t="s">
        <v>372</v>
      </c>
      <c r="D8169" s="204">
        <v>-7200</v>
      </c>
      <c r="E8169" s="201">
        <v>45778</v>
      </c>
      <c r="F8169" s="200" t="s">
        <v>296</v>
      </c>
      <c r="G8169" s="200" t="s">
        <v>807</v>
      </c>
      <c r="H8169" s="200" t="s">
        <v>488</v>
      </c>
      <c r="I8169" s="200" t="s">
        <v>5744</v>
      </c>
    </row>
    <row r="8170" spans="1:9" ht="15" customHeight="1">
      <c r="A8170" s="199">
        <v>45796</v>
      </c>
      <c r="B8170" s="202" t="s">
        <v>6346</v>
      </c>
      <c r="C8170" s="200" t="s">
        <v>204</v>
      </c>
      <c r="D8170" s="733">
        <v>-18400</v>
      </c>
      <c r="E8170" s="201">
        <v>45778</v>
      </c>
      <c r="F8170" s="200" t="s">
        <v>256</v>
      </c>
      <c r="G8170" s="200" t="s">
        <v>256</v>
      </c>
      <c r="H8170" s="200" t="s">
        <v>265</v>
      </c>
    </row>
    <row r="8171" spans="1:9" ht="15" customHeight="1">
      <c r="A8171" s="199">
        <v>45796</v>
      </c>
      <c r="B8171" s="202" t="s">
        <v>4736</v>
      </c>
      <c r="C8171" s="200" t="s">
        <v>204</v>
      </c>
      <c r="D8171" s="733">
        <v>-113820</v>
      </c>
      <c r="E8171" s="201">
        <v>45778</v>
      </c>
      <c r="F8171" s="200" t="s">
        <v>256</v>
      </c>
      <c r="G8171" s="200" t="s">
        <v>256</v>
      </c>
      <c r="H8171" s="200" t="s">
        <v>265</v>
      </c>
    </row>
    <row r="8172" spans="1:9" ht="15" customHeight="1">
      <c r="A8172" s="199">
        <v>45796</v>
      </c>
      <c r="B8172" s="202" t="s">
        <v>6347</v>
      </c>
      <c r="C8172" s="200" t="s">
        <v>204</v>
      </c>
      <c r="D8172" s="733">
        <v>-1024000</v>
      </c>
      <c r="E8172" s="201">
        <v>45778</v>
      </c>
      <c r="F8172" s="200" t="s">
        <v>256</v>
      </c>
      <c r="G8172" s="200" t="s">
        <v>256</v>
      </c>
      <c r="H8172" s="200" t="s">
        <v>267</v>
      </c>
    </row>
    <row r="8173" spans="1:9" ht="15" customHeight="1">
      <c r="A8173" s="199">
        <v>45796</v>
      </c>
      <c r="B8173" s="722" t="s">
        <v>6348</v>
      </c>
      <c r="C8173" s="200" t="s">
        <v>204</v>
      </c>
      <c r="D8173" s="733">
        <v>-1423500</v>
      </c>
      <c r="E8173" s="201">
        <v>45778</v>
      </c>
      <c r="F8173" s="200" t="s">
        <v>296</v>
      </c>
      <c r="G8173" s="200" t="s">
        <v>57</v>
      </c>
      <c r="H8173" s="200" t="s">
        <v>105</v>
      </c>
    </row>
    <row r="8174" spans="1:9" ht="15" customHeight="1">
      <c r="A8174" s="199">
        <v>45796</v>
      </c>
      <c r="B8174" s="202" t="s">
        <v>6349</v>
      </c>
      <c r="C8174" s="200" t="s">
        <v>204</v>
      </c>
      <c r="D8174" s="733">
        <v>-2069113</v>
      </c>
      <c r="E8174" s="201">
        <v>45778</v>
      </c>
      <c r="F8174" s="200" t="s">
        <v>296</v>
      </c>
      <c r="G8174" s="200" t="s">
        <v>1362</v>
      </c>
      <c r="H8174" s="200" t="s">
        <v>342</v>
      </c>
      <c r="I8174" s="200" t="s">
        <v>6350</v>
      </c>
    </row>
    <row r="8175" spans="1:9" ht="15" customHeight="1">
      <c r="A8175" s="199">
        <v>45796</v>
      </c>
      <c r="B8175" s="202" t="s">
        <v>6351</v>
      </c>
      <c r="C8175" s="200" t="s">
        <v>204</v>
      </c>
      <c r="D8175" s="733">
        <v>-411840</v>
      </c>
      <c r="E8175" s="201">
        <v>45778</v>
      </c>
      <c r="F8175" s="200" t="s">
        <v>296</v>
      </c>
      <c r="G8175" s="200" t="s">
        <v>1825</v>
      </c>
      <c r="H8175" s="200" t="s">
        <v>488</v>
      </c>
      <c r="I8175" s="200" t="s">
        <v>5744</v>
      </c>
    </row>
    <row r="8176" spans="1:9" ht="15" customHeight="1">
      <c r="A8176" s="199">
        <v>45796</v>
      </c>
      <c r="B8176" s="202" t="s">
        <v>6352</v>
      </c>
      <c r="C8176" s="200" t="s">
        <v>204</v>
      </c>
      <c r="D8176" s="733">
        <v>-3000000</v>
      </c>
      <c r="E8176" s="201">
        <v>45778</v>
      </c>
      <c r="F8176" s="200" t="s">
        <v>296</v>
      </c>
      <c r="G8176" s="200" t="s">
        <v>1980</v>
      </c>
      <c r="H8176" s="200" t="s">
        <v>488</v>
      </c>
    </row>
    <row r="8177" spans="1:8" ht="15" customHeight="1">
      <c r="A8177" s="199">
        <v>45796</v>
      </c>
      <c r="B8177" s="202" t="s">
        <v>6352</v>
      </c>
      <c r="C8177" s="200" t="s">
        <v>204</v>
      </c>
      <c r="D8177" s="733">
        <v>-3000000</v>
      </c>
      <c r="E8177" s="201">
        <v>45778</v>
      </c>
      <c r="F8177" s="200" t="s">
        <v>296</v>
      </c>
      <c r="G8177" s="200" t="s">
        <v>1825</v>
      </c>
      <c r="H8177" s="200" t="s">
        <v>488</v>
      </c>
    </row>
    <row r="8178" spans="1:8" ht="15" customHeight="1">
      <c r="A8178" s="199">
        <v>45796</v>
      </c>
      <c r="B8178" s="202" t="s">
        <v>6352</v>
      </c>
      <c r="C8178" s="200" t="s">
        <v>204</v>
      </c>
      <c r="D8178" s="733">
        <v>-3000000</v>
      </c>
      <c r="E8178" s="201">
        <v>45778</v>
      </c>
      <c r="F8178" s="200" t="s">
        <v>296</v>
      </c>
      <c r="G8178" s="200" t="s">
        <v>522</v>
      </c>
      <c r="H8178" s="200" t="s">
        <v>488</v>
      </c>
    </row>
    <row r="8179" spans="1:8" ht="15" customHeight="1">
      <c r="A8179" s="199">
        <v>45796</v>
      </c>
      <c r="B8179" s="202" t="s">
        <v>6353</v>
      </c>
      <c r="C8179" s="200" t="s">
        <v>204</v>
      </c>
      <c r="D8179" s="733">
        <v>-2702017</v>
      </c>
      <c r="E8179" s="201">
        <v>45778</v>
      </c>
      <c r="F8179" s="200" t="s">
        <v>296</v>
      </c>
      <c r="G8179" s="200" t="s">
        <v>57</v>
      </c>
      <c r="H8179" s="200" t="s">
        <v>97</v>
      </c>
    </row>
    <row r="8180" spans="1:8" ht="15" customHeight="1">
      <c r="A8180" s="199">
        <v>45796</v>
      </c>
      <c r="B8180" s="202" t="s">
        <v>6354</v>
      </c>
      <c r="C8180" s="200" t="s">
        <v>204</v>
      </c>
      <c r="D8180" s="733">
        <v>-186800</v>
      </c>
      <c r="E8180" s="201">
        <v>45778</v>
      </c>
      <c r="F8180" s="200" t="s">
        <v>296</v>
      </c>
      <c r="G8180" s="200" t="s">
        <v>1825</v>
      </c>
      <c r="H8180" s="200" t="s">
        <v>322</v>
      </c>
    </row>
    <row r="8181" spans="1:8" ht="15" customHeight="1">
      <c r="A8181" s="199">
        <v>45796</v>
      </c>
      <c r="B8181" s="202" t="s">
        <v>6355</v>
      </c>
      <c r="C8181" s="200" t="s">
        <v>372</v>
      </c>
      <c r="D8181" s="204">
        <v>-12000</v>
      </c>
      <c r="E8181" s="201">
        <v>45778</v>
      </c>
      <c r="F8181" s="200" t="s">
        <v>296</v>
      </c>
      <c r="G8181" s="200" t="s">
        <v>1825</v>
      </c>
      <c r="H8181" s="200" t="s">
        <v>322</v>
      </c>
    </row>
    <row r="8182" spans="1:8" ht="15" customHeight="1">
      <c r="A8182" s="199">
        <v>45796</v>
      </c>
      <c r="B8182" s="202" t="s">
        <v>6356</v>
      </c>
      <c r="C8182" s="200" t="s">
        <v>372</v>
      </c>
      <c r="D8182" s="204">
        <v>-1200</v>
      </c>
      <c r="E8182" s="201">
        <v>45778</v>
      </c>
      <c r="F8182" s="200" t="s">
        <v>296</v>
      </c>
      <c r="G8182" s="200" t="s">
        <v>1825</v>
      </c>
      <c r="H8182" s="200" t="s">
        <v>322</v>
      </c>
    </row>
    <row r="8183" spans="1:8" ht="15" customHeight="1">
      <c r="A8183" s="199">
        <v>45796</v>
      </c>
      <c r="B8183" s="202" t="s">
        <v>6357</v>
      </c>
      <c r="C8183" s="200" t="s">
        <v>204</v>
      </c>
      <c r="D8183" s="733">
        <v>-1320000</v>
      </c>
      <c r="E8183" s="201">
        <v>45778</v>
      </c>
      <c r="F8183" s="200" t="s">
        <v>256</v>
      </c>
      <c r="G8183" s="200" t="s">
        <v>256</v>
      </c>
      <c r="H8183" s="200" t="s">
        <v>258</v>
      </c>
    </row>
    <row r="8184" spans="1:8" ht="15" customHeight="1">
      <c r="A8184" s="199">
        <v>45797</v>
      </c>
      <c r="B8184" s="202" t="s">
        <v>6358</v>
      </c>
      <c r="C8184" s="200" t="s">
        <v>204</v>
      </c>
      <c r="D8184" s="733">
        <v>-380100</v>
      </c>
      <c r="E8184" s="201">
        <v>45778</v>
      </c>
      <c r="F8184" s="200" t="s">
        <v>256</v>
      </c>
      <c r="G8184" s="200" t="s">
        <v>256</v>
      </c>
      <c r="H8184" s="200" t="s">
        <v>121</v>
      </c>
    </row>
    <row r="8185" spans="1:8" ht="15" customHeight="1">
      <c r="A8185" s="199">
        <v>45797</v>
      </c>
      <c r="B8185" s="202" t="s">
        <v>6359</v>
      </c>
      <c r="C8185" s="200" t="s">
        <v>204</v>
      </c>
      <c r="D8185" s="733">
        <v>-440900</v>
      </c>
      <c r="E8185" s="201">
        <v>45778</v>
      </c>
      <c r="F8185" s="200" t="s">
        <v>256</v>
      </c>
      <c r="G8185" s="200" t="s">
        <v>256</v>
      </c>
      <c r="H8185" s="200" t="s">
        <v>121</v>
      </c>
    </row>
    <row r="8186" spans="1:8" ht="15" customHeight="1">
      <c r="A8186" s="199">
        <v>45797</v>
      </c>
      <c r="B8186" s="202" t="s">
        <v>6360</v>
      </c>
      <c r="C8186" s="200" t="s">
        <v>204</v>
      </c>
      <c r="D8186" s="733">
        <v>-416900</v>
      </c>
      <c r="E8186" s="201">
        <v>45778</v>
      </c>
      <c r="F8186" s="200" t="s">
        <v>256</v>
      </c>
      <c r="G8186" s="200" t="s">
        <v>256</v>
      </c>
      <c r="H8186" s="200" t="s">
        <v>121</v>
      </c>
    </row>
    <row r="8187" spans="1:8" ht="15" customHeight="1">
      <c r="A8187" s="199">
        <v>45797</v>
      </c>
      <c r="B8187" s="202" t="s">
        <v>6361</v>
      </c>
      <c r="C8187" s="200" t="s">
        <v>204</v>
      </c>
      <c r="D8187" s="733">
        <v>-544200</v>
      </c>
      <c r="E8187" s="201">
        <v>45778</v>
      </c>
      <c r="F8187" s="200" t="s">
        <v>256</v>
      </c>
      <c r="G8187" s="200" t="s">
        <v>256</v>
      </c>
      <c r="H8187" s="200" t="s">
        <v>121</v>
      </c>
    </row>
    <row r="8188" spans="1:8" ht="15" customHeight="1">
      <c r="A8188" s="199">
        <v>45797</v>
      </c>
      <c r="B8188" s="202" t="s">
        <v>6362</v>
      </c>
      <c r="C8188" s="200" t="s">
        <v>204</v>
      </c>
      <c r="D8188" s="733">
        <v>-212700</v>
      </c>
      <c r="E8188" s="201">
        <v>45778</v>
      </c>
      <c r="F8188" s="200" t="s">
        <v>256</v>
      </c>
      <c r="G8188" s="200" t="s">
        <v>256</v>
      </c>
      <c r="H8188" s="200" t="s">
        <v>121</v>
      </c>
    </row>
    <row r="8189" spans="1:8" ht="15" customHeight="1">
      <c r="A8189" s="199">
        <v>45797</v>
      </c>
      <c r="B8189" s="202" t="s">
        <v>6363</v>
      </c>
      <c r="C8189" s="200" t="s">
        <v>204</v>
      </c>
      <c r="D8189" s="733">
        <v>-3429500</v>
      </c>
      <c r="E8189" s="201">
        <v>45778</v>
      </c>
      <c r="F8189" s="200" t="s">
        <v>256</v>
      </c>
      <c r="G8189" s="200" t="s">
        <v>256</v>
      </c>
      <c r="H8189" s="200" t="s">
        <v>121</v>
      </c>
    </row>
    <row r="8190" spans="1:8" ht="15" customHeight="1">
      <c r="A8190" s="199">
        <v>45797</v>
      </c>
      <c r="B8190" s="202" t="s">
        <v>6364</v>
      </c>
      <c r="C8190" s="200" t="s">
        <v>204</v>
      </c>
      <c r="D8190" s="733">
        <v>-858300</v>
      </c>
      <c r="E8190" s="201">
        <v>45778</v>
      </c>
      <c r="F8190" s="200" t="s">
        <v>256</v>
      </c>
      <c r="G8190" s="200" t="s">
        <v>256</v>
      </c>
      <c r="H8190" s="200" t="s">
        <v>121</v>
      </c>
    </row>
    <row r="8191" spans="1:8" ht="15" customHeight="1">
      <c r="A8191" s="199">
        <v>45797</v>
      </c>
      <c r="B8191" s="202" t="s">
        <v>6365</v>
      </c>
      <c r="C8191" s="200" t="s">
        <v>204</v>
      </c>
      <c r="D8191" s="733">
        <v>-1226100</v>
      </c>
      <c r="E8191" s="201">
        <v>45778</v>
      </c>
      <c r="F8191" s="200" t="s">
        <v>256</v>
      </c>
      <c r="G8191" s="200" t="s">
        <v>256</v>
      </c>
      <c r="H8191" s="200" t="s">
        <v>121</v>
      </c>
    </row>
    <row r="8192" spans="1:8" ht="15" customHeight="1">
      <c r="A8192" s="199">
        <v>45797</v>
      </c>
      <c r="B8192" s="202" t="s">
        <v>6366</v>
      </c>
      <c r="C8192" s="200" t="s">
        <v>204</v>
      </c>
      <c r="D8192" s="733">
        <v>-858300</v>
      </c>
      <c r="E8192" s="201">
        <v>45778</v>
      </c>
      <c r="F8192" s="200" t="s">
        <v>256</v>
      </c>
      <c r="G8192" s="200" t="s">
        <v>256</v>
      </c>
      <c r="H8192" s="200" t="s">
        <v>121</v>
      </c>
    </row>
    <row r="8193" spans="1:8" ht="15" customHeight="1">
      <c r="A8193" s="199">
        <v>45797</v>
      </c>
      <c r="B8193" s="202" t="s">
        <v>6367</v>
      </c>
      <c r="C8193" s="200" t="s">
        <v>204</v>
      </c>
      <c r="D8193" s="733">
        <v>-349300</v>
      </c>
      <c r="E8193" s="201">
        <v>45778</v>
      </c>
      <c r="F8193" s="200" t="s">
        <v>256</v>
      </c>
      <c r="G8193" s="200" t="s">
        <v>256</v>
      </c>
      <c r="H8193" s="200" t="s">
        <v>121</v>
      </c>
    </row>
    <row r="8194" spans="1:8" ht="15" customHeight="1">
      <c r="A8194" s="199">
        <v>45797</v>
      </c>
      <c r="B8194" s="202" t="s">
        <v>6368</v>
      </c>
      <c r="C8194" s="200" t="s">
        <v>204</v>
      </c>
      <c r="D8194" s="733">
        <v>-349000</v>
      </c>
      <c r="E8194" s="201">
        <v>45778</v>
      </c>
      <c r="F8194" s="200" t="s">
        <v>256</v>
      </c>
      <c r="G8194" s="200" t="s">
        <v>256</v>
      </c>
      <c r="H8194" s="200" t="s">
        <v>121</v>
      </c>
    </row>
    <row r="8195" spans="1:8" ht="15" customHeight="1">
      <c r="A8195" s="199">
        <v>45797</v>
      </c>
      <c r="B8195" s="202" t="s">
        <v>6369</v>
      </c>
      <c r="C8195" s="200" t="s">
        <v>204</v>
      </c>
      <c r="D8195" s="733">
        <v>-349300</v>
      </c>
      <c r="E8195" s="201">
        <v>45778</v>
      </c>
      <c r="F8195" s="200" t="s">
        <v>256</v>
      </c>
      <c r="G8195" s="200" t="s">
        <v>256</v>
      </c>
      <c r="H8195" s="200" t="s">
        <v>121</v>
      </c>
    </row>
    <row r="8196" spans="1:8" ht="15" customHeight="1">
      <c r="A8196" s="199">
        <v>45797</v>
      </c>
      <c r="B8196" s="202" t="s">
        <v>6370</v>
      </c>
      <c r="C8196" s="200" t="s">
        <v>204</v>
      </c>
      <c r="D8196" s="733">
        <v>-564100</v>
      </c>
      <c r="E8196" s="201">
        <v>45778</v>
      </c>
      <c r="F8196" s="200" t="s">
        <v>256</v>
      </c>
      <c r="G8196" s="200" t="s">
        <v>256</v>
      </c>
      <c r="H8196" s="200" t="s">
        <v>121</v>
      </c>
    </row>
    <row r="8197" spans="1:8" ht="15" customHeight="1">
      <c r="A8197" s="199">
        <v>45797</v>
      </c>
      <c r="B8197" s="202" t="s">
        <v>6371</v>
      </c>
      <c r="C8197" s="200" t="s">
        <v>204</v>
      </c>
      <c r="D8197" s="733">
        <v>-1390600</v>
      </c>
      <c r="E8197" s="201">
        <v>45778</v>
      </c>
      <c r="F8197" s="200" t="s">
        <v>256</v>
      </c>
      <c r="G8197" s="200" t="s">
        <v>256</v>
      </c>
      <c r="H8197" s="200" t="s">
        <v>121</v>
      </c>
    </row>
    <row r="8198" spans="1:8" ht="15" customHeight="1">
      <c r="A8198" s="199">
        <v>45797</v>
      </c>
      <c r="B8198" s="202" t="s">
        <v>6372</v>
      </c>
      <c r="C8198" s="200" t="s">
        <v>204</v>
      </c>
      <c r="D8198" s="733">
        <v>-423700</v>
      </c>
      <c r="E8198" s="201">
        <v>45778</v>
      </c>
      <c r="F8198" s="200" t="s">
        <v>256</v>
      </c>
      <c r="G8198" s="200" t="s">
        <v>256</v>
      </c>
      <c r="H8198" s="200" t="s">
        <v>121</v>
      </c>
    </row>
    <row r="8199" spans="1:8" ht="15" customHeight="1">
      <c r="A8199" s="199">
        <v>45797</v>
      </c>
      <c r="B8199" s="202" t="s">
        <v>6373</v>
      </c>
      <c r="C8199" s="200" t="s">
        <v>204</v>
      </c>
      <c r="D8199" s="733">
        <v>-735700</v>
      </c>
      <c r="E8199" s="201">
        <v>45778</v>
      </c>
      <c r="F8199" s="200" t="s">
        <v>256</v>
      </c>
      <c r="G8199" s="200" t="s">
        <v>256</v>
      </c>
      <c r="H8199" s="200" t="s">
        <v>121</v>
      </c>
    </row>
    <row r="8200" spans="1:8" ht="15" customHeight="1">
      <c r="A8200" s="199">
        <v>45797</v>
      </c>
      <c r="B8200" s="202" t="s">
        <v>6374</v>
      </c>
      <c r="C8200" s="200" t="s">
        <v>204</v>
      </c>
      <c r="D8200" s="733">
        <v>-349300</v>
      </c>
      <c r="E8200" s="201">
        <v>45778</v>
      </c>
      <c r="F8200" s="200" t="s">
        <v>256</v>
      </c>
      <c r="G8200" s="200" t="s">
        <v>256</v>
      </c>
      <c r="H8200" s="200" t="s">
        <v>121</v>
      </c>
    </row>
    <row r="8201" spans="1:8" ht="15" customHeight="1">
      <c r="A8201" s="199">
        <v>45797</v>
      </c>
      <c r="B8201" s="202" t="s">
        <v>6375</v>
      </c>
      <c r="C8201" s="200" t="s">
        <v>204</v>
      </c>
      <c r="D8201" s="733">
        <v>-2996000</v>
      </c>
      <c r="E8201" s="201">
        <v>45778</v>
      </c>
      <c r="F8201" s="200" t="s">
        <v>256</v>
      </c>
      <c r="G8201" s="200" t="s">
        <v>256</v>
      </c>
      <c r="H8201" s="200" t="s">
        <v>121</v>
      </c>
    </row>
    <row r="8202" spans="1:8" ht="15" customHeight="1">
      <c r="A8202" s="199">
        <v>45797</v>
      </c>
      <c r="B8202" s="202" t="s">
        <v>6376</v>
      </c>
      <c r="C8202" s="200" t="s">
        <v>204</v>
      </c>
      <c r="D8202" s="733">
        <v>-510900</v>
      </c>
      <c r="E8202" s="201">
        <v>45778</v>
      </c>
      <c r="F8202" s="200" t="s">
        <v>256</v>
      </c>
      <c r="G8202" s="200" t="s">
        <v>256</v>
      </c>
      <c r="H8202" s="200" t="s">
        <v>121</v>
      </c>
    </row>
    <row r="8203" spans="1:8" ht="15" customHeight="1">
      <c r="A8203" s="199">
        <v>45797</v>
      </c>
      <c r="B8203" s="202" t="s">
        <v>6377</v>
      </c>
      <c r="C8203" s="200" t="s">
        <v>204</v>
      </c>
      <c r="D8203" s="733">
        <v>-416900</v>
      </c>
      <c r="E8203" s="201">
        <v>45778</v>
      </c>
      <c r="F8203" s="200" t="s">
        <v>256</v>
      </c>
      <c r="G8203" s="200" t="s">
        <v>256</v>
      </c>
      <c r="H8203" s="200" t="s">
        <v>121</v>
      </c>
    </row>
    <row r="8204" spans="1:8" ht="15" customHeight="1">
      <c r="A8204" s="199">
        <v>45797</v>
      </c>
      <c r="B8204" s="202" t="s">
        <v>6378</v>
      </c>
      <c r="C8204" s="200" t="s">
        <v>204</v>
      </c>
      <c r="D8204" s="733">
        <v>-784800</v>
      </c>
      <c r="E8204" s="201">
        <v>45778</v>
      </c>
      <c r="F8204" s="200" t="s">
        <v>256</v>
      </c>
      <c r="G8204" s="200" t="s">
        <v>107</v>
      </c>
      <c r="H8204" s="200" t="s">
        <v>121</v>
      </c>
    </row>
    <row r="8205" spans="1:8" ht="15" customHeight="1">
      <c r="A8205" s="199">
        <v>45797</v>
      </c>
      <c r="B8205" s="202" t="s">
        <v>6379</v>
      </c>
      <c r="C8205" s="200" t="s">
        <v>204</v>
      </c>
      <c r="D8205" s="733">
        <v>-349300</v>
      </c>
      <c r="E8205" s="201">
        <v>45778</v>
      </c>
      <c r="F8205" s="200" t="s">
        <v>256</v>
      </c>
      <c r="G8205" s="200" t="s">
        <v>107</v>
      </c>
      <c r="H8205" s="200" t="s">
        <v>121</v>
      </c>
    </row>
    <row r="8206" spans="1:8" ht="15" customHeight="1">
      <c r="A8206" s="199">
        <v>45797</v>
      </c>
      <c r="B8206" s="202" t="s">
        <v>6380</v>
      </c>
      <c r="C8206" s="200" t="s">
        <v>204</v>
      </c>
      <c r="D8206" s="733">
        <v>-1667900</v>
      </c>
      <c r="E8206" s="201">
        <v>45778</v>
      </c>
      <c r="F8206" s="200" t="s">
        <v>256</v>
      </c>
      <c r="G8206" s="200" t="s">
        <v>107</v>
      </c>
      <c r="H8206" s="200" t="s">
        <v>121</v>
      </c>
    </row>
    <row r="8207" spans="1:8" ht="15" customHeight="1">
      <c r="A8207" s="199">
        <v>45797</v>
      </c>
      <c r="B8207" s="202" t="s">
        <v>6381</v>
      </c>
      <c r="C8207" s="200" t="s">
        <v>204</v>
      </c>
      <c r="D8207" s="733">
        <v>-692800</v>
      </c>
      <c r="E8207" s="201">
        <v>45778</v>
      </c>
      <c r="F8207" s="200" t="s">
        <v>256</v>
      </c>
      <c r="G8207" s="200" t="s">
        <v>107</v>
      </c>
      <c r="H8207" s="200" t="s">
        <v>121</v>
      </c>
    </row>
    <row r="8208" spans="1:8" ht="15" customHeight="1">
      <c r="A8208" s="199">
        <v>45797</v>
      </c>
      <c r="B8208" s="202" t="s">
        <v>6382</v>
      </c>
      <c r="C8208" s="200" t="s">
        <v>204</v>
      </c>
      <c r="D8208" s="733">
        <v>-681200</v>
      </c>
      <c r="E8208" s="201">
        <v>45778</v>
      </c>
      <c r="F8208" s="200" t="s">
        <v>256</v>
      </c>
      <c r="G8208" s="200" t="s">
        <v>107</v>
      </c>
      <c r="H8208" s="200" t="s">
        <v>121</v>
      </c>
    </row>
    <row r="8209" spans="1:8" ht="15" customHeight="1">
      <c r="A8209" s="199">
        <v>45797</v>
      </c>
      <c r="B8209" s="202" t="s">
        <v>6383</v>
      </c>
      <c r="C8209" s="200" t="s">
        <v>204</v>
      </c>
      <c r="D8209" s="733">
        <v>-3697300</v>
      </c>
      <c r="E8209" s="201">
        <v>45778</v>
      </c>
      <c r="F8209" s="200" t="s">
        <v>256</v>
      </c>
      <c r="G8209" s="200" t="s">
        <v>107</v>
      </c>
      <c r="H8209" s="200" t="s">
        <v>121</v>
      </c>
    </row>
    <row r="8210" spans="1:8" ht="15" customHeight="1">
      <c r="A8210" s="199">
        <v>45797</v>
      </c>
      <c r="B8210" s="202" t="s">
        <v>6384</v>
      </c>
      <c r="C8210" s="200" t="s">
        <v>204</v>
      </c>
      <c r="D8210" s="733">
        <v>-396810</v>
      </c>
      <c r="E8210" s="201">
        <v>45778</v>
      </c>
      <c r="F8210" s="200" t="s">
        <v>256</v>
      </c>
      <c r="G8210" s="200" t="s">
        <v>107</v>
      </c>
      <c r="H8210" s="200" t="s">
        <v>121</v>
      </c>
    </row>
    <row r="8211" spans="1:8" ht="15" customHeight="1">
      <c r="A8211" s="199">
        <v>45797</v>
      </c>
      <c r="B8211" s="202" t="s">
        <v>6385</v>
      </c>
      <c r="C8211" s="200" t="s">
        <v>204</v>
      </c>
      <c r="D8211" s="733">
        <v>-352720</v>
      </c>
      <c r="E8211" s="201">
        <v>45778</v>
      </c>
      <c r="F8211" s="200" t="s">
        <v>256</v>
      </c>
      <c r="G8211" s="200" t="s">
        <v>107</v>
      </c>
      <c r="H8211" s="200" t="s">
        <v>121</v>
      </c>
    </row>
    <row r="8212" spans="1:8" ht="15" customHeight="1">
      <c r="A8212" s="199">
        <v>45797</v>
      </c>
      <c r="B8212" s="202" t="s">
        <v>6386</v>
      </c>
      <c r="C8212" s="200" t="s">
        <v>204</v>
      </c>
      <c r="D8212" s="733">
        <v>-1021700</v>
      </c>
      <c r="E8212" s="201">
        <v>45778</v>
      </c>
      <c r="F8212" s="200" t="s">
        <v>256</v>
      </c>
      <c r="G8212" s="200" t="s">
        <v>107</v>
      </c>
      <c r="H8212" s="200" t="s">
        <v>121</v>
      </c>
    </row>
    <row r="8213" spans="1:8" ht="15" customHeight="1">
      <c r="A8213" s="199">
        <v>45797</v>
      </c>
      <c r="B8213" s="202" t="s">
        <v>6387</v>
      </c>
      <c r="C8213" s="200" t="s">
        <v>204</v>
      </c>
      <c r="D8213" s="733">
        <v>-897900</v>
      </c>
      <c r="E8213" s="201">
        <v>45778</v>
      </c>
      <c r="F8213" s="200" t="s">
        <v>256</v>
      </c>
      <c r="G8213" s="200" t="s">
        <v>107</v>
      </c>
      <c r="H8213" s="200" t="s">
        <v>121</v>
      </c>
    </row>
    <row r="8214" spans="1:8" ht="15" customHeight="1">
      <c r="A8214" s="199">
        <v>45797</v>
      </c>
      <c r="B8214" s="202" t="s">
        <v>6388</v>
      </c>
      <c r="C8214" s="200" t="s">
        <v>204</v>
      </c>
      <c r="D8214" s="733">
        <v>-613100</v>
      </c>
      <c r="E8214" s="201">
        <v>45778</v>
      </c>
      <c r="F8214" s="200" t="s">
        <v>296</v>
      </c>
      <c r="G8214" s="200" t="s">
        <v>57</v>
      </c>
      <c r="H8214" s="200" t="s">
        <v>121</v>
      </c>
    </row>
    <row r="8215" spans="1:8" ht="15" customHeight="1">
      <c r="A8215" s="199">
        <v>45797</v>
      </c>
      <c r="B8215" s="202" t="s">
        <v>6389</v>
      </c>
      <c r="C8215" s="200" t="s">
        <v>204</v>
      </c>
      <c r="D8215" s="733">
        <v>-441400</v>
      </c>
      <c r="E8215" s="201">
        <v>45778</v>
      </c>
      <c r="F8215" s="200" t="s">
        <v>296</v>
      </c>
      <c r="G8215" s="200" t="s">
        <v>57</v>
      </c>
      <c r="H8215" s="200" t="s">
        <v>121</v>
      </c>
    </row>
    <row r="8216" spans="1:8" ht="15" customHeight="1">
      <c r="A8216" s="199">
        <v>45797</v>
      </c>
      <c r="B8216" s="202" t="s">
        <v>6390</v>
      </c>
      <c r="C8216" s="200" t="s">
        <v>204</v>
      </c>
      <c r="D8216" s="733">
        <v>-907400</v>
      </c>
      <c r="E8216" s="201">
        <v>45778</v>
      </c>
      <c r="F8216" s="200" t="s">
        <v>296</v>
      </c>
      <c r="G8216" s="200" t="s">
        <v>57</v>
      </c>
      <c r="H8216" s="200" t="s">
        <v>121</v>
      </c>
    </row>
    <row r="8217" spans="1:8" ht="15" customHeight="1">
      <c r="A8217" s="199">
        <v>45797</v>
      </c>
      <c r="B8217" s="202" t="s">
        <v>6391</v>
      </c>
      <c r="C8217" s="200" t="s">
        <v>204</v>
      </c>
      <c r="D8217" s="733">
        <v>-1189700</v>
      </c>
      <c r="E8217" s="201">
        <v>45778</v>
      </c>
      <c r="F8217" s="200" t="s">
        <v>296</v>
      </c>
      <c r="G8217" s="200" t="s">
        <v>57</v>
      </c>
      <c r="H8217" s="200" t="s">
        <v>121</v>
      </c>
    </row>
    <row r="8218" spans="1:8" ht="15" customHeight="1">
      <c r="A8218" s="199">
        <v>45797</v>
      </c>
      <c r="B8218" s="202" t="s">
        <v>6392</v>
      </c>
      <c r="C8218" s="200" t="s">
        <v>204</v>
      </c>
      <c r="D8218" s="733">
        <v>-793100</v>
      </c>
      <c r="E8218" s="201">
        <v>45778</v>
      </c>
      <c r="F8218" s="200" t="s">
        <v>296</v>
      </c>
      <c r="G8218" s="200" t="s">
        <v>57</v>
      </c>
      <c r="H8218" s="200" t="s">
        <v>121</v>
      </c>
    </row>
    <row r="8219" spans="1:8" ht="15" customHeight="1">
      <c r="A8219" s="199">
        <v>45797</v>
      </c>
      <c r="B8219" s="202" t="s">
        <v>6393</v>
      </c>
      <c r="C8219" s="200" t="s">
        <v>204</v>
      </c>
      <c r="D8219" s="733">
        <v>-846000</v>
      </c>
      <c r="E8219" s="201">
        <v>45778</v>
      </c>
      <c r="F8219" s="200" t="s">
        <v>296</v>
      </c>
      <c r="G8219" s="200" t="s">
        <v>57</v>
      </c>
      <c r="H8219" s="200" t="s">
        <v>121</v>
      </c>
    </row>
    <row r="8220" spans="1:8" ht="15" customHeight="1">
      <c r="A8220" s="199">
        <v>45797</v>
      </c>
      <c r="B8220" s="202" t="s">
        <v>6394</v>
      </c>
      <c r="C8220" s="200" t="s">
        <v>204</v>
      </c>
      <c r="D8220" s="733">
        <v>-53900</v>
      </c>
      <c r="E8220" s="201">
        <v>45778</v>
      </c>
      <c r="F8220" s="200" t="s">
        <v>296</v>
      </c>
      <c r="G8220" s="200" t="s">
        <v>57</v>
      </c>
      <c r="H8220" s="200" t="s">
        <v>121</v>
      </c>
    </row>
    <row r="8221" spans="1:8" ht="15" customHeight="1">
      <c r="A8221" s="199">
        <v>45797</v>
      </c>
      <c r="B8221" s="202" t="s">
        <v>6395</v>
      </c>
      <c r="C8221" s="200" t="s">
        <v>204</v>
      </c>
      <c r="D8221" s="733">
        <v>-440900</v>
      </c>
      <c r="E8221" s="201">
        <v>45778</v>
      </c>
      <c r="F8221" s="200" t="s">
        <v>296</v>
      </c>
      <c r="G8221" s="200" t="s">
        <v>44</v>
      </c>
      <c r="H8221" s="200" t="s">
        <v>421</v>
      </c>
    </row>
    <row r="8222" spans="1:8" ht="15" customHeight="1">
      <c r="A8222" s="199">
        <v>45797</v>
      </c>
      <c r="B8222" s="202" t="s">
        <v>6396</v>
      </c>
      <c r="C8222" s="200" t="s">
        <v>204</v>
      </c>
      <c r="D8222" s="733">
        <v>-440900</v>
      </c>
      <c r="E8222" s="201">
        <v>45778</v>
      </c>
      <c r="F8222" s="200" t="s">
        <v>296</v>
      </c>
      <c r="G8222" s="200" t="s">
        <v>44</v>
      </c>
      <c r="H8222" s="200" t="s">
        <v>421</v>
      </c>
    </row>
    <row r="8223" spans="1:8" ht="15" customHeight="1">
      <c r="A8223" s="199">
        <v>45797</v>
      </c>
      <c r="B8223" s="202" t="s">
        <v>6397</v>
      </c>
      <c r="C8223" s="200" t="s">
        <v>204</v>
      </c>
      <c r="D8223" s="733">
        <v>-464400</v>
      </c>
      <c r="E8223" s="201">
        <v>45778</v>
      </c>
      <c r="F8223" s="200" t="s">
        <v>296</v>
      </c>
      <c r="G8223" s="200" t="s">
        <v>44</v>
      </c>
      <c r="H8223" s="200" t="s">
        <v>338</v>
      </c>
    </row>
    <row r="8224" spans="1:8" ht="15" customHeight="1">
      <c r="A8224" s="199">
        <v>45797</v>
      </c>
      <c r="B8224" s="202" t="s">
        <v>6398</v>
      </c>
      <c r="C8224" s="200" t="s">
        <v>204</v>
      </c>
      <c r="D8224" s="733">
        <v>-440900</v>
      </c>
      <c r="E8224" s="201">
        <v>45778</v>
      </c>
      <c r="F8224" s="200" t="s">
        <v>296</v>
      </c>
      <c r="G8224" s="200" t="s">
        <v>44</v>
      </c>
      <c r="H8224" s="200" t="s">
        <v>421</v>
      </c>
    </row>
    <row r="8225" spans="1:8" ht="15" customHeight="1">
      <c r="A8225" s="199">
        <v>45797</v>
      </c>
      <c r="B8225" s="202" t="s">
        <v>6399</v>
      </c>
      <c r="C8225" s="200" t="s">
        <v>204</v>
      </c>
      <c r="D8225" s="733">
        <v>-440900</v>
      </c>
      <c r="E8225" s="201">
        <v>45778</v>
      </c>
      <c r="F8225" s="200" t="s">
        <v>296</v>
      </c>
      <c r="G8225" s="200" t="s">
        <v>44</v>
      </c>
      <c r="H8225" s="200" t="s">
        <v>421</v>
      </c>
    </row>
    <row r="8226" spans="1:8" ht="15" customHeight="1">
      <c r="A8226" s="199">
        <v>45797</v>
      </c>
      <c r="B8226" s="202" t="s">
        <v>6400</v>
      </c>
      <c r="C8226" s="200" t="s">
        <v>204</v>
      </c>
      <c r="D8226" s="733">
        <v>-650200</v>
      </c>
      <c r="E8226" s="201">
        <v>45778</v>
      </c>
      <c r="F8226" s="200" t="s">
        <v>296</v>
      </c>
      <c r="G8226" s="200" t="s">
        <v>44</v>
      </c>
      <c r="H8226" s="200" t="s">
        <v>421</v>
      </c>
    </row>
    <row r="8227" spans="1:8" ht="15" customHeight="1">
      <c r="A8227" s="199">
        <v>45797</v>
      </c>
      <c r="B8227" s="202" t="s">
        <v>6401</v>
      </c>
      <c r="C8227" s="200" t="s">
        <v>204</v>
      </c>
      <c r="D8227" s="733">
        <v>-440900</v>
      </c>
      <c r="E8227" s="201">
        <v>45778</v>
      </c>
      <c r="F8227" s="200" t="s">
        <v>296</v>
      </c>
      <c r="G8227" s="200" t="s">
        <v>44</v>
      </c>
      <c r="H8227" s="200" t="s">
        <v>421</v>
      </c>
    </row>
    <row r="8228" spans="1:8" ht="15" customHeight="1">
      <c r="A8228" s="199">
        <v>45797</v>
      </c>
      <c r="B8228" s="202" t="s">
        <v>6402</v>
      </c>
      <c r="C8228" s="200" t="s">
        <v>204</v>
      </c>
      <c r="D8228" s="733">
        <v>-897900</v>
      </c>
      <c r="E8228" s="201">
        <v>45778</v>
      </c>
      <c r="F8228" s="200" t="s">
        <v>296</v>
      </c>
      <c r="G8228" s="200" t="s">
        <v>44</v>
      </c>
      <c r="H8228" s="200" t="s">
        <v>421</v>
      </c>
    </row>
    <row r="8229" spans="1:8" ht="15" customHeight="1">
      <c r="A8229" s="199">
        <v>45797</v>
      </c>
      <c r="B8229" s="202" t="s">
        <v>6403</v>
      </c>
      <c r="C8229" s="200" t="s">
        <v>204</v>
      </c>
      <c r="D8229" s="733">
        <v>-161800</v>
      </c>
      <c r="E8229" s="201">
        <v>45778</v>
      </c>
      <c r="F8229" s="200" t="s">
        <v>296</v>
      </c>
      <c r="G8229" s="200" t="s">
        <v>44</v>
      </c>
      <c r="H8229" s="200" t="s">
        <v>421</v>
      </c>
    </row>
    <row r="8230" spans="1:8" ht="15" customHeight="1">
      <c r="A8230" s="199">
        <v>45797</v>
      </c>
      <c r="B8230" s="202" t="s">
        <v>6404</v>
      </c>
      <c r="C8230" s="200" t="s">
        <v>204</v>
      </c>
      <c r="D8230" s="733">
        <v>-440900</v>
      </c>
      <c r="E8230" s="201">
        <v>45778</v>
      </c>
      <c r="F8230" s="200" t="s">
        <v>296</v>
      </c>
      <c r="G8230" s="200" t="s">
        <v>44</v>
      </c>
      <c r="H8230" s="200" t="s">
        <v>421</v>
      </c>
    </row>
    <row r="8231" spans="1:8" ht="15" customHeight="1">
      <c r="A8231" s="199">
        <v>45797</v>
      </c>
      <c r="B8231" s="202" t="s">
        <v>6405</v>
      </c>
      <c r="C8231" s="200" t="s">
        <v>204</v>
      </c>
      <c r="D8231" s="733">
        <v>-440900</v>
      </c>
      <c r="E8231" s="201">
        <v>45778</v>
      </c>
      <c r="F8231" s="200" t="s">
        <v>296</v>
      </c>
      <c r="G8231" s="200" t="s">
        <v>1825</v>
      </c>
      <c r="H8231" s="200" t="s">
        <v>429</v>
      </c>
    </row>
    <row r="8232" spans="1:8" ht="15" customHeight="1">
      <c r="A8232" s="199">
        <v>45797</v>
      </c>
      <c r="B8232" s="202" t="s">
        <v>6406</v>
      </c>
      <c r="C8232" s="200" t="s">
        <v>204</v>
      </c>
      <c r="D8232" s="733">
        <v>-440900</v>
      </c>
      <c r="E8232" s="201">
        <v>45778</v>
      </c>
      <c r="F8232" s="200" t="s">
        <v>296</v>
      </c>
      <c r="G8232" s="200" t="s">
        <v>1825</v>
      </c>
      <c r="H8232" s="200" t="s">
        <v>429</v>
      </c>
    </row>
    <row r="8233" spans="1:8" ht="15" customHeight="1">
      <c r="A8233" s="199">
        <v>45797</v>
      </c>
      <c r="B8233" s="202" t="s">
        <v>6407</v>
      </c>
      <c r="C8233" s="200" t="s">
        <v>204</v>
      </c>
      <c r="D8233" s="733">
        <v>-440900</v>
      </c>
      <c r="E8233" s="201">
        <v>45778</v>
      </c>
      <c r="F8233" s="200" t="s">
        <v>296</v>
      </c>
      <c r="G8233" s="200" t="s">
        <v>1825</v>
      </c>
      <c r="H8233" s="200" t="s">
        <v>429</v>
      </c>
    </row>
    <row r="8234" spans="1:8" ht="15" customHeight="1">
      <c r="A8234" s="199">
        <v>45797</v>
      </c>
      <c r="B8234" s="202" t="s">
        <v>6408</v>
      </c>
      <c r="C8234" s="200" t="s">
        <v>204</v>
      </c>
      <c r="D8234" s="733">
        <v>-440900</v>
      </c>
      <c r="E8234" s="201">
        <v>45778</v>
      </c>
      <c r="F8234" s="200" t="s">
        <v>296</v>
      </c>
      <c r="G8234" s="200" t="s">
        <v>1825</v>
      </c>
      <c r="H8234" s="200" t="s">
        <v>429</v>
      </c>
    </row>
    <row r="8235" spans="1:8" ht="15" customHeight="1">
      <c r="A8235" s="199">
        <v>45797</v>
      </c>
      <c r="B8235" s="202" t="s">
        <v>6409</v>
      </c>
      <c r="C8235" s="200" t="s">
        <v>204</v>
      </c>
      <c r="D8235" s="733">
        <v>-1021700</v>
      </c>
      <c r="E8235" s="201">
        <v>45778</v>
      </c>
      <c r="F8235" s="200" t="s">
        <v>296</v>
      </c>
      <c r="G8235" s="200" t="s">
        <v>1825</v>
      </c>
      <c r="H8235" s="200" t="s">
        <v>338</v>
      </c>
    </row>
    <row r="8236" spans="1:8" ht="15" customHeight="1">
      <c r="A8236" s="199">
        <v>45797</v>
      </c>
      <c r="B8236" s="202" t="s">
        <v>6410</v>
      </c>
      <c r="C8236" s="200" t="s">
        <v>204</v>
      </c>
      <c r="D8236" s="733">
        <v>-440900</v>
      </c>
      <c r="E8236" s="201">
        <v>45778</v>
      </c>
      <c r="F8236" s="200" t="s">
        <v>296</v>
      </c>
      <c r="G8236" s="200" t="s">
        <v>1825</v>
      </c>
      <c r="H8236" s="200" t="s">
        <v>429</v>
      </c>
    </row>
    <row r="8237" spans="1:8" ht="15" customHeight="1">
      <c r="A8237" s="199">
        <v>45797</v>
      </c>
      <c r="B8237" s="202" t="s">
        <v>6411</v>
      </c>
      <c r="C8237" s="200" t="s">
        <v>204</v>
      </c>
      <c r="D8237" s="733">
        <v>-440900</v>
      </c>
      <c r="E8237" s="201">
        <v>45778</v>
      </c>
      <c r="F8237" s="200" t="s">
        <v>296</v>
      </c>
      <c r="G8237" s="200" t="s">
        <v>1825</v>
      </c>
      <c r="H8237" s="200" t="s">
        <v>429</v>
      </c>
    </row>
    <row r="8238" spans="1:8" ht="15" customHeight="1">
      <c r="A8238" s="199">
        <v>45797</v>
      </c>
      <c r="B8238" s="202" t="s">
        <v>6412</v>
      </c>
      <c r="C8238" s="200" t="s">
        <v>204</v>
      </c>
      <c r="D8238" s="733">
        <v>-526400</v>
      </c>
      <c r="E8238" s="201">
        <v>45778</v>
      </c>
      <c r="F8238" s="200" t="s">
        <v>296</v>
      </c>
      <c r="G8238" s="200" t="s">
        <v>1825</v>
      </c>
      <c r="H8238" s="200" t="s">
        <v>429</v>
      </c>
    </row>
    <row r="8239" spans="1:8" ht="15" customHeight="1">
      <c r="A8239" s="199">
        <v>45797</v>
      </c>
      <c r="B8239" s="202" t="s">
        <v>6413</v>
      </c>
      <c r="C8239" s="200" t="s">
        <v>204</v>
      </c>
      <c r="D8239" s="733">
        <v>-424400</v>
      </c>
      <c r="E8239" s="201">
        <v>45778</v>
      </c>
      <c r="F8239" s="200" t="s">
        <v>296</v>
      </c>
      <c r="G8239" s="200" t="s">
        <v>1825</v>
      </c>
      <c r="H8239" s="200" t="s">
        <v>429</v>
      </c>
    </row>
    <row r="8240" spans="1:8" ht="15" customHeight="1">
      <c r="A8240" s="199">
        <v>45797</v>
      </c>
      <c r="B8240" s="202" t="s">
        <v>6414</v>
      </c>
      <c r="C8240" s="200" t="s">
        <v>204</v>
      </c>
      <c r="D8240" s="733">
        <v>-774000</v>
      </c>
      <c r="E8240" s="201">
        <v>45778</v>
      </c>
      <c r="F8240" s="200" t="s">
        <v>296</v>
      </c>
      <c r="G8240" s="200" t="s">
        <v>1825</v>
      </c>
      <c r="H8240" s="200" t="s">
        <v>338</v>
      </c>
    </row>
    <row r="8241" spans="1:8" ht="15" customHeight="1">
      <c r="A8241" s="199">
        <v>45797</v>
      </c>
      <c r="B8241" s="202" t="s">
        <v>6415</v>
      </c>
      <c r="C8241" s="200" t="s">
        <v>204</v>
      </c>
      <c r="D8241" s="733">
        <v>-440900</v>
      </c>
      <c r="E8241" s="201">
        <v>45778</v>
      </c>
      <c r="F8241" s="200" t="s">
        <v>296</v>
      </c>
      <c r="G8241" s="200" t="s">
        <v>1825</v>
      </c>
      <c r="H8241" s="200" t="s">
        <v>429</v>
      </c>
    </row>
    <row r="8242" spans="1:8" ht="15" customHeight="1">
      <c r="A8242" s="199">
        <v>45797</v>
      </c>
      <c r="B8242" s="202" t="s">
        <v>6416</v>
      </c>
      <c r="C8242" s="200" t="s">
        <v>204</v>
      </c>
      <c r="D8242" s="733">
        <v>-440900</v>
      </c>
      <c r="E8242" s="201">
        <v>45778</v>
      </c>
      <c r="F8242" s="200" t="s">
        <v>296</v>
      </c>
      <c r="G8242" s="200" t="s">
        <v>1825</v>
      </c>
      <c r="H8242" s="200" t="s">
        <v>429</v>
      </c>
    </row>
    <row r="8243" spans="1:8" ht="15" customHeight="1">
      <c r="A8243" s="199">
        <v>45797</v>
      </c>
      <c r="B8243" s="202" t="s">
        <v>6417</v>
      </c>
      <c r="C8243" s="200" t="s">
        <v>204</v>
      </c>
      <c r="D8243" s="733">
        <v>-440900</v>
      </c>
      <c r="E8243" s="201">
        <v>45778</v>
      </c>
      <c r="F8243" s="200" t="s">
        <v>296</v>
      </c>
      <c r="G8243" s="200" t="s">
        <v>1825</v>
      </c>
      <c r="H8243" s="200" t="s">
        <v>429</v>
      </c>
    </row>
    <row r="8244" spans="1:8" ht="15" customHeight="1">
      <c r="A8244" s="199">
        <v>45797</v>
      </c>
      <c r="B8244" s="202" t="s">
        <v>6418</v>
      </c>
      <c r="C8244" s="200" t="s">
        <v>204</v>
      </c>
      <c r="D8244" s="733">
        <v>-440900</v>
      </c>
      <c r="E8244" s="201">
        <v>45778</v>
      </c>
      <c r="F8244" s="200" t="s">
        <v>296</v>
      </c>
      <c r="G8244" s="200" t="s">
        <v>1825</v>
      </c>
      <c r="H8244" s="200" t="s">
        <v>429</v>
      </c>
    </row>
    <row r="8245" spans="1:8" ht="15" customHeight="1">
      <c r="A8245" s="199">
        <v>45797</v>
      </c>
      <c r="B8245" s="202" t="s">
        <v>6419</v>
      </c>
      <c r="C8245" s="200" t="s">
        <v>204</v>
      </c>
      <c r="D8245" s="733">
        <v>-440900</v>
      </c>
      <c r="E8245" s="201">
        <v>45778</v>
      </c>
      <c r="F8245" s="200" t="s">
        <v>296</v>
      </c>
      <c r="G8245" s="200" t="s">
        <v>1825</v>
      </c>
      <c r="H8245" s="200" t="s">
        <v>429</v>
      </c>
    </row>
    <row r="8246" spans="1:8" ht="15" customHeight="1">
      <c r="A8246" s="199">
        <v>45797</v>
      </c>
      <c r="B8246" s="202" t="s">
        <v>6420</v>
      </c>
      <c r="C8246" s="200" t="s">
        <v>204</v>
      </c>
      <c r="D8246" s="733">
        <v>-443300</v>
      </c>
      <c r="E8246" s="201">
        <v>45778</v>
      </c>
      <c r="F8246" s="200" t="s">
        <v>296</v>
      </c>
      <c r="G8246" s="200" t="s">
        <v>1825</v>
      </c>
      <c r="H8246" s="200" t="s">
        <v>429</v>
      </c>
    </row>
    <row r="8247" spans="1:8" ht="15" customHeight="1">
      <c r="A8247" s="199">
        <v>45797</v>
      </c>
      <c r="B8247" s="202" t="s">
        <v>6421</v>
      </c>
      <c r="C8247" s="200" t="s">
        <v>204</v>
      </c>
      <c r="D8247" s="733">
        <v>-440900</v>
      </c>
      <c r="E8247" s="201">
        <v>45778</v>
      </c>
      <c r="F8247" s="200" t="s">
        <v>296</v>
      </c>
      <c r="G8247" s="200" t="s">
        <v>1825</v>
      </c>
      <c r="H8247" s="200" t="s">
        <v>429</v>
      </c>
    </row>
    <row r="8248" spans="1:8" ht="15" customHeight="1">
      <c r="A8248" s="199">
        <v>45797</v>
      </c>
      <c r="B8248" s="202" t="s">
        <v>6422</v>
      </c>
      <c r="C8248" s="200" t="s">
        <v>204</v>
      </c>
      <c r="D8248" s="733">
        <v>-650200</v>
      </c>
      <c r="E8248" s="201">
        <v>45778</v>
      </c>
      <c r="F8248" s="200" t="s">
        <v>296</v>
      </c>
      <c r="G8248" s="200" t="s">
        <v>1825</v>
      </c>
      <c r="H8248" s="200" t="s">
        <v>429</v>
      </c>
    </row>
    <row r="8249" spans="1:8" ht="15" customHeight="1">
      <c r="A8249" s="199">
        <v>45797</v>
      </c>
      <c r="B8249" s="202" t="s">
        <v>6423</v>
      </c>
      <c r="C8249" s="200" t="s">
        <v>204</v>
      </c>
      <c r="D8249" s="733">
        <v>-280900</v>
      </c>
      <c r="E8249" s="201">
        <v>45778</v>
      </c>
      <c r="F8249" s="200" t="s">
        <v>296</v>
      </c>
      <c r="G8249" s="200" t="s">
        <v>1980</v>
      </c>
      <c r="H8249" s="200" t="s">
        <v>490</v>
      </c>
    </row>
    <row r="8250" spans="1:8" ht="15" customHeight="1">
      <c r="A8250" s="199">
        <v>45797</v>
      </c>
      <c r="B8250" s="202" t="s">
        <v>6424</v>
      </c>
      <c r="C8250" s="200" t="s">
        <v>204</v>
      </c>
      <c r="D8250" s="733">
        <v>-526400</v>
      </c>
      <c r="E8250" s="201">
        <v>45778</v>
      </c>
      <c r="F8250" s="200" t="s">
        <v>296</v>
      </c>
      <c r="G8250" s="200" t="s">
        <v>1980</v>
      </c>
      <c r="H8250" s="200" t="s">
        <v>490</v>
      </c>
    </row>
    <row r="8251" spans="1:8" ht="15" customHeight="1">
      <c r="A8251" s="199">
        <v>45797</v>
      </c>
      <c r="B8251" s="202" t="s">
        <v>6397</v>
      </c>
      <c r="C8251" s="200" t="s">
        <v>204</v>
      </c>
      <c r="D8251" s="733">
        <v>-464400</v>
      </c>
      <c r="E8251" s="201">
        <v>45778</v>
      </c>
      <c r="F8251" s="200" t="s">
        <v>296</v>
      </c>
      <c r="G8251" s="200" t="s">
        <v>1980</v>
      </c>
      <c r="H8251" s="200" t="s">
        <v>338</v>
      </c>
    </row>
    <row r="8252" spans="1:8" ht="15" customHeight="1">
      <c r="A8252" s="199">
        <v>45797</v>
      </c>
      <c r="B8252" s="202" t="s">
        <v>6425</v>
      </c>
      <c r="C8252" s="200" t="s">
        <v>204</v>
      </c>
      <c r="D8252" s="733">
        <v>-445700</v>
      </c>
      <c r="E8252" s="201">
        <v>45778</v>
      </c>
      <c r="F8252" s="200" t="s">
        <v>296</v>
      </c>
      <c r="G8252" s="200" t="s">
        <v>1980</v>
      </c>
      <c r="H8252" s="200" t="s">
        <v>490</v>
      </c>
    </row>
    <row r="8253" spans="1:8" ht="15" customHeight="1">
      <c r="A8253" s="199">
        <v>45797</v>
      </c>
      <c r="B8253" s="202" t="s">
        <v>6426</v>
      </c>
      <c r="C8253" s="200" t="s">
        <v>204</v>
      </c>
      <c r="D8253" s="733">
        <v>-906900</v>
      </c>
      <c r="E8253" s="201">
        <v>45778</v>
      </c>
      <c r="F8253" s="200" t="s">
        <v>296</v>
      </c>
      <c r="G8253" s="200" t="s">
        <v>1980</v>
      </c>
      <c r="H8253" s="200" t="s">
        <v>338</v>
      </c>
    </row>
    <row r="8254" spans="1:8" ht="15" customHeight="1">
      <c r="A8254" s="199">
        <v>45797</v>
      </c>
      <c r="B8254" s="202" t="s">
        <v>6427</v>
      </c>
      <c r="C8254" s="200" t="s">
        <v>204</v>
      </c>
      <c r="D8254" s="733">
        <v>-147100</v>
      </c>
      <c r="E8254" s="201">
        <v>45778</v>
      </c>
      <c r="F8254" s="200" t="s">
        <v>296</v>
      </c>
      <c r="G8254" s="200" t="s">
        <v>1980</v>
      </c>
      <c r="H8254" s="200" t="s">
        <v>490</v>
      </c>
    </row>
    <row r="8255" spans="1:8" ht="15" customHeight="1">
      <c r="A8255" s="199">
        <v>45797</v>
      </c>
      <c r="B8255" s="202" t="s">
        <v>6428</v>
      </c>
      <c r="C8255" s="200" t="s">
        <v>204</v>
      </c>
      <c r="D8255" s="733">
        <v>-284800</v>
      </c>
      <c r="E8255" s="201">
        <v>45778</v>
      </c>
      <c r="F8255" s="200" t="s">
        <v>296</v>
      </c>
      <c r="G8255" s="200" t="s">
        <v>522</v>
      </c>
      <c r="H8255" s="200" t="s">
        <v>429</v>
      </c>
    </row>
    <row r="8256" spans="1:8" ht="15" customHeight="1">
      <c r="A8256" s="199">
        <v>45797</v>
      </c>
      <c r="B8256" s="202" t="s">
        <v>6429</v>
      </c>
      <c r="C8256" s="200" t="s">
        <v>204</v>
      </c>
      <c r="D8256" s="733">
        <v>-455200</v>
      </c>
      <c r="E8256" s="201">
        <v>45778</v>
      </c>
      <c r="F8256" s="200" t="s">
        <v>296</v>
      </c>
      <c r="G8256" s="200" t="s">
        <v>522</v>
      </c>
      <c r="H8256" s="200" t="s">
        <v>429</v>
      </c>
    </row>
    <row r="8257" spans="1:8" ht="15" customHeight="1">
      <c r="A8257" s="199">
        <v>45797</v>
      </c>
      <c r="B8257" s="202" t="s">
        <v>6430</v>
      </c>
      <c r="C8257" s="200" t="s">
        <v>204</v>
      </c>
      <c r="D8257" s="733">
        <v>-452800</v>
      </c>
      <c r="E8257" s="201">
        <v>45778</v>
      </c>
      <c r="F8257" s="200" t="s">
        <v>296</v>
      </c>
      <c r="G8257" s="200" t="s">
        <v>522</v>
      </c>
      <c r="H8257" s="200" t="s">
        <v>429</v>
      </c>
    </row>
    <row r="8258" spans="1:8" ht="15" customHeight="1">
      <c r="A8258" s="199">
        <v>45797</v>
      </c>
      <c r="B8258" s="202" t="s">
        <v>6431</v>
      </c>
      <c r="C8258" s="200" t="s">
        <v>204</v>
      </c>
      <c r="D8258" s="733">
        <v>-774000</v>
      </c>
      <c r="E8258" s="201">
        <v>45778</v>
      </c>
      <c r="F8258" s="200" t="s">
        <v>296</v>
      </c>
      <c r="G8258" s="200" t="s">
        <v>522</v>
      </c>
      <c r="H8258" s="200" t="s">
        <v>429</v>
      </c>
    </row>
    <row r="8259" spans="1:8" ht="15" customHeight="1">
      <c r="A8259" s="199">
        <v>45797</v>
      </c>
      <c r="B8259" s="202" t="s">
        <v>6432</v>
      </c>
      <c r="C8259" s="200" t="s">
        <v>204</v>
      </c>
      <c r="D8259" s="733">
        <v>-452800</v>
      </c>
      <c r="E8259" s="201">
        <v>45778</v>
      </c>
      <c r="F8259" s="200" t="s">
        <v>296</v>
      </c>
      <c r="G8259" s="200" t="s">
        <v>522</v>
      </c>
      <c r="H8259" s="200" t="s">
        <v>429</v>
      </c>
    </row>
    <row r="8260" spans="1:8" ht="15" customHeight="1">
      <c r="A8260" s="199">
        <v>45797</v>
      </c>
      <c r="B8260" s="202" t="s">
        <v>6433</v>
      </c>
      <c r="C8260" s="200" t="s">
        <v>204</v>
      </c>
      <c r="D8260" s="733">
        <v>-450500</v>
      </c>
      <c r="E8260" s="201">
        <v>45778</v>
      </c>
      <c r="F8260" s="200" t="s">
        <v>296</v>
      </c>
      <c r="G8260" s="200" t="s">
        <v>522</v>
      </c>
      <c r="H8260" s="200" t="s">
        <v>429</v>
      </c>
    </row>
    <row r="8261" spans="1:8" ht="15" customHeight="1">
      <c r="A8261" s="199">
        <v>45797</v>
      </c>
      <c r="B8261" s="202" t="s">
        <v>6434</v>
      </c>
      <c r="C8261" s="200" t="s">
        <v>204</v>
      </c>
      <c r="D8261" s="733">
        <v>-455200</v>
      </c>
      <c r="E8261" s="201">
        <v>45778</v>
      </c>
      <c r="F8261" s="200" t="s">
        <v>296</v>
      </c>
      <c r="G8261" s="200" t="s">
        <v>522</v>
      </c>
      <c r="H8261" s="200" t="s">
        <v>429</v>
      </c>
    </row>
    <row r="8262" spans="1:8" ht="15" customHeight="1">
      <c r="A8262" s="199">
        <v>45797</v>
      </c>
      <c r="B8262" s="202" t="s">
        <v>6435</v>
      </c>
      <c r="C8262" s="200" t="s">
        <v>204</v>
      </c>
      <c r="D8262" s="733">
        <v>-455200</v>
      </c>
      <c r="E8262" s="201">
        <v>45778</v>
      </c>
      <c r="F8262" s="200" t="s">
        <v>296</v>
      </c>
      <c r="G8262" s="200" t="s">
        <v>522</v>
      </c>
      <c r="H8262" s="200" t="s">
        <v>429</v>
      </c>
    </row>
    <row r="8263" spans="1:8" ht="15" customHeight="1">
      <c r="A8263" s="199">
        <v>45797</v>
      </c>
      <c r="B8263" s="202" t="s">
        <v>6397</v>
      </c>
      <c r="C8263" s="200" t="s">
        <v>204</v>
      </c>
      <c r="D8263" s="733">
        <v>-464400</v>
      </c>
      <c r="E8263" s="201">
        <v>45778</v>
      </c>
      <c r="F8263" s="200" t="s">
        <v>296</v>
      </c>
      <c r="G8263" s="200" t="s">
        <v>522</v>
      </c>
      <c r="H8263" s="200" t="s">
        <v>338</v>
      </c>
    </row>
    <row r="8264" spans="1:8" ht="15" customHeight="1">
      <c r="A8264" s="199">
        <v>45797</v>
      </c>
      <c r="B8264" s="202" t="s">
        <v>6436</v>
      </c>
      <c r="C8264" s="200" t="s">
        <v>204</v>
      </c>
      <c r="D8264" s="733">
        <v>-540800</v>
      </c>
      <c r="E8264" s="201">
        <v>45778</v>
      </c>
      <c r="F8264" s="200" t="s">
        <v>296</v>
      </c>
      <c r="G8264" s="200" t="s">
        <v>522</v>
      </c>
      <c r="H8264" s="200" t="s">
        <v>429</v>
      </c>
    </row>
    <row r="8265" spans="1:8" ht="15" customHeight="1">
      <c r="A8265" s="199">
        <v>45797</v>
      </c>
      <c r="B8265" s="202" t="s">
        <v>6437</v>
      </c>
      <c r="C8265" s="200" t="s">
        <v>204</v>
      </c>
      <c r="D8265" s="733">
        <v>-452800</v>
      </c>
      <c r="E8265" s="201">
        <v>45778</v>
      </c>
      <c r="F8265" s="200" t="s">
        <v>296</v>
      </c>
      <c r="G8265" s="200" t="s">
        <v>522</v>
      </c>
      <c r="H8265" s="200" t="s">
        <v>429</v>
      </c>
    </row>
    <row r="8266" spans="1:8" ht="15" customHeight="1">
      <c r="A8266" s="199">
        <v>45797</v>
      </c>
      <c r="B8266" s="202" t="s">
        <v>6438</v>
      </c>
      <c r="C8266" s="200" t="s">
        <v>204</v>
      </c>
      <c r="D8266" s="733">
        <v>-412000</v>
      </c>
      <c r="E8266" s="201">
        <v>45778</v>
      </c>
      <c r="F8266" s="200" t="s">
        <v>296</v>
      </c>
      <c r="G8266" s="200" t="s">
        <v>522</v>
      </c>
      <c r="H8266" s="200" t="s">
        <v>429</v>
      </c>
    </row>
    <row r="8267" spans="1:8" ht="15" customHeight="1">
      <c r="A8267" s="199">
        <v>45797</v>
      </c>
      <c r="B8267" s="202" t="s">
        <v>6439</v>
      </c>
      <c r="C8267" s="200" t="s">
        <v>204</v>
      </c>
      <c r="D8267" s="733">
        <v>-455200</v>
      </c>
      <c r="E8267" s="201">
        <v>45778</v>
      </c>
      <c r="F8267" s="200" t="s">
        <v>296</v>
      </c>
      <c r="G8267" s="200" t="s">
        <v>522</v>
      </c>
      <c r="H8267" s="200" t="s">
        <v>429</v>
      </c>
    </row>
    <row r="8268" spans="1:8" ht="15" customHeight="1">
      <c r="A8268" s="199">
        <v>45797</v>
      </c>
      <c r="B8268" s="202" t="s">
        <v>6440</v>
      </c>
      <c r="C8268" s="200" t="s">
        <v>204</v>
      </c>
      <c r="D8268" s="733">
        <v>-440900</v>
      </c>
      <c r="E8268" s="201">
        <v>45778</v>
      </c>
      <c r="F8268" s="200" t="s">
        <v>296</v>
      </c>
      <c r="G8268" s="200" t="s">
        <v>522</v>
      </c>
      <c r="H8268" s="200" t="s">
        <v>429</v>
      </c>
    </row>
    <row r="8269" spans="1:8" ht="15" customHeight="1">
      <c r="A8269" s="199">
        <v>45797</v>
      </c>
      <c r="B8269" s="202" t="s">
        <v>6441</v>
      </c>
      <c r="C8269" s="200" t="s">
        <v>204</v>
      </c>
      <c r="D8269" s="733">
        <v>-440900</v>
      </c>
      <c r="E8269" s="201">
        <v>45778</v>
      </c>
      <c r="F8269" s="200" t="s">
        <v>296</v>
      </c>
      <c r="G8269" s="200" t="s">
        <v>522</v>
      </c>
      <c r="H8269" s="200" t="s">
        <v>429</v>
      </c>
    </row>
    <row r="8270" spans="1:8" ht="15" customHeight="1">
      <c r="A8270" s="199">
        <v>45797</v>
      </c>
      <c r="B8270" s="202" t="s">
        <v>6442</v>
      </c>
      <c r="C8270" s="200" t="s">
        <v>204</v>
      </c>
      <c r="D8270" s="733">
        <v>-396000</v>
      </c>
      <c r="E8270" s="201">
        <v>45778</v>
      </c>
      <c r="F8270" s="200" t="s">
        <v>296</v>
      </c>
      <c r="G8270" s="200" t="s">
        <v>522</v>
      </c>
      <c r="H8270" s="200" t="s">
        <v>429</v>
      </c>
    </row>
    <row r="8271" spans="1:8" ht="15" customHeight="1">
      <c r="A8271" s="199">
        <v>45797</v>
      </c>
      <c r="B8271" s="202" t="s">
        <v>6443</v>
      </c>
      <c r="C8271" s="200" t="s">
        <v>204</v>
      </c>
      <c r="D8271" s="733">
        <v>-442400</v>
      </c>
      <c r="E8271" s="201">
        <v>45778</v>
      </c>
      <c r="F8271" s="200" t="s">
        <v>296</v>
      </c>
      <c r="G8271" s="200" t="s">
        <v>522</v>
      </c>
      <c r="H8271" s="200" t="s">
        <v>429</v>
      </c>
    </row>
    <row r="8272" spans="1:8" ht="15" customHeight="1">
      <c r="A8272" s="199">
        <v>45797</v>
      </c>
      <c r="B8272" s="202" t="s">
        <v>6444</v>
      </c>
      <c r="C8272" s="200" t="s">
        <v>204</v>
      </c>
      <c r="D8272" s="733">
        <v>-443300</v>
      </c>
      <c r="E8272" s="201">
        <v>45778</v>
      </c>
      <c r="F8272" s="200" t="s">
        <v>296</v>
      </c>
      <c r="G8272" s="200" t="s">
        <v>522</v>
      </c>
      <c r="H8272" s="200" t="s">
        <v>429</v>
      </c>
    </row>
    <row r="8273" spans="1:8" ht="15" customHeight="1">
      <c r="A8273" s="199">
        <v>45797</v>
      </c>
      <c r="B8273" s="202" t="s">
        <v>6445</v>
      </c>
      <c r="C8273" s="200" t="s">
        <v>204</v>
      </c>
      <c r="D8273" s="733">
        <v>-284800</v>
      </c>
      <c r="E8273" s="201">
        <v>45778</v>
      </c>
      <c r="F8273" s="200" t="s">
        <v>296</v>
      </c>
      <c r="G8273" s="200" t="s">
        <v>522</v>
      </c>
      <c r="H8273" s="200" t="s">
        <v>429</v>
      </c>
    </row>
    <row r="8274" spans="1:8" ht="15" customHeight="1">
      <c r="A8274" s="199">
        <v>45797</v>
      </c>
      <c r="B8274" s="202" t="s">
        <v>6446</v>
      </c>
      <c r="C8274" s="200" t="s">
        <v>204</v>
      </c>
      <c r="D8274" s="733">
        <v>-455200</v>
      </c>
      <c r="E8274" s="201">
        <v>45778</v>
      </c>
      <c r="F8274" s="200" t="s">
        <v>296</v>
      </c>
      <c r="G8274" s="200" t="s">
        <v>522</v>
      </c>
      <c r="H8274" s="200" t="s">
        <v>429</v>
      </c>
    </row>
    <row r="8275" spans="1:8" ht="15" customHeight="1">
      <c r="A8275" s="199">
        <v>45797</v>
      </c>
      <c r="B8275" s="202" t="s">
        <v>6447</v>
      </c>
      <c r="C8275" s="200" t="s">
        <v>204</v>
      </c>
      <c r="D8275" s="733">
        <v>-452800</v>
      </c>
      <c r="E8275" s="201">
        <v>45778</v>
      </c>
      <c r="F8275" s="200" t="s">
        <v>296</v>
      </c>
      <c r="G8275" s="200" t="s">
        <v>522</v>
      </c>
      <c r="H8275" s="200" t="s">
        <v>429</v>
      </c>
    </row>
    <row r="8276" spans="1:8" ht="15" customHeight="1">
      <c r="A8276" s="199">
        <v>45797</v>
      </c>
      <c r="B8276" s="202" t="s">
        <v>6448</v>
      </c>
      <c r="C8276" s="200" t="s">
        <v>204</v>
      </c>
      <c r="D8276" s="733">
        <v>-452800</v>
      </c>
      <c r="E8276" s="201">
        <v>45778</v>
      </c>
      <c r="F8276" s="200" t="s">
        <v>296</v>
      </c>
      <c r="G8276" s="200" t="s">
        <v>522</v>
      </c>
      <c r="H8276" s="200" t="s">
        <v>429</v>
      </c>
    </row>
    <row r="8277" spans="1:8" ht="15" customHeight="1">
      <c r="A8277" s="199">
        <v>45797</v>
      </c>
      <c r="B8277" s="202" t="s">
        <v>6449</v>
      </c>
      <c r="C8277" s="200" t="s">
        <v>204</v>
      </c>
      <c r="D8277" s="733">
        <v>-455200</v>
      </c>
      <c r="E8277" s="201">
        <v>45778</v>
      </c>
      <c r="F8277" s="200" t="s">
        <v>296</v>
      </c>
      <c r="G8277" s="200" t="s">
        <v>522</v>
      </c>
      <c r="H8277" s="200" t="s">
        <v>429</v>
      </c>
    </row>
    <row r="8278" spans="1:8" ht="15" customHeight="1">
      <c r="A8278" s="199">
        <v>45797</v>
      </c>
      <c r="B8278" s="202" t="s">
        <v>6450</v>
      </c>
      <c r="C8278" s="200" t="s">
        <v>204</v>
      </c>
      <c r="D8278" s="733">
        <v>-452800</v>
      </c>
      <c r="E8278" s="201">
        <v>45778</v>
      </c>
      <c r="F8278" s="200" t="s">
        <v>296</v>
      </c>
      <c r="G8278" s="200" t="s">
        <v>522</v>
      </c>
      <c r="H8278" s="200" t="s">
        <v>429</v>
      </c>
    </row>
    <row r="8279" spans="1:8" ht="15" customHeight="1">
      <c r="A8279" s="199">
        <v>45797</v>
      </c>
      <c r="B8279" s="202" t="s">
        <v>6451</v>
      </c>
      <c r="C8279" s="200" t="s">
        <v>204</v>
      </c>
      <c r="D8279" s="733">
        <v>-928800</v>
      </c>
      <c r="E8279" s="201">
        <v>45778</v>
      </c>
      <c r="F8279" s="200" t="s">
        <v>296</v>
      </c>
      <c r="G8279" s="200" t="s">
        <v>522</v>
      </c>
      <c r="H8279" s="200" t="s">
        <v>338</v>
      </c>
    </row>
    <row r="8280" spans="1:8" ht="15" customHeight="1">
      <c r="A8280" s="199">
        <v>45797</v>
      </c>
      <c r="B8280" s="202" t="s">
        <v>6452</v>
      </c>
      <c r="C8280" s="200" t="s">
        <v>204</v>
      </c>
      <c r="D8280" s="733">
        <v>-455200</v>
      </c>
      <c r="E8280" s="201">
        <v>45778</v>
      </c>
      <c r="F8280" s="200" t="s">
        <v>296</v>
      </c>
      <c r="G8280" s="200" t="s">
        <v>522</v>
      </c>
      <c r="H8280" s="200" t="s">
        <v>429</v>
      </c>
    </row>
    <row r="8281" spans="1:8" ht="15" customHeight="1">
      <c r="A8281" s="199">
        <v>45797</v>
      </c>
      <c r="B8281" s="202" t="s">
        <v>6453</v>
      </c>
      <c r="C8281" s="200" t="s">
        <v>204</v>
      </c>
      <c r="D8281" s="733">
        <v>-445700</v>
      </c>
      <c r="E8281" s="201">
        <v>45778</v>
      </c>
      <c r="F8281" s="200" t="s">
        <v>296</v>
      </c>
      <c r="G8281" s="200" t="s">
        <v>522</v>
      </c>
      <c r="H8281" s="200" t="s">
        <v>429</v>
      </c>
    </row>
    <row r="8282" spans="1:8" ht="15" customHeight="1">
      <c r="A8282" s="199">
        <v>45797</v>
      </c>
      <c r="B8282" s="202" t="s">
        <v>6454</v>
      </c>
      <c r="C8282" s="200" t="s">
        <v>204</v>
      </c>
      <c r="D8282" s="733">
        <v>-455200</v>
      </c>
      <c r="E8282" s="201">
        <v>45778</v>
      </c>
      <c r="F8282" s="200" t="s">
        <v>296</v>
      </c>
      <c r="G8282" s="200" t="s">
        <v>522</v>
      </c>
      <c r="H8282" s="200" t="s">
        <v>429</v>
      </c>
    </row>
    <row r="8283" spans="1:8" ht="15" customHeight="1">
      <c r="A8283" s="199">
        <v>45797</v>
      </c>
      <c r="B8283" s="202" t="s">
        <v>6455</v>
      </c>
      <c r="C8283" s="200" t="s">
        <v>204</v>
      </c>
      <c r="D8283" s="733">
        <v>-657800</v>
      </c>
      <c r="E8283" s="201">
        <v>45778</v>
      </c>
      <c r="F8283" s="200" t="s">
        <v>296</v>
      </c>
      <c r="G8283" s="200" t="s">
        <v>1311</v>
      </c>
      <c r="H8283" s="200" t="s">
        <v>342</v>
      </c>
    </row>
    <row r="8284" spans="1:8" ht="15" customHeight="1">
      <c r="A8284" s="199">
        <v>45797</v>
      </c>
      <c r="B8284" s="202" t="s">
        <v>6456</v>
      </c>
      <c r="C8284" s="200" t="s">
        <v>204</v>
      </c>
      <c r="D8284" s="733">
        <v>-440900</v>
      </c>
      <c r="E8284" s="201">
        <v>45778</v>
      </c>
      <c r="F8284" s="200" t="s">
        <v>296</v>
      </c>
      <c r="G8284" s="200" t="s">
        <v>1311</v>
      </c>
      <c r="H8284" s="200" t="s">
        <v>342</v>
      </c>
    </row>
    <row r="8285" spans="1:8" ht="15" customHeight="1">
      <c r="A8285" s="199">
        <v>45797</v>
      </c>
      <c r="B8285" s="202" t="s">
        <v>6457</v>
      </c>
      <c r="C8285" s="200" t="s">
        <v>204</v>
      </c>
      <c r="D8285" s="733">
        <v>-437600</v>
      </c>
      <c r="E8285" s="201">
        <v>45778</v>
      </c>
      <c r="F8285" s="200" t="s">
        <v>296</v>
      </c>
      <c r="G8285" s="200" t="s">
        <v>1311</v>
      </c>
      <c r="H8285" s="200" t="s">
        <v>342</v>
      </c>
    </row>
    <row r="8286" spans="1:8" ht="15" customHeight="1">
      <c r="A8286" s="199">
        <v>45797</v>
      </c>
      <c r="B8286" s="202" t="s">
        <v>6458</v>
      </c>
      <c r="C8286" s="200" t="s">
        <v>204</v>
      </c>
      <c r="D8286" s="733">
        <v>-440900</v>
      </c>
      <c r="E8286" s="201">
        <v>45778</v>
      </c>
      <c r="F8286" s="200" t="s">
        <v>296</v>
      </c>
      <c r="G8286" s="200" t="s">
        <v>1311</v>
      </c>
      <c r="H8286" s="200" t="s">
        <v>342</v>
      </c>
    </row>
    <row r="8287" spans="1:8" ht="15" customHeight="1">
      <c r="A8287" s="199">
        <v>45797</v>
      </c>
      <c r="B8287" s="202" t="s">
        <v>6459</v>
      </c>
      <c r="C8287" s="200" t="s">
        <v>204</v>
      </c>
      <c r="D8287" s="733">
        <v>-440900</v>
      </c>
      <c r="E8287" s="201">
        <v>45778</v>
      </c>
      <c r="F8287" s="200" t="s">
        <v>296</v>
      </c>
      <c r="G8287" s="200" t="s">
        <v>1311</v>
      </c>
      <c r="H8287" s="200" t="s">
        <v>342</v>
      </c>
    </row>
    <row r="8288" spans="1:8" ht="15" customHeight="1">
      <c r="A8288" s="199">
        <v>45797</v>
      </c>
      <c r="B8288" s="202" t="s">
        <v>6460</v>
      </c>
      <c r="C8288" s="200" t="s">
        <v>204</v>
      </c>
      <c r="D8288" s="733">
        <v>-425300</v>
      </c>
      <c r="E8288" s="201">
        <v>45778</v>
      </c>
      <c r="F8288" s="200" t="s">
        <v>395</v>
      </c>
      <c r="G8288" s="531" t="s">
        <v>395</v>
      </c>
      <c r="H8288" s="200" t="s">
        <v>342</v>
      </c>
    </row>
    <row r="8289" spans="1:8" ht="15" customHeight="1">
      <c r="A8289" s="199">
        <v>45797</v>
      </c>
      <c r="B8289" s="202" t="s">
        <v>6461</v>
      </c>
      <c r="C8289" s="200" t="s">
        <v>204</v>
      </c>
      <c r="D8289" s="733">
        <v>-772500</v>
      </c>
      <c r="E8289" s="201">
        <v>45778</v>
      </c>
      <c r="F8289" s="200" t="s">
        <v>297</v>
      </c>
      <c r="G8289" s="200" t="s">
        <v>3892</v>
      </c>
      <c r="H8289" s="200" t="s">
        <v>342</v>
      </c>
    </row>
    <row r="8290" spans="1:8" ht="15" customHeight="1">
      <c r="A8290" s="199">
        <v>45797</v>
      </c>
      <c r="B8290" s="202" t="s">
        <v>6462</v>
      </c>
      <c r="C8290" s="200" t="s">
        <v>204</v>
      </c>
      <c r="D8290" s="733">
        <v>-495400</v>
      </c>
      <c r="E8290" s="201">
        <v>45778</v>
      </c>
      <c r="F8290" s="200" t="s">
        <v>297</v>
      </c>
      <c r="G8290" s="200" t="s">
        <v>3892</v>
      </c>
      <c r="H8290" s="200" t="s">
        <v>342</v>
      </c>
    </row>
    <row r="8291" spans="1:8" ht="15" customHeight="1">
      <c r="A8291" s="199">
        <v>45797</v>
      </c>
      <c r="B8291" s="202" t="s">
        <v>6463</v>
      </c>
      <c r="C8291" s="200" t="s">
        <v>204</v>
      </c>
      <c r="D8291" s="733">
        <v>-440900</v>
      </c>
      <c r="E8291" s="201">
        <v>45778</v>
      </c>
      <c r="F8291" s="200" t="s">
        <v>297</v>
      </c>
      <c r="G8291" s="200" t="s">
        <v>3892</v>
      </c>
      <c r="H8291" s="200" t="s">
        <v>342</v>
      </c>
    </row>
    <row r="8292" spans="1:8" ht="15" customHeight="1">
      <c r="A8292" s="199">
        <v>45797</v>
      </c>
      <c r="B8292" s="202" t="s">
        <v>6464</v>
      </c>
      <c r="C8292" s="200" t="s">
        <v>204</v>
      </c>
      <c r="D8292" s="733">
        <v>-772500</v>
      </c>
      <c r="E8292" s="201">
        <v>45778</v>
      </c>
      <c r="F8292" s="200" t="s">
        <v>296</v>
      </c>
      <c r="G8292" s="200" t="s">
        <v>328</v>
      </c>
      <c r="H8292" s="200" t="s">
        <v>342</v>
      </c>
    </row>
    <row r="8293" spans="1:8" ht="15" customHeight="1">
      <c r="A8293" s="199">
        <v>45797</v>
      </c>
      <c r="B8293" s="202" t="s">
        <v>6465</v>
      </c>
      <c r="C8293" s="200" t="s">
        <v>204</v>
      </c>
      <c r="D8293" s="733">
        <v>-440900</v>
      </c>
      <c r="E8293" s="201">
        <v>45778</v>
      </c>
      <c r="F8293" s="200" t="s">
        <v>296</v>
      </c>
      <c r="G8293" s="200" t="s">
        <v>328</v>
      </c>
      <c r="H8293" s="200" t="s">
        <v>342</v>
      </c>
    </row>
    <row r="8294" spans="1:8" ht="15" customHeight="1">
      <c r="A8294" s="199">
        <v>45797</v>
      </c>
      <c r="B8294" s="202" t="s">
        <v>6466</v>
      </c>
      <c r="C8294" s="200" t="s">
        <v>204</v>
      </c>
      <c r="D8294" s="733">
        <v>-440900</v>
      </c>
      <c r="E8294" s="201">
        <v>45778</v>
      </c>
      <c r="F8294" s="200" t="s">
        <v>296</v>
      </c>
      <c r="G8294" s="200" t="s">
        <v>328</v>
      </c>
      <c r="H8294" s="200" t="s">
        <v>342</v>
      </c>
    </row>
    <row r="8295" spans="1:8" ht="15" customHeight="1">
      <c r="A8295" s="199">
        <v>45797</v>
      </c>
      <c r="B8295" s="202" t="s">
        <v>6467</v>
      </c>
      <c r="C8295" s="200" t="s">
        <v>204</v>
      </c>
      <c r="D8295" s="733">
        <v>-495400</v>
      </c>
      <c r="E8295" s="201">
        <v>45778</v>
      </c>
      <c r="F8295" s="200" t="s">
        <v>296</v>
      </c>
      <c r="G8295" s="200" t="s">
        <v>328</v>
      </c>
      <c r="H8295" s="200" t="s">
        <v>342</v>
      </c>
    </row>
    <row r="8296" spans="1:8" ht="15" customHeight="1">
      <c r="A8296" s="199">
        <v>45797</v>
      </c>
      <c r="B8296" s="202" t="s">
        <v>6468</v>
      </c>
      <c r="C8296" s="200" t="s">
        <v>204</v>
      </c>
      <c r="D8296" s="733">
        <v>-437600</v>
      </c>
      <c r="E8296" s="201">
        <v>45778</v>
      </c>
      <c r="F8296" s="200" t="s">
        <v>296</v>
      </c>
      <c r="G8296" s="200" t="s">
        <v>328</v>
      </c>
      <c r="H8296" s="200" t="s">
        <v>342</v>
      </c>
    </row>
    <row r="8297" spans="1:8" ht="15" customHeight="1">
      <c r="A8297" s="199">
        <v>45797</v>
      </c>
      <c r="B8297" s="202" t="s">
        <v>6469</v>
      </c>
      <c r="C8297" s="200" t="s">
        <v>204</v>
      </c>
      <c r="D8297" s="733">
        <v>-546800</v>
      </c>
      <c r="E8297" s="201">
        <v>45778</v>
      </c>
      <c r="F8297" s="200" t="s">
        <v>296</v>
      </c>
      <c r="G8297" s="200" t="s">
        <v>1362</v>
      </c>
      <c r="H8297" s="200" t="s">
        <v>342</v>
      </c>
    </row>
    <row r="8298" spans="1:8" ht="15" customHeight="1">
      <c r="A8298" s="199">
        <v>45797</v>
      </c>
      <c r="B8298" s="202" t="s">
        <v>6470</v>
      </c>
      <c r="C8298" s="200" t="s">
        <v>204</v>
      </c>
      <c r="D8298" s="733">
        <v>-876000</v>
      </c>
      <c r="E8298" s="201">
        <v>45778</v>
      </c>
      <c r="F8298" s="200" t="s">
        <v>296</v>
      </c>
      <c r="G8298" s="200" t="s">
        <v>1362</v>
      </c>
      <c r="H8298" s="200" t="s">
        <v>342</v>
      </c>
    </row>
    <row r="8299" spans="1:8" ht="15" customHeight="1">
      <c r="A8299" s="199">
        <v>45797</v>
      </c>
      <c r="B8299" s="202" t="s">
        <v>6471</v>
      </c>
      <c r="C8299" s="200" t="s">
        <v>204</v>
      </c>
      <c r="D8299" s="733">
        <v>-554100</v>
      </c>
      <c r="E8299" s="201">
        <v>45778</v>
      </c>
      <c r="F8299" s="200" t="s">
        <v>296</v>
      </c>
      <c r="G8299" s="200" t="s">
        <v>1362</v>
      </c>
      <c r="H8299" s="200" t="s">
        <v>342</v>
      </c>
    </row>
    <row r="8300" spans="1:8" ht="15" customHeight="1">
      <c r="A8300" s="199">
        <v>45797</v>
      </c>
      <c r="B8300" s="202" t="s">
        <v>6472</v>
      </c>
      <c r="C8300" s="200" t="s">
        <v>204</v>
      </c>
      <c r="D8300" s="733">
        <v>-546800</v>
      </c>
      <c r="E8300" s="201">
        <v>45778</v>
      </c>
      <c r="F8300" s="200" t="s">
        <v>296</v>
      </c>
      <c r="G8300" s="200" t="s">
        <v>1362</v>
      </c>
      <c r="H8300" s="200" t="s">
        <v>342</v>
      </c>
    </row>
    <row r="8301" spans="1:8" ht="15" customHeight="1">
      <c r="A8301" s="199">
        <v>45797</v>
      </c>
      <c r="B8301" s="202" t="s">
        <v>6473</v>
      </c>
      <c r="C8301" s="200" t="s">
        <v>204</v>
      </c>
      <c r="D8301" s="733">
        <v>-220450</v>
      </c>
      <c r="E8301" s="201">
        <v>45778</v>
      </c>
      <c r="F8301" s="200" t="s">
        <v>297</v>
      </c>
      <c r="G8301" s="200" t="s">
        <v>3892</v>
      </c>
      <c r="H8301" s="200" t="s">
        <v>342</v>
      </c>
    </row>
    <row r="8302" spans="1:8" ht="15" customHeight="1">
      <c r="A8302" s="199">
        <v>45797</v>
      </c>
      <c r="B8302" s="202" t="s">
        <v>6473</v>
      </c>
      <c r="C8302" s="200" t="s">
        <v>204</v>
      </c>
      <c r="D8302" s="733">
        <v>-220450</v>
      </c>
      <c r="E8302" s="201">
        <v>45778</v>
      </c>
      <c r="F8302" s="200" t="s">
        <v>297</v>
      </c>
      <c r="G8302" s="200" t="s">
        <v>1578</v>
      </c>
      <c r="H8302" s="200" t="s">
        <v>342</v>
      </c>
    </row>
    <row r="8303" spans="1:8" ht="15" customHeight="1">
      <c r="A8303" s="199">
        <v>45797</v>
      </c>
      <c r="B8303" s="202" t="s">
        <v>6474</v>
      </c>
      <c r="C8303" s="200" t="s">
        <v>204</v>
      </c>
      <c r="D8303" s="733">
        <v>-220450</v>
      </c>
      <c r="E8303" s="201">
        <v>45778</v>
      </c>
      <c r="F8303" s="200" t="s">
        <v>297</v>
      </c>
      <c r="G8303" s="200" t="s">
        <v>3892</v>
      </c>
      <c r="H8303" s="200" t="s">
        <v>342</v>
      </c>
    </row>
    <row r="8304" spans="1:8" ht="15" customHeight="1">
      <c r="A8304" s="199">
        <v>45797</v>
      </c>
      <c r="B8304" s="202" t="s">
        <v>6474</v>
      </c>
      <c r="C8304" s="200" t="s">
        <v>204</v>
      </c>
      <c r="D8304" s="733">
        <v>-220450</v>
      </c>
      <c r="E8304" s="201">
        <v>45778</v>
      </c>
      <c r="F8304" s="200" t="s">
        <v>297</v>
      </c>
      <c r="G8304" s="200" t="s">
        <v>1578</v>
      </c>
      <c r="H8304" s="200" t="s">
        <v>342</v>
      </c>
    </row>
    <row r="8305" spans="1:9" ht="15" customHeight="1">
      <c r="A8305" s="199">
        <v>45797</v>
      </c>
      <c r="B8305" s="202" t="s">
        <v>6475</v>
      </c>
      <c r="C8305" s="200" t="s">
        <v>204</v>
      </c>
      <c r="D8305" s="733">
        <v>-191100</v>
      </c>
      <c r="E8305" s="201">
        <v>45778</v>
      </c>
      <c r="F8305" s="200" t="s">
        <v>297</v>
      </c>
      <c r="G8305" s="200" t="s">
        <v>1578</v>
      </c>
      <c r="H8305" s="200" t="s">
        <v>342</v>
      </c>
      <c r="I8305" s="648" t="s">
        <v>329</v>
      </c>
    </row>
    <row r="8306" spans="1:9" ht="15" customHeight="1">
      <c r="A8306" s="199">
        <v>45797</v>
      </c>
      <c r="B8306" s="202" t="s">
        <v>6476</v>
      </c>
      <c r="C8306" s="200" t="s">
        <v>204</v>
      </c>
      <c r="D8306" s="733">
        <v>-323400</v>
      </c>
      <c r="E8306" s="201">
        <v>45778</v>
      </c>
      <c r="F8306" s="200" t="s">
        <v>296</v>
      </c>
      <c r="G8306" s="200" t="s">
        <v>1980</v>
      </c>
      <c r="H8306" s="200" t="s">
        <v>490</v>
      </c>
    </row>
    <row r="8307" spans="1:9" ht="15" customHeight="1">
      <c r="A8307" s="199">
        <v>45797</v>
      </c>
      <c r="B8307" s="202" t="s">
        <v>6477</v>
      </c>
      <c r="C8307" s="200" t="s">
        <v>204</v>
      </c>
      <c r="D8307" s="733">
        <v>-276600</v>
      </c>
      <c r="E8307" s="201">
        <v>45778</v>
      </c>
      <c r="F8307" s="200" t="s">
        <v>296</v>
      </c>
      <c r="G8307" s="200" t="s">
        <v>1980</v>
      </c>
      <c r="H8307" s="200" t="s">
        <v>490</v>
      </c>
    </row>
    <row r="8308" spans="1:9" ht="15" customHeight="1">
      <c r="A8308" s="199">
        <v>45797</v>
      </c>
      <c r="B8308" s="202" t="s">
        <v>6478</v>
      </c>
      <c r="C8308" s="200" t="s">
        <v>204</v>
      </c>
      <c r="D8308" s="733">
        <v>-323400</v>
      </c>
      <c r="E8308" s="201">
        <v>45778</v>
      </c>
      <c r="F8308" s="200" t="s">
        <v>296</v>
      </c>
      <c r="G8308" s="200" t="s">
        <v>1980</v>
      </c>
      <c r="H8308" s="200" t="s">
        <v>490</v>
      </c>
    </row>
    <row r="8309" spans="1:9" ht="15" customHeight="1">
      <c r="A8309" s="199">
        <v>45797</v>
      </c>
      <c r="B8309" s="202" t="s">
        <v>6479</v>
      </c>
      <c r="C8309" s="200" t="s">
        <v>204</v>
      </c>
      <c r="D8309" s="733">
        <v>-323400</v>
      </c>
      <c r="E8309" s="201">
        <v>45778</v>
      </c>
      <c r="F8309" s="200" t="s">
        <v>296</v>
      </c>
      <c r="G8309" s="200" t="s">
        <v>1980</v>
      </c>
      <c r="H8309" s="200" t="s">
        <v>490</v>
      </c>
    </row>
    <row r="8310" spans="1:9" ht="15" customHeight="1">
      <c r="A8310" s="199">
        <v>45797</v>
      </c>
      <c r="B8310" s="202" t="s">
        <v>6480</v>
      </c>
      <c r="C8310" s="200" t="s">
        <v>204</v>
      </c>
      <c r="D8310" s="733">
        <v>-323400</v>
      </c>
      <c r="E8310" s="201">
        <v>45778</v>
      </c>
      <c r="F8310" s="200" t="s">
        <v>296</v>
      </c>
      <c r="G8310" s="200" t="s">
        <v>1980</v>
      </c>
      <c r="H8310" s="200" t="s">
        <v>490</v>
      </c>
    </row>
    <row r="8311" spans="1:9" ht="15" customHeight="1">
      <c r="A8311" s="199">
        <v>45797</v>
      </c>
      <c r="B8311" s="202" t="s">
        <v>6481</v>
      </c>
      <c r="C8311" s="200" t="s">
        <v>204</v>
      </c>
      <c r="D8311" s="733">
        <v>-323400</v>
      </c>
      <c r="E8311" s="201">
        <v>45778</v>
      </c>
      <c r="F8311" s="200" t="s">
        <v>296</v>
      </c>
      <c r="G8311" s="200" t="s">
        <v>1980</v>
      </c>
      <c r="H8311" s="200" t="s">
        <v>490</v>
      </c>
    </row>
    <row r="8312" spans="1:9" ht="15" customHeight="1">
      <c r="A8312" s="199">
        <v>45797</v>
      </c>
      <c r="B8312" s="202" t="s">
        <v>6482</v>
      </c>
      <c r="C8312" s="200" t="s">
        <v>204</v>
      </c>
      <c r="D8312" s="733">
        <v>-323400</v>
      </c>
      <c r="E8312" s="201">
        <v>45778</v>
      </c>
      <c r="F8312" s="200" t="s">
        <v>296</v>
      </c>
      <c r="G8312" s="200" t="s">
        <v>1980</v>
      </c>
      <c r="H8312" s="200" t="s">
        <v>490</v>
      </c>
    </row>
    <row r="8313" spans="1:9" ht="15" customHeight="1">
      <c r="A8313" s="199">
        <v>45797</v>
      </c>
      <c r="B8313" s="202" t="s">
        <v>6483</v>
      </c>
      <c r="C8313" s="200" t="s">
        <v>204</v>
      </c>
      <c r="D8313" s="733">
        <v>-103000</v>
      </c>
      <c r="E8313" s="201">
        <v>45778</v>
      </c>
      <c r="F8313" s="200" t="s">
        <v>296</v>
      </c>
      <c r="G8313" s="200" t="s">
        <v>1980</v>
      </c>
      <c r="H8313" s="200" t="s">
        <v>429</v>
      </c>
    </row>
    <row r="8314" spans="1:9" ht="15" customHeight="1">
      <c r="A8314" s="199">
        <v>45797</v>
      </c>
      <c r="B8314" s="202" t="s">
        <v>6484</v>
      </c>
      <c r="C8314" s="200" t="s">
        <v>204</v>
      </c>
      <c r="D8314" s="733">
        <v>-103000</v>
      </c>
      <c r="E8314" s="201">
        <v>45778</v>
      </c>
      <c r="F8314" s="200" t="s">
        <v>296</v>
      </c>
      <c r="G8314" s="200" t="s">
        <v>1980</v>
      </c>
      <c r="H8314" s="200" t="s">
        <v>429</v>
      </c>
    </row>
    <row r="8315" spans="1:9" ht="15" customHeight="1">
      <c r="A8315" s="199">
        <v>45797</v>
      </c>
      <c r="B8315" s="202" t="s">
        <v>6485</v>
      </c>
      <c r="C8315" s="200" t="s">
        <v>204</v>
      </c>
      <c r="D8315" s="733">
        <v>-103000</v>
      </c>
      <c r="E8315" s="201">
        <v>45778</v>
      </c>
      <c r="F8315" s="200" t="s">
        <v>296</v>
      </c>
      <c r="G8315" s="200" t="s">
        <v>1980</v>
      </c>
      <c r="H8315" s="200" t="s">
        <v>1213</v>
      </c>
    </row>
    <row r="8316" spans="1:9" ht="15" customHeight="1">
      <c r="A8316" s="199">
        <v>45797</v>
      </c>
      <c r="B8316" s="202" t="s">
        <v>6486</v>
      </c>
      <c r="C8316" s="200" t="s">
        <v>204</v>
      </c>
      <c r="D8316" s="733">
        <v>-103000</v>
      </c>
      <c r="E8316" s="201">
        <v>45778</v>
      </c>
      <c r="F8316" s="200" t="s">
        <v>296</v>
      </c>
      <c r="G8316" s="200" t="s">
        <v>1980</v>
      </c>
      <c r="H8316" s="200" t="s">
        <v>1213</v>
      </c>
    </row>
    <row r="8317" spans="1:9" ht="15" customHeight="1">
      <c r="A8317" s="199">
        <v>45797</v>
      </c>
      <c r="B8317" s="202" t="s">
        <v>6487</v>
      </c>
      <c r="C8317" s="200" t="s">
        <v>204</v>
      </c>
      <c r="D8317" s="733">
        <v>-103000</v>
      </c>
      <c r="E8317" s="201">
        <v>45778</v>
      </c>
      <c r="F8317" s="200" t="s">
        <v>296</v>
      </c>
      <c r="G8317" s="200" t="s">
        <v>1980</v>
      </c>
      <c r="H8317" s="200" t="s">
        <v>1213</v>
      </c>
    </row>
    <row r="8318" spans="1:9" ht="15" customHeight="1">
      <c r="A8318" s="199">
        <v>45797</v>
      </c>
      <c r="B8318" s="202" t="s">
        <v>6488</v>
      </c>
      <c r="C8318" s="200" t="s">
        <v>204</v>
      </c>
      <c r="D8318" s="733">
        <v>-103000</v>
      </c>
      <c r="E8318" s="201">
        <v>45778</v>
      </c>
      <c r="F8318" s="200" t="s">
        <v>296</v>
      </c>
      <c r="G8318" s="200" t="s">
        <v>1980</v>
      </c>
      <c r="H8318" s="200" t="s">
        <v>1213</v>
      </c>
    </row>
    <row r="8319" spans="1:9" ht="15" customHeight="1">
      <c r="A8319" s="199">
        <v>45797</v>
      </c>
      <c r="B8319" s="202" t="s">
        <v>6489</v>
      </c>
      <c r="C8319" s="200" t="s">
        <v>204</v>
      </c>
      <c r="D8319" s="733">
        <v>-103000</v>
      </c>
      <c r="E8319" s="201">
        <v>45778</v>
      </c>
      <c r="F8319" s="200" t="s">
        <v>296</v>
      </c>
      <c r="G8319" s="200" t="s">
        <v>1980</v>
      </c>
      <c r="H8319" s="200" t="s">
        <v>1213</v>
      </c>
    </row>
    <row r="8320" spans="1:9" ht="15" customHeight="1">
      <c r="A8320" s="199">
        <v>45797</v>
      </c>
      <c r="B8320" s="202" t="s">
        <v>6490</v>
      </c>
      <c r="C8320" s="200" t="s">
        <v>204</v>
      </c>
      <c r="D8320" s="733">
        <v>-103000</v>
      </c>
      <c r="E8320" s="201">
        <v>45778</v>
      </c>
      <c r="F8320" s="200" t="s">
        <v>296</v>
      </c>
      <c r="G8320" s="200" t="s">
        <v>1980</v>
      </c>
      <c r="H8320" s="200" t="s">
        <v>1213</v>
      </c>
    </row>
    <row r="8321" spans="1:9" ht="15" customHeight="1">
      <c r="A8321" s="199">
        <v>45797</v>
      </c>
      <c r="B8321" s="202" t="s">
        <v>6491</v>
      </c>
      <c r="C8321" s="200" t="s">
        <v>204</v>
      </c>
      <c r="D8321" s="733">
        <v>-103000</v>
      </c>
      <c r="E8321" s="201">
        <v>45778</v>
      </c>
      <c r="F8321" s="200" t="s">
        <v>296</v>
      </c>
      <c r="G8321" s="200" t="s">
        <v>1980</v>
      </c>
      <c r="H8321" s="200" t="s">
        <v>429</v>
      </c>
    </row>
    <row r="8322" spans="1:9" ht="15" customHeight="1">
      <c r="A8322" s="199">
        <v>45797</v>
      </c>
      <c r="B8322" s="202" t="s">
        <v>6492</v>
      </c>
      <c r="C8322" s="200" t="s">
        <v>204</v>
      </c>
      <c r="D8322" s="733">
        <v>-44200</v>
      </c>
      <c r="E8322" s="201">
        <v>45778</v>
      </c>
      <c r="F8322" s="200" t="s">
        <v>296</v>
      </c>
      <c r="G8322" s="200" t="s">
        <v>1980</v>
      </c>
      <c r="H8322" s="200" t="s">
        <v>429</v>
      </c>
    </row>
    <row r="8323" spans="1:9" ht="15" customHeight="1">
      <c r="A8323" s="199">
        <v>45797</v>
      </c>
      <c r="B8323" s="202" t="s">
        <v>6493</v>
      </c>
      <c r="C8323" s="200" t="s">
        <v>204</v>
      </c>
      <c r="D8323" s="733">
        <v>-44200</v>
      </c>
      <c r="E8323" s="201">
        <v>45778</v>
      </c>
      <c r="F8323" s="200" t="s">
        <v>296</v>
      </c>
      <c r="G8323" s="200" t="s">
        <v>1980</v>
      </c>
      <c r="H8323" s="200" t="s">
        <v>429</v>
      </c>
    </row>
    <row r="8324" spans="1:9" ht="15" customHeight="1">
      <c r="A8324" s="199">
        <v>45797</v>
      </c>
      <c r="B8324" s="202" t="s">
        <v>6494</v>
      </c>
      <c r="C8324" s="200" t="s">
        <v>204</v>
      </c>
      <c r="D8324" s="733">
        <v>-130320</v>
      </c>
      <c r="E8324" s="201">
        <v>45778</v>
      </c>
      <c r="F8324" s="200" t="s">
        <v>296</v>
      </c>
      <c r="G8324" s="200" t="s">
        <v>328</v>
      </c>
      <c r="H8324" s="200" t="s">
        <v>567</v>
      </c>
    </row>
    <row r="8325" spans="1:9" ht="15" customHeight="1">
      <c r="A8325" s="199">
        <v>45797</v>
      </c>
      <c r="B8325" s="202" t="s">
        <v>6494</v>
      </c>
      <c r="C8325" s="200" t="s">
        <v>204</v>
      </c>
      <c r="D8325" s="733">
        <v>-65160</v>
      </c>
      <c r="E8325" s="201">
        <v>45778</v>
      </c>
      <c r="F8325" s="200" t="s">
        <v>296</v>
      </c>
      <c r="G8325" s="200" t="s">
        <v>2994</v>
      </c>
      <c r="H8325" s="200" t="s">
        <v>567</v>
      </c>
    </row>
    <row r="8326" spans="1:9" ht="15" customHeight="1">
      <c r="A8326" s="199">
        <v>45797</v>
      </c>
      <c r="B8326" s="202" t="s">
        <v>6494</v>
      </c>
      <c r="C8326" s="200" t="s">
        <v>204</v>
      </c>
      <c r="D8326" s="733">
        <v>-65160</v>
      </c>
      <c r="E8326" s="201">
        <v>45778</v>
      </c>
      <c r="F8326" s="200" t="s">
        <v>297</v>
      </c>
      <c r="G8326" s="200" t="s">
        <v>1313</v>
      </c>
      <c r="H8326" s="200" t="s">
        <v>567</v>
      </c>
    </row>
    <row r="8327" spans="1:9" ht="15" customHeight="1">
      <c r="A8327" s="199">
        <v>45797</v>
      </c>
      <c r="B8327" s="202" t="s">
        <v>6494</v>
      </c>
      <c r="C8327" s="200" t="s">
        <v>204</v>
      </c>
      <c r="D8327" s="733">
        <v>-65160</v>
      </c>
      <c r="E8327" s="201">
        <v>45778</v>
      </c>
      <c r="F8327" s="200" t="s">
        <v>296</v>
      </c>
      <c r="G8327" s="200" t="s">
        <v>984</v>
      </c>
      <c r="H8327" s="200" t="s">
        <v>567</v>
      </c>
      <c r="I8327" s="648" t="s">
        <v>329</v>
      </c>
    </row>
    <row r="8328" spans="1:9" ht="15" customHeight="1">
      <c r="A8328" s="199">
        <v>45797</v>
      </c>
      <c r="B8328" s="202" t="s">
        <v>6494</v>
      </c>
      <c r="C8328" s="200" t="s">
        <v>204</v>
      </c>
      <c r="D8328" s="733">
        <v>-32580</v>
      </c>
      <c r="E8328" s="201">
        <v>45778</v>
      </c>
      <c r="F8328" s="200" t="s">
        <v>296</v>
      </c>
      <c r="G8328" s="200" t="s">
        <v>411</v>
      </c>
      <c r="H8328" s="200" t="s">
        <v>567</v>
      </c>
    </row>
    <row r="8329" spans="1:9" ht="15" customHeight="1">
      <c r="A8329" s="199">
        <v>45797</v>
      </c>
      <c r="B8329" s="202" t="s">
        <v>6494</v>
      </c>
      <c r="C8329" s="200" t="s">
        <v>204</v>
      </c>
      <c r="D8329" s="733">
        <v>-32580</v>
      </c>
      <c r="E8329" s="201">
        <v>45778</v>
      </c>
      <c r="F8329" s="200" t="s">
        <v>296</v>
      </c>
      <c r="G8329" s="200" t="s">
        <v>392</v>
      </c>
      <c r="H8329" s="200" t="s">
        <v>567</v>
      </c>
    </row>
    <row r="8330" spans="1:9" ht="15" customHeight="1">
      <c r="A8330" s="199">
        <v>45797</v>
      </c>
      <c r="B8330" s="202" t="s">
        <v>6494</v>
      </c>
      <c r="C8330" s="200" t="s">
        <v>204</v>
      </c>
      <c r="D8330" s="733">
        <v>-32580</v>
      </c>
      <c r="E8330" s="201">
        <v>45778</v>
      </c>
      <c r="F8330" s="200" t="s">
        <v>296</v>
      </c>
      <c r="G8330" s="200" t="s">
        <v>392</v>
      </c>
      <c r="H8330" s="200" t="s">
        <v>567</v>
      </c>
      <c r="I8330" s="648" t="s">
        <v>329</v>
      </c>
    </row>
    <row r="8331" spans="1:9" ht="15" customHeight="1">
      <c r="A8331" s="199">
        <v>45797</v>
      </c>
      <c r="B8331" s="202" t="s">
        <v>6494</v>
      </c>
      <c r="C8331" s="200" t="s">
        <v>204</v>
      </c>
      <c r="D8331" s="733">
        <v>-97740</v>
      </c>
      <c r="E8331" s="201">
        <v>45778</v>
      </c>
      <c r="F8331" s="200" t="s">
        <v>296</v>
      </c>
      <c r="G8331" s="200" t="s">
        <v>482</v>
      </c>
      <c r="H8331" s="200" t="s">
        <v>567</v>
      </c>
    </row>
    <row r="8332" spans="1:9" ht="15" customHeight="1">
      <c r="A8332" s="199">
        <v>45797</v>
      </c>
      <c r="B8332" s="202" t="s">
        <v>6494</v>
      </c>
      <c r="C8332" s="200" t="s">
        <v>204</v>
      </c>
      <c r="D8332" s="733">
        <v>-32580</v>
      </c>
      <c r="E8332" s="201">
        <v>45778</v>
      </c>
      <c r="F8332" s="200" t="s">
        <v>296</v>
      </c>
      <c r="G8332" s="200" t="s">
        <v>875</v>
      </c>
      <c r="H8332" s="200" t="s">
        <v>567</v>
      </c>
    </row>
    <row r="8333" spans="1:9" ht="15" customHeight="1">
      <c r="A8333" s="199">
        <v>45797</v>
      </c>
      <c r="B8333" s="202" t="s">
        <v>6494</v>
      </c>
      <c r="C8333" s="200" t="s">
        <v>204</v>
      </c>
      <c r="D8333" s="733">
        <v>-32580</v>
      </c>
      <c r="E8333" s="201">
        <v>45778</v>
      </c>
      <c r="F8333" s="200" t="s">
        <v>296</v>
      </c>
      <c r="G8333" s="200" t="s">
        <v>1124</v>
      </c>
      <c r="H8333" s="200" t="s">
        <v>567</v>
      </c>
    </row>
    <row r="8334" spans="1:9" ht="15" customHeight="1">
      <c r="A8334" s="199">
        <v>45797</v>
      </c>
      <c r="B8334" s="202" t="s">
        <v>6494</v>
      </c>
      <c r="C8334" s="200" t="s">
        <v>204</v>
      </c>
      <c r="D8334" s="733">
        <v>-65160</v>
      </c>
      <c r="E8334" s="201">
        <v>45778</v>
      </c>
      <c r="F8334" s="200" t="s">
        <v>296</v>
      </c>
      <c r="G8334" s="200" t="s">
        <v>3360</v>
      </c>
      <c r="H8334" s="200" t="s">
        <v>567</v>
      </c>
    </row>
    <row r="8335" spans="1:9" ht="15" customHeight="1">
      <c r="A8335" s="199">
        <v>45797</v>
      </c>
      <c r="B8335" s="202" t="s">
        <v>6384</v>
      </c>
      <c r="C8335" s="200" t="s">
        <v>204</v>
      </c>
      <c r="D8335" s="733">
        <v>-44090</v>
      </c>
      <c r="E8335" s="201">
        <v>45778</v>
      </c>
      <c r="F8335" s="200" t="s">
        <v>296</v>
      </c>
      <c r="G8335" s="200" t="s">
        <v>482</v>
      </c>
      <c r="H8335" s="200" t="s">
        <v>567</v>
      </c>
      <c r="I8335" s="648" t="s">
        <v>329</v>
      </c>
    </row>
    <row r="8336" spans="1:9" ht="15" customHeight="1">
      <c r="A8336" s="199">
        <v>45797</v>
      </c>
      <c r="B8336" s="202" t="s">
        <v>6385</v>
      </c>
      <c r="C8336" s="200" t="s">
        <v>204</v>
      </c>
      <c r="D8336" s="733">
        <v>-44090</v>
      </c>
      <c r="E8336" s="201">
        <v>45778</v>
      </c>
      <c r="F8336" s="200" t="s">
        <v>296</v>
      </c>
      <c r="G8336" s="200" t="s">
        <v>328</v>
      </c>
      <c r="H8336" s="200" t="s">
        <v>567</v>
      </c>
    </row>
    <row r="8337" spans="1:9" ht="15" customHeight="1">
      <c r="A8337" s="199">
        <v>45797</v>
      </c>
      <c r="B8337" s="202" t="s">
        <v>6385</v>
      </c>
      <c r="C8337" s="200" t="s">
        <v>204</v>
      </c>
      <c r="D8337" s="733">
        <v>-44090</v>
      </c>
      <c r="E8337" s="201">
        <v>45778</v>
      </c>
      <c r="F8337" s="200" t="s">
        <v>297</v>
      </c>
      <c r="G8337" s="200" t="s">
        <v>1313</v>
      </c>
      <c r="H8337" s="200" t="s">
        <v>567</v>
      </c>
      <c r="I8337" s="648" t="s">
        <v>329</v>
      </c>
    </row>
    <row r="8338" spans="1:9" ht="15" customHeight="1">
      <c r="A8338" s="199">
        <v>45797</v>
      </c>
      <c r="B8338" s="202" t="s">
        <v>6495</v>
      </c>
      <c r="C8338" s="200" t="s">
        <v>204</v>
      </c>
      <c r="D8338" s="733">
        <v>-247700</v>
      </c>
      <c r="E8338" s="201">
        <v>45778</v>
      </c>
      <c r="F8338" s="200" t="s">
        <v>296</v>
      </c>
      <c r="G8338" s="200" t="s">
        <v>1980</v>
      </c>
      <c r="H8338" s="200" t="s">
        <v>338</v>
      </c>
    </row>
    <row r="8339" spans="1:9" ht="15" customHeight="1">
      <c r="A8339" s="199">
        <v>45797</v>
      </c>
      <c r="B8339" s="202" t="s">
        <v>6495</v>
      </c>
      <c r="C8339" s="200" t="s">
        <v>204</v>
      </c>
      <c r="D8339" s="733">
        <v>-247700</v>
      </c>
      <c r="E8339" s="201">
        <v>45778</v>
      </c>
      <c r="F8339" s="200" t="s">
        <v>296</v>
      </c>
      <c r="G8339" s="200" t="s">
        <v>522</v>
      </c>
      <c r="H8339" s="200" t="s">
        <v>338</v>
      </c>
    </row>
    <row r="8340" spans="1:9" ht="15" customHeight="1">
      <c r="A8340" s="199">
        <v>45797</v>
      </c>
      <c r="B8340" s="202" t="s">
        <v>6495</v>
      </c>
      <c r="C8340" s="200" t="s">
        <v>204</v>
      </c>
      <c r="D8340" s="733">
        <v>-247700</v>
      </c>
      <c r="E8340" s="201">
        <v>45778</v>
      </c>
      <c r="F8340" s="200" t="s">
        <v>296</v>
      </c>
      <c r="G8340" s="200" t="s">
        <v>44</v>
      </c>
      <c r="H8340" s="200" t="s">
        <v>338</v>
      </c>
    </row>
    <row r="8341" spans="1:9" ht="15" customHeight="1">
      <c r="A8341" s="199">
        <v>45797</v>
      </c>
      <c r="B8341" s="202" t="s">
        <v>6496</v>
      </c>
      <c r="C8341" s="200" t="s">
        <v>204</v>
      </c>
      <c r="D8341" s="733">
        <v>-928800</v>
      </c>
      <c r="E8341" s="201">
        <v>45778</v>
      </c>
      <c r="F8341" s="200" t="s">
        <v>296</v>
      </c>
      <c r="G8341" s="200" t="s">
        <v>1362</v>
      </c>
      <c r="H8341" s="200" t="s">
        <v>567</v>
      </c>
    </row>
    <row r="8342" spans="1:9" ht="15" customHeight="1">
      <c r="A8342" s="199">
        <v>45797</v>
      </c>
      <c r="B8342" s="202" t="s">
        <v>6497</v>
      </c>
      <c r="C8342" s="200" t="s">
        <v>204</v>
      </c>
      <c r="D8342" s="733">
        <v>-185760</v>
      </c>
      <c r="E8342" s="201">
        <v>45778</v>
      </c>
      <c r="F8342" s="200" t="s">
        <v>296</v>
      </c>
      <c r="G8342" s="200" t="s">
        <v>1124</v>
      </c>
      <c r="H8342" s="200" t="s">
        <v>567</v>
      </c>
    </row>
    <row r="8343" spans="1:9" ht="15" customHeight="1">
      <c r="A8343" s="199">
        <v>45797</v>
      </c>
      <c r="B8343" s="202" t="s">
        <v>6497</v>
      </c>
      <c r="C8343" s="200" t="s">
        <v>204</v>
      </c>
      <c r="D8343" s="733">
        <v>-185760</v>
      </c>
      <c r="E8343" s="201">
        <v>45778</v>
      </c>
      <c r="F8343" s="200" t="s">
        <v>296</v>
      </c>
      <c r="G8343" s="200" t="s">
        <v>3360</v>
      </c>
      <c r="H8343" s="200" t="s">
        <v>567</v>
      </c>
    </row>
    <row r="8344" spans="1:9" ht="15" customHeight="1">
      <c r="A8344" s="199">
        <v>45797</v>
      </c>
      <c r="B8344" s="202" t="s">
        <v>6497</v>
      </c>
      <c r="C8344" s="200" t="s">
        <v>204</v>
      </c>
      <c r="D8344" s="733">
        <v>-557280</v>
      </c>
      <c r="E8344" s="201">
        <v>45778</v>
      </c>
      <c r="F8344" s="200" t="s">
        <v>297</v>
      </c>
      <c r="G8344" s="200" t="s">
        <v>3892</v>
      </c>
      <c r="H8344" s="200" t="s">
        <v>567</v>
      </c>
    </row>
    <row r="8345" spans="1:9" ht="15" customHeight="1">
      <c r="A8345" s="199">
        <v>45797</v>
      </c>
      <c r="B8345" s="202" t="s">
        <v>6498</v>
      </c>
      <c r="C8345" s="200" t="s">
        <v>204</v>
      </c>
      <c r="D8345" s="733">
        <v>-541800</v>
      </c>
      <c r="E8345" s="201">
        <v>45778</v>
      </c>
      <c r="F8345" s="200" t="s">
        <v>296</v>
      </c>
      <c r="G8345" s="200" t="s">
        <v>328</v>
      </c>
      <c r="H8345" s="200" t="s">
        <v>567</v>
      </c>
      <c r="I8345" s="648" t="s">
        <v>329</v>
      </c>
    </row>
    <row r="8346" spans="1:9" ht="15" customHeight="1">
      <c r="A8346" s="199">
        <v>45797</v>
      </c>
      <c r="B8346" s="202" t="s">
        <v>6498</v>
      </c>
      <c r="C8346" s="200" t="s">
        <v>204</v>
      </c>
      <c r="D8346" s="733">
        <v>-541800</v>
      </c>
      <c r="E8346" s="201">
        <v>45778</v>
      </c>
      <c r="F8346" s="200" t="s">
        <v>296</v>
      </c>
      <c r="G8346" s="200" t="s">
        <v>2418</v>
      </c>
      <c r="H8346" s="200" t="s">
        <v>567</v>
      </c>
    </row>
    <row r="8347" spans="1:9" ht="15" customHeight="1">
      <c r="A8347" s="199">
        <v>45797</v>
      </c>
      <c r="B8347" s="202" t="s">
        <v>6499</v>
      </c>
      <c r="C8347" s="200" t="s">
        <v>204</v>
      </c>
      <c r="D8347" s="733">
        <v>-719100</v>
      </c>
      <c r="E8347" s="201">
        <v>45778</v>
      </c>
      <c r="F8347" s="200" t="s">
        <v>296</v>
      </c>
      <c r="G8347" s="200" t="s">
        <v>522</v>
      </c>
      <c r="H8347" s="200" t="s">
        <v>338</v>
      </c>
    </row>
    <row r="8348" spans="1:9" ht="15" customHeight="1">
      <c r="A8348" s="199">
        <v>45797</v>
      </c>
      <c r="B8348" s="202" t="s">
        <v>6499</v>
      </c>
      <c r="C8348" s="200" t="s">
        <v>204</v>
      </c>
      <c r="D8348" s="733">
        <v>-719100</v>
      </c>
      <c r="E8348" s="201">
        <v>45778</v>
      </c>
      <c r="F8348" s="200" t="s">
        <v>296</v>
      </c>
      <c r="G8348" s="200" t="s">
        <v>1362</v>
      </c>
      <c r="H8348" s="200" t="s">
        <v>567</v>
      </c>
    </row>
    <row r="8349" spans="1:9" ht="15" customHeight="1">
      <c r="A8349" s="199">
        <v>45797</v>
      </c>
      <c r="B8349" s="202" t="s">
        <v>6499</v>
      </c>
      <c r="C8349" s="200" t="s">
        <v>204</v>
      </c>
      <c r="D8349" s="733">
        <v>-719100</v>
      </c>
      <c r="E8349" s="201">
        <v>45778</v>
      </c>
      <c r="F8349" s="200" t="s">
        <v>296</v>
      </c>
      <c r="G8349" s="200" t="s">
        <v>3360</v>
      </c>
      <c r="H8349" s="200" t="s">
        <v>567</v>
      </c>
    </row>
    <row r="8350" spans="1:9" ht="15" customHeight="1">
      <c r="A8350" s="199">
        <v>45797</v>
      </c>
      <c r="B8350" s="202" t="s">
        <v>6499</v>
      </c>
      <c r="C8350" s="200" t="s">
        <v>204</v>
      </c>
      <c r="D8350" s="733">
        <v>-719100</v>
      </c>
      <c r="E8350" s="201">
        <v>45778</v>
      </c>
      <c r="F8350" s="200" t="s">
        <v>297</v>
      </c>
      <c r="G8350" s="200" t="s">
        <v>3892</v>
      </c>
      <c r="H8350" s="200" t="s">
        <v>567</v>
      </c>
    </row>
    <row r="8351" spans="1:9" ht="15" customHeight="1">
      <c r="A8351" s="199">
        <v>45797</v>
      </c>
      <c r="B8351" s="202" t="s">
        <v>6500</v>
      </c>
      <c r="C8351" s="200" t="s">
        <v>204</v>
      </c>
      <c r="D8351" s="733">
        <v>-340566.66665999999</v>
      </c>
      <c r="E8351" s="201">
        <v>45778</v>
      </c>
      <c r="F8351" s="200" t="s">
        <v>296</v>
      </c>
      <c r="G8351" s="200" t="s">
        <v>1980</v>
      </c>
      <c r="H8351" s="200" t="s">
        <v>338</v>
      </c>
    </row>
    <row r="8352" spans="1:9" ht="15" customHeight="1">
      <c r="A8352" s="199">
        <v>45797</v>
      </c>
      <c r="B8352" s="202" t="s">
        <v>6500</v>
      </c>
      <c r="C8352" s="200" t="s">
        <v>204</v>
      </c>
      <c r="D8352" s="733">
        <v>-340566.66665999999</v>
      </c>
      <c r="E8352" s="201">
        <v>45778</v>
      </c>
      <c r="F8352" s="200" t="s">
        <v>296</v>
      </c>
      <c r="G8352" s="200" t="s">
        <v>522</v>
      </c>
      <c r="H8352" s="200" t="s">
        <v>338</v>
      </c>
    </row>
    <row r="8353" spans="1:9" ht="15" customHeight="1">
      <c r="A8353" s="199">
        <v>45797</v>
      </c>
      <c r="B8353" s="202" t="s">
        <v>6500</v>
      </c>
      <c r="C8353" s="200" t="s">
        <v>204</v>
      </c>
      <c r="D8353" s="733">
        <v>-340566.66665999999</v>
      </c>
      <c r="E8353" s="201">
        <v>45778</v>
      </c>
      <c r="F8353" s="200" t="s">
        <v>296</v>
      </c>
      <c r="G8353" s="200" t="s">
        <v>44</v>
      </c>
      <c r="H8353" s="200" t="s">
        <v>338</v>
      </c>
    </row>
    <row r="8354" spans="1:9" ht="15" customHeight="1">
      <c r="A8354" s="199">
        <v>45797</v>
      </c>
      <c r="B8354" s="202" t="s">
        <v>6501</v>
      </c>
      <c r="C8354" s="200" t="s">
        <v>204</v>
      </c>
      <c r="D8354" s="733">
        <v>-83600</v>
      </c>
      <c r="E8354" s="201">
        <v>45778</v>
      </c>
      <c r="F8354" s="200" t="s">
        <v>296</v>
      </c>
      <c r="G8354" s="200" t="s">
        <v>415</v>
      </c>
      <c r="H8354" s="200" t="s">
        <v>567</v>
      </c>
    </row>
    <row r="8355" spans="1:9" ht="15" customHeight="1">
      <c r="A8355" s="199">
        <v>45797</v>
      </c>
      <c r="B8355" s="202" t="s">
        <v>6501</v>
      </c>
      <c r="C8355" s="200" t="s">
        <v>204</v>
      </c>
      <c r="D8355" s="733">
        <v>-250800</v>
      </c>
      <c r="E8355" s="201">
        <v>45778</v>
      </c>
      <c r="F8355" s="200" t="s">
        <v>297</v>
      </c>
      <c r="G8355" s="200" t="s">
        <v>71</v>
      </c>
      <c r="H8355" s="200" t="s">
        <v>567</v>
      </c>
    </row>
    <row r="8356" spans="1:9" ht="15" customHeight="1">
      <c r="A8356" s="199">
        <v>45797</v>
      </c>
      <c r="B8356" s="202" t="s">
        <v>6501</v>
      </c>
      <c r="C8356" s="200" t="s">
        <v>204</v>
      </c>
      <c r="D8356" s="733">
        <v>-334400</v>
      </c>
      <c r="E8356" s="201">
        <v>45778</v>
      </c>
      <c r="F8356" s="200" t="s">
        <v>296</v>
      </c>
      <c r="G8356" s="200" t="s">
        <v>1311</v>
      </c>
      <c r="H8356" s="200" t="s">
        <v>567</v>
      </c>
    </row>
    <row r="8357" spans="1:9" ht="15" customHeight="1">
      <c r="A8357" s="199">
        <v>45797</v>
      </c>
      <c r="B8357" s="202" t="s">
        <v>6501</v>
      </c>
      <c r="C8357" s="200" t="s">
        <v>204</v>
      </c>
      <c r="D8357" s="733">
        <v>-167200</v>
      </c>
      <c r="E8357" s="201">
        <v>45778</v>
      </c>
      <c r="F8357" s="200" t="s">
        <v>297</v>
      </c>
      <c r="G8357" s="200" t="s">
        <v>5404</v>
      </c>
      <c r="H8357" s="200" t="s">
        <v>567</v>
      </c>
    </row>
    <row r="8358" spans="1:9" ht="15" customHeight="1">
      <c r="A8358" s="199">
        <v>45797</v>
      </c>
      <c r="B8358" s="202" t="s">
        <v>6502</v>
      </c>
      <c r="C8358" s="200" t="s">
        <v>204</v>
      </c>
      <c r="D8358" s="733">
        <v>-51085</v>
      </c>
      <c r="E8358" s="201">
        <v>45778</v>
      </c>
      <c r="F8358" s="200" t="s">
        <v>296</v>
      </c>
      <c r="G8358" s="200" t="s">
        <v>341</v>
      </c>
      <c r="H8358" s="200" t="s">
        <v>567</v>
      </c>
    </row>
    <row r="8359" spans="1:9" ht="15" customHeight="1">
      <c r="A8359" s="199">
        <v>45797</v>
      </c>
      <c r="B8359" s="202" t="s">
        <v>6502</v>
      </c>
      <c r="C8359" s="200" t="s">
        <v>204</v>
      </c>
      <c r="D8359" s="733">
        <v>-255425</v>
      </c>
      <c r="E8359" s="201">
        <v>45778</v>
      </c>
      <c r="F8359" s="200" t="s">
        <v>296</v>
      </c>
      <c r="G8359" s="200" t="s">
        <v>1124</v>
      </c>
      <c r="H8359" s="200" t="s">
        <v>567</v>
      </c>
    </row>
    <row r="8360" spans="1:9" ht="15" customHeight="1">
      <c r="A8360" s="199">
        <v>45797</v>
      </c>
      <c r="B8360" s="202" t="s">
        <v>6502</v>
      </c>
      <c r="C8360" s="200" t="s">
        <v>204</v>
      </c>
      <c r="D8360" s="733">
        <v>-613020</v>
      </c>
      <c r="E8360" s="201">
        <v>45778</v>
      </c>
      <c r="F8360" s="200" t="s">
        <v>296</v>
      </c>
      <c r="G8360" s="200" t="s">
        <v>3360</v>
      </c>
      <c r="H8360" s="200" t="s">
        <v>567</v>
      </c>
    </row>
    <row r="8361" spans="1:9" ht="15" customHeight="1">
      <c r="A8361" s="199">
        <v>45797</v>
      </c>
      <c r="B8361" s="202" t="s">
        <v>6502</v>
      </c>
      <c r="C8361" s="200" t="s">
        <v>204</v>
      </c>
      <c r="D8361" s="733">
        <v>-102170</v>
      </c>
      <c r="E8361" s="201">
        <v>45778</v>
      </c>
      <c r="F8361" s="200" t="s">
        <v>297</v>
      </c>
      <c r="G8361" s="200" t="s">
        <v>3892</v>
      </c>
      <c r="H8361" s="200" t="s">
        <v>567</v>
      </c>
    </row>
    <row r="8362" spans="1:9" ht="15" customHeight="1">
      <c r="A8362" s="199">
        <v>45797</v>
      </c>
      <c r="B8362" s="202" t="s">
        <v>6503</v>
      </c>
      <c r="C8362" s="200" t="s">
        <v>204</v>
      </c>
      <c r="D8362" s="733">
        <v>-407150</v>
      </c>
      <c r="E8362" s="201">
        <v>45778</v>
      </c>
      <c r="F8362" s="200" t="s">
        <v>296</v>
      </c>
      <c r="G8362" s="200" t="s">
        <v>2418</v>
      </c>
      <c r="H8362" s="200" t="s">
        <v>567</v>
      </c>
      <c r="I8362" s="648" t="s">
        <v>329</v>
      </c>
    </row>
    <row r="8363" spans="1:9" ht="15" customHeight="1">
      <c r="A8363" s="199">
        <v>45797</v>
      </c>
      <c r="B8363" s="202" t="s">
        <v>6503</v>
      </c>
      <c r="C8363" s="200" t="s">
        <v>204</v>
      </c>
      <c r="D8363" s="733">
        <v>-162860</v>
      </c>
      <c r="E8363" s="201">
        <v>45778</v>
      </c>
      <c r="F8363" s="200" t="s">
        <v>296</v>
      </c>
      <c r="G8363" s="200" t="s">
        <v>2994</v>
      </c>
      <c r="H8363" s="200" t="s">
        <v>567</v>
      </c>
    </row>
    <row r="8364" spans="1:9" ht="15" customHeight="1">
      <c r="A8364" s="199">
        <v>45797</v>
      </c>
      <c r="B8364" s="202" t="s">
        <v>6503</v>
      </c>
      <c r="C8364" s="200" t="s">
        <v>204</v>
      </c>
      <c r="D8364" s="733">
        <v>-244290</v>
      </c>
      <c r="E8364" s="201">
        <v>45778</v>
      </c>
      <c r="F8364" s="200" t="s">
        <v>296</v>
      </c>
      <c r="G8364" s="200" t="s">
        <v>1735</v>
      </c>
      <c r="H8364" s="200" t="s">
        <v>567</v>
      </c>
    </row>
    <row r="8365" spans="1:9" ht="15" customHeight="1">
      <c r="A8365" s="199">
        <v>45797</v>
      </c>
      <c r="B8365" s="202" t="s">
        <v>6504</v>
      </c>
      <c r="C8365" s="200" t="s">
        <v>204</v>
      </c>
      <c r="D8365" s="733">
        <v>-557280</v>
      </c>
      <c r="E8365" s="201">
        <v>45778</v>
      </c>
      <c r="F8365" s="200" t="s">
        <v>296</v>
      </c>
      <c r="G8365" s="200" t="s">
        <v>1735</v>
      </c>
      <c r="H8365" s="200" t="s">
        <v>567</v>
      </c>
    </row>
    <row r="8366" spans="1:9" ht="15" customHeight="1">
      <c r="A8366" s="199">
        <v>45797</v>
      </c>
      <c r="B8366" s="202" t="s">
        <v>6504</v>
      </c>
      <c r="C8366" s="200" t="s">
        <v>204</v>
      </c>
      <c r="D8366" s="733">
        <v>-371520</v>
      </c>
      <c r="E8366" s="201">
        <v>45778</v>
      </c>
      <c r="F8366" s="200" t="s">
        <v>296</v>
      </c>
      <c r="G8366" s="200" t="s">
        <v>1362</v>
      </c>
      <c r="H8366" s="200" t="s">
        <v>567</v>
      </c>
    </row>
    <row r="8367" spans="1:9" ht="15" customHeight="1">
      <c r="A8367" s="199">
        <v>45797</v>
      </c>
      <c r="B8367" s="202" t="s">
        <v>6505</v>
      </c>
      <c r="C8367" s="200" t="s">
        <v>204</v>
      </c>
      <c r="D8367" s="733">
        <v>-53500</v>
      </c>
      <c r="E8367" s="201">
        <v>45778</v>
      </c>
      <c r="F8367" s="200" t="s">
        <v>296</v>
      </c>
      <c r="G8367" s="200" t="s">
        <v>411</v>
      </c>
      <c r="H8367" s="200" t="s">
        <v>567</v>
      </c>
      <c r="I8367" s="648" t="s">
        <v>329</v>
      </c>
    </row>
    <row r="8368" spans="1:9" ht="15" customHeight="1">
      <c r="A8368" s="199">
        <v>45797</v>
      </c>
      <c r="B8368" s="202" t="s">
        <v>6505</v>
      </c>
      <c r="C8368" s="200" t="s">
        <v>204</v>
      </c>
      <c r="D8368" s="733">
        <v>-107000</v>
      </c>
      <c r="E8368" s="201">
        <v>45778</v>
      </c>
      <c r="F8368" s="200" t="s">
        <v>296</v>
      </c>
      <c r="G8368" s="200" t="s">
        <v>341</v>
      </c>
      <c r="H8368" s="200" t="s">
        <v>567</v>
      </c>
      <c r="I8368" s="648" t="s">
        <v>329</v>
      </c>
    </row>
    <row r="8369" spans="1:9" ht="15" customHeight="1">
      <c r="A8369" s="199">
        <v>45797</v>
      </c>
      <c r="B8369" s="202" t="s">
        <v>6505</v>
      </c>
      <c r="C8369" s="200" t="s">
        <v>204</v>
      </c>
      <c r="D8369" s="733">
        <v>-107000</v>
      </c>
      <c r="E8369" s="201">
        <v>45778</v>
      </c>
      <c r="F8369" s="200" t="s">
        <v>296</v>
      </c>
      <c r="G8369" s="200" t="s">
        <v>1124</v>
      </c>
      <c r="H8369" s="200" t="s">
        <v>567</v>
      </c>
      <c r="I8369" s="648" t="s">
        <v>329</v>
      </c>
    </row>
    <row r="8370" spans="1:9" ht="15" customHeight="1">
      <c r="A8370" s="199">
        <v>45797</v>
      </c>
      <c r="B8370" s="202" t="s">
        <v>6505</v>
      </c>
      <c r="C8370" s="200" t="s">
        <v>204</v>
      </c>
      <c r="D8370" s="733">
        <v>-107000</v>
      </c>
      <c r="E8370" s="201">
        <v>45778</v>
      </c>
      <c r="F8370" s="200" t="s">
        <v>296</v>
      </c>
      <c r="G8370" s="200" t="s">
        <v>1362</v>
      </c>
      <c r="H8370" s="200" t="s">
        <v>567</v>
      </c>
    </row>
    <row r="8371" spans="1:9" ht="15" customHeight="1">
      <c r="A8371" s="199">
        <v>45797</v>
      </c>
      <c r="B8371" s="202" t="s">
        <v>6505</v>
      </c>
      <c r="C8371" s="200" t="s">
        <v>204</v>
      </c>
      <c r="D8371" s="733">
        <v>-107000</v>
      </c>
      <c r="E8371" s="201">
        <v>45778</v>
      </c>
      <c r="F8371" s="200" t="s">
        <v>296</v>
      </c>
      <c r="G8371" s="200" t="s">
        <v>1735</v>
      </c>
      <c r="H8371" s="200" t="s">
        <v>567</v>
      </c>
      <c r="I8371" s="648" t="s">
        <v>329</v>
      </c>
    </row>
    <row r="8372" spans="1:9" ht="15" customHeight="1">
      <c r="A8372" s="199">
        <v>45797</v>
      </c>
      <c r="B8372" s="202" t="s">
        <v>6505</v>
      </c>
      <c r="C8372" s="200" t="s">
        <v>204</v>
      </c>
      <c r="D8372" s="733">
        <v>-26750</v>
      </c>
      <c r="E8372" s="201">
        <v>45778</v>
      </c>
      <c r="F8372" s="200" t="s">
        <v>296</v>
      </c>
      <c r="G8372" s="200" t="s">
        <v>3360</v>
      </c>
      <c r="H8372" s="200" t="s">
        <v>567</v>
      </c>
    </row>
    <row r="8373" spans="1:9" ht="15" customHeight="1">
      <c r="A8373" s="199">
        <v>45797</v>
      </c>
      <c r="B8373" s="202" t="s">
        <v>6505</v>
      </c>
      <c r="C8373" s="200" t="s">
        <v>204</v>
      </c>
      <c r="D8373" s="733">
        <v>-26750</v>
      </c>
      <c r="E8373" s="201">
        <v>45778</v>
      </c>
      <c r="F8373" s="200" t="s">
        <v>297</v>
      </c>
      <c r="G8373" s="200" t="s">
        <v>3892</v>
      </c>
      <c r="H8373" s="200" t="s">
        <v>567</v>
      </c>
    </row>
    <row r="8374" spans="1:9" ht="15" customHeight="1">
      <c r="A8374" s="199">
        <v>45797</v>
      </c>
      <c r="B8374" s="202" t="s">
        <v>6506</v>
      </c>
      <c r="C8374" s="200" t="s">
        <v>204</v>
      </c>
      <c r="D8374" s="733">
        <v>-243825</v>
      </c>
      <c r="E8374" s="201">
        <v>45778</v>
      </c>
      <c r="F8374" s="200" t="s">
        <v>296</v>
      </c>
      <c r="G8374" s="200" t="s">
        <v>415</v>
      </c>
      <c r="H8374" s="200" t="s">
        <v>567</v>
      </c>
    </row>
    <row r="8375" spans="1:9" ht="15" customHeight="1">
      <c r="A8375" s="199">
        <v>45797</v>
      </c>
      <c r="B8375" s="202" t="s">
        <v>6506</v>
      </c>
      <c r="C8375" s="200" t="s">
        <v>204</v>
      </c>
      <c r="D8375" s="733">
        <v>-243825</v>
      </c>
      <c r="E8375" s="201">
        <v>45778</v>
      </c>
      <c r="F8375" s="200" t="s">
        <v>297</v>
      </c>
      <c r="G8375" s="200" t="s">
        <v>71</v>
      </c>
      <c r="H8375" s="200" t="s">
        <v>567</v>
      </c>
    </row>
    <row r="8376" spans="1:9" ht="15" customHeight="1">
      <c r="A8376" s="199">
        <v>45797</v>
      </c>
      <c r="B8376" s="202" t="s">
        <v>6506</v>
      </c>
      <c r="C8376" s="200" t="s">
        <v>204</v>
      </c>
      <c r="D8376" s="733">
        <v>-243825</v>
      </c>
      <c r="E8376" s="201">
        <v>45778</v>
      </c>
      <c r="F8376" s="200" t="s">
        <v>296</v>
      </c>
      <c r="G8376" s="200" t="s">
        <v>1311</v>
      </c>
      <c r="H8376" s="200" t="s">
        <v>567</v>
      </c>
      <c r="I8376" s="648" t="s">
        <v>329</v>
      </c>
    </row>
    <row r="8377" spans="1:9" ht="15" customHeight="1">
      <c r="A8377" s="199">
        <v>45797</v>
      </c>
      <c r="B8377" s="202" t="s">
        <v>6506</v>
      </c>
      <c r="C8377" s="200" t="s">
        <v>204</v>
      </c>
      <c r="D8377" s="733">
        <v>-243825</v>
      </c>
      <c r="E8377" s="201">
        <v>45778</v>
      </c>
      <c r="F8377" s="200" t="s">
        <v>297</v>
      </c>
      <c r="G8377" s="200" t="s">
        <v>5404</v>
      </c>
      <c r="H8377" s="200" t="s">
        <v>567</v>
      </c>
      <c r="I8377" s="648" t="s">
        <v>329</v>
      </c>
    </row>
    <row r="8378" spans="1:9" ht="15" customHeight="1">
      <c r="A8378" s="199">
        <v>45797</v>
      </c>
      <c r="B8378" s="202" t="s">
        <v>6507</v>
      </c>
      <c r="C8378" s="200" t="s">
        <v>204</v>
      </c>
      <c r="D8378" s="733">
        <v>-5940000</v>
      </c>
      <c r="E8378" s="201">
        <v>45778</v>
      </c>
      <c r="F8378" s="200" t="s">
        <v>296</v>
      </c>
      <c r="G8378" s="200" t="s">
        <v>522</v>
      </c>
      <c r="H8378" s="200" t="s">
        <v>322</v>
      </c>
    </row>
    <row r="8379" spans="1:9" ht="15" customHeight="1">
      <c r="A8379" s="199">
        <v>45797</v>
      </c>
      <c r="B8379" s="202" t="s">
        <v>6508</v>
      </c>
      <c r="C8379" s="200" t="s">
        <v>372</v>
      </c>
      <c r="D8379" s="204">
        <v>-605000</v>
      </c>
      <c r="E8379" s="201">
        <v>45778</v>
      </c>
      <c r="F8379" s="200" t="s">
        <v>296</v>
      </c>
      <c r="G8379" s="200" t="s">
        <v>522</v>
      </c>
      <c r="H8379" s="200" t="s">
        <v>322</v>
      </c>
    </row>
    <row r="8380" spans="1:9" ht="15" customHeight="1">
      <c r="A8380" s="199">
        <v>45797</v>
      </c>
      <c r="B8380" s="202" t="s">
        <v>6509</v>
      </c>
      <c r="C8380" s="200" t="s">
        <v>204</v>
      </c>
      <c r="D8380" s="733">
        <v>-5940000</v>
      </c>
      <c r="E8380" s="201">
        <v>45778</v>
      </c>
      <c r="F8380" s="200" t="s">
        <v>296</v>
      </c>
      <c r="G8380" s="200" t="s">
        <v>44</v>
      </c>
      <c r="H8380" s="200" t="s">
        <v>322</v>
      </c>
    </row>
    <row r="8381" spans="1:9" ht="15" customHeight="1">
      <c r="A8381" s="199">
        <v>45797</v>
      </c>
      <c r="B8381" s="202" t="s">
        <v>6510</v>
      </c>
      <c r="C8381" s="200" t="s">
        <v>372</v>
      </c>
      <c r="D8381" s="204">
        <v>-605000</v>
      </c>
      <c r="E8381" s="201">
        <v>45778</v>
      </c>
      <c r="F8381" s="200" t="s">
        <v>296</v>
      </c>
      <c r="G8381" s="200" t="s">
        <v>44</v>
      </c>
      <c r="H8381" s="200" t="s">
        <v>322</v>
      </c>
    </row>
    <row r="8382" spans="1:9" ht="15" customHeight="1">
      <c r="A8382" s="199">
        <v>45797</v>
      </c>
      <c r="B8382" s="202" t="s">
        <v>6511</v>
      </c>
      <c r="C8382" s="200" t="s">
        <v>204</v>
      </c>
      <c r="D8382" s="733">
        <v>-2010000</v>
      </c>
      <c r="E8382" s="201">
        <v>45778</v>
      </c>
      <c r="F8382" s="200" t="s">
        <v>296</v>
      </c>
      <c r="G8382" s="200" t="s">
        <v>522</v>
      </c>
      <c r="H8382" s="200" t="s">
        <v>326</v>
      </c>
    </row>
    <row r="8383" spans="1:9" ht="15" customHeight="1">
      <c r="A8383" s="199">
        <v>45797</v>
      </c>
      <c r="B8383" s="202" t="s">
        <v>6056</v>
      </c>
      <c r="C8383" s="200" t="s">
        <v>372</v>
      </c>
      <c r="D8383" s="204">
        <v>-72902</v>
      </c>
      <c r="E8383" s="201">
        <v>45778</v>
      </c>
      <c r="F8383" s="200" t="s">
        <v>296</v>
      </c>
      <c r="G8383" s="200" t="s">
        <v>522</v>
      </c>
      <c r="H8383" s="200" t="s">
        <v>326</v>
      </c>
    </row>
    <row r="8384" spans="1:9" ht="15" customHeight="1">
      <c r="A8384" s="199">
        <v>45797</v>
      </c>
      <c r="B8384" s="202" t="s">
        <v>6512</v>
      </c>
      <c r="C8384" s="200" t="s">
        <v>204</v>
      </c>
      <c r="D8384" s="733">
        <v>-10692150</v>
      </c>
      <c r="E8384" s="201">
        <v>45778</v>
      </c>
      <c r="F8384" s="200" t="s">
        <v>296</v>
      </c>
      <c r="G8384" s="200" t="s">
        <v>1825</v>
      </c>
      <c r="H8384" s="200" t="s">
        <v>670</v>
      </c>
    </row>
    <row r="8385" spans="1:8" ht="15" customHeight="1">
      <c r="A8385" s="199">
        <v>45797</v>
      </c>
      <c r="B8385" s="202" t="s">
        <v>6513</v>
      </c>
      <c r="C8385" s="200" t="s">
        <v>204</v>
      </c>
      <c r="D8385" s="733">
        <v>-6035700</v>
      </c>
      <c r="E8385" s="201">
        <v>45778</v>
      </c>
      <c r="F8385" s="200" t="s">
        <v>297</v>
      </c>
      <c r="G8385" s="200" t="s">
        <v>3892</v>
      </c>
      <c r="H8385" s="200" t="s">
        <v>342</v>
      </c>
    </row>
    <row r="8386" spans="1:8" ht="15" customHeight="1">
      <c r="A8386" s="199">
        <v>45797</v>
      </c>
      <c r="B8386" s="202" t="s">
        <v>6514</v>
      </c>
      <c r="C8386" s="200" t="s">
        <v>372</v>
      </c>
      <c r="D8386" s="204">
        <v>-454300</v>
      </c>
      <c r="E8386" s="201">
        <v>45778</v>
      </c>
      <c r="F8386" s="200" t="s">
        <v>297</v>
      </c>
      <c r="G8386" s="200" t="s">
        <v>3892</v>
      </c>
      <c r="H8386" s="200" t="s">
        <v>342</v>
      </c>
    </row>
    <row r="8387" spans="1:8" ht="15" customHeight="1">
      <c r="A8387" s="199">
        <v>45797</v>
      </c>
      <c r="B8387" s="202" t="s">
        <v>6515</v>
      </c>
      <c r="C8387" s="200" t="s">
        <v>204</v>
      </c>
      <c r="D8387" s="733">
        <v>-1069867</v>
      </c>
      <c r="E8387" s="201">
        <v>45778</v>
      </c>
      <c r="F8387" s="200" t="s">
        <v>297</v>
      </c>
      <c r="G8387" s="200" t="s">
        <v>3892</v>
      </c>
      <c r="H8387" s="200" t="s">
        <v>346</v>
      </c>
    </row>
    <row r="8388" spans="1:8" ht="15" customHeight="1">
      <c r="A8388" s="199">
        <v>45797</v>
      </c>
      <c r="B8388" s="202" t="s">
        <v>6516</v>
      </c>
      <c r="C8388" s="200" t="s">
        <v>372</v>
      </c>
      <c r="D8388" s="204">
        <v>-9067</v>
      </c>
      <c r="E8388" s="201">
        <v>45778</v>
      </c>
      <c r="F8388" s="200" t="s">
        <v>297</v>
      </c>
      <c r="G8388" s="200" t="s">
        <v>3892</v>
      </c>
      <c r="H8388" s="200" t="s">
        <v>346</v>
      </c>
    </row>
    <row r="8389" spans="1:8" ht="15" customHeight="1">
      <c r="A8389" s="199">
        <v>45797</v>
      </c>
      <c r="B8389" s="202" t="s">
        <v>6517</v>
      </c>
      <c r="C8389" s="200" t="s">
        <v>204</v>
      </c>
      <c r="D8389" s="733">
        <v>-2887500</v>
      </c>
      <c r="E8389" s="201">
        <v>45778</v>
      </c>
      <c r="F8389" s="200" t="s">
        <v>296</v>
      </c>
      <c r="G8389" s="200" t="s">
        <v>415</v>
      </c>
      <c r="H8389" s="200" t="s">
        <v>379</v>
      </c>
    </row>
    <row r="8390" spans="1:8" ht="15" customHeight="1">
      <c r="A8390" s="199">
        <v>45797</v>
      </c>
      <c r="B8390" s="202" t="s">
        <v>6518</v>
      </c>
      <c r="C8390" s="200" t="s">
        <v>372</v>
      </c>
      <c r="D8390" s="204">
        <v>-87500</v>
      </c>
      <c r="E8390" s="201">
        <v>45778</v>
      </c>
      <c r="F8390" s="200" t="s">
        <v>296</v>
      </c>
      <c r="G8390" s="200" t="s">
        <v>415</v>
      </c>
      <c r="H8390" s="200" t="s">
        <v>379</v>
      </c>
    </row>
    <row r="8391" spans="1:8" ht="15" customHeight="1">
      <c r="A8391" s="199">
        <v>45797</v>
      </c>
      <c r="B8391" s="202" t="s">
        <v>6519</v>
      </c>
      <c r="C8391" s="200" t="s">
        <v>204</v>
      </c>
      <c r="D8391" s="733">
        <v>-350000</v>
      </c>
      <c r="E8391" s="201">
        <v>45778</v>
      </c>
      <c r="F8391" s="200" t="s">
        <v>296</v>
      </c>
      <c r="G8391" s="200" t="s">
        <v>415</v>
      </c>
      <c r="H8391" s="200" t="s">
        <v>379</v>
      </c>
    </row>
    <row r="8392" spans="1:8" ht="15" customHeight="1">
      <c r="A8392" s="199">
        <v>45797</v>
      </c>
      <c r="B8392" s="202" t="s">
        <v>1925</v>
      </c>
      <c r="C8392" s="200" t="s">
        <v>204</v>
      </c>
      <c r="D8392" s="733">
        <v>-230080</v>
      </c>
      <c r="E8392" s="201">
        <v>45778</v>
      </c>
      <c r="F8392" s="200" t="s">
        <v>297</v>
      </c>
      <c r="G8392" s="200" t="s">
        <v>71</v>
      </c>
      <c r="H8392" s="200" t="s">
        <v>268</v>
      </c>
    </row>
    <row r="8393" spans="1:8" ht="15" customHeight="1">
      <c r="A8393" s="199">
        <v>45797</v>
      </c>
      <c r="B8393" s="202" t="s">
        <v>1925</v>
      </c>
      <c r="C8393" s="200" t="s">
        <v>204</v>
      </c>
      <c r="D8393" s="733">
        <v>-99000</v>
      </c>
      <c r="E8393" s="201">
        <v>45778</v>
      </c>
      <c r="F8393" s="200" t="s">
        <v>256</v>
      </c>
      <c r="G8393" s="200" t="s">
        <v>256</v>
      </c>
      <c r="H8393" s="200" t="s">
        <v>268</v>
      </c>
    </row>
    <row r="8394" spans="1:8" ht="15" customHeight="1">
      <c r="A8394" s="199">
        <v>45797</v>
      </c>
      <c r="B8394" s="202" t="s">
        <v>1925</v>
      </c>
      <c r="C8394" s="200" t="s">
        <v>204</v>
      </c>
      <c r="D8394" s="733">
        <v>-120000</v>
      </c>
      <c r="E8394" s="201">
        <v>45778</v>
      </c>
      <c r="F8394" s="200" t="s">
        <v>296</v>
      </c>
      <c r="G8394" s="200" t="s">
        <v>522</v>
      </c>
      <c r="H8394" s="200" t="s">
        <v>326</v>
      </c>
    </row>
    <row r="8395" spans="1:8" ht="15" customHeight="1">
      <c r="A8395" s="199">
        <v>45797</v>
      </c>
      <c r="B8395" s="202" t="s">
        <v>1925</v>
      </c>
      <c r="C8395" s="200" t="s">
        <v>204</v>
      </c>
      <c r="D8395" s="733">
        <v>-10000</v>
      </c>
      <c r="E8395" s="201">
        <v>45778</v>
      </c>
      <c r="F8395" s="200" t="s">
        <v>296</v>
      </c>
      <c r="G8395" s="200" t="s">
        <v>1825</v>
      </c>
      <c r="H8395" s="200" t="s">
        <v>326</v>
      </c>
    </row>
    <row r="8396" spans="1:8" ht="15" customHeight="1">
      <c r="A8396" s="199">
        <v>45797</v>
      </c>
      <c r="B8396" s="202" t="s">
        <v>1925</v>
      </c>
      <c r="C8396" s="200" t="s">
        <v>204</v>
      </c>
      <c r="D8396" s="733">
        <v>-28000</v>
      </c>
      <c r="E8396" s="201">
        <v>45778</v>
      </c>
      <c r="F8396" s="200" t="s">
        <v>296</v>
      </c>
      <c r="G8396" s="200" t="s">
        <v>1980</v>
      </c>
      <c r="H8396" s="200" t="s">
        <v>442</v>
      </c>
    </row>
    <row r="8397" spans="1:8" ht="15" customHeight="1">
      <c r="A8397" s="199">
        <v>45797</v>
      </c>
      <c r="B8397" s="202" t="s">
        <v>1926</v>
      </c>
      <c r="C8397" s="200" t="s">
        <v>372</v>
      </c>
      <c r="D8397" s="204">
        <v>-4950</v>
      </c>
      <c r="E8397" s="201">
        <v>45778</v>
      </c>
      <c r="F8397" s="200" t="s">
        <v>297</v>
      </c>
      <c r="G8397" s="200" t="s">
        <v>71</v>
      </c>
      <c r="H8397" s="200" t="s">
        <v>268</v>
      </c>
    </row>
    <row r="8398" spans="1:8" ht="15" customHeight="1">
      <c r="A8398" s="199">
        <v>45797</v>
      </c>
      <c r="B8398" s="202" t="s">
        <v>1927</v>
      </c>
      <c r="C8398" s="200" t="s">
        <v>372</v>
      </c>
      <c r="D8398" s="204">
        <v>-2970</v>
      </c>
      <c r="E8398" s="201">
        <v>45778</v>
      </c>
      <c r="F8398" s="200" t="s">
        <v>297</v>
      </c>
      <c r="G8398" s="200" t="s">
        <v>71</v>
      </c>
      <c r="H8398" s="200" t="s">
        <v>268</v>
      </c>
    </row>
    <row r="8399" spans="1:8" ht="15" customHeight="1">
      <c r="A8399" s="199">
        <v>45799</v>
      </c>
      <c r="B8399" s="722" t="s">
        <v>6520</v>
      </c>
      <c r="C8399" s="200" t="s">
        <v>204</v>
      </c>
      <c r="D8399" s="733">
        <v>-381600</v>
      </c>
      <c r="E8399" s="201">
        <v>45778</v>
      </c>
      <c r="F8399" s="200" t="s">
        <v>296</v>
      </c>
      <c r="G8399" s="200" t="s">
        <v>57</v>
      </c>
      <c r="H8399" s="200" t="s">
        <v>105</v>
      </c>
    </row>
    <row r="8400" spans="1:8" ht="15" customHeight="1">
      <c r="A8400" s="199">
        <v>45799</v>
      </c>
      <c r="B8400" s="722" t="s">
        <v>6521</v>
      </c>
      <c r="C8400" s="200" t="s">
        <v>372</v>
      </c>
      <c r="D8400" s="204">
        <v>-16000</v>
      </c>
      <c r="E8400" s="201">
        <v>45778</v>
      </c>
      <c r="F8400" s="200" t="s">
        <v>296</v>
      </c>
      <c r="G8400" s="200" t="s">
        <v>57</v>
      </c>
      <c r="H8400" s="200" t="s">
        <v>105</v>
      </c>
    </row>
    <row r="8401" spans="1:8" ht="15" customHeight="1">
      <c r="A8401" s="199">
        <v>45799</v>
      </c>
      <c r="B8401" s="722" t="s">
        <v>6522</v>
      </c>
      <c r="C8401" s="200" t="s">
        <v>372</v>
      </c>
      <c r="D8401" s="204">
        <v>-2400</v>
      </c>
      <c r="E8401" s="201">
        <v>45778</v>
      </c>
      <c r="F8401" s="200" t="s">
        <v>296</v>
      </c>
      <c r="G8401" s="200" t="s">
        <v>57</v>
      </c>
      <c r="H8401" s="200" t="s">
        <v>105</v>
      </c>
    </row>
    <row r="8402" spans="1:8" ht="15" customHeight="1">
      <c r="A8402" s="199">
        <v>45799</v>
      </c>
      <c r="B8402" s="722" t="s">
        <v>6523</v>
      </c>
      <c r="C8402" s="200" t="s">
        <v>204</v>
      </c>
      <c r="D8402" s="733">
        <v>-400000</v>
      </c>
      <c r="E8402" s="201">
        <v>45778</v>
      </c>
      <c r="F8402" s="200" t="s">
        <v>296</v>
      </c>
      <c r="G8402" s="200" t="s">
        <v>57</v>
      </c>
      <c r="H8402" s="200" t="s">
        <v>105</v>
      </c>
    </row>
    <row r="8403" spans="1:8" ht="15" customHeight="1">
      <c r="A8403" s="199">
        <v>45799</v>
      </c>
      <c r="B8403" s="722" t="s">
        <v>6524</v>
      </c>
      <c r="C8403" s="200" t="s">
        <v>204</v>
      </c>
      <c r="D8403" s="733">
        <v>-234000</v>
      </c>
      <c r="E8403" s="201">
        <v>45778</v>
      </c>
      <c r="F8403" s="200" t="s">
        <v>296</v>
      </c>
      <c r="G8403" s="200" t="s">
        <v>57</v>
      </c>
      <c r="H8403" s="200" t="s">
        <v>105</v>
      </c>
    </row>
    <row r="8404" spans="1:8" ht="15" customHeight="1">
      <c r="A8404" s="199">
        <v>45799</v>
      </c>
      <c r="B8404" s="722" t="s">
        <v>6525</v>
      </c>
      <c r="C8404" s="200" t="s">
        <v>204</v>
      </c>
      <c r="D8404" s="733">
        <v>-20800</v>
      </c>
      <c r="E8404" s="201">
        <v>45778</v>
      </c>
      <c r="F8404" s="200" t="s">
        <v>296</v>
      </c>
      <c r="G8404" s="200" t="s">
        <v>57</v>
      </c>
      <c r="H8404" s="200" t="s">
        <v>105</v>
      </c>
    </row>
    <row r="8405" spans="1:8" ht="15" customHeight="1">
      <c r="A8405" s="199">
        <v>45799</v>
      </c>
      <c r="B8405" s="202" t="s">
        <v>6526</v>
      </c>
      <c r="C8405" s="200" t="s">
        <v>204</v>
      </c>
      <c r="D8405" s="733">
        <v>-6337967</v>
      </c>
      <c r="E8405" s="201">
        <v>45778</v>
      </c>
      <c r="F8405" s="200" t="s">
        <v>296</v>
      </c>
      <c r="G8405" s="200" t="s">
        <v>522</v>
      </c>
      <c r="H8405" s="200" t="s">
        <v>366</v>
      </c>
    </row>
    <row r="8406" spans="1:8" ht="15" customHeight="1">
      <c r="A8406" s="199">
        <v>45799</v>
      </c>
      <c r="B8406" s="202" t="s">
        <v>6527</v>
      </c>
      <c r="C8406" s="200" t="s">
        <v>372</v>
      </c>
      <c r="D8406" s="204">
        <v>-136712</v>
      </c>
      <c r="E8406" s="201">
        <v>45778</v>
      </c>
      <c r="F8406" s="200" t="s">
        <v>296</v>
      </c>
      <c r="G8406" s="200" t="s">
        <v>522</v>
      </c>
      <c r="H8406" s="200" t="s">
        <v>366</v>
      </c>
    </row>
    <row r="8407" spans="1:8" ht="15" customHeight="1">
      <c r="A8407" s="199">
        <v>45799</v>
      </c>
      <c r="B8407" s="202" t="s">
        <v>6528</v>
      </c>
      <c r="C8407" s="200" t="s">
        <v>372</v>
      </c>
      <c r="D8407" s="204">
        <v>-32811</v>
      </c>
      <c r="E8407" s="201">
        <v>45778</v>
      </c>
      <c r="F8407" s="200" t="s">
        <v>296</v>
      </c>
      <c r="G8407" s="200" t="s">
        <v>522</v>
      </c>
      <c r="H8407" s="200" t="s">
        <v>366</v>
      </c>
    </row>
    <row r="8408" spans="1:8" ht="15" customHeight="1">
      <c r="A8408" s="199">
        <v>45799</v>
      </c>
      <c r="B8408" s="202" t="s">
        <v>6529</v>
      </c>
      <c r="C8408" s="200" t="s">
        <v>204</v>
      </c>
      <c r="D8408" s="733">
        <v>-224632</v>
      </c>
      <c r="E8408" s="201">
        <v>45778</v>
      </c>
      <c r="F8408" s="200" t="s">
        <v>296</v>
      </c>
      <c r="G8408" s="200" t="s">
        <v>44</v>
      </c>
      <c r="H8408" s="200" t="s">
        <v>366</v>
      </c>
    </row>
    <row r="8409" spans="1:8" ht="15" customHeight="1">
      <c r="A8409" s="199">
        <v>45799</v>
      </c>
      <c r="B8409" s="202" t="s">
        <v>6530</v>
      </c>
      <c r="C8409" s="200" t="s">
        <v>372</v>
      </c>
      <c r="D8409" s="204">
        <v>-4845</v>
      </c>
      <c r="E8409" s="201">
        <v>45778</v>
      </c>
      <c r="F8409" s="200" t="s">
        <v>296</v>
      </c>
      <c r="G8409" s="200" t="s">
        <v>44</v>
      </c>
      <c r="H8409" s="200" t="s">
        <v>366</v>
      </c>
    </row>
    <row r="8410" spans="1:8" ht="15" customHeight="1">
      <c r="A8410" s="199">
        <v>45799</v>
      </c>
      <c r="B8410" s="202" t="s">
        <v>6531</v>
      </c>
      <c r="C8410" s="200" t="s">
        <v>372</v>
      </c>
      <c r="D8410" s="204">
        <v>-1163</v>
      </c>
      <c r="E8410" s="201">
        <v>45778</v>
      </c>
      <c r="F8410" s="200" t="s">
        <v>296</v>
      </c>
      <c r="G8410" s="200" t="s">
        <v>44</v>
      </c>
      <c r="H8410" s="200" t="s">
        <v>366</v>
      </c>
    </row>
    <row r="8411" spans="1:8" ht="15" customHeight="1">
      <c r="A8411" s="199">
        <v>45799</v>
      </c>
      <c r="B8411" s="202" t="s">
        <v>6532</v>
      </c>
      <c r="C8411" s="200" t="s">
        <v>204</v>
      </c>
      <c r="D8411" s="733">
        <v>-215048</v>
      </c>
      <c r="E8411" s="201">
        <v>45778</v>
      </c>
      <c r="F8411" s="200" t="s">
        <v>296</v>
      </c>
      <c r="G8411" s="200" t="s">
        <v>1825</v>
      </c>
      <c r="H8411" s="200" t="s">
        <v>322</v>
      </c>
    </row>
    <row r="8412" spans="1:8" ht="15" customHeight="1">
      <c r="A8412" s="199">
        <v>45799</v>
      </c>
      <c r="B8412" s="202" t="s">
        <v>6533</v>
      </c>
      <c r="C8412" s="200" t="s">
        <v>372</v>
      </c>
      <c r="D8412" s="204">
        <v>-4639</v>
      </c>
      <c r="E8412" s="201">
        <v>45778</v>
      </c>
      <c r="F8412" s="200" t="s">
        <v>296</v>
      </c>
      <c r="G8412" s="200" t="s">
        <v>1825</v>
      </c>
      <c r="H8412" s="200" t="s">
        <v>322</v>
      </c>
    </row>
    <row r="8413" spans="1:8" ht="15" customHeight="1">
      <c r="A8413" s="199">
        <v>45799</v>
      </c>
      <c r="B8413" s="202" t="s">
        <v>6534</v>
      </c>
      <c r="C8413" s="200" t="s">
        <v>372</v>
      </c>
      <c r="D8413" s="204">
        <v>-1113</v>
      </c>
      <c r="E8413" s="201">
        <v>45778</v>
      </c>
      <c r="F8413" s="200" t="s">
        <v>296</v>
      </c>
      <c r="G8413" s="200" t="s">
        <v>1825</v>
      </c>
      <c r="H8413" s="200" t="s">
        <v>322</v>
      </c>
    </row>
    <row r="8414" spans="1:8" ht="15" customHeight="1">
      <c r="A8414" s="199">
        <v>45799</v>
      </c>
      <c r="B8414" s="202" t="s">
        <v>6535</v>
      </c>
      <c r="C8414" s="200" t="s">
        <v>204</v>
      </c>
      <c r="D8414" s="733">
        <v>-1548619</v>
      </c>
      <c r="E8414" s="201">
        <v>45778</v>
      </c>
      <c r="F8414" s="200" t="s">
        <v>296</v>
      </c>
      <c r="G8414" s="200" t="s">
        <v>522</v>
      </c>
      <c r="H8414" s="200" t="s">
        <v>366</v>
      </c>
    </row>
    <row r="8415" spans="1:8" ht="15" customHeight="1">
      <c r="A8415" s="199">
        <v>45799</v>
      </c>
      <c r="B8415" s="202" t="s">
        <v>6536</v>
      </c>
      <c r="C8415" s="200" t="s">
        <v>372</v>
      </c>
      <c r="D8415" s="204">
        <v>-33404</v>
      </c>
      <c r="E8415" s="201">
        <v>45778</v>
      </c>
      <c r="F8415" s="200" t="s">
        <v>296</v>
      </c>
      <c r="G8415" s="200" t="s">
        <v>522</v>
      </c>
      <c r="H8415" s="200" t="s">
        <v>366</v>
      </c>
    </row>
    <row r="8416" spans="1:8" ht="15" customHeight="1">
      <c r="A8416" s="199">
        <v>45799</v>
      </c>
      <c r="B8416" s="202" t="s">
        <v>6537</v>
      </c>
      <c r="C8416" s="200" t="s">
        <v>372</v>
      </c>
      <c r="D8416" s="204">
        <v>-8017</v>
      </c>
      <c r="E8416" s="201">
        <v>45778</v>
      </c>
      <c r="F8416" s="200" t="s">
        <v>296</v>
      </c>
      <c r="G8416" s="200" t="s">
        <v>522</v>
      </c>
      <c r="H8416" s="200" t="s">
        <v>366</v>
      </c>
    </row>
    <row r="8417" spans="1:9" ht="15" customHeight="1">
      <c r="A8417" s="199">
        <v>45799</v>
      </c>
      <c r="B8417" s="202" t="s">
        <v>6538</v>
      </c>
      <c r="C8417" s="200" t="s">
        <v>204</v>
      </c>
      <c r="D8417" s="733">
        <v>-31653</v>
      </c>
      <c r="E8417" s="201">
        <v>45778</v>
      </c>
      <c r="F8417" s="200" t="s">
        <v>296</v>
      </c>
      <c r="G8417" s="200" t="s">
        <v>522</v>
      </c>
      <c r="H8417" s="200" t="s">
        <v>366</v>
      </c>
    </row>
    <row r="8418" spans="1:9" ht="15" customHeight="1">
      <c r="A8418" s="199">
        <v>45799</v>
      </c>
      <c r="B8418" s="202" t="s">
        <v>6539</v>
      </c>
      <c r="C8418" s="200" t="s">
        <v>372</v>
      </c>
      <c r="D8418" s="204">
        <v>-683</v>
      </c>
      <c r="E8418" s="201">
        <v>45778</v>
      </c>
      <c r="F8418" s="200" t="s">
        <v>296</v>
      </c>
      <c r="G8418" s="200" t="s">
        <v>522</v>
      </c>
      <c r="H8418" s="200" t="s">
        <v>366</v>
      </c>
    </row>
    <row r="8419" spans="1:9" ht="15" customHeight="1">
      <c r="A8419" s="199">
        <v>45799</v>
      </c>
      <c r="B8419" s="202" t="s">
        <v>6540</v>
      </c>
      <c r="C8419" s="200" t="s">
        <v>372</v>
      </c>
      <c r="D8419" s="204">
        <v>-164</v>
      </c>
      <c r="E8419" s="201">
        <v>45778</v>
      </c>
      <c r="F8419" s="200" t="s">
        <v>296</v>
      </c>
      <c r="G8419" s="200" t="s">
        <v>522</v>
      </c>
      <c r="H8419" s="200" t="s">
        <v>366</v>
      </c>
    </row>
    <row r="8420" spans="1:9" ht="15" customHeight="1">
      <c r="A8420" s="199">
        <v>45799</v>
      </c>
      <c r="B8420" s="202" t="s">
        <v>6541</v>
      </c>
      <c r="C8420" s="200" t="s">
        <v>204</v>
      </c>
      <c r="D8420" s="733">
        <v>-399592</v>
      </c>
      <c r="E8420" s="201">
        <v>45778</v>
      </c>
      <c r="F8420" s="200" t="s">
        <v>297</v>
      </c>
      <c r="G8420" s="200" t="s">
        <v>71</v>
      </c>
      <c r="H8420" s="200" t="s">
        <v>5384</v>
      </c>
    </row>
    <row r="8421" spans="1:9" ht="15" customHeight="1">
      <c r="A8421" s="199">
        <v>45799</v>
      </c>
      <c r="B8421" s="202" t="s">
        <v>6542</v>
      </c>
      <c r="C8421" s="200" t="s">
        <v>372</v>
      </c>
      <c r="D8421" s="204">
        <v>-8619</v>
      </c>
      <c r="E8421" s="201">
        <v>45778</v>
      </c>
      <c r="F8421" s="200" t="s">
        <v>297</v>
      </c>
      <c r="G8421" s="200" t="s">
        <v>71</v>
      </c>
      <c r="H8421" s="200" t="s">
        <v>5384</v>
      </c>
    </row>
    <row r="8422" spans="1:9" ht="15" customHeight="1">
      <c r="A8422" s="199">
        <v>45799</v>
      </c>
      <c r="B8422" s="202" t="s">
        <v>6543</v>
      </c>
      <c r="C8422" s="200" t="s">
        <v>372</v>
      </c>
      <c r="D8422" s="204">
        <v>-2069</v>
      </c>
      <c r="E8422" s="201">
        <v>45778</v>
      </c>
      <c r="F8422" s="200" t="s">
        <v>297</v>
      </c>
      <c r="G8422" s="200" t="s">
        <v>71</v>
      </c>
      <c r="H8422" s="200" t="s">
        <v>5384</v>
      </c>
    </row>
    <row r="8423" spans="1:9" ht="15" customHeight="1">
      <c r="A8423" s="199">
        <v>45799</v>
      </c>
      <c r="B8423" s="202" t="s">
        <v>6544</v>
      </c>
      <c r="C8423" s="200" t="s">
        <v>204</v>
      </c>
      <c r="D8423" s="733">
        <v>-25226428</v>
      </c>
      <c r="E8423" s="201">
        <v>45778</v>
      </c>
      <c r="F8423" s="200" t="s">
        <v>296</v>
      </c>
      <c r="G8423" s="200" t="s">
        <v>522</v>
      </c>
      <c r="H8423" s="200" t="s">
        <v>322</v>
      </c>
    </row>
    <row r="8424" spans="1:9" ht="15" customHeight="1">
      <c r="A8424" s="199">
        <v>45799</v>
      </c>
      <c r="B8424" s="202" t="s">
        <v>6545</v>
      </c>
      <c r="C8424" s="200" t="s">
        <v>372</v>
      </c>
      <c r="D8424" s="204">
        <v>-877441</v>
      </c>
      <c r="E8424" s="201">
        <v>45778</v>
      </c>
      <c r="F8424" s="200" t="s">
        <v>296</v>
      </c>
      <c r="G8424" s="200" t="s">
        <v>522</v>
      </c>
      <c r="H8424" s="200" t="s">
        <v>322</v>
      </c>
    </row>
    <row r="8425" spans="1:9" ht="15" customHeight="1">
      <c r="A8425" s="199">
        <v>45799</v>
      </c>
      <c r="B8425" s="202" t="s">
        <v>6546</v>
      </c>
      <c r="C8425" s="200" t="s">
        <v>204</v>
      </c>
      <c r="D8425" s="733">
        <v>-100000</v>
      </c>
      <c r="E8425" s="201">
        <v>45778</v>
      </c>
      <c r="F8425" s="200" t="s">
        <v>256</v>
      </c>
      <c r="G8425" s="200" t="s">
        <v>256</v>
      </c>
      <c r="H8425" s="200" t="s">
        <v>267</v>
      </c>
    </row>
    <row r="8426" spans="1:9" ht="15" customHeight="1">
      <c r="A8426" s="199">
        <v>45799</v>
      </c>
      <c r="B8426" s="202" t="s">
        <v>6547</v>
      </c>
      <c r="C8426" s="200" t="s">
        <v>204</v>
      </c>
      <c r="D8426" s="733">
        <v>-912533</v>
      </c>
      <c r="E8426" s="201">
        <v>45778</v>
      </c>
      <c r="F8426" s="200" t="s">
        <v>296</v>
      </c>
      <c r="G8426" s="200" t="s">
        <v>3360</v>
      </c>
      <c r="H8426" s="200" t="s">
        <v>346</v>
      </c>
    </row>
    <row r="8427" spans="1:9" ht="15" customHeight="1">
      <c r="A8427" s="199">
        <v>45799</v>
      </c>
      <c r="B8427" s="202" t="s">
        <v>6548</v>
      </c>
      <c r="C8427" s="200" t="s">
        <v>372</v>
      </c>
      <c r="D8427" s="204">
        <v>-7733</v>
      </c>
      <c r="E8427" s="201">
        <v>45778</v>
      </c>
      <c r="F8427" s="200" t="s">
        <v>296</v>
      </c>
      <c r="G8427" s="200" t="s">
        <v>3360</v>
      </c>
      <c r="H8427" s="200" t="s">
        <v>346</v>
      </c>
      <c r="I8427" s="648" t="s">
        <v>329</v>
      </c>
    </row>
    <row r="8428" spans="1:9" ht="15" customHeight="1">
      <c r="A8428" s="199">
        <v>45799</v>
      </c>
      <c r="B8428" s="202" t="s">
        <v>6549</v>
      </c>
      <c r="C8428" s="200" t="s">
        <v>204</v>
      </c>
      <c r="D8428" s="733">
        <v>-752427</v>
      </c>
      <c r="E8428" s="201">
        <v>45778</v>
      </c>
      <c r="F8428" s="200" t="s">
        <v>296</v>
      </c>
      <c r="G8428" s="200" t="s">
        <v>522</v>
      </c>
      <c r="H8428" s="200" t="s">
        <v>366</v>
      </c>
    </row>
    <row r="8429" spans="1:9" ht="15" customHeight="1">
      <c r="A8429" s="199">
        <v>45799</v>
      </c>
      <c r="B8429" s="202" t="s">
        <v>6550</v>
      </c>
      <c r="C8429" s="200" t="s">
        <v>372</v>
      </c>
      <c r="D8429" s="204">
        <v>-16147</v>
      </c>
      <c r="E8429" s="201">
        <v>45778</v>
      </c>
      <c r="F8429" s="200" t="s">
        <v>296</v>
      </c>
      <c r="G8429" s="200" t="s">
        <v>522</v>
      </c>
      <c r="H8429" s="200" t="s">
        <v>366</v>
      </c>
    </row>
    <row r="8430" spans="1:9" ht="15" customHeight="1">
      <c r="A8430" s="199">
        <v>45799</v>
      </c>
      <c r="B8430" s="202" t="s">
        <v>6549</v>
      </c>
      <c r="C8430" s="200" t="s">
        <v>204</v>
      </c>
      <c r="D8430" s="733">
        <v>-752427</v>
      </c>
      <c r="E8430" s="201">
        <v>45778</v>
      </c>
      <c r="F8430" s="200" t="s">
        <v>296</v>
      </c>
      <c r="G8430" s="200" t="s">
        <v>807</v>
      </c>
      <c r="H8430" s="200" t="s">
        <v>366</v>
      </c>
    </row>
    <row r="8431" spans="1:9" ht="15" customHeight="1">
      <c r="A8431" s="199">
        <v>45799</v>
      </c>
      <c r="B8431" s="202" t="s">
        <v>6550</v>
      </c>
      <c r="C8431" s="200" t="s">
        <v>372</v>
      </c>
      <c r="D8431" s="204">
        <v>-16147</v>
      </c>
      <c r="E8431" s="201">
        <v>45778</v>
      </c>
      <c r="F8431" s="200" t="s">
        <v>296</v>
      </c>
      <c r="G8431" s="200" t="s">
        <v>807</v>
      </c>
      <c r="H8431" s="200" t="s">
        <v>366</v>
      </c>
      <c r="I8431" s="648" t="s">
        <v>329</v>
      </c>
    </row>
    <row r="8432" spans="1:9" ht="15" customHeight="1">
      <c r="A8432" s="199">
        <v>45799</v>
      </c>
      <c r="B8432" s="202" t="s">
        <v>6549</v>
      </c>
      <c r="C8432" s="200" t="s">
        <v>204</v>
      </c>
      <c r="D8432" s="733">
        <v>-752427</v>
      </c>
      <c r="E8432" s="201">
        <v>45778</v>
      </c>
      <c r="F8432" s="200" t="s">
        <v>296</v>
      </c>
      <c r="G8432" s="200" t="s">
        <v>1825</v>
      </c>
      <c r="H8432" s="200" t="s">
        <v>366</v>
      </c>
    </row>
    <row r="8433" spans="1:9" ht="15" customHeight="1">
      <c r="A8433" s="199">
        <v>45799</v>
      </c>
      <c r="B8433" s="202" t="s">
        <v>6550</v>
      </c>
      <c r="C8433" s="200" t="s">
        <v>372</v>
      </c>
      <c r="D8433" s="204">
        <v>-16147</v>
      </c>
      <c r="E8433" s="201">
        <v>45778</v>
      </c>
      <c r="F8433" s="200" t="s">
        <v>296</v>
      </c>
      <c r="G8433" s="200" t="s">
        <v>1825</v>
      </c>
      <c r="H8433" s="200" t="s">
        <v>366</v>
      </c>
    </row>
    <row r="8434" spans="1:9" ht="15" customHeight="1">
      <c r="A8434" s="199">
        <v>45799</v>
      </c>
      <c r="B8434" s="202" t="s">
        <v>6549</v>
      </c>
      <c r="C8434" s="200" t="s">
        <v>204</v>
      </c>
      <c r="D8434" s="733">
        <v>-752427</v>
      </c>
      <c r="E8434" s="201">
        <v>45778</v>
      </c>
      <c r="F8434" s="200" t="s">
        <v>296</v>
      </c>
      <c r="G8434" s="200" t="s">
        <v>1980</v>
      </c>
      <c r="H8434" s="200" t="s">
        <v>366</v>
      </c>
    </row>
    <row r="8435" spans="1:9" ht="15" customHeight="1">
      <c r="A8435" s="199">
        <v>45799</v>
      </c>
      <c r="B8435" s="202" t="s">
        <v>6550</v>
      </c>
      <c r="C8435" s="200" t="s">
        <v>372</v>
      </c>
      <c r="D8435" s="204">
        <v>-16147</v>
      </c>
      <c r="E8435" s="201">
        <v>45778</v>
      </c>
      <c r="F8435" s="200" t="s">
        <v>296</v>
      </c>
      <c r="G8435" s="200" t="s">
        <v>1980</v>
      </c>
      <c r="H8435" s="200" t="s">
        <v>366</v>
      </c>
    </row>
    <row r="8436" spans="1:9" ht="15" customHeight="1">
      <c r="A8436" s="199">
        <v>45799</v>
      </c>
      <c r="B8436" s="202" t="s">
        <v>6549</v>
      </c>
      <c r="C8436" s="200" t="s">
        <v>204</v>
      </c>
      <c r="D8436" s="733">
        <v>-752427</v>
      </c>
      <c r="E8436" s="201">
        <v>45778</v>
      </c>
      <c r="F8436" s="200" t="s">
        <v>296</v>
      </c>
      <c r="G8436" s="200" t="s">
        <v>1983</v>
      </c>
      <c r="H8436" s="200" t="s">
        <v>366</v>
      </c>
    </row>
    <row r="8437" spans="1:9" ht="15" customHeight="1">
      <c r="A8437" s="199">
        <v>45799</v>
      </c>
      <c r="B8437" s="202" t="s">
        <v>6550</v>
      </c>
      <c r="C8437" s="200" t="s">
        <v>372</v>
      </c>
      <c r="D8437" s="204">
        <v>-16147</v>
      </c>
      <c r="E8437" s="201">
        <v>45778</v>
      </c>
      <c r="F8437" s="200" t="s">
        <v>296</v>
      </c>
      <c r="G8437" s="200" t="s">
        <v>1983</v>
      </c>
      <c r="H8437" s="200" t="s">
        <v>366</v>
      </c>
    </row>
    <row r="8438" spans="1:9" ht="15" customHeight="1">
      <c r="A8438" s="199">
        <v>45799</v>
      </c>
      <c r="B8438" s="202" t="s">
        <v>6551</v>
      </c>
      <c r="C8438" s="200" t="s">
        <v>204</v>
      </c>
      <c r="D8438" s="733">
        <v>-700000</v>
      </c>
      <c r="E8438" s="201">
        <v>45778</v>
      </c>
      <c r="F8438" s="200" t="s">
        <v>256</v>
      </c>
      <c r="G8438" s="200" t="s">
        <v>107</v>
      </c>
      <c r="H8438" s="200" t="s">
        <v>777</v>
      </c>
    </row>
    <row r="8439" spans="1:9" ht="15" customHeight="1">
      <c r="A8439" s="199">
        <v>45799</v>
      </c>
      <c r="B8439" s="202" t="s">
        <v>6552</v>
      </c>
      <c r="C8439" s="200" t="s">
        <v>204</v>
      </c>
      <c r="D8439" s="733">
        <v>-770000</v>
      </c>
      <c r="E8439" s="201">
        <v>45778</v>
      </c>
      <c r="F8439" s="200" t="s">
        <v>256</v>
      </c>
      <c r="G8439" s="200" t="s">
        <v>107</v>
      </c>
      <c r="H8439" s="200" t="s">
        <v>777</v>
      </c>
    </row>
    <row r="8440" spans="1:9" ht="15" customHeight="1">
      <c r="A8440" s="199">
        <v>45799</v>
      </c>
      <c r="B8440" s="202" t="s">
        <v>6553</v>
      </c>
      <c r="C8440" s="200" t="s">
        <v>204</v>
      </c>
      <c r="D8440" s="733">
        <v>-632500</v>
      </c>
      <c r="E8440" s="201">
        <v>45778</v>
      </c>
      <c r="F8440" s="200" t="s">
        <v>296</v>
      </c>
      <c r="G8440" s="200" t="s">
        <v>1980</v>
      </c>
      <c r="H8440" s="200" t="s">
        <v>326</v>
      </c>
    </row>
    <row r="8441" spans="1:9" ht="15" customHeight="1">
      <c r="A8441" s="199">
        <v>45799</v>
      </c>
      <c r="B8441" s="202" t="s">
        <v>6554</v>
      </c>
      <c r="C8441" s="200" t="s">
        <v>372</v>
      </c>
      <c r="D8441" s="204">
        <v>-22940</v>
      </c>
      <c r="E8441" s="201">
        <v>45778</v>
      </c>
      <c r="F8441" s="200" t="s">
        <v>296</v>
      </c>
      <c r="G8441" s="200" t="s">
        <v>1980</v>
      </c>
      <c r="H8441" s="200" t="s">
        <v>326</v>
      </c>
    </row>
    <row r="8442" spans="1:9" ht="15" customHeight="1">
      <c r="A8442" s="199">
        <v>45799</v>
      </c>
      <c r="B8442" s="202" t="s">
        <v>6553</v>
      </c>
      <c r="C8442" s="200" t="s">
        <v>204</v>
      </c>
      <c r="D8442" s="733">
        <v>-632500</v>
      </c>
      <c r="E8442" s="201">
        <v>45778</v>
      </c>
      <c r="F8442" s="200" t="s">
        <v>296</v>
      </c>
      <c r="G8442" s="200" t="s">
        <v>1983</v>
      </c>
      <c r="H8442" s="200" t="s">
        <v>326</v>
      </c>
    </row>
    <row r="8443" spans="1:9" ht="15" customHeight="1">
      <c r="A8443" s="199">
        <v>45799</v>
      </c>
      <c r="B8443" s="202" t="s">
        <v>6554</v>
      </c>
      <c r="C8443" s="200" t="s">
        <v>372</v>
      </c>
      <c r="D8443" s="204">
        <v>-22940</v>
      </c>
      <c r="E8443" s="201">
        <v>45778</v>
      </c>
      <c r="F8443" s="200" t="s">
        <v>296</v>
      </c>
      <c r="G8443" s="200" t="s">
        <v>1983</v>
      </c>
      <c r="H8443" s="200" t="s">
        <v>326</v>
      </c>
      <c r="I8443" s="648" t="s">
        <v>329</v>
      </c>
    </row>
    <row r="8444" spans="1:9" ht="15" customHeight="1">
      <c r="A8444" s="199">
        <v>45799</v>
      </c>
      <c r="B8444" s="202" t="s">
        <v>6555</v>
      </c>
      <c r="C8444" s="200" t="s">
        <v>204</v>
      </c>
      <c r="D8444" s="733">
        <v>-227740</v>
      </c>
      <c r="E8444" s="201">
        <v>45778</v>
      </c>
      <c r="F8444" s="200" t="s">
        <v>296</v>
      </c>
      <c r="G8444" s="200" t="s">
        <v>1362</v>
      </c>
      <c r="H8444" s="200" t="s">
        <v>342</v>
      </c>
    </row>
    <row r="8445" spans="1:9" ht="15" customHeight="1">
      <c r="A8445" s="199">
        <v>45799</v>
      </c>
      <c r="B8445" s="202" t="s">
        <v>6556</v>
      </c>
      <c r="C8445" s="200" t="s">
        <v>372</v>
      </c>
      <c r="D8445" s="204">
        <v>-8260</v>
      </c>
      <c r="E8445" s="201">
        <v>45778</v>
      </c>
      <c r="F8445" s="200" t="s">
        <v>296</v>
      </c>
      <c r="G8445" s="200" t="s">
        <v>1362</v>
      </c>
      <c r="H8445" s="200" t="s">
        <v>342</v>
      </c>
    </row>
    <row r="8446" spans="1:9" ht="15" customHeight="1">
      <c r="A8446" s="199">
        <v>45799</v>
      </c>
      <c r="B8446" s="202" t="s">
        <v>6557</v>
      </c>
      <c r="C8446" s="200" t="s">
        <v>204</v>
      </c>
      <c r="D8446" s="733">
        <v>-21900</v>
      </c>
      <c r="E8446" s="201">
        <v>45778</v>
      </c>
      <c r="F8446" s="200" t="s">
        <v>296</v>
      </c>
      <c r="G8446" s="200" t="s">
        <v>57</v>
      </c>
      <c r="H8446" s="200" t="s">
        <v>98</v>
      </c>
    </row>
    <row r="8447" spans="1:9" ht="15" customHeight="1">
      <c r="A8447" s="199">
        <v>45799</v>
      </c>
      <c r="B8447" s="202" t="s">
        <v>6558</v>
      </c>
      <c r="C8447" s="200" t="s">
        <v>204</v>
      </c>
      <c r="D8447" s="733">
        <v>-21900</v>
      </c>
      <c r="E8447" s="201">
        <v>45778</v>
      </c>
      <c r="F8447" s="200" t="s">
        <v>296</v>
      </c>
      <c r="G8447" s="200" t="s">
        <v>57</v>
      </c>
      <c r="H8447" s="200" t="s">
        <v>98</v>
      </c>
    </row>
    <row r="8448" spans="1:9" ht="15" customHeight="1">
      <c r="A8448" s="199">
        <v>45775</v>
      </c>
      <c r="B8448" s="202" t="s">
        <v>6559</v>
      </c>
      <c r="C8448" s="200" t="s">
        <v>307</v>
      </c>
      <c r="D8448" s="204">
        <v>-27500</v>
      </c>
      <c r="E8448" s="201">
        <v>45778</v>
      </c>
      <c r="F8448" s="200" t="s">
        <v>296</v>
      </c>
      <c r="G8448" s="200" t="s">
        <v>57</v>
      </c>
      <c r="H8448" s="200" t="s">
        <v>97</v>
      </c>
      <c r="I8448" s="200" t="s">
        <v>211</v>
      </c>
    </row>
    <row r="8449" spans="1:9" ht="15" customHeight="1">
      <c r="A8449" s="199">
        <v>45775</v>
      </c>
      <c r="B8449" s="202" t="s">
        <v>6560</v>
      </c>
      <c r="C8449" s="200" t="s">
        <v>307</v>
      </c>
      <c r="D8449" s="204">
        <v>-60000</v>
      </c>
      <c r="E8449" s="201">
        <v>45778</v>
      </c>
      <c r="F8449" s="200" t="s">
        <v>296</v>
      </c>
      <c r="G8449" s="200" t="s">
        <v>57</v>
      </c>
      <c r="H8449" s="200" t="s">
        <v>97</v>
      </c>
      <c r="I8449" s="200" t="s">
        <v>211</v>
      </c>
    </row>
    <row r="8450" spans="1:9" ht="15" customHeight="1">
      <c r="A8450" s="199">
        <v>45775</v>
      </c>
      <c r="B8450" s="202" t="s">
        <v>6561</v>
      </c>
      <c r="C8450" s="200" t="s">
        <v>307</v>
      </c>
      <c r="D8450" s="204">
        <v>-26000</v>
      </c>
      <c r="E8450" s="201">
        <v>45778</v>
      </c>
      <c r="F8450" s="200" t="s">
        <v>296</v>
      </c>
      <c r="G8450" s="200" t="s">
        <v>57</v>
      </c>
      <c r="H8450" s="200" t="s">
        <v>97</v>
      </c>
      <c r="I8450" s="200" t="s">
        <v>211</v>
      </c>
    </row>
    <row r="8451" spans="1:9" ht="15" customHeight="1">
      <c r="A8451" s="199">
        <v>45775</v>
      </c>
      <c r="B8451" s="202" t="s">
        <v>6562</v>
      </c>
      <c r="C8451" s="200" t="s">
        <v>307</v>
      </c>
      <c r="D8451" s="204">
        <v>-19000</v>
      </c>
      <c r="E8451" s="201">
        <v>45778</v>
      </c>
      <c r="F8451" s="200" t="s">
        <v>296</v>
      </c>
      <c r="G8451" s="200" t="s">
        <v>57</v>
      </c>
      <c r="H8451" s="200" t="s">
        <v>97</v>
      </c>
      <c r="I8451" s="200" t="s">
        <v>211</v>
      </c>
    </row>
    <row r="8452" spans="1:9" ht="15" customHeight="1">
      <c r="A8452" s="199">
        <v>45776</v>
      </c>
      <c r="B8452" s="202" t="s">
        <v>6563</v>
      </c>
      <c r="C8452" s="200" t="s">
        <v>307</v>
      </c>
      <c r="D8452" s="204">
        <v>-20000</v>
      </c>
      <c r="E8452" s="201">
        <v>45778</v>
      </c>
      <c r="F8452" s="200" t="s">
        <v>296</v>
      </c>
      <c r="G8452" s="200" t="s">
        <v>57</v>
      </c>
      <c r="H8452" s="200" t="s">
        <v>97</v>
      </c>
      <c r="I8452" s="200" t="s">
        <v>211</v>
      </c>
    </row>
    <row r="8453" spans="1:9" ht="15" customHeight="1">
      <c r="A8453" s="199">
        <v>45776</v>
      </c>
      <c r="B8453" s="202" t="s">
        <v>6564</v>
      </c>
      <c r="C8453" s="200" t="s">
        <v>307</v>
      </c>
      <c r="D8453" s="204">
        <v>-29000</v>
      </c>
      <c r="E8453" s="201">
        <v>45778</v>
      </c>
      <c r="F8453" s="200" t="s">
        <v>296</v>
      </c>
      <c r="G8453" s="200" t="s">
        <v>57</v>
      </c>
      <c r="H8453" s="200" t="s">
        <v>97</v>
      </c>
      <c r="I8453" s="200" t="s">
        <v>211</v>
      </c>
    </row>
    <row r="8454" spans="1:9" ht="15" customHeight="1">
      <c r="A8454" s="199">
        <v>45776</v>
      </c>
      <c r="B8454" s="202" t="s">
        <v>6565</v>
      </c>
      <c r="C8454" s="200" t="s">
        <v>307</v>
      </c>
      <c r="D8454" s="204">
        <v>-23000</v>
      </c>
      <c r="E8454" s="201">
        <v>45778</v>
      </c>
      <c r="F8454" s="200" t="s">
        <v>296</v>
      </c>
      <c r="G8454" s="200" t="s">
        <v>57</v>
      </c>
      <c r="H8454" s="200" t="s">
        <v>97</v>
      </c>
      <c r="I8454" s="200" t="s">
        <v>211</v>
      </c>
    </row>
    <row r="8455" spans="1:9" ht="15" customHeight="1">
      <c r="A8455" s="199">
        <v>45777</v>
      </c>
      <c r="B8455" s="202" t="s">
        <v>6566</v>
      </c>
      <c r="C8455" s="200" t="s">
        <v>307</v>
      </c>
      <c r="D8455" s="204">
        <v>-25000</v>
      </c>
      <c r="E8455" s="201">
        <v>45778</v>
      </c>
      <c r="F8455" s="200" t="s">
        <v>296</v>
      </c>
      <c r="G8455" s="200" t="s">
        <v>57</v>
      </c>
      <c r="H8455" s="200" t="s">
        <v>97</v>
      </c>
      <c r="I8455" s="200" t="s">
        <v>211</v>
      </c>
    </row>
    <row r="8456" spans="1:9" ht="15" customHeight="1">
      <c r="A8456" s="199">
        <v>45777</v>
      </c>
      <c r="B8456" s="202" t="s">
        <v>6567</v>
      </c>
      <c r="C8456" s="200" t="s">
        <v>307</v>
      </c>
      <c r="D8456" s="204">
        <v>-48000</v>
      </c>
      <c r="E8456" s="201">
        <v>45778</v>
      </c>
      <c r="F8456" s="200" t="s">
        <v>296</v>
      </c>
      <c r="G8456" s="200" t="s">
        <v>57</v>
      </c>
      <c r="H8456" s="200" t="s">
        <v>97</v>
      </c>
      <c r="I8456" s="200" t="s">
        <v>211</v>
      </c>
    </row>
    <row r="8457" spans="1:9" ht="15" customHeight="1">
      <c r="A8457" s="199">
        <v>45778</v>
      </c>
      <c r="B8457" s="202" t="s">
        <v>6565</v>
      </c>
      <c r="C8457" s="200" t="s">
        <v>307</v>
      </c>
      <c r="D8457" s="204">
        <v>-50000</v>
      </c>
      <c r="E8457" s="201">
        <v>45778</v>
      </c>
      <c r="F8457" s="200" t="s">
        <v>296</v>
      </c>
      <c r="G8457" s="200" t="s">
        <v>57</v>
      </c>
      <c r="H8457" s="200" t="s">
        <v>97</v>
      </c>
      <c r="I8457" s="200" t="s">
        <v>211</v>
      </c>
    </row>
    <row r="8458" spans="1:9" ht="15" customHeight="1">
      <c r="A8458" s="199">
        <v>45778</v>
      </c>
      <c r="B8458" s="202" t="s">
        <v>6568</v>
      </c>
      <c r="C8458" s="200" t="s">
        <v>307</v>
      </c>
      <c r="D8458" s="204">
        <v>-61000</v>
      </c>
      <c r="E8458" s="201">
        <v>45778</v>
      </c>
      <c r="F8458" s="200" t="s">
        <v>296</v>
      </c>
      <c r="G8458" s="200" t="s">
        <v>57</v>
      </c>
      <c r="H8458" s="200" t="s">
        <v>97</v>
      </c>
      <c r="I8458" s="200" t="s">
        <v>211</v>
      </c>
    </row>
    <row r="8459" spans="1:9" ht="15" customHeight="1">
      <c r="A8459" s="199">
        <v>45781</v>
      </c>
      <c r="B8459" s="202" t="s">
        <v>6565</v>
      </c>
      <c r="C8459" s="200" t="s">
        <v>307</v>
      </c>
      <c r="D8459" s="204">
        <v>-70000</v>
      </c>
      <c r="E8459" s="201">
        <v>45778</v>
      </c>
      <c r="F8459" s="200" t="s">
        <v>296</v>
      </c>
      <c r="G8459" s="200" t="s">
        <v>57</v>
      </c>
      <c r="H8459" s="200" t="s">
        <v>97</v>
      </c>
      <c r="I8459" s="200" t="s">
        <v>211</v>
      </c>
    </row>
    <row r="8460" spans="1:9" ht="15" customHeight="1">
      <c r="A8460" s="199">
        <v>45781</v>
      </c>
      <c r="B8460" s="202" t="s">
        <v>6569</v>
      </c>
      <c r="C8460" s="200" t="s">
        <v>307</v>
      </c>
      <c r="D8460" s="204">
        <v>-57500</v>
      </c>
      <c r="E8460" s="201">
        <v>45778</v>
      </c>
      <c r="F8460" s="200" t="s">
        <v>296</v>
      </c>
      <c r="G8460" s="200" t="s">
        <v>57</v>
      </c>
      <c r="H8460" s="200" t="s">
        <v>97</v>
      </c>
      <c r="I8460" s="200" t="s">
        <v>211</v>
      </c>
    </row>
    <row r="8461" spans="1:9" ht="15" customHeight="1">
      <c r="A8461" s="199">
        <v>45781</v>
      </c>
      <c r="B8461" s="202" t="s">
        <v>6570</v>
      </c>
      <c r="C8461" s="200" t="s">
        <v>307</v>
      </c>
      <c r="D8461" s="204">
        <v>-22000</v>
      </c>
      <c r="E8461" s="201">
        <v>45778</v>
      </c>
      <c r="F8461" s="200" t="s">
        <v>296</v>
      </c>
      <c r="G8461" s="200" t="s">
        <v>57</v>
      </c>
      <c r="H8461" s="200" t="s">
        <v>97</v>
      </c>
      <c r="I8461" s="200" t="s">
        <v>211</v>
      </c>
    </row>
    <row r="8462" spans="1:9" ht="15" customHeight="1">
      <c r="A8462" s="199">
        <v>45781</v>
      </c>
      <c r="B8462" s="202" t="s">
        <v>6571</v>
      </c>
      <c r="C8462" s="200" t="s">
        <v>307</v>
      </c>
      <c r="D8462" s="204">
        <v>-12400</v>
      </c>
      <c r="E8462" s="201">
        <v>45778</v>
      </c>
      <c r="F8462" s="200" t="s">
        <v>296</v>
      </c>
      <c r="G8462" s="200" t="s">
        <v>57</v>
      </c>
      <c r="H8462" s="200" t="s">
        <v>97</v>
      </c>
      <c r="I8462" s="200" t="s">
        <v>211</v>
      </c>
    </row>
    <row r="8463" spans="1:9" ht="15" customHeight="1">
      <c r="A8463" s="199">
        <v>45781</v>
      </c>
      <c r="B8463" s="202" t="s">
        <v>6572</v>
      </c>
      <c r="C8463" s="200" t="s">
        <v>307</v>
      </c>
      <c r="D8463" s="204">
        <v>-120000</v>
      </c>
      <c r="E8463" s="201">
        <v>45778</v>
      </c>
      <c r="F8463" s="200" t="s">
        <v>296</v>
      </c>
      <c r="G8463" s="200" t="s">
        <v>57</v>
      </c>
      <c r="H8463" s="200" t="s">
        <v>97</v>
      </c>
      <c r="I8463" s="200" t="s">
        <v>211</v>
      </c>
    </row>
    <row r="8464" spans="1:9" ht="15" customHeight="1">
      <c r="A8464" s="199">
        <v>45782</v>
      </c>
      <c r="B8464" s="202" t="s">
        <v>6573</v>
      </c>
      <c r="C8464" s="200" t="s">
        <v>307</v>
      </c>
      <c r="D8464" s="204">
        <v>-30000</v>
      </c>
      <c r="E8464" s="201">
        <v>45778</v>
      </c>
      <c r="F8464" s="200" t="s">
        <v>296</v>
      </c>
      <c r="G8464" s="200" t="s">
        <v>57</v>
      </c>
      <c r="H8464" s="200" t="s">
        <v>97</v>
      </c>
      <c r="I8464" s="200" t="s">
        <v>211</v>
      </c>
    </row>
    <row r="8465" spans="1:9" ht="15" customHeight="1">
      <c r="A8465" s="199">
        <v>45782</v>
      </c>
      <c r="B8465" s="202" t="s">
        <v>6573</v>
      </c>
      <c r="C8465" s="200" t="s">
        <v>307</v>
      </c>
      <c r="D8465" s="204">
        <v>-37000</v>
      </c>
      <c r="E8465" s="201">
        <v>45778</v>
      </c>
      <c r="F8465" s="200" t="s">
        <v>296</v>
      </c>
      <c r="G8465" s="200" t="s">
        <v>57</v>
      </c>
      <c r="H8465" s="200" t="s">
        <v>97</v>
      </c>
      <c r="I8465" s="200" t="s">
        <v>211</v>
      </c>
    </row>
    <row r="8466" spans="1:9" ht="15" customHeight="1">
      <c r="A8466" s="199">
        <v>45782</v>
      </c>
      <c r="B8466" s="202" t="s">
        <v>6572</v>
      </c>
      <c r="C8466" s="200" t="s">
        <v>307</v>
      </c>
      <c r="D8466" s="204">
        <v>-95000</v>
      </c>
      <c r="E8466" s="201">
        <v>45778</v>
      </c>
      <c r="F8466" s="200" t="s">
        <v>296</v>
      </c>
      <c r="G8466" s="200" t="s">
        <v>57</v>
      </c>
      <c r="H8466" s="200" t="s">
        <v>97</v>
      </c>
      <c r="I8466" s="200" t="s">
        <v>211</v>
      </c>
    </row>
    <row r="8467" spans="1:9" ht="15" customHeight="1">
      <c r="A8467" s="199">
        <v>45782</v>
      </c>
      <c r="B8467" s="202" t="s">
        <v>6574</v>
      </c>
      <c r="C8467" s="200" t="s">
        <v>307</v>
      </c>
      <c r="D8467" s="204">
        <v>-38500</v>
      </c>
      <c r="E8467" s="201">
        <v>45778</v>
      </c>
      <c r="F8467" s="200" t="s">
        <v>296</v>
      </c>
      <c r="G8467" s="200" t="s">
        <v>57</v>
      </c>
      <c r="H8467" s="200" t="s">
        <v>97</v>
      </c>
      <c r="I8467" s="200" t="s">
        <v>211</v>
      </c>
    </row>
    <row r="8468" spans="1:9" ht="15" customHeight="1">
      <c r="A8468" s="199">
        <v>45782</v>
      </c>
      <c r="B8468" s="202" t="s">
        <v>6575</v>
      </c>
      <c r="C8468" s="200" t="s">
        <v>307</v>
      </c>
      <c r="D8468" s="204">
        <v>-16100</v>
      </c>
      <c r="E8468" s="201">
        <v>45778</v>
      </c>
      <c r="F8468" s="200" t="s">
        <v>296</v>
      </c>
      <c r="G8468" s="200" t="s">
        <v>57</v>
      </c>
      <c r="H8468" s="200" t="s">
        <v>97</v>
      </c>
      <c r="I8468" s="200" t="s">
        <v>211</v>
      </c>
    </row>
    <row r="8469" spans="1:9" ht="15" customHeight="1">
      <c r="A8469" s="199">
        <v>45782</v>
      </c>
      <c r="B8469" s="202" t="s">
        <v>6575</v>
      </c>
      <c r="C8469" s="200" t="s">
        <v>307</v>
      </c>
      <c r="D8469" s="204">
        <v>-5200</v>
      </c>
      <c r="E8469" s="201">
        <v>45778</v>
      </c>
      <c r="F8469" s="200" t="s">
        <v>296</v>
      </c>
      <c r="G8469" s="200" t="s">
        <v>57</v>
      </c>
      <c r="H8469" s="200" t="s">
        <v>97</v>
      </c>
      <c r="I8469" s="200" t="s">
        <v>211</v>
      </c>
    </row>
    <row r="8470" spans="1:9" ht="15" customHeight="1">
      <c r="A8470" s="199">
        <v>45783</v>
      </c>
      <c r="B8470" s="202" t="s">
        <v>6573</v>
      </c>
      <c r="C8470" s="200" t="s">
        <v>307</v>
      </c>
      <c r="D8470" s="204">
        <v>-44500</v>
      </c>
      <c r="E8470" s="201">
        <v>45778</v>
      </c>
      <c r="F8470" s="200" t="s">
        <v>296</v>
      </c>
      <c r="G8470" s="200" t="s">
        <v>57</v>
      </c>
      <c r="H8470" s="200" t="s">
        <v>97</v>
      </c>
      <c r="I8470" s="200" t="s">
        <v>211</v>
      </c>
    </row>
    <row r="8471" spans="1:9" ht="15" customHeight="1">
      <c r="A8471" s="199">
        <v>45783</v>
      </c>
      <c r="B8471" s="202" t="s">
        <v>6573</v>
      </c>
      <c r="C8471" s="200" t="s">
        <v>307</v>
      </c>
      <c r="D8471" s="204">
        <v>-9500</v>
      </c>
      <c r="E8471" s="201">
        <v>45778</v>
      </c>
      <c r="F8471" s="200" t="s">
        <v>296</v>
      </c>
      <c r="G8471" s="200" t="s">
        <v>57</v>
      </c>
      <c r="H8471" s="200" t="s">
        <v>97</v>
      </c>
      <c r="I8471" s="200" t="s">
        <v>211</v>
      </c>
    </row>
    <row r="8472" spans="1:9" ht="15" customHeight="1">
      <c r="A8472" s="199">
        <v>45783</v>
      </c>
      <c r="B8472" s="202" t="s">
        <v>6573</v>
      </c>
      <c r="C8472" s="200" t="s">
        <v>307</v>
      </c>
      <c r="D8472" s="204">
        <v>-68500</v>
      </c>
      <c r="E8472" s="201">
        <v>45778</v>
      </c>
      <c r="F8472" s="200" t="s">
        <v>296</v>
      </c>
      <c r="G8472" s="200" t="s">
        <v>57</v>
      </c>
      <c r="H8472" s="200" t="s">
        <v>97</v>
      </c>
      <c r="I8472" s="200" t="s">
        <v>211</v>
      </c>
    </row>
    <row r="8473" spans="1:9" ht="15" customHeight="1">
      <c r="A8473" s="199">
        <v>45783</v>
      </c>
      <c r="B8473" s="202" t="s">
        <v>6572</v>
      </c>
      <c r="C8473" s="200" t="s">
        <v>307</v>
      </c>
      <c r="D8473" s="204">
        <v>-89700</v>
      </c>
      <c r="E8473" s="201">
        <v>45778</v>
      </c>
      <c r="F8473" s="200" t="s">
        <v>296</v>
      </c>
      <c r="G8473" s="200" t="s">
        <v>57</v>
      </c>
      <c r="H8473" s="200" t="s">
        <v>97</v>
      </c>
      <c r="I8473" s="200" t="s">
        <v>211</v>
      </c>
    </row>
    <row r="8474" spans="1:9" ht="15" customHeight="1">
      <c r="A8474" s="199">
        <v>45783</v>
      </c>
      <c r="B8474" s="202" t="s">
        <v>6576</v>
      </c>
      <c r="C8474" s="200" t="s">
        <v>307</v>
      </c>
      <c r="D8474" s="204">
        <v>-17500</v>
      </c>
      <c r="E8474" s="201">
        <v>45778</v>
      </c>
      <c r="F8474" s="200" t="s">
        <v>296</v>
      </c>
      <c r="G8474" s="200" t="s">
        <v>57</v>
      </c>
      <c r="H8474" s="200" t="s">
        <v>97</v>
      </c>
      <c r="I8474" s="200" t="s">
        <v>211</v>
      </c>
    </row>
    <row r="8475" spans="1:9" ht="15" customHeight="1">
      <c r="A8475" s="199">
        <v>45783</v>
      </c>
      <c r="B8475" s="202" t="s">
        <v>6577</v>
      </c>
      <c r="C8475" s="200" t="s">
        <v>307</v>
      </c>
      <c r="D8475" s="204">
        <v>-100000</v>
      </c>
      <c r="E8475" s="201">
        <v>45778</v>
      </c>
      <c r="F8475" s="200" t="s">
        <v>296</v>
      </c>
      <c r="G8475" s="200" t="s">
        <v>57</v>
      </c>
      <c r="H8475" s="200" t="s">
        <v>97</v>
      </c>
      <c r="I8475" s="200" t="s">
        <v>211</v>
      </c>
    </row>
    <row r="8476" spans="1:9" ht="15" customHeight="1">
      <c r="A8476" s="199">
        <v>45783</v>
      </c>
      <c r="B8476" s="202" t="s">
        <v>6578</v>
      </c>
      <c r="C8476" s="200" t="s">
        <v>307</v>
      </c>
      <c r="D8476" s="204">
        <v>-130000</v>
      </c>
      <c r="E8476" s="201">
        <v>45778</v>
      </c>
      <c r="F8476" s="200" t="s">
        <v>296</v>
      </c>
      <c r="G8476" s="200" t="s">
        <v>57</v>
      </c>
      <c r="H8476" s="200" t="s">
        <v>97</v>
      </c>
      <c r="I8476" s="200" t="s">
        <v>211</v>
      </c>
    </row>
    <row r="8477" spans="1:9" ht="15" customHeight="1">
      <c r="A8477" s="199">
        <v>45783</v>
      </c>
      <c r="B8477" s="202" t="s">
        <v>6578</v>
      </c>
      <c r="C8477" s="200" t="s">
        <v>307</v>
      </c>
      <c r="D8477" s="204">
        <v>-130000</v>
      </c>
      <c r="E8477" s="201">
        <v>45778</v>
      </c>
      <c r="F8477" s="200" t="s">
        <v>296</v>
      </c>
      <c r="G8477" s="200" t="s">
        <v>57</v>
      </c>
      <c r="H8477" s="200" t="s">
        <v>97</v>
      </c>
      <c r="I8477" s="200" t="s">
        <v>211</v>
      </c>
    </row>
    <row r="8478" spans="1:9" ht="15" customHeight="1">
      <c r="A8478" s="199">
        <v>45785</v>
      </c>
      <c r="B8478" s="202" t="s">
        <v>6579</v>
      </c>
      <c r="C8478" s="200" t="s">
        <v>307</v>
      </c>
      <c r="D8478" s="204">
        <v>-60000</v>
      </c>
      <c r="E8478" s="201">
        <v>45778</v>
      </c>
      <c r="F8478" s="200" t="s">
        <v>296</v>
      </c>
      <c r="G8478" s="200" t="s">
        <v>57</v>
      </c>
      <c r="H8478" s="200" t="s">
        <v>97</v>
      </c>
      <c r="I8478" s="200" t="s">
        <v>211</v>
      </c>
    </row>
    <row r="8479" spans="1:9" ht="15" customHeight="1">
      <c r="A8479" s="199">
        <v>45785</v>
      </c>
      <c r="B8479" s="202" t="s">
        <v>6580</v>
      </c>
      <c r="C8479" s="200" t="s">
        <v>307</v>
      </c>
      <c r="D8479" s="204">
        <v>-120000</v>
      </c>
      <c r="E8479" s="201">
        <v>45778</v>
      </c>
      <c r="F8479" s="200" t="s">
        <v>296</v>
      </c>
      <c r="G8479" s="200" t="s">
        <v>57</v>
      </c>
      <c r="H8479" s="200" t="s">
        <v>97</v>
      </c>
      <c r="I8479" s="200" t="s">
        <v>211</v>
      </c>
    </row>
    <row r="8480" spans="1:9" ht="15" customHeight="1">
      <c r="A8480" s="199">
        <v>45785</v>
      </c>
      <c r="B8480" s="202" t="s">
        <v>6581</v>
      </c>
      <c r="C8480" s="200" t="s">
        <v>307</v>
      </c>
      <c r="D8480" s="204">
        <v>-12400</v>
      </c>
      <c r="E8480" s="201">
        <v>45778</v>
      </c>
      <c r="F8480" s="200" t="s">
        <v>296</v>
      </c>
      <c r="G8480" s="200" t="s">
        <v>57</v>
      </c>
      <c r="H8480" s="200" t="s">
        <v>97</v>
      </c>
      <c r="I8480" s="200" t="s">
        <v>211</v>
      </c>
    </row>
    <row r="8481" spans="1:9" ht="15" customHeight="1">
      <c r="A8481" s="199">
        <v>45786</v>
      </c>
      <c r="B8481" s="202" t="s">
        <v>6582</v>
      </c>
      <c r="C8481" s="200" t="s">
        <v>307</v>
      </c>
      <c r="D8481" s="204">
        <v>-120000</v>
      </c>
      <c r="E8481" s="201">
        <v>45778</v>
      </c>
      <c r="F8481" s="200" t="s">
        <v>296</v>
      </c>
      <c r="G8481" s="200" t="s">
        <v>57</v>
      </c>
      <c r="H8481" s="200" t="s">
        <v>97</v>
      </c>
      <c r="I8481" s="200" t="s">
        <v>211</v>
      </c>
    </row>
    <row r="8482" spans="1:9" ht="15" customHeight="1">
      <c r="A8482" s="199">
        <v>45786</v>
      </c>
      <c r="B8482" s="202" t="s">
        <v>6566</v>
      </c>
      <c r="C8482" s="200" t="s">
        <v>307</v>
      </c>
      <c r="D8482" s="204">
        <v>-54000</v>
      </c>
      <c r="E8482" s="201">
        <v>45778</v>
      </c>
      <c r="F8482" s="200" t="s">
        <v>296</v>
      </c>
      <c r="G8482" s="200" t="s">
        <v>57</v>
      </c>
      <c r="H8482" s="200" t="s">
        <v>97</v>
      </c>
      <c r="I8482" s="200" t="s">
        <v>211</v>
      </c>
    </row>
    <row r="8483" spans="1:9" ht="15" customHeight="1">
      <c r="A8483" s="199">
        <v>45786</v>
      </c>
      <c r="B8483" s="202" t="s">
        <v>6581</v>
      </c>
      <c r="C8483" s="200" t="s">
        <v>307</v>
      </c>
      <c r="D8483" s="204">
        <v>-14800</v>
      </c>
      <c r="E8483" s="201">
        <v>45778</v>
      </c>
      <c r="F8483" s="200" t="s">
        <v>296</v>
      </c>
      <c r="G8483" s="200" t="s">
        <v>57</v>
      </c>
      <c r="H8483" s="200" t="s">
        <v>97</v>
      </c>
      <c r="I8483" s="200" t="s">
        <v>211</v>
      </c>
    </row>
    <row r="8484" spans="1:9" ht="15" customHeight="1">
      <c r="A8484" s="199">
        <v>45786</v>
      </c>
      <c r="B8484" s="202" t="s">
        <v>6583</v>
      </c>
      <c r="C8484" s="200" t="s">
        <v>307</v>
      </c>
      <c r="D8484" s="204">
        <v>-380000</v>
      </c>
      <c r="E8484" s="201">
        <v>45778</v>
      </c>
      <c r="F8484" s="200" t="s">
        <v>296</v>
      </c>
      <c r="G8484" s="200" t="s">
        <v>57</v>
      </c>
      <c r="H8484" s="200" t="s">
        <v>97</v>
      </c>
      <c r="I8484" s="200" t="s">
        <v>211</v>
      </c>
    </row>
    <row r="8485" spans="1:9" ht="15" customHeight="1">
      <c r="A8485" s="199">
        <v>45799</v>
      </c>
      <c r="B8485" s="202" t="s">
        <v>6584</v>
      </c>
      <c r="C8485" s="200" t="s">
        <v>204</v>
      </c>
      <c r="D8485" s="733">
        <v>-350811</v>
      </c>
      <c r="E8485" s="201">
        <v>45778</v>
      </c>
      <c r="F8485" s="200" t="s">
        <v>256</v>
      </c>
      <c r="G8485" s="200" t="s">
        <v>256</v>
      </c>
      <c r="H8485" s="200" t="s">
        <v>267</v>
      </c>
    </row>
    <row r="8486" spans="1:9" ht="15" customHeight="1">
      <c r="A8486" s="199">
        <v>45799</v>
      </c>
      <c r="B8486" s="202" t="s">
        <v>6585</v>
      </c>
      <c r="C8486" s="200" t="s">
        <v>204</v>
      </c>
      <c r="D8486" s="733">
        <v>-524171</v>
      </c>
      <c r="E8486" s="201">
        <v>45778</v>
      </c>
      <c r="F8486" s="200" t="s">
        <v>256</v>
      </c>
      <c r="G8486" s="200" t="s">
        <v>256</v>
      </c>
      <c r="H8486" s="200" t="s">
        <v>267</v>
      </c>
    </row>
    <row r="8487" spans="1:9" ht="15" customHeight="1">
      <c r="A8487" s="199">
        <v>45799</v>
      </c>
      <c r="B8487" s="202" t="s">
        <v>6586</v>
      </c>
      <c r="C8487" s="200" t="s">
        <v>204</v>
      </c>
      <c r="D8487" s="733">
        <v>-39500664</v>
      </c>
      <c r="E8487" s="201">
        <v>45778</v>
      </c>
      <c r="F8487" s="200" t="s">
        <v>296</v>
      </c>
      <c r="G8487" s="200" t="s">
        <v>1980</v>
      </c>
      <c r="H8487" s="200" t="s">
        <v>1104</v>
      </c>
    </row>
    <row r="8488" spans="1:9" ht="15" customHeight="1">
      <c r="A8488" s="199">
        <v>45799</v>
      </c>
      <c r="B8488" s="202" t="s">
        <v>6587</v>
      </c>
      <c r="C8488" s="200" t="s">
        <v>204</v>
      </c>
      <c r="D8488" s="733">
        <v>-423096</v>
      </c>
      <c r="E8488" s="201">
        <v>45778</v>
      </c>
      <c r="F8488" s="200" t="s">
        <v>256</v>
      </c>
      <c r="G8488" s="200" t="s">
        <v>256</v>
      </c>
      <c r="H8488" s="200" t="s">
        <v>263</v>
      </c>
    </row>
    <row r="8489" spans="1:9" ht="15" customHeight="1">
      <c r="A8489" s="199">
        <v>45799</v>
      </c>
      <c r="B8489" s="202" t="s">
        <v>6588</v>
      </c>
      <c r="C8489" s="200" t="s">
        <v>204</v>
      </c>
      <c r="D8489" s="733">
        <v>-1322020</v>
      </c>
      <c r="E8489" s="201">
        <v>45778</v>
      </c>
      <c r="F8489" s="200" t="s">
        <v>256</v>
      </c>
      <c r="G8489" s="200" t="s">
        <v>256</v>
      </c>
      <c r="H8489" s="200" t="s">
        <v>267</v>
      </c>
    </row>
    <row r="8490" spans="1:9" ht="15" customHeight="1">
      <c r="A8490" s="199">
        <v>45799</v>
      </c>
      <c r="B8490" s="202" t="s">
        <v>6589</v>
      </c>
      <c r="C8490" s="200" t="s">
        <v>372</v>
      </c>
      <c r="D8490" s="204">
        <v>-7980</v>
      </c>
      <c r="E8490" s="201">
        <v>45778</v>
      </c>
      <c r="F8490" s="200" t="s">
        <v>256</v>
      </c>
      <c r="G8490" s="200" t="s">
        <v>256</v>
      </c>
      <c r="H8490" s="200" t="s">
        <v>267</v>
      </c>
    </row>
    <row r="8491" spans="1:9" ht="15" customHeight="1">
      <c r="A8491" s="199">
        <v>45799</v>
      </c>
      <c r="B8491" s="202" t="s">
        <v>6590</v>
      </c>
      <c r="C8491" s="200" t="s">
        <v>204</v>
      </c>
      <c r="D8491" s="733">
        <v>-821100</v>
      </c>
      <c r="E8491" s="201">
        <v>45778</v>
      </c>
      <c r="F8491" s="200" t="s">
        <v>297</v>
      </c>
      <c r="G8491" s="200" t="s">
        <v>3892</v>
      </c>
      <c r="H8491" s="200" t="s">
        <v>386</v>
      </c>
      <c r="I8491" s="648" t="s">
        <v>329</v>
      </c>
    </row>
    <row r="8492" spans="1:9" ht="15" customHeight="1">
      <c r="A8492" s="199">
        <v>45799</v>
      </c>
      <c r="B8492" s="202" t="s">
        <v>6591</v>
      </c>
      <c r="C8492" s="200" t="s">
        <v>204</v>
      </c>
      <c r="D8492" s="733">
        <v>-15463</v>
      </c>
      <c r="E8492" s="701">
        <v>45778</v>
      </c>
      <c r="F8492" s="699" t="s">
        <v>256</v>
      </c>
      <c r="G8492" s="699" t="s">
        <v>256</v>
      </c>
      <c r="H8492" s="699" t="s">
        <v>263</v>
      </c>
    </row>
    <row r="8493" spans="1:9" ht="15" customHeight="1">
      <c r="A8493" s="199">
        <v>45799</v>
      </c>
      <c r="B8493" s="202" t="s">
        <v>6592</v>
      </c>
      <c r="C8493" s="200" t="s">
        <v>204</v>
      </c>
      <c r="D8493" s="733">
        <v>-606900</v>
      </c>
      <c r="E8493" s="201">
        <v>45778</v>
      </c>
      <c r="F8493" s="200" t="s">
        <v>297</v>
      </c>
      <c r="G8493" s="200" t="s">
        <v>71</v>
      </c>
      <c r="H8493" s="200" t="s">
        <v>386</v>
      </c>
    </row>
    <row r="8494" spans="1:9" ht="15" customHeight="1">
      <c r="A8494" s="199">
        <v>45799</v>
      </c>
      <c r="B8494" s="202" t="s">
        <v>6593</v>
      </c>
      <c r="C8494" s="200" t="s">
        <v>204</v>
      </c>
      <c r="D8494" s="733">
        <v>-800000</v>
      </c>
      <c r="E8494" s="201">
        <v>45778</v>
      </c>
      <c r="F8494" s="200" t="s">
        <v>256</v>
      </c>
      <c r="G8494" s="200" t="s">
        <v>107</v>
      </c>
      <c r="H8494" s="200" t="s">
        <v>121</v>
      </c>
    </row>
    <row r="8495" spans="1:9" ht="15" customHeight="1">
      <c r="A8495" s="199">
        <v>45799</v>
      </c>
      <c r="B8495" s="202" t="s">
        <v>6594</v>
      </c>
      <c r="C8495" s="200" t="s">
        <v>204</v>
      </c>
      <c r="D8495" s="733">
        <v>-43961</v>
      </c>
      <c r="E8495" s="201">
        <v>45778</v>
      </c>
      <c r="F8495" s="200" t="s">
        <v>296</v>
      </c>
      <c r="G8495" s="200" t="s">
        <v>3847</v>
      </c>
      <c r="H8495" s="200" t="s">
        <v>386</v>
      </c>
    </row>
    <row r="8496" spans="1:9" ht="15" customHeight="1">
      <c r="A8496" s="199">
        <v>45799</v>
      </c>
      <c r="B8496" s="202" t="s">
        <v>6594</v>
      </c>
      <c r="C8496" s="200" t="s">
        <v>204</v>
      </c>
      <c r="D8496" s="733">
        <v>-502167</v>
      </c>
      <c r="E8496" s="201">
        <v>45778</v>
      </c>
      <c r="F8496" s="200" t="s">
        <v>296</v>
      </c>
      <c r="G8496" s="200" t="s">
        <v>3847</v>
      </c>
      <c r="H8496" s="200" t="s">
        <v>386</v>
      </c>
      <c r="I8496" s="648" t="s">
        <v>329</v>
      </c>
    </row>
    <row r="8497" spans="1:9" ht="15" customHeight="1">
      <c r="A8497" s="199">
        <v>45790</v>
      </c>
      <c r="B8497" s="202" t="s">
        <v>6595</v>
      </c>
      <c r="C8497" s="200" t="s">
        <v>307</v>
      </c>
      <c r="D8497" s="204">
        <v>-49000</v>
      </c>
      <c r="E8497" s="201">
        <v>45778</v>
      </c>
      <c r="F8497" s="200" t="s">
        <v>296</v>
      </c>
      <c r="G8497" s="200" t="s">
        <v>57</v>
      </c>
      <c r="H8497" s="200" t="s">
        <v>97</v>
      </c>
    </row>
    <row r="8498" spans="1:9" ht="15" customHeight="1">
      <c r="A8498" s="199">
        <v>45798</v>
      </c>
      <c r="B8498" s="202" t="s">
        <v>6596</v>
      </c>
      <c r="C8498" s="200" t="s">
        <v>307</v>
      </c>
      <c r="D8498" s="204">
        <v>-9996</v>
      </c>
      <c r="E8498" s="201">
        <v>45778</v>
      </c>
      <c r="F8498" s="200" t="s">
        <v>296</v>
      </c>
      <c r="G8498" s="200" t="s">
        <v>57</v>
      </c>
      <c r="H8498" s="200" t="s">
        <v>98</v>
      </c>
    </row>
    <row r="8499" spans="1:9" ht="15" customHeight="1">
      <c r="A8499" s="199">
        <v>45798</v>
      </c>
      <c r="B8499" s="202" t="s">
        <v>6597</v>
      </c>
      <c r="C8499" s="200" t="s">
        <v>307</v>
      </c>
      <c r="D8499" s="204">
        <v>-255500</v>
      </c>
      <c r="E8499" s="201">
        <v>45778</v>
      </c>
      <c r="F8499" s="200" t="s">
        <v>256</v>
      </c>
      <c r="G8499" s="200" t="s">
        <v>256</v>
      </c>
      <c r="H8499" s="200" t="s">
        <v>268</v>
      </c>
    </row>
    <row r="8500" spans="1:9" ht="15" customHeight="1">
      <c r="A8500" s="199">
        <v>45798</v>
      </c>
      <c r="B8500" s="202" t="s">
        <v>6598</v>
      </c>
      <c r="C8500" s="200" t="s">
        <v>307</v>
      </c>
      <c r="D8500" s="204">
        <v>-187400</v>
      </c>
      <c r="E8500" s="201">
        <v>45778</v>
      </c>
      <c r="F8500" s="200" t="s">
        <v>256</v>
      </c>
      <c r="G8500" s="200" t="s">
        <v>256</v>
      </c>
      <c r="H8500" s="200" t="s">
        <v>263</v>
      </c>
    </row>
    <row r="8501" spans="1:9" ht="15" customHeight="1">
      <c r="A8501" s="199">
        <v>45785</v>
      </c>
      <c r="B8501" s="202" t="s">
        <v>6599</v>
      </c>
      <c r="C8501" s="200" t="s">
        <v>307</v>
      </c>
      <c r="D8501" s="204">
        <v>-37500</v>
      </c>
      <c r="E8501" s="201">
        <v>45778</v>
      </c>
      <c r="F8501" s="200" t="s">
        <v>256</v>
      </c>
      <c r="G8501" s="200" t="s">
        <v>256</v>
      </c>
      <c r="H8501" s="200" t="s">
        <v>9</v>
      </c>
      <c r="I8501" s="200" t="s">
        <v>6600</v>
      </c>
    </row>
    <row r="8502" spans="1:9" ht="15" customHeight="1">
      <c r="A8502" s="199">
        <v>45796</v>
      </c>
      <c r="B8502" s="202" t="s">
        <v>6601</v>
      </c>
      <c r="C8502" s="200" t="s">
        <v>307</v>
      </c>
      <c r="D8502" s="204">
        <v>-252000</v>
      </c>
      <c r="E8502" s="201">
        <v>45778</v>
      </c>
      <c r="F8502" s="200" t="s">
        <v>256</v>
      </c>
      <c r="G8502" s="200" t="s">
        <v>256</v>
      </c>
      <c r="H8502" s="200" t="s">
        <v>9</v>
      </c>
      <c r="I8502" s="200" t="s">
        <v>6600</v>
      </c>
    </row>
    <row r="8503" spans="1:9" ht="15" customHeight="1">
      <c r="A8503" s="199">
        <v>45783</v>
      </c>
      <c r="B8503" s="202" t="s">
        <v>4602</v>
      </c>
      <c r="C8503" s="200" t="s">
        <v>307</v>
      </c>
      <c r="D8503" s="204">
        <v>-17000</v>
      </c>
      <c r="E8503" s="201">
        <v>45778</v>
      </c>
      <c r="F8503" s="200" t="s">
        <v>296</v>
      </c>
      <c r="G8503" s="200" t="s">
        <v>415</v>
      </c>
      <c r="H8503" s="200" t="s">
        <v>268</v>
      </c>
      <c r="I8503" s="200" t="s">
        <v>6602</v>
      </c>
    </row>
    <row r="8504" spans="1:9" ht="15" customHeight="1">
      <c r="A8504" s="199">
        <v>45783</v>
      </c>
      <c r="B8504" s="202" t="s">
        <v>6603</v>
      </c>
      <c r="C8504" s="200" t="s">
        <v>307</v>
      </c>
      <c r="D8504" s="204">
        <v>-6500</v>
      </c>
      <c r="E8504" s="201">
        <v>45778</v>
      </c>
      <c r="F8504" s="200" t="s">
        <v>296</v>
      </c>
      <c r="G8504" s="200" t="s">
        <v>415</v>
      </c>
      <c r="H8504" s="200" t="s">
        <v>268</v>
      </c>
      <c r="I8504" s="200" t="s">
        <v>6602</v>
      </c>
    </row>
    <row r="8505" spans="1:9" ht="15" customHeight="1">
      <c r="A8505" s="199">
        <v>45783</v>
      </c>
      <c r="B8505" s="202" t="s">
        <v>6604</v>
      </c>
      <c r="C8505" s="200" t="s">
        <v>307</v>
      </c>
      <c r="D8505" s="204">
        <v>-6500</v>
      </c>
      <c r="E8505" s="201">
        <v>45778</v>
      </c>
      <c r="F8505" s="200" t="s">
        <v>296</v>
      </c>
      <c r="G8505" s="200" t="s">
        <v>415</v>
      </c>
      <c r="H8505" s="200" t="s">
        <v>268</v>
      </c>
      <c r="I8505" s="200" t="s">
        <v>6602</v>
      </c>
    </row>
    <row r="8506" spans="1:9" ht="15" customHeight="1">
      <c r="A8506" s="199">
        <v>45783</v>
      </c>
      <c r="B8506" s="202" t="s">
        <v>6605</v>
      </c>
      <c r="C8506" s="200" t="s">
        <v>307</v>
      </c>
      <c r="D8506" s="204">
        <v>-6500</v>
      </c>
      <c r="E8506" s="201">
        <v>45778</v>
      </c>
      <c r="F8506" s="200" t="s">
        <v>296</v>
      </c>
      <c r="G8506" s="200" t="s">
        <v>415</v>
      </c>
      <c r="H8506" s="200" t="s">
        <v>268</v>
      </c>
      <c r="I8506" s="200" t="s">
        <v>6602</v>
      </c>
    </row>
    <row r="8507" spans="1:9" ht="15" customHeight="1">
      <c r="A8507" s="199">
        <v>45783</v>
      </c>
      <c r="B8507" s="202" t="s">
        <v>6606</v>
      </c>
      <c r="C8507" s="200" t="s">
        <v>307</v>
      </c>
      <c r="D8507" s="204">
        <v>-20000</v>
      </c>
      <c r="E8507" s="201">
        <v>45778</v>
      </c>
      <c r="F8507" s="200" t="s">
        <v>296</v>
      </c>
      <c r="G8507" s="200" t="s">
        <v>415</v>
      </c>
      <c r="H8507" s="200" t="s">
        <v>268</v>
      </c>
      <c r="I8507" s="648" t="s">
        <v>329</v>
      </c>
    </row>
    <row r="8508" spans="1:9" ht="15" customHeight="1">
      <c r="A8508" s="199">
        <v>45796</v>
      </c>
      <c r="B8508" s="202" t="s">
        <v>6094</v>
      </c>
      <c r="C8508" s="200" t="s">
        <v>307</v>
      </c>
      <c r="D8508" s="204">
        <v>-3000</v>
      </c>
      <c r="E8508" s="201">
        <v>45778</v>
      </c>
      <c r="F8508" s="200" t="s">
        <v>296</v>
      </c>
      <c r="G8508" s="200" t="s">
        <v>44</v>
      </c>
      <c r="H8508" s="200" t="s">
        <v>326</v>
      </c>
      <c r="I8508" s="200" t="s">
        <v>1901</v>
      </c>
    </row>
    <row r="8509" spans="1:9" ht="15" customHeight="1">
      <c r="A8509" s="199">
        <v>45796</v>
      </c>
      <c r="B8509" s="202" t="s">
        <v>6094</v>
      </c>
      <c r="C8509" s="200" t="s">
        <v>307</v>
      </c>
      <c r="D8509" s="204">
        <v>-3000</v>
      </c>
      <c r="E8509" s="201">
        <v>45778</v>
      </c>
      <c r="F8509" s="200" t="s">
        <v>296</v>
      </c>
      <c r="G8509" s="200" t="s">
        <v>522</v>
      </c>
      <c r="H8509" s="200" t="s">
        <v>326</v>
      </c>
      <c r="I8509" s="200" t="s">
        <v>1901</v>
      </c>
    </row>
    <row r="8510" spans="1:9" ht="15" customHeight="1">
      <c r="A8510" s="199">
        <v>45796</v>
      </c>
      <c r="B8510" s="202" t="s">
        <v>6094</v>
      </c>
      <c r="C8510" s="200" t="s">
        <v>307</v>
      </c>
      <c r="D8510" s="204">
        <v>-8000</v>
      </c>
      <c r="E8510" s="201">
        <v>45778</v>
      </c>
      <c r="F8510" s="200" t="s">
        <v>296</v>
      </c>
      <c r="G8510" s="200" t="s">
        <v>57</v>
      </c>
      <c r="H8510" s="200" t="s">
        <v>97</v>
      </c>
      <c r="I8510" s="200" t="s">
        <v>1901</v>
      </c>
    </row>
    <row r="8511" spans="1:9" ht="15" customHeight="1">
      <c r="A8511" s="199">
        <v>45796</v>
      </c>
      <c r="B8511" s="202" t="s">
        <v>1745</v>
      </c>
      <c r="C8511" s="200" t="s">
        <v>307</v>
      </c>
      <c r="D8511" s="204">
        <v>-15000</v>
      </c>
      <c r="E8511" s="201">
        <v>45778</v>
      </c>
      <c r="F8511" s="200" t="s">
        <v>296</v>
      </c>
      <c r="G8511" s="200" t="s">
        <v>57</v>
      </c>
      <c r="H8511" s="200" t="s">
        <v>97</v>
      </c>
      <c r="I8511" s="200" t="s">
        <v>1901</v>
      </c>
    </row>
    <row r="8512" spans="1:9" ht="15" customHeight="1">
      <c r="A8512" s="199">
        <v>45796</v>
      </c>
      <c r="B8512" s="202" t="s">
        <v>1745</v>
      </c>
      <c r="C8512" s="200" t="s">
        <v>307</v>
      </c>
      <c r="D8512" s="204">
        <v>-7500</v>
      </c>
      <c r="E8512" s="201">
        <v>45778</v>
      </c>
      <c r="F8512" s="200" t="s">
        <v>296</v>
      </c>
      <c r="G8512" s="200" t="s">
        <v>44</v>
      </c>
      <c r="H8512" s="200" t="s">
        <v>326</v>
      </c>
      <c r="I8512" s="200" t="s">
        <v>1901</v>
      </c>
    </row>
    <row r="8513" spans="1:9" ht="15" customHeight="1">
      <c r="A8513" s="199">
        <v>45796</v>
      </c>
      <c r="B8513" s="202" t="s">
        <v>1745</v>
      </c>
      <c r="C8513" s="200" t="s">
        <v>307</v>
      </c>
      <c r="D8513" s="204">
        <v>-7500</v>
      </c>
      <c r="E8513" s="201">
        <v>45778</v>
      </c>
      <c r="F8513" s="200" t="s">
        <v>296</v>
      </c>
      <c r="G8513" s="200" t="s">
        <v>522</v>
      </c>
      <c r="H8513" s="200" t="s">
        <v>326</v>
      </c>
      <c r="I8513" s="200" t="s">
        <v>1901</v>
      </c>
    </row>
    <row r="8514" spans="1:9" ht="15" customHeight="1">
      <c r="A8514" s="199">
        <v>45796</v>
      </c>
      <c r="B8514" s="202" t="s">
        <v>6607</v>
      </c>
      <c r="C8514" s="200" t="s">
        <v>307</v>
      </c>
      <c r="D8514" s="204">
        <v>-10000</v>
      </c>
      <c r="E8514" s="201">
        <v>45778</v>
      </c>
      <c r="F8514" s="200" t="s">
        <v>296</v>
      </c>
      <c r="G8514" s="200" t="s">
        <v>57</v>
      </c>
      <c r="H8514" s="200" t="s">
        <v>97</v>
      </c>
      <c r="I8514" s="200" t="s">
        <v>1901</v>
      </c>
    </row>
    <row r="8515" spans="1:9" ht="15" customHeight="1">
      <c r="A8515" s="199">
        <v>45796</v>
      </c>
      <c r="B8515" s="202" t="s">
        <v>498</v>
      </c>
      <c r="C8515" s="200" t="s">
        <v>307</v>
      </c>
      <c r="D8515" s="204">
        <v>-5000</v>
      </c>
      <c r="E8515" s="201">
        <v>45778</v>
      </c>
      <c r="F8515" s="200" t="s">
        <v>296</v>
      </c>
      <c r="G8515" s="200" t="s">
        <v>44</v>
      </c>
      <c r="H8515" s="200" t="s">
        <v>326</v>
      </c>
      <c r="I8515" s="200" t="s">
        <v>1901</v>
      </c>
    </row>
    <row r="8516" spans="1:9" ht="15" customHeight="1">
      <c r="A8516" s="199">
        <v>45796</v>
      </c>
      <c r="B8516" s="202" t="s">
        <v>1060</v>
      </c>
      <c r="C8516" s="200" t="s">
        <v>307</v>
      </c>
      <c r="D8516" s="204">
        <v>-5000</v>
      </c>
      <c r="E8516" s="201">
        <v>45778</v>
      </c>
      <c r="F8516" s="200" t="s">
        <v>296</v>
      </c>
      <c r="G8516" s="200" t="s">
        <v>522</v>
      </c>
      <c r="H8516" s="200" t="s">
        <v>326</v>
      </c>
      <c r="I8516" s="200" t="s">
        <v>1901</v>
      </c>
    </row>
    <row r="8517" spans="1:9" ht="15" customHeight="1">
      <c r="A8517" s="199">
        <v>45796</v>
      </c>
      <c r="B8517" s="202" t="s">
        <v>6608</v>
      </c>
      <c r="C8517" s="200" t="s">
        <v>307</v>
      </c>
      <c r="D8517" s="204">
        <v>-40000</v>
      </c>
      <c r="E8517" s="201">
        <v>45778</v>
      </c>
      <c r="F8517" s="200" t="s">
        <v>296</v>
      </c>
      <c r="G8517" s="200" t="s">
        <v>57</v>
      </c>
      <c r="H8517" s="200" t="s">
        <v>97</v>
      </c>
      <c r="I8517" s="200" t="s">
        <v>1901</v>
      </c>
    </row>
    <row r="8518" spans="1:9" ht="15" customHeight="1">
      <c r="A8518" s="199">
        <v>45796</v>
      </c>
      <c r="B8518" s="202" t="s">
        <v>6608</v>
      </c>
      <c r="C8518" s="200" t="s">
        <v>307</v>
      </c>
      <c r="D8518" s="204">
        <v>-20000</v>
      </c>
      <c r="E8518" s="201">
        <v>45778</v>
      </c>
      <c r="F8518" s="200" t="s">
        <v>296</v>
      </c>
      <c r="G8518" s="200" t="s">
        <v>44</v>
      </c>
      <c r="H8518" s="200" t="s">
        <v>326</v>
      </c>
      <c r="I8518" s="200" t="s">
        <v>1901</v>
      </c>
    </row>
    <row r="8519" spans="1:9" ht="15" customHeight="1">
      <c r="A8519" s="199">
        <v>45796</v>
      </c>
      <c r="B8519" s="202" t="s">
        <v>6608</v>
      </c>
      <c r="C8519" s="200" t="s">
        <v>307</v>
      </c>
      <c r="D8519" s="204">
        <v>-20000</v>
      </c>
      <c r="E8519" s="201">
        <v>45778</v>
      </c>
      <c r="F8519" s="200" t="s">
        <v>296</v>
      </c>
      <c r="G8519" s="200" t="s">
        <v>522</v>
      </c>
      <c r="H8519" s="200" t="s">
        <v>326</v>
      </c>
      <c r="I8519" s="200" t="s">
        <v>1901</v>
      </c>
    </row>
    <row r="8520" spans="1:9" ht="15" customHeight="1">
      <c r="A8520" s="199">
        <v>45782</v>
      </c>
      <c r="B8520" s="202" t="s">
        <v>6609</v>
      </c>
      <c r="C8520" s="200" t="s">
        <v>307</v>
      </c>
      <c r="D8520" s="204">
        <v>-6696</v>
      </c>
      <c r="E8520" s="201">
        <v>45778</v>
      </c>
      <c r="F8520" s="200" t="s">
        <v>256</v>
      </c>
      <c r="G8520" s="200" t="s">
        <v>256</v>
      </c>
      <c r="H8520" s="200" t="s">
        <v>263</v>
      </c>
      <c r="I8520" s="200" t="s">
        <v>5293</v>
      </c>
    </row>
    <row r="8521" spans="1:9" ht="15" customHeight="1">
      <c r="A8521" s="199">
        <v>45782</v>
      </c>
      <c r="B8521" s="202" t="s">
        <v>6610</v>
      </c>
      <c r="C8521" s="200" t="s">
        <v>307</v>
      </c>
      <c r="D8521" s="204">
        <v>-6600</v>
      </c>
      <c r="E8521" s="201">
        <v>45778</v>
      </c>
      <c r="F8521" s="200" t="s">
        <v>256</v>
      </c>
      <c r="G8521" s="200" t="s">
        <v>256</v>
      </c>
      <c r="H8521" s="200" t="s">
        <v>263</v>
      </c>
      <c r="I8521" s="200" t="s">
        <v>5293</v>
      </c>
    </row>
    <row r="8522" spans="1:9" ht="15" customHeight="1">
      <c r="A8522" s="199">
        <v>45784</v>
      </c>
      <c r="B8522" s="202" t="s">
        <v>6611</v>
      </c>
      <c r="C8522" s="200" t="s">
        <v>307</v>
      </c>
      <c r="D8522" s="204">
        <v>-22762.01</v>
      </c>
      <c r="E8522" s="201">
        <v>45778</v>
      </c>
      <c r="F8522" s="200" t="s">
        <v>256</v>
      </c>
      <c r="G8522" s="200" t="s">
        <v>256</v>
      </c>
      <c r="H8522" s="200" t="s">
        <v>263</v>
      </c>
      <c r="I8522" s="200" t="s">
        <v>5293</v>
      </c>
    </row>
    <row r="8523" spans="1:9" ht="15" customHeight="1">
      <c r="A8523" s="199">
        <v>45784</v>
      </c>
      <c r="B8523" s="202" t="s">
        <v>6612</v>
      </c>
      <c r="C8523" s="200" t="s">
        <v>307</v>
      </c>
      <c r="D8523" s="204">
        <v>-6000</v>
      </c>
      <c r="E8523" s="201">
        <v>45778</v>
      </c>
      <c r="F8523" s="200" t="s">
        <v>297</v>
      </c>
      <c r="G8523" s="200" t="s">
        <v>71</v>
      </c>
      <c r="H8523" s="200" t="s">
        <v>5384</v>
      </c>
      <c r="I8523" s="200" t="s">
        <v>5293</v>
      </c>
    </row>
    <row r="8524" spans="1:9" ht="15" customHeight="1">
      <c r="A8524" s="199">
        <v>45785</v>
      </c>
      <c r="B8524" s="202" t="s">
        <v>6613</v>
      </c>
      <c r="C8524" s="200" t="s">
        <v>307</v>
      </c>
      <c r="D8524" s="204">
        <v>-13250</v>
      </c>
      <c r="E8524" s="201">
        <v>45778</v>
      </c>
      <c r="F8524" s="200" t="s">
        <v>256</v>
      </c>
      <c r="G8524" s="200" t="s">
        <v>256</v>
      </c>
      <c r="H8524" s="200" t="s">
        <v>9</v>
      </c>
      <c r="I8524" s="200" t="s">
        <v>5293</v>
      </c>
    </row>
    <row r="8525" spans="1:9" ht="15" customHeight="1">
      <c r="A8525" s="199">
        <v>45785</v>
      </c>
      <c r="B8525" s="202" t="s">
        <v>6614</v>
      </c>
      <c r="C8525" s="200" t="s">
        <v>307</v>
      </c>
      <c r="D8525" s="204">
        <v>-13250</v>
      </c>
      <c r="E8525" s="201">
        <v>45778</v>
      </c>
      <c r="F8525" s="200" t="s">
        <v>256</v>
      </c>
      <c r="G8525" s="200" t="s">
        <v>256</v>
      </c>
      <c r="H8525" s="200" t="s">
        <v>9</v>
      </c>
      <c r="I8525" s="200" t="s">
        <v>5293</v>
      </c>
    </row>
    <row r="8526" spans="1:9" ht="15" customHeight="1">
      <c r="A8526" s="199">
        <v>45786</v>
      </c>
      <c r="B8526" s="202" t="s">
        <v>5802</v>
      </c>
      <c r="C8526" s="200" t="s">
        <v>307</v>
      </c>
      <c r="D8526" s="204">
        <v>-12000</v>
      </c>
      <c r="E8526" s="201">
        <v>45778</v>
      </c>
      <c r="F8526" s="200" t="s">
        <v>296</v>
      </c>
      <c r="G8526" s="200" t="s">
        <v>1362</v>
      </c>
      <c r="H8526" s="200" t="s">
        <v>346</v>
      </c>
      <c r="I8526" s="200" t="s">
        <v>5293</v>
      </c>
    </row>
    <row r="8527" spans="1:9" ht="15" customHeight="1">
      <c r="A8527" s="199">
        <v>45786</v>
      </c>
      <c r="B8527" s="202" t="s">
        <v>431</v>
      </c>
      <c r="C8527" s="200" t="s">
        <v>307</v>
      </c>
      <c r="D8527" s="204">
        <v>-15000</v>
      </c>
      <c r="E8527" s="201">
        <v>45778</v>
      </c>
      <c r="F8527" s="200" t="s">
        <v>256</v>
      </c>
      <c r="G8527" s="200" t="s">
        <v>256</v>
      </c>
      <c r="H8527" s="200" t="s">
        <v>263</v>
      </c>
      <c r="I8527" s="200" t="s">
        <v>5293</v>
      </c>
    </row>
    <row r="8528" spans="1:9" ht="15" customHeight="1">
      <c r="A8528" s="199">
        <v>45786</v>
      </c>
      <c r="B8528" s="202" t="s">
        <v>6615</v>
      </c>
      <c r="C8528" s="200" t="s">
        <v>307</v>
      </c>
      <c r="D8528" s="204">
        <v>-26850</v>
      </c>
      <c r="E8528" s="201">
        <v>45778</v>
      </c>
      <c r="F8528" s="200" t="s">
        <v>256</v>
      </c>
      <c r="G8528" s="200" t="s">
        <v>256</v>
      </c>
      <c r="H8528" s="200" t="s">
        <v>263</v>
      </c>
      <c r="I8528" s="200" t="s">
        <v>5293</v>
      </c>
    </row>
    <row r="8529" spans="1:9" ht="15" customHeight="1">
      <c r="A8529" s="199">
        <v>45789</v>
      </c>
      <c r="B8529" s="202" t="s">
        <v>6616</v>
      </c>
      <c r="C8529" s="200" t="s">
        <v>307</v>
      </c>
      <c r="D8529" s="204">
        <v>-20000</v>
      </c>
      <c r="E8529" s="201">
        <v>45778</v>
      </c>
      <c r="F8529" s="200" t="s">
        <v>256</v>
      </c>
      <c r="G8529" s="200" t="s">
        <v>256</v>
      </c>
      <c r="H8529" s="200" t="s">
        <v>267</v>
      </c>
      <c r="I8529" s="200" t="s">
        <v>5293</v>
      </c>
    </row>
    <row r="8530" spans="1:9" ht="15" customHeight="1">
      <c r="A8530" s="199">
        <v>45789</v>
      </c>
      <c r="B8530" s="202" t="s">
        <v>2759</v>
      </c>
      <c r="C8530" s="200" t="s">
        <v>307</v>
      </c>
      <c r="D8530" s="204">
        <v>-129000</v>
      </c>
      <c r="E8530" s="201">
        <v>45778</v>
      </c>
      <c r="F8530" s="200" t="s">
        <v>256</v>
      </c>
      <c r="G8530" s="200" t="s">
        <v>256</v>
      </c>
      <c r="H8530" s="200" t="s">
        <v>267</v>
      </c>
      <c r="I8530" s="200" t="s">
        <v>5293</v>
      </c>
    </row>
    <row r="8531" spans="1:9" ht="15" customHeight="1">
      <c r="A8531" s="199">
        <v>45789</v>
      </c>
      <c r="B8531" s="202" t="s">
        <v>2759</v>
      </c>
      <c r="C8531" s="200" t="s">
        <v>307</v>
      </c>
      <c r="D8531" s="204">
        <v>-129000</v>
      </c>
      <c r="E8531" s="201">
        <v>45778</v>
      </c>
      <c r="F8531" s="200" t="s">
        <v>256</v>
      </c>
      <c r="G8531" s="200" t="s">
        <v>256</v>
      </c>
      <c r="H8531" s="200" t="s">
        <v>267</v>
      </c>
      <c r="I8531" s="200" t="s">
        <v>5293</v>
      </c>
    </row>
    <row r="8532" spans="1:9" ht="15" customHeight="1">
      <c r="A8532" s="199">
        <v>45791</v>
      </c>
      <c r="B8532" s="202" t="s">
        <v>6617</v>
      </c>
      <c r="C8532" s="200" t="s">
        <v>307</v>
      </c>
      <c r="D8532" s="204">
        <v>-20000</v>
      </c>
      <c r="E8532" s="201">
        <v>45778</v>
      </c>
      <c r="F8532" s="200" t="s">
        <v>296</v>
      </c>
      <c r="G8532" s="200" t="s">
        <v>1362</v>
      </c>
      <c r="H8532" s="200" t="s">
        <v>346</v>
      </c>
      <c r="I8532" s="648" t="s">
        <v>329</v>
      </c>
    </row>
    <row r="8533" spans="1:9" ht="15" customHeight="1">
      <c r="A8533" s="199">
        <v>45796</v>
      </c>
      <c r="B8533" s="202" t="s">
        <v>6618</v>
      </c>
      <c r="C8533" s="200" t="s">
        <v>307</v>
      </c>
      <c r="D8533" s="204">
        <v>-7870.01</v>
      </c>
      <c r="E8533" s="201">
        <v>45778</v>
      </c>
      <c r="F8533" s="200" t="s">
        <v>256</v>
      </c>
      <c r="G8533" s="200" t="s">
        <v>256</v>
      </c>
      <c r="H8533" s="200" t="s">
        <v>263</v>
      </c>
      <c r="I8533" s="200" t="s">
        <v>5293</v>
      </c>
    </row>
    <row r="8534" spans="1:9" ht="15" customHeight="1">
      <c r="A8534" s="199">
        <v>45796</v>
      </c>
      <c r="B8534" s="202" t="s">
        <v>431</v>
      </c>
      <c r="C8534" s="200" t="s">
        <v>307</v>
      </c>
      <c r="D8534" s="204">
        <v>-15200</v>
      </c>
      <c r="E8534" s="201">
        <v>45778</v>
      </c>
      <c r="F8534" s="200" t="s">
        <v>256</v>
      </c>
      <c r="G8534" s="200" t="s">
        <v>256</v>
      </c>
      <c r="H8534" s="200" t="s">
        <v>263</v>
      </c>
      <c r="I8534" s="200" t="s">
        <v>5293</v>
      </c>
    </row>
    <row r="8535" spans="1:9" ht="15" customHeight="1">
      <c r="A8535" s="199">
        <v>45782</v>
      </c>
      <c r="B8535" s="202" t="s">
        <v>6619</v>
      </c>
      <c r="C8535" s="200" t="s">
        <v>307</v>
      </c>
      <c r="D8535" s="204">
        <v>-100000</v>
      </c>
      <c r="E8535" s="201">
        <v>45778</v>
      </c>
      <c r="F8535" s="200" t="s">
        <v>296</v>
      </c>
      <c r="G8535" s="200" t="s">
        <v>522</v>
      </c>
      <c r="H8535" s="200" t="s">
        <v>366</v>
      </c>
      <c r="I8535" s="200" t="s">
        <v>5293</v>
      </c>
    </row>
    <row r="8536" spans="1:9" ht="15" customHeight="1">
      <c r="A8536" s="199">
        <v>45783</v>
      </c>
      <c r="B8536" s="202" t="s">
        <v>6620</v>
      </c>
      <c r="C8536" s="200" t="s">
        <v>307</v>
      </c>
      <c r="D8536" s="204">
        <v>-50000</v>
      </c>
      <c r="E8536" s="201">
        <v>45778</v>
      </c>
      <c r="F8536" s="200" t="s">
        <v>296</v>
      </c>
      <c r="G8536" s="200" t="s">
        <v>522</v>
      </c>
      <c r="H8536" s="200" t="s">
        <v>442</v>
      </c>
      <c r="I8536" s="200" t="s">
        <v>5293</v>
      </c>
    </row>
    <row r="8537" spans="1:9" ht="15" customHeight="1">
      <c r="A8537" s="199">
        <v>45784</v>
      </c>
      <c r="B8537" s="202" t="s">
        <v>6621</v>
      </c>
      <c r="C8537" s="200" t="s">
        <v>307</v>
      </c>
      <c r="D8537" s="204">
        <v>-16354</v>
      </c>
      <c r="E8537" s="201">
        <v>45778</v>
      </c>
      <c r="F8537" s="200" t="s">
        <v>296</v>
      </c>
      <c r="G8537" s="200" t="s">
        <v>44</v>
      </c>
      <c r="H8537" s="200" t="s">
        <v>442</v>
      </c>
      <c r="I8537" s="200" t="s">
        <v>5293</v>
      </c>
    </row>
    <row r="8538" spans="1:9" ht="15" customHeight="1">
      <c r="A8538" s="199">
        <v>45785</v>
      </c>
      <c r="B8538" s="202" t="s">
        <v>6622</v>
      </c>
      <c r="C8538" s="200" t="s">
        <v>307</v>
      </c>
      <c r="D8538" s="204">
        <v>-60000</v>
      </c>
      <c r="E8538" s="201">
        <v>45778</v>
      </c>
      <c r="F8538" s="200" t="s">
        <v>296</v>
      </c>
      <c r="G8538" s="200" t="s">
        <v>522</v>
      </c>
      <c r="H8538" s="200" t="s">
        <v>442</v>
      </c>
      <c r="I8538" s="200" t="s">
        <v>5293</v>
      </c>
    </row>
    <row r="8539" spans="1:9" ht="15" customHeight="1">
      <c r="A8539" s="199">
        <v>45785</v>
      </c>
      <c r="B8539" s="202" t="s">
        <v>6623</v>
      </c>
      <c r="C8539" s="200" t="s">
        <v>307</v>
      </c>
      <c r="D8539" s="204">
        <v>-120000</v>
      </c>
      <c r="E8539" s="201">
        <v>45778</v>
      </c>
      <c r="F8539" s="200" t="s">
        <v>296</v>
      </c>
      <c r="G8539" s="200" t="s">
        <v>522</v>
      </c>
      <c r="H8539" s="200" t="s">
        <v>366</v>
      </c>
      <c r="I8539" s="200" t="s">
        <v>5293</v>
      </c>
    </row>
    <row r="8540" spans="1:9" ht="15" customHeight="1">
      <c r="A8540" s="199">
        <v>45785</v>
      </c>
      <c r="B8540" s="202" t="s">
        <v>6624</v>
      </c>
      <c r="C8540" s="200" t="s">
        <v>307</v>
      </c>
      <c r="D8540" s="204">
        <v>-182620</v>
      </c>
      <c r="E8540" s="201">
        <v>45778</v>
      </c>
      <c r="F8540" s="200" t="s">
        <v>296</v>
      </c>
      <c r="G8540" s="200" t="s">
        <v>522</v>
      </c>
      <c r="H8540" s="200" t="s">
        <v>366</v>
      </c>
      <c r="I8540" s="200" t="s">
        <v>5293</v>
      </c>
    </row>
    <row r="8541" spans="1:9" ht="15" customHeight="1">
      <c r="A8541" s="199">
        <v>45786</v>
      </c>
      <c r="B8541" s="202" t="s">
        <v>6625</v>
      </c>
      <c r="C8541" s="200" t="s">
        <v>307</v>
      </c>
      <c r="D8541" s="204">
        <v>-1521</v>
      </c>
      <c r="E8541" s="201">
        <v>45778</v>
      </c>
      <c r="F8541" s="200" t="s">
        <v>296</v>
      </c>
      <c r="G8541" s="200" t="s">
        <v>522</v>
      </c>
      <c r="H8541" s="200" t="s">
        <v>366</v>
      </c>
      <c r="I8541" s="200" t="s">
        <v>5293</v>
      </c>
    </row>
    <row r="8542" spans="1:9" ht="15" customHeight="1">
      <c r="A8542" s="199">
        <v>45786</v>
      </c>
      <c r="B8542" s="202" t="s">
        <v>6626</v>
      </c>
      <c r="C8542" s="200" t="s">
        <v>307</v>
      </c>
      <c r="D8542" s="204">
        <v>-50000</v>
      </c>
      <c r="E8542" s="201">
        <v>45778</v>
      </c>
      <c r="F8542" s="200" t="s">
        <v>296</v>
      </c>
      <c r="G8542" s="200" t="s">
        <v>1825</v>
      </c>
      <c r="H8542" s="200" t="s">
        <v>442</v>
      </c>
      <c r="I8542" s="200" t="s">
        <v>5293</v>
      </c>
    </row>
    <row r="8543" spans="1:9" ht="15" customHeight="1">
      <c r="A8543" s="199">
        <v>45789</v>
      </c>
      <c r="B8543" s="202" t="s">
        <v>6627</v>
      </c>
      <c r="C8543" s="200" t="s">
        <v>307</v>
      </c>
      <c r="D8543" s="204">
        <v>-70000</v>
      </c>
      <c r="E8543" s="201">
        <v>45778</v>
      </c>
      <c r="F8543" s="200" t="s">
        <v>296</v>
      </c>
      <c r="G8543" s="200" t="s">
        <v>522</v>
      </c>
      <c r="H8543" s="200" t="s">
        <v>442</v>
      </c>
      <c r="I8543" s="200" t="s">
        <v>5293</v>
      </c>
    </row>
    <row r="8544" spans="1:9" ht="15" customHeight="1">
      <c r="A8544" s="199">
        <v>45789</v>
      </c>
      <c r="B8544" s="202" t="s">
        <v>6628</v>
      </c>
      <c r="C8544" s="200" t="s">
        <v>307</v>
      </c>
      <c r="D8544" s="204">
        <v>-30000</v>
      </c>
      <c r="E8544" s="201">
        <v>45778</v>
      </c>
      <c r="F8544" s="200" t="s">
        <v>296</v>
      </c>
      <c r="G8544" s="200" t="s">
        <v>1980</v>
      </c>
      <c r="H8544" s="200" t="s">
        <v>442</v>
      </c>
      <c r="I8544" s="648" t="s">
        <v>329</v>
      </c>
    </row>
    <row r="8545" spans="1:9" ht="15" customHeight="1">
      <c r="A8545" s="199">
        <v>45790</v>
      </c>
      <c r="B8545" s="202" t="s">
        <v>6629</v>
      </c>
      <c r="C8545" s="200" t="s">
        <v>307</v>
      </c>
      <c r="D8545" s="204">
        <v>-74400</v>
      </c>
      <c r="E8545" s="201">
        <v>45778</v>
      </c>
      <c r="F8545" s="200" t="s">
        <v>296</v>
      </c>
      <c r="G8545" s="200" t="s">
        <v>44</v>
      </c>
      <c r="H8545" s="200" t="s">
        <v>366</v>
      </c>
      <c r="I8545" s="200" t="s">
        <v>5293</v>
      </c>
    </row>
    <row r="8546" spans="1:9" ht="15" customHeight="1">
      <c r="A8546" s="199">
        <v>45790</v>
      </c>
      <c r="B8546" s="202" t="s">
        <v>4416</v>
      </c>
      <c r="C8546" s="200" t="s">
        <v>307</v>
      </c>
      <c r="D8546" s="204">
        <v>-25000</v>
      </c>
      <c r="E8546" s="201">
        <v>45778</v>
      </c>
      <c r="F8546" s="200" t="s">
        <v>296</v>
      </c>
      <c r="G8546" s="200" t="s">
        <v>1825</v>
      </c>
      <c r="H8546" s="200" t="s">
        <v>366</v>
      </c>
      <c r="I8546" s="648" t="s">
        <v>329</v>
      </c>
    </row>
    <row r="8547" spans="1:9" ht="15" customHeight="1">
      <c r="A8547" s="199">
        <v>45790</v>
      </c>
      <c r="B8547" s="202" t="s">
        <v>1666</v>
      </c>
      <c r="C8547" s="200" t="s">
        <v>307</v>
      </c>
      <c r="D8547" s="204">
        <v>-30000</v>
      </c>
      <c r="E8547" s="201">
        <v>45778</v>
      </c>
      <c r="F8547" s="200" t="s">
        <v>296</v>
      </c>
      <c r="G8547" s="200" t="s">
        <v>44</v>
      </c>
      <c r="H8547" s="200" t="s">
        <v>442</v>
      </c>
      <c r="I8547" s="200" t="s">
        <v>5293</v>
      </c>
    </row>
    <row r="8548" spans="1:9" ht="15" customHeight="1">
      <c r="A8548" s="199">
        <v>45791</v>
      </c>
      <c r="B8548" s="202" t="s">
        <v>6630</v>
      </c>
      <c r="C8548" s="200" t="s">
        <v>307</v>
      </c>
      <c r="D8548" s="204">
        <v>-40000</v>
      </c>
      <c r="E8548" s="201">
        <v>45778</v>
      </c>
      <c r="F8548" s="200" t="s">
        <v>296</v>
      </c>
      <c r="G8548" s="200" t="s">
        <v>44</v>
      </c>
      <c r="H8548" s="200" t="s">
        <v>442</v>
      </c>
      <c r="I8548" s="200" t="s">
        <v>5293</v>
      </c>
    </row>
    <row r="8549" spans="1:9" ht="15" customHeight="1">
      <c r="A8549" s="199">
        <v>45791</v>
      </c>
      <c r="B8549" s="202" t="s">
        <v>6631</v>
      </c>
      <c r="C8549" s="200" t="s">
        <v>307</v>
      </c>
      <c r="D8549" s="204">
        <v>-50000</v>
      </c>
      <c r="E8549" s="201">
        <v>45778</v>
      </c>
      <c r="F8549" s="200" t="s">
        <v>296</v>
      </c>
      <c r="G8549" s="200" t="s">
        <v>522</v>
      </c>
      <c r="H8549" s="200" t="s">
        <v>442</v>
      </c>
      <c r="I8549" s="200" t="s">
        <v>5293</v>
      </c>
    </row>
    <row r="8550" spans="1:9" ht="15" customHeight="1">
      <c r="A8550" s="199">
        <v>45793</v>
      </c>
      <c r="B8550" s="202" t="s">
        <v>6632</v>
      </c>
      <c r="C8550" s="200" t="s">
        <v>307</v>
      </c>
      <c r="D8550" s="204">
        <v>-70000</v>
      </c>
      <c r="E8550" s="201">
        <v>45778</v>
      </c>
      <c r="F8550" s="200" t="s">
        <v>296</v>
      </c>
      <c r="G8550" s="200" t="s">
        <v>522</v>
      </c>
      <c r="H8550" s="200" t="s">
        <v>442</v>
      </c>
      <c r="I8550" s="200" t="s">
        <v>5293</v>
      </c>
    </row>
    <row r="8551" spans="1:9" ht="15" customHeight="1">
      <c r="A8551" s="199">
        <v>45796</v>
      </c>
      <c r="B8551" s="202" t="s">
        <v>6633</v>
      </c>
      <c r="C8551" s="200" t="s">
        <v>307</v>
      </c>
      <c r="D8551" s="204">
        <v>-12000</v>
      </c>
      <c r="E8551" s="201">
        <v>45778</v>
      </c>
      <c r="F8551" s="200" t="s">
        <v>296</v>
      </c>
      <c r="G8551" s="200" t="s">
        <v>522</v>
      </c>
      <c r="H8551" s="200" t="s">
        <v>442</v>
      </c>
      <c r="I8551" s="200" t="s">
        <v>5293</v>
      </c>
    </row>
    <row r="8552" spans="1:9" ht="15" customHeight="1">
      <c r="A8552" s="199">
        <v>45799</v>
      </c>
      <c r="B8552" s="202" t="s">
        <v>4394</v>
      </c>
      <c r="C8552" s="200" t="s">
        <v>307</v>
      </c>
      <c r="D8552" s="204">
        <v>-7000</v>
      </c>
      <c r="E8552" s="201">
        <v>45778</v>
      </c>
      <c r="F8552" s="200" t="s">
        <v>296</v>
      </c>
      <c r="G8552" s="200" t="s">
        <v>44</v>
      </c>
      <c r="H8552" s="200" t="s">
        <v>442</v>
      </c>
      <c r="I8552" s="648" t="s">
        <v>329</v>
      </c>
    </row>
    <row r="8553" spans="1:9" ht="15" customHeight="1">
      <c r="A8553" s="199">
        <v>45799</v>
      </c>
      <c r="B8553" s="202" t="s">
        <v>4394</v>
      </c>
      <c r="C8553" s="200" t="s">
        <v>307</v>
      </c>
      <c r="D8553" s="204">
        <v>-14000</v>
      </c>
      <c r="E8553" s="201">
        <v>45778</v>
      </c>
      <c r="F8553" s="200" t="s">
        <v>296</v>
      </c>
      <c r="G8553" s="200" t="s">
        <v>522</v>
      </c>
      <c r="H8553" s="200" t="s">
        <v>442</v>
      </c>
      <c r="I8553" s="648" t="s">
        <v>329</v>
      </c>
    </row>
    <row r="8554" spans="1:9" ht="15" customHeight="1">
      <c r="A8554" s="199">
        <v>45799</v>
      </c>
      <c r="B8554" s="202" t="s">
        <v>4394</v>
      </c>
      <c r="C8554" s="200" t="s">
        <v>307</v>
      </c>
      <c r="D8554" s="204">
        <v>-28000</v>
      </c>
      <c r="E8554" s="201">
        <v>45778</v>
      </c>
      <c r="F8554" s="200" t="s">
        <v>297</v>
      </c>
      <c r="G8554" s="200" t="s">
        <v>71</v>
      </c>
      <c r="H8554" s="200" t="s">
        <v>268</v>
      </c>
      <c r="I8554" s="648" t="s">
        <v>329</v>
      </c>
    </row>
    <row r="8555" spans="1:9" ht="15" customHeight="1">
      <c r="A8555" s="199">
        <v>45799</v>
      </c>
      <c r="B8555" s="202" t="s">
        <v>4394</v>
      </c>
      <c r="C8555" s="200" t="s">
        <v>307</v>
      </c>
      <c r="D8555" s="204">
        <v>-34416</v>
      </c>
      <c r="E8555" s="201">
        <v>45778</v>
      </c>
      <c r="F8555" s="200" t="s">
        <v>296</v>
      </c>
      <c r="G8555" s="200" t="s">
        <v>875</v>
      </c>
      <c r="H8555" s="200" t="s">
        <v>268</v>
      </c>
    </row>
    <row r="8556" spans="1:9" ht="15" customHeight="1">
      <c r="A8556" s="199">
        <v>45799</v>
      </c>
      <c r="B8556" s="202" t="s">
        <v>4394</v>
      </c>
      <c r="C8556" s="200" t="s">
        <v>307</v>
      </c>
      <c r="D8556" s="204">
        <v>-7000</v>
      </c>
      <c r="E8556" s="201">
        <v>45778</v>
      </c>
      <c r="F8556" s="200" t="s">
        <v>296</v>
      </c>
      <c r="G8556" s="200" t="s">
        <v>2994</v>
      </c>
      <c r="H8556" s="200" t="s">
        <v>268</v>
      </c>
      <c r="I8556" s="648" t="s">
        <v>329</v>
      </c>
    </row>
    <row r="8557" spans="1:9" ht="15" customHeight="1">
      <c r="A8557" s="199">
        <v>45799</v>
      </c>
      <c r="B8557" s="202" t="s">
        <v>4394</v>
      </c>
      <c r="C8557" s="200" t="s">
        <v>307</v>
      </c>
      <c r="D8557" s="204">
        <v>-7000</v>
      </c>
      <c r="E8557" s="201">
        <v>45778</v>
      </c>
      <c r="F8557" s="200" t="s">
        <v>256</v>
      </c>
      <c r="G8557" s="200" t="s">
        <v>256</v>
      </c>
      <c r="H8557" s="200" t="s">
        <v>268</v>
      </c>
    </row>
    <row r="8558" spans="1:9" ht="15" customHeight="1">
      <c r="A8558" s="199">
        <v>45799</v>
      </c>
      <c r="B8558" s="202" t="s">
        <v>4395</v>
      </c>
      <c r="C8558" s="200" t="s">
        <v>372</v>
      </c>
      <c r="D8558" s="204">
        <v>-990</v>
      </c>
      <c r="E8558" s="201">
        <v>45778</v>
      </c>
      <c r="F8558" s="200" t="s">
        <v>296</v>
      </c>
      <c r="G8558" s="200" t="s">
        <v>875</v>
      </c>
      <c r="H8558" s="200" t="s">
        <v>268</v>
      </c>
    </row>
    <row r="8559" spans="1:9" ht="15" customHeight="1">
      <c r="A8559" s="199">
        <v>45799</v>
      </c>
      <c r="B8559" s="202" t="s">
        <v>4396</v>
      </c>
      <c r="C8559" s="200" t="s">
        <v>372</v>
      </c>
      <c r="D8559" s="204">
        <v>-594</v>
      </c>
      <c r="E8559" s="201">
        <v>45778</v>
      </c>
      <c r="F8559" s="200" t="s">
        <v>296</v>
      </c>
      <c r="G8559" s="200" t="s">
        <v>875</v>
      </c>
      <c r="H8559" s="200" t="s">
        <v>268</v>
      </c>
      <c r="I8559" s="648" t="s">
        <v>329</v>
      </c>
    </row>
    <row r="8560" spans="1:9" ht="15" customHeight="1">
      <c r="A8560" s="199">
        <v>45791</v>
      </c>
      <c r="B8560" s="202" t="s">
        <v>1419</v>
      </c>
      <c r="C8560" s="200" t="s">
        <v>307</v>
      </c>
      <c r="D8560" s="204">
        <v>-108000</v>
      </c>
      <c r="E8560" s="201">
        <v>45778</v>
      </c>
      <c r="F8560" s="200" t="s">
        <v>256</v>
      </c>
      <c r="G8560" s="200" t="s">
        <v>107</v>
      </c>
      <c r="H8560" s="200" t="s">
        <v>277</v>
      </c>
    </row>
    <row r="8561" spans="1:8" ht="15" customHeight="1">
      <c r="A8561" s="199">
        <v>45791</v>
      </c>
      <c r="B8561" s="202" t="s">
        <v>1523</v>
      </c>
      <c r="C8561" s="200" t="s">
        <v>307</v>
      </c>
      <c r="D8561" s="204">
        <v>-110000</v>
      </c>
      <c r="E8561" s="201">
        <v>45778</v>
      </c>
      <c r="F8561" s="200" t="s">
        <v>256</v>
      </c>
      <c r="G8561" s="200" t="s">
        <v>107</v>
      </c>
      <c r="H8561" s="200" t="s">
        <v>277</v>
      </c>
    </row>
    <row r="8562" spans="1:8" ht="15" customHeight="1">
      <c r="A8562" s="199">
        <v>45796</v>
      </c>
      <c r="B8562" s="202" t="s">
        <v>4431</v>
      </c>
      <c r="C8562" s="200" t="s">
        <v>314</v>
      </c>
      <c r="D8562" s="204">
        <v>2115534</v>
      </c>
      <c r="E8562" s="662">
        <v>45778</v>
      </c>
      <c r="F8562" s="200" t="s">
        <v>295</v>
      </c>
    </row>
    <row r="8563" spans="1:8" ht="15" customHeight="1">
      <c r="A8563" s="199">
        <v>45796</v>
      </c>
      <c r="B8563" s="202" t="s">
        <v>4432</v>
      </c>
      <c r="C8563" s="200" t="s">
        <v>314</v>
      </c>
      <c r="D8563" s="204">
        <v>458428</v>
      </c>
      <c r="E8563" s="662">
        <v>45778</v>
      </c>
      <c r="F8563" s="200" t="s">
        <v>295</v>
      </c>
    </row>
    <row r="8564" spans="1:8" ht="15" customHeight="1">
      <c r="A8564" s="199">
        <v>45797</v>
      </c>
      <c r="B8564" s="202" t="s">
        <v>6634</v>
      </c>
      <c r="C8564" s="200" t="s">
        <v>314</v>
      </c>
      <c r="D8564" s="204">
        <v>2222233</v>
      </c>
      <c r="E8564" s="662">
        <v>45778</v>
      </c>
      <c r="F8564" s="200" t="s">
        <v>256</v>
      </c>
      <c r="G8564" s="200" t="s">
        <v>107</v>
      </c>
    </row>
    <row r="8565" spans="1:8" ht="15" customHeight="1">
      <c r="A8565" s="199">
        <v>45798</v>
      </c>
      <c r="B8565" s="202" t="s">
        <v>6635</v>
      </c>
      <c r="C8565" s="200" t="s">
        <v>314</v>
      </c>
      <c r="D8565" s="204">
        <v>1524215</v>
      </c>
      <c r="E8565" s="662">
        <v>45778</v>
      </c>
      <c r="F8565" s="200" t="s">
        <v>295</v>
      </c>
    </row>
    <row r="8566" spans="1:8" ht="15" customHeight="1">
      <c r="A8566" s="199">
        <v>45796</v>
      </c>
      <c r="B8566" s="202" t="s">
        <v>3475</v>
      </c>
      <c r="C8566" s="200" t="s">
        <v>136</v>
      </c>
      <c r="D8566" s="658">
        <v>1016967</v>
      </c>
      <c r="E8566" s="201">
        <v>45778</v>
      </c>
      <c r="F8566" s="200" t="s">
        <v>295</v>
      </c>
    </row>
    <row r="8567" spans="1:8" ht="15" customHeight="1">
      <c r="A8567" s="199">
        <v>45798</v>
      </c>
      <c r="B8567" s="202" t="s">
        <v>5331</v>
      </c>
      <c r="C8567" s="200" t="s">
        <v>136</v>
      </c>
      <c r="D8567" s="658">
        <v>1487650</v>
      </c>
      <c r="E8567" s="201">
        <v>45778</v>
      </c>
      <c r="F8567" s="200" t="s">
        <v>295</v>
      </c>
    </row>
    <row r="8568" spans="1:8" ht="15" customHeight="1">
      <c r="A8568" s="199">
        <v>45798</v>
      </c>
      <c r="B8568" s="202" t="s">
        <v>6636</v>
      </c>
      <c r="C8568" s="200" t="s">
        <v>136</v>
      </c>
      <c r="D8568" s="658">
        <v>2384408</v>
      </c>
      <c r="E8568" s="201">
        <v>45778</v>
      </c>
      <c r="F8568" s="200" t="s">
        <v>295</v>
      </c>
    </row>
    <row r="8569" spans="1:8" ht="15" customHeight="1">
      <c r="A8569" s="199">
        <v>45793</v>
      </c>
      <c r="B8569" s="202" t="s">
        <v>6637</v>
      </c>
      <c r="C8569" s="200" t="s">
        <v>204</v>
      </c>
      <c r="D8569" s="204">
        <v>4367058</v>
      </c>
      <c r="E8569" s="662">
        <v>45778</v>
      </c>
      <c r="F8569" s="200" t="s">
        <v>295</v>
      </c>
    </row>
    <row r="8570" spans="1:8" ht="15" customHeight="1">
      <c r="A8570" s="199">
        <v>45798</v>
      </c>
      <c r="B8570" s="202" t="s">
        <v>6638</v>
      </c>
      <c r="C8570" s="200" t="s">
        <v>204</v>
      </c>
      <c r="D8570" s="204">
        <v>2378788.79</v>
      </c>
      <c r="E8570" s="662">
        <v>45778</v>
      </c>
      <c r="F8570" s="200" t="s">
        <v>295</v>
      </c>
    </row>
    <row r="8571" spans="1:8" ht="15" customHeight="1">
      <c r="A8571" s="199">
        <v>45799</v>
      </c>
      <c r="B8571" s="202" t="s">
        <v>6639</v>
      </c>
      <c r="C8571" s="200" t="s">
        <v>204</v>
      </c>
      <c r="D8571" s="204">
        <v>47267668</v>
      </c>
      <c r="E8571" s="662">
        <v>45778</v>
      </c>
      <c r="F8571" s="200" t="s">
        <v>983</v>
      </c>
      <c r="G8571" s="200" t="s">
        <v>341</v>
      </c>
    </row>
    <row r="8572" spans="1:8" ht="15" customHeight="1">
      <c r="A8572" s="199">
        <v>45797</v>
      </c>
      <c r="B8572" s="202" t="s">
        <v>6640</v>
      </c>
      <c r="C8572" s="200" t="s">
        <v>398</v>
      </c>
      <c r="D8572" s="658">
        <v>-18000</v>
      </c>
      <c r="E8572" s="662">
        <v>45778</v>
      </c>
      <c r="F8572" s="200" t="s">
        <v>256</v>
      </c>
      <c r="G8572" s="200" t="s">
        <v>107</v>
      </c>
      <c r="H8572" s="200" t="s">
        <v>277</v>
      </c>
    </row>
    <row r="8573" spans="1:8" ht="15" customHeight="1">
      <c r="A8573" s="199">
        <v>45798</v>
      </c>
      <c r="B8573" s="202" t="s">
        <v>6641</v>
      </c>
      <c r="C8573" s="200" t="s">
        <v>398</v>
      </c>
      <c r="D8573" s="658">
        <v>-371200</v>
      </c>
      <c r="E8573" s="662">
        <v>45778</v>
      </c>
      <c r="F8573" s="1" t="s">
        <v>2714</v>
      </c>
    </row>
    <row r="8574" spans="1:8" ht="15" customHeight="1">
      <c r="A8574" s="199">
        <v>45798</v>
      </c>
      <c r="B8574" s="202" t="s">
        <v>6642</v>
      </c>
      <c r="C8574" s="200" t="s">
        <v>398</v>
      </c>
      <c r="D8574" s="658">
        <v>-207600</v>
      </c>
      <c r="E8574" s="662">
        <v>45778</v>
      </c>
      <c r="F8574" s="200" t="s">
        <v>256</v>
      </c>
      <c r="G8574" s="200" t="s">
        <v>107</v>
      </c>
      <c r="H8574" s="200" t="s">
        <v>277</v>
      </c>
    </row>
    <row r="8575" spans="1:8" ht="15" customHeight="1">
      <c r="A8575" s="199">
        <v>45794</v>
      </c>
      <c r="B8575" s="202" t="s">
        <v>3860</v>
      </c>
      <c r="C8575" s="200" t="s">
        <v>398</v>
      </c>
      <c r="D8575" s="658">
        <v>-137482.57999999999</v>
      </c>
      <c r="E8575" s="662">
        <v>45778</v>
      </c>
      <c r="F8575" s="200" t="s">
        <v>256</v>
      </c>
      <c r="G8575" s="200" t="s">
        <v>256</v>
      </c>
      <c r="H8575" s="200" t="s">
        <v>266</v>
      </c>
    </row>
    <row r="8576" spans="1:8" ht="15" customHeight="1">
      <c r="A8576" s="199">
        <v>45796</v>
      </c>
      <c r="B8576" s="202" t="s">
        <v>959</v>
      </c>
      <c r="C8576" s="200" t="s">
        <v>398</v>
      </c>
      <c r="D8576" s="658">
        <v>-185387.17</v>
      </c>
      <c r="E8576" s="662">
        <v>45778</v>
      </c>
      <c r="F8576" s="200" t="s">
        <v>256</v>
      </c>
      <c r="G8576" s="200" t="s">
        <v>256</v>
      </c>
      <c r="H8576" s="200" t="s">
        <v>266</v>
      </c>
    </row>
    <row r="8577" spans="1:9" s="822" customFormat="1" ht="15" customHeight="1">
      <c r="A8577" s="746">
        <v>45800</v>
      </c>
      <c r="B8577" s="747" t="s">
        <v>6643</v>
      </c>
      <c r="C8577" s="747" t="s">
        <v>204</v>
      </c>
      <c r="D8577" s="649">
        <v>-1330000</v>
      </c>
      <c r="E8577" s="749">
        <v>45778</v>
      </c>
      <c r="F8577" s="747" t="s">
        <v>296</v>
      </c>
      <c r="G8577" s="747" t="s">
        <v>1980</v>
      </c>
      <c r="H8577" s="747" t="s">
        <v>322</v>
      </c>
      <c r="I8577" s="747"/>
    </row>
    <row r="8578" spans="1:9" ht="15" customHeight="1">
      <c r="A8578" s="199">
        <v>45800</v>
      </c>
      <c r="B8578" s="202" t="s">
        <v>6644</v>
      </c>
      <c r="C8578" s="200" t="s">
        <v>204</v>
      </c>
      <c r="D8578" s="649">
        <v>-5862790</v>
      </c>
      <c r="E8578" s="662">
        <v>45778</v>
      </c>
      <c r="F8578" s="200" t="s">
        <v>296</v>
      </c>
      <c r="G8578" s="200" t="s">
        <v>1980</v>
      </c>
      <c r="H8578" s="200" t="s">
        <v>322</v>
      </c>
    </row>
    <row r="8579" spans="1:9" ht="15" customHeight="1">
      <c r="A8579" s="199">
        <v>45800</v>
      </c>
      <c r="B8579" s="202" t="s">
        <v>6645</v>
      </c>
      <c r="C8579" s="200" t="s">
        <v>372</v>
      </c>
      <c r="D8579" s="204">
        <v>-126056</v>
      </c>
      <c r="E8579" s="662">
        <v>45778</v>
      </c>
      <c r="F8579" s="200" t="s">
        <v>296</v>
      </c>
      <c r="G8579" s="200" t="s">
        <v>1980</v>
      </c>
      <c r="H8579" s="200" t="s">
        <v>322</v>
      </c>
    </row>
    <row r="8580" spans="1:9" ht="15" customHeight="1">
      <c r="A8580" s="199">
        <v>45800</v>
      </c>
      <c r="B8580" s="202" t="s">
        <v>6646</v>
      </c>
      <c r="C8580" s="200" t="s">
        <v>204</v>
      </c>
      <c r="D8580" s="649">
        <v>-398153</v>
      </c>
      <c r="E8580" s="662">
        <v>45778</v>
      </c>
      <c r="F8580" s="200" t="s">
        <v>296</v>
      </c>
      <c r="G8580" s="200" t="s">
        <v>807</v>
      </c>
      <c r="H8580" s="200" t="s">
        <v>429</v>
      </c>
    </row>
    <row r="8581" spans="1:9" ht="15" customHeight="1">
      <c r="A8581" s="199">
        <v>45800</v>
      </c>
      <c r="B8581" s="202" t="s">
        <v>6647</v>
      </c>
      <c r="C8581" s="200" t="s">
        <v>204</v>
      </c>
      <c r="D8581" s="649">
        <v>-595000</v>
      </c>
      <c r="E8581" s="662">
        <v>45778</v>
      </c>
      <c r="F8581" s="200" t="s">
        <v>256</v>
      </c>
      <c r="G8581" s="200" t="s">
        <v>256</v>
      </c>
      <c r="H8581" s="200" t="s">
        <v>9</v>
      </c>
    </row>
    <row r="8582" spans="1:9" ht="15" customHeight="1">
      <c r="A8582" s="199">
        <v>45800</v>
      </c>
      <c r="B8582" s="202" t="s">
        <v>6648</v>
      </c>
      <c r="C8582" s="200" t="s">
        <v>204</v>
      </c>
      <c r="D8582" s="649">
        <v>-9340637</v>
      </c>
      <c r="E8582" s="662">
        <v>45778</v>
      </c>
      <c r="F8582" s="200" t="s">
        <v>296</v>
      </c>
    </row>
    <row r="8583" spans="1:9" ht="15" customHeight="1">
      <c r="A8583" s="199">
        <v>45800</v>
      </c>
      <c r="B8583" s="202" t="s">
        <v>6649</v>
      </c>
      <c r="C8583" s="200" t="s">
        <v>372</v>
      </c>
      <c r="D8583" s="204">
        <v>-230783</v>
      </c>
      <c r="E8583" s="662">
        <v>45778</v>
      </c>
      <c r="F8583" s="200" t="s">
        <v>296</v>
      </c>
    </row>
    <row r="8584" spans="1:9" ht="15" customHeight="1">
      <c r="A8584" s="199">
        <v>45800</v>
      </c>
      <c r="B8584" s="202" t="s">
        <v>6650</v>
      </c>
      <c r="C8584" s="200" t="s">
        <v>204</v>
      </c>
      <c r="D8584" s="649">
        <v>-127500</v>
      </c>
      <c r="E8584" s="662">
        <v>45778</v>
      </c>
      <c r="F8584" s="200" t="s">
        <v>296</v>
      </c>
      <c r="G8584" s="200" t="s">
        <v>57</v>
      </c>
      <c r="H8584" s="200" t="s">
        <v>97</v>
      </c>
    </row>
    <row r="8585" spans="1:9" ht="15" customHeight="1">
      <c r="A8585" s="199">
        <v>45800</v>
      </c>
      <c r="B8585" s="202" t="s">
        <v>6651</v>
      </c>
      <c r="C8585" s="200" t="s">
        <v>204</v>
      </c>
      <c r="D8585" s="649">
        <v>-891000</v>
      </c>
      <c r="E8585" s="662">
        <v>45778</v>
      </c>
      <c r="F8585" s="200" t="s">
        <v>296</v>
      </c>
      <c r="G8585" s="200" t="s">
        <v>57</v>
      </c>
      <c r="H8585" s="200" t="s">
        <v>97</v>
      </c>
    </row>
    <row r="8586" spans="1:9" ht="15" customHeight="1">
      <c r="A8586" s="199">
        <v>45800</v>
      </c>
      <c r="B8586" s="202" t="s">
        <v>6652</v>
      </c>
      <c r="C8586" s="200" t="s">
        <v>372</v>
      </c>
      <c r="D8586" s="204">
        <v>-9000</v>
      </c>
      <c r="E8586" s="662">
        <v>45778</v>
      </c>
      <c r="F8586" s="200" t="s">
        <v>296</v>
      </c>
      <c r="G8586" s="200" t="s">
        <v>57</v>
      </c>
      <c r="H8586" s="200" t="s">
        <v>97</v>
      </c>
    </row>
    <row r="8587" spans="1:9" ht="15" customHeight="1">
      <c r="A8587" s="199">
        <v>45800</v>
      </c>
      <c r="B8587" s="202" t="s">
        <v>6653</v>
      </c>
      <c r="C8587" s="200" t="s">
        <v>204</v>
      </c>
      <c r="D8587" s="649">
        <v>-78000</v>
      </c>
      <c r="E8587" s="662">
        <v>45778</v>
      </c>
      <c r="F8587" s="200" t="s">
        <v>296</v>
      </c>
      <c r="G8587" s="200" t="s">
        <v>1362</v>
      </c>
      <c r="H8587" s="200" t="s">
        <v>342</v>
      </c>
    </row>
    <row r="8588" spans="1:9" ht="15" customHeight="1">
      <c r="A8588" s="199">
        <v>45800</v>
      </c>
      <c r="B8588" s="202" t="s">
        <v>6654</v>
      </c>
      <c r="C8588" s="200" t="s">
        <v>204</v>
      </c>
      <c r="D8588" s="649">
        <v>-92000</v>
      </c>
      <c r="E8588" s="662">
        <v>45778</v>
      </c>
      <c r="F8588" s="200" t="s">
        <v>297</v>
      </c>
      <c r="G8588" s="200" t="s">
        <v>71</v>
      </c>
      <c r="H8588" s="200" t="s">
        <v>379</v>
      </c>
    </row>
    <row r="8589" spans="1:9" ht="15" customHeight="1">
      <c r="A8589" s="199">
        <v>45800</v>
      </c>
      <c r="B8589" s="202" t="s">
        <v>6655</v>
      </c>
      <c r="C8589" s="200" t="s">
        <v>372</v>
      </c>
      <c r="D8589" s="204">
        <v>-3200</v>
      </c>
      <c r="E8589" s="662">
        <v>45778</v>
      </c>
      <c r="F8589" s="200" t="s">
        <v>297</v>
      </c>
      <c r="G8589" s="200" t="s">
        <v>71</v>
      </c>
      <c r="H8589" s="200" t="s">
        <v>379</v>
      </c>
    </row>
    <row r="8590" spans="1:9" ht="15" customHeight="1">
      <c r="A8590" s="199">
        <v>45800</v>
      </c>
      <c r="B8590" s="202" t="s">
        <v>6656</v>
      </c>
      <c r="C8590" s="200" t="s">
        <v>204</v>
      </c>
      <c r="D8590" s="649">
        <v>-1167650</v>
      </c>
      <c r="E8590" s="662">
        <v>45778</v>
      </c>
      <c r="F8590" s="200" t="s">
        <v>297</v>
      </c>
      <c r="G8590" s="200" t="s">
        <v>3892</v>
      </c>
      <c r="H8590" s="200" t="s">
        <v>342</v>
      </c>
    </row>
    <row r="8591" spans="1:9" ht="15" customHeight="1">
      <c r="A8591" s="199">
        <v>45800</v>
      </c>
      <c r="B8591" s="202" t="s">
        <v>6657</v>
      </c>
      <c r="C8591" s="200" t="s">
        <v>372</v>
      </c>
      <c r="D8591" s="204">
        <v>-42350</v>
      </c>
      <c r="E8591" s="662">
        <v>45778</v>
      </c>
      <c r="F8591" s="200" t="s">
        <v>297</v>
      </c>
      <c r="G8591" s="200" t="s">
        <v>3892</v>
      </c>
      <c r="H8591" s="200" t="s">
        <v>342</v>
      </c>
    </row>
    <row r="8592" spans="1:9" ht="15" customHeight="1">
      <c r="A8592" s="199">
        <v>45803</v>
      </c>
      <c r="B8592" s="202" t="s">
        <v>6658</v>
      </c>
      <c r="C8592" s="200" t="s">
        <v>204</v>
      </c>
      <c r="D8592" s="649">
        <v>-249926</v>
      </c>
      <c r="E8592" s="662">
        <v>45778</v>
      </c>
      <c r="F8592" s="200" t="s">
        <v>296</v>
      </c>
      <c r="G8592" s="200" t="s">
        <v>1362</v>
      </c>
      <c r="H8592" s="200" t="s">
        <v>342</v>
      </c>
    </row>
    <row r="8593" spans="1:9" ht="15" customHeight="1">
      <c r="A8593" s="199">
        <v>45803</v>
      </c>
      <c r="B8593" s="202" t="s">
        <v>6659</v>
      </c>
      <c r="C8593" s="200" t="s">
        <v>204</v>
      </c>
      <c r="D8593" s="649">
        <v>-1587000</v>
      </c>
      <c r="E8593" s="662">
        <v>45778</v>
      </c>
      <c r="F8593" s="200" t="s">
        <v>525</v>
      </c>
    </row>
    <row r="8594" spans="1:9" ht="15" customHeight="1">
      <c r="A8594" s="666" t="s">
        <v>6660</v>
      </c>
      <c r="B8594" s="202" t="s">
        <v>6661</v>
      </c>
      <c r="C8594" s="200" t="s">
        <v>204</v>
      </c>
      <c r="D8594" s="649">
        <v>-15000</v>
      </c>
      <c r="E8594" s="662">
        <v>45778</v>
      </c>
      <c r="F8594" s="200" t="s">
        <v>296</v>
      </c>
      <c r="G8594" s="200" t="s">
        <v>57</v>
      </c>
      <c r="H8594" s="200" t="s">
        <v>97</v>
      </c>
      <c r="I8594" s="200" t="s">
        <v>5357</v>
      </c>
    </row>
    <row r="8595" spans="1:9" ht="15" customHeight="1">
      <c r="A8595" s="666" t="s">
        <v>6660</v>
      </c>
      <c r="B8595" s="202" t="s">
        <v>6662</v>
      </c>
      <c r="C8595" s="200" t="s">
        <v>204</v>
      </c>
      <c r="D8595" s="649">
        <v>-93431</v>
      </c>
      <c r="E8595" s="662">
        <v>45778</v>
      </c>
      <c r="F8595" s="200" t="s">
        <v>296</v>
      </c>
      <c r="G8595" s="200" t="s">
        <v>57</v>
      </c>
      <c r="H8595" s="200" t="s">
        <v>97</v>
      </c>
      <c r="I8595" s="200" t="s">
        <v>5357</v>
      </c>
    </row>
    <row r="8596" spans="1:9" ht="15" customHeight="1">
      <c r="A8596" s="666" t="s">
        <v>6660</v>
      </c>
      <c r="B8596" s="202" t="s">
        <v>6663</v>
      </c>
      <c r="C8596" s="200" t="s">
        <v>204</v>
      </c>
      <c r="D8596" s="649">
        <v>-12100</v>
      </c>
      <c r="E8596" s="662">
        <v>45778</v>
      </c>
      <c r="F8596" s="200" t="s">
        <v>296</v>
      </c>
      <c r="G8596" s="200" t="s">
        <v>57</v>
      </c>
      <c r="H8596" s="200" t="s">
        <v>97</v>
      </c>
      <c r="I8596" s="200" t="s">
        <v>5357</v>
      </c>
    </row>
    <row r="8597" spans="1:9" ht="15" customHeight="1">
      <c r="A8597" s="666" t="s">
        <v>6660</v>
      </c>
      <c r="B8597" s="202" t="s">
        <v>6664</v>
      </c>
      <c r="C8597" s="200" t="s">
        <v>204</v>
      </c>
      <c r="D8597" s="649">
        <v>-12100</v>
      </c>
      <c r="E8597" s="662">
        <v>45778</v>
      </c>
      <c r="F8597" s="200" t="s">
        <v>296</v>
      </c>
      <c r="G8597" s="200" t="s">
        <v>57</v>
      </c>
      <c r="H8597" s="200" t="s">
        <v>97</v>
      </c>
      <c r="I8597" s="200" t="s">
        <v>5357</v>
      </c>
    </row>
    <row r="8598" spans="1:9" ht="15" customHeight="1">
      <c r="A8598" s="666" t="s">
        <v>6665</v>
      </c>
      <c r="B8598" s="202" t="s">
        <v>6666</v>
      </c>
      <c r="C8598" s="200" t="s">
        <v>204</v>
      </c>
      <c r="D8598" s="649">
        <v>-70000</v>
      </c>
      <c r="E8598" s="662">
        <v>45778</v>
      </c>
      <c r="F8598" s="200" t="s">
        <v>296</v>
      </c>
      <c r="G8598" s="200" t="s">
        <v>57</v>
      </c>
      <c r="H8598" s="200" t="s">
        <v>97</v>
      </c>
      <c r="I8598" s="200" t="s">
        <v>5357</v>
      </c>
    </row>
    <row r="8599" spans="1:9" ht="15" customHeight="1">
      <c r="A8599" s="666" t="s">
        <v>6665</v>
      </c>
      <c r="B8599" s="727" t="s">
        <v>6667</v>
      </c>
      <c r="C8599" s="200" t="s">
        <v>204</v>
      </c>
      <c r="D8599" s="649">
        <v>-24000</v>
      </c>
      <c r="E8599" s="662">
        <v>45778</v>
      </c>
      <c r="F8599" s="200" t="s">
        <v>296</v>
      </c>
      <c r="G8599" s="200" t="s">
        <v>57</v>
      </c>
      <c r="H8599" s="200" t="s">
        <v>97</v>
      </c>
      <c r="I8599" s="200" t="s">
        <v>5357</v>
      </c>
    </row>
    <row r="8600" spans="1:9" ht="15" customHeight="1">
      <c r="A8600" s="666" t="s">
        <v>6665</v>
      </c>
      <c r="B8600" s="202" t="s">
        <v>6664</v>
      </c>
      <c r="C8600" s="200" t="s">
        <v>204</v>
      </c>
      <c r="D8600" s="649">
        <v>-12100</v>
      </c>
      <c r="E8600" s="662">
        <v>45778</v>
      </c>
      <c r="F8600" s="200" t="s">
        <v>296</v>
      </c>
      <c r="G8600" s="200" t="s">
        <v>57</v>
      </c>
      <c r="H8600" s="200" t="s">
        <v>97</v>
      </c>
      <c r="I8600" s="200" t="s">
        <v>5357</v>
      </c>
    </row>
    <row r="8601" spans="1:9" ht="15" customHeight="1">
      <c r="A8601" s="666" t="s">
        <v>6665</v>
      </c>
      <c r="B8601" s="202" t="s">
        <v>6663</v>
      </c>
      <c r="C8601" s="200" t="s">
        <v>204</v>
      </c>
      <c r="D8601" s="649">
        <v>-12100</v>
      </c>
      <c r="E8601" s="662">
        <v>45778</v>
      </c>
      <c r="F8601" s="200" t="s">
        <v>296</v>
      </c>
      <c r="G8601" s="200" t="s">
        <v>57</v>
      </c>
      <c r="H8601" s="200" t="s">
        <v>97</v>
      </c>
      <c r="I8601" s="200" t="s">
        <v>5357</v>
      </c>
    </row>
    <row r="8602" spans="1:9" ht="15" customHeight="1">
      <c r="A8602" s="666" t="s">
        <v>6665</v>
      </c>
      <c r="B8602" s="202" t="s">
        <v>6662</v>
      </c>
      <c r="C8602" s="200" t="s">
        <v>204</v>
      </c>
      <c r="D8602" s="649">
        <v>-76009</v>
      </c>
      <c r="E8602" s="662">
        <v>45778</v>
      </c>
      <c r="F8602" s="200" t="s">
        <v>296</v>
      </c>
      <c r="G8602" s="200" t="s">
        <v>57</v>
      </c>
      <c r="H8602" s="200" t="s">
        <v>97</v>
      </c>
      <c r="I8602" s="200" t="s">
        <v>5357</v>
      </c>
    </row>
    <row r="8603" spans="1:9" ht="15" customHeight="1">
      <c r="A8603" s="666" t="s">
        <v>6665</v>
      </c>
      <c r="B8603" s="202" t="s">
        <v>6668</v>
      </c>
      <c r="C8603" s="200" t="s">
        <v>204</v>
      </c>
      <c r="D8603" s="649">
        <v>-70000</v>
      </c>
      <c r="E8603" s="662">
        <v>45778</v>
      </c>
      <c r="F8603" s="200" t="s">
        <v>296</v>
      </c>
      <c r="G8603" s="200" t="s">
        <v>57</v>
      </c>
      <c r="H8603" s="200" t="s">
        <v>97</v>
      </c>
      <c r="I8603" s="200" t="s">
        <v>5357</v>
      </c>
    </row>
    <row r="8604" spans="1:9" ht="15" customHeight="1">
      <c r="A8604" s="199">
        <v>45803</v>
      </c>
      <c r="B8604" s="202" t="s">
        <v>6669</v>
      </c>
      <c r="C8604" s="200" t="s">
        <v>204</v>
      </c>
      <c r="D8604" s="649">
        <v>-6679773</v>
      </c>
      <c r="E8604" s="662">
        <v>45778</v>
      </c>
      <c r="F8604" s="200" t="s">
        <v>297</v>
      </c>
      <c r="G8604" s="200" t="s">
        <v>3892</v>
      </c>
      <c r="H8604" s="200" t="s">
        <v>857</v>
      </c>
    </row>
    <row r="8605" spans="1:9" ht="15" customHeight="1">
      <c r="A8605" s="199">
        <v>45803</v>
      </c>
      <c r="B8605" s="202" t="s">
        <v>5407</v>
      </c>
      <c r="C8605" s="200" t="s">
        <v>204</v>
      </c>
      <c r="D8605" s="649">
        <v>-1990000</v>
      </c>
      <c r="E8605" s="662">
        <v>45778</v>
      </c>
      <c r="F8605" s="200" t="s">
        <v>296</v>
      </c>
      <c r="G8605" s="200" t="s">
        <v>522</v>
      </c>
      <c r="H8605" s="200" t="s">
        <v>326</v>
      </c>
    </row>
    <row r="8606" spans="1:9" ht="15" customHeight="1">
      <c r="A8606" s="199">
        <v>45803</v>
      </c>
      <c r="B8606" s="202" t="s">
        <v>5408</v>
      </c>
      <c r="C8606" s="200" t="s">
        <v>372</v>
      </c>
      <c r="D8606" s="204">
        <v>-72176</v>
      </c>
      <c r="E8606" s="662">
        <v>45778</v>
      </c>
      <c r="F8606" s="200" t="s">
        <v>296</v>
      </c>
      <c r="G8606" s="200" t="s">
        <v>522</v>
      </c>
      <c r="H8606" s="200" t="s">
        <v>326</v>
      </c>
    </row>
    <row r="8607" spans="1:9" ht="15" customHeight="1">
      <c r="A8607" s="199">
        <v>45804</v>
      </c>
      <c r="B8607" s="202" t="s">
        <v>6670</v>
      </c>
      <c r="C8607" s="200" t="s">
        <v>204</v>
      </c>
      <c r="D8607" s="649">
        <v>-1300000</v>
      </c>
      <c r="E8607" s="662">
        <v>45778</v>
      </c>
      <c r="F8607" s="200" t="s">
        <v>256</v>
      </c>
      <c r="G8607" s="200" t="s">
        <v>107</v>
      </c>
      <c r="H8607" s="200" t="s">
        <v>777</v>
      </c>
    </row>
    <row r="8608" spans="1:9" ht="15" customHeight="1">
      <c r="A8608" s="199">
        <v>45804</v>
      </c>
      <c r="B8608" s="202" t="s">
        <v>6671</v>
      </c>
      <c r="C8608" s="200" t="s">
        <v>204</v>
      </c>
      <c r="D8608" s="649">
        <v>-106854</v>
      </c>
      <c r="E8608" s="662">
        <v>45778</v>
      </c>
      <c r="F8608" s="200" t="s">
        <v>296</v>
      </c>
      <c r="G8608" s="200" t="s">
        <v>44</v>
      </c>
      <c r="H8608" s="200" t="s">
        <v>2715</v>
      </c>
    </row>
    <row r="8609" spans="1:8" ht="15" customHeight="1">
      <c r="A8609" s="199">
        <v>45804</v>
      </c>
      <c r="B8609" s="202" t="s">
        <v>6672</v>
      </c>
      <c r="C8609" s="200" t="s">
        <v>204</v>
      </c>
      <c r="D8609" s="649">
        <v>-4018990</v>
      </c>
      <c r="E8609" s="662">
        <v>45778</v>
      </c>
      <c r="F8609" s="648" t="s">
        <v>296</v>
      </c>
      <c r="G8609" s="648" t="s">
        <v>1980</v>
      </c>
      <c r="H8609" s="648" t="s">
        <v>2715</v>
      </c>
    </row>
    <row r="8610" spans="1:8" ht="15" customHeight="1">
      <c r="A8610" s="199">
        <v>45804</v>
      </c>
      <c r="B8610" s="202" t="s">
        <v>6672</v>
      </c>
      <c r="C8610" s="200" t="s">
        <v>204</v>
      </c>
      <c r="D8610" s="649">
        <v>-4018990</v>
      </c>
      <c r="E8610" s="662">
        <v>45778</v>
      </c>
      <c r="F8610" s="648" t="s">
        <v>296</v>
      </c>
      <c r="G8610" s="648" t="s">
        <v>1983</v>
      </c>
      <c r="H8610" s="648" t="s">
        <v>2715</v>
      </c>
    </row>
    <row r="8611" spans="1:8" ht="15" customHeight="1">
      <c r="A8611" s="199">
        <v>45804</v>
      </c>
      <c r="B8611" s="202" t="s">
        <v>6673</v>
      </c>
      <c r="C8611" s="200" t="s">
        <v>204</v>
      </c>
      <c r="D8611" s="649">
        <v>-131000</v>
      </c>
      <c r="E8611" s="662">
        <v>45778</v>
      </c>
      <c r="F8611" s="200" t="s">
        <v>256</v>
      </c>
      <c r="G8611" s="200" t="s">
        <v>256</v>
      </c>
      <c r="H8611" s="200" t="s">
        <v>265</v>
      </c>
    </row>
    <row r="8612" spans="1:8" ht="15" customHeight="1">
      <c r="A8612" s="199">
        <v>45804</v>
      </c>
      <c r="B8612" s="202" t="s">
        <v>6674</v>
      </c>
      <c r="C8612" s="200" t="s">
        <v>204</v>
      </c>
      <c r="D8612" s="649">
        <v>-5348708</v>
      </c>
      <c r="E8612" s="662">
        <v>45778</v>
      </c>
      <c r="F8612" s="200" t="s">
        <v>256</v>
      </c>
      <c r="G8612" s="200" t="s">
        <v>256</v>
      </c>
      <c r="H8612" s="200" t="s">
        <v>267</v>
      </c>
    </row>
    <row r="8613" spans="1:8" ht="15" customHeight="1">
      <c r="A8613" s="199">
        <v>45804</v>
      </c>
      <c r="B8613" s="202" t="s">
        <v>6675</v>
      </c>
      <c r="C8613" s="200" t="s">
        <v>372</v>
      </c>
      <c r="D8613" s="204">
        <v>-131243</v>
      </c>
      <c r="E8613" s="662">
        <v>45778</v>
      </c>
      <c r="F8613" s="200" t="s">
        <v>256</v>
      </c>
      <c r="G8613" s="200" t="s">
        <v>256</v>
      </c>
      <c r="H8613" s="200" t="s">
        <v>267</v>
      </c>
    </row>
    <row r="8614" spans="1:8" ht="15" customHeight="1">
      <c r="A8614" s="199">
        <v>45804</v>
      </c>
      <c r="B8614" s="202" t="s">
        <v>6674</v>
      </c>
      <c r="C8614" s="200" t="s">
        <v>204</v>
      </c>
      <c r="D8614" s="649">
        <v>-2364814</v>
      </c>
      <c r="E8614" s="662">
        <v>45778</v>
      </c>
      <c r="F8614" s="200" t="s">
        <v>256</v>
      </c>
      <c r="G8614" s="200" t="s">
        <v>256</v>
      </c>
      <c r="H8614" s="200" t="s">
        <v>267</v>
      </c>
    </row>
    <row r="8615" spans="1:8" ht="15" customHeight="1">
      <c r="A8615" s="199">
        <v>45804</v>
      </c>
      <c r="B8615" s="202" t="s">
        <v>6675</v>
      </c>
      <c r="C8615" s="200" t="s">
        <v>372</v>
      </c>
      <c r="D8615" s="204">
        <v>-56026</v>
      </c>
      <c r="E8615" s="662">
        <v>45778</v>
      </c>
      <c r="F8615" s="200" t="s">
        <v>256</v>
      </c>
      <c r="G8615" s="200" t="s">
        <v>256</v>
      </c>
      <c r="H8615" s="200" t="s">
        <v>267</v>
      </c>
    </row>
    <row r="8616" spans="1:8" ht="15" customHeight="1">
      <c r="A8616" s="199">
        <v>45804</v>
      </c>
      <c r="B8616" s="202" t="s">
        <v>6676</v>
      </c>
      <c r="C8616" s="200" t="s">
        <v>204</v>
      </c>
      <c r="D8616" s="649">
        <v>-1626100</v>
      </c>
      <c r="E8616" s="662">
        <v>45778</v>
      </c>
      <c r="F8616" s="200" t="s">
        <v>256</v>
      </c>
      <c r="G8616" s="200" t="s">
        <v>256</v>
      </c>
      <c r="H8616" s="200" t="s">
        <v>267</v>
      </c>
    </row>
    <row r="8617" spans="1:8" ht="15" customHeight="1">
      <c r="A8617" s="199">
        <v>45804</v>
      </c>
      <c r="B8617" s="202" t="s">
        <v>6677</v>
      </c>
      <c r="C8617" s="200" t="s">
        <v>372</v>
      </c>
      <c r="D8617" s="204">
        <v>-39900</v>
      </c>
      <c r="E8617" s="662">
        <v>45778</v>
      </c>
      <c r="F8617" s="200" t="s">
        <v>256</v>
      </c>
      <c r="G8617" s="200" t="s">
        <v>256</v>
      </c>
      <c r="H8617" s="200" t="s">
        <v>267</v>
      </c>
    </row>
    <row r="8618" spans="1:8" ht="15" customHeight="1">
      <c r="A8618" s="199">
        <v>45804</v>
      </c>
      <c r="B8618" s="202" t="s">
        <v>6678</v>
      </c>
      <c r="C8618" s="200" t="s">
        <v>204</v>
      </c>
      <c r="D8618" s="649">
        <v>-1235255</v>
      </c>
      <c r="E8618" s="662">
        <v>45778</v>
      </c>
      <c r="F8618" s="200" t="s">
        <v>296</v>
      </c>
      <c r="G8618" s="200" t="s">
        <v>1980</v>
      </c>
      <c r="H8618" s="200" t="s">
        <v>322</v>
      </c>
    </row>
    <row r="8619" spans="1:8" ht="15" customHeight="1">
      <c r="A8619" s="199">
        <v>45804</v>
      </c>
      <c r="B8619" s="202" t="s">
        <v>6679</v>
      </c>
      <c r="C8619" s="200" t="s">
        <v>372</v>
      </c>
      <c r="D8619" s="204">
        <v>-30310</v>
      </c>
      <c r="E8619" s="662">
        <v>45778</v>
      </c>
      <c r="F8619" s="200" t="s">
        <v>296</v>
      </c>
      <c r="G8619" s="200" t="s">
        <v>1980</v>
      </c>
      <c r="H8619" s="200" t="s">
        <v>322</v>
      </c>
    </row>
    <row r="8620" spans="1:8" ht="15" customHeight="1">
      <c r="A8620" s="199">
        <v>45804</v>
      </c>
      <c r="B8620" s="202" t="s">
        <v>6678</v>
      </c>
      <c r="C8620" s="200" t="s">
        <v>204</v>
      </c>
      <c r="D8620" s="649">
        <v>-714323</v>
      </c>
      <c r="E8620" s="662">
        <v>45778</v>
      </c>
      <c r="F8620" s="200" t="s">
        <v>296</v>
      </c>
      <c r="G8620" s="200" t="s">
        <v>1980</v>
      </c>
      <c r="H8620" s="200" t="s">
        <v>322</v>
      </c>
    </row>
    <row r="8621" spans="1:8" ht="15" customHeight="1">
      <c r="A8621" s="199">
        <v>45804</v>
      </c>
      <c r="B8621" s="202" t="s">
        <v>6679</v>
      </c>
      <c r="C8621" s="200" t="s">
        <v>372</v>
      </c>
      <c r="D8621" s="204">
        <v>-17528</v>
      </c>
      <c r="E8621" s="662">
        <v>45778</v>
      </c>
      <c r="F8621" s="200" t="s">
        <v>296</v>
      </c>
      <c r="G8621" s="200" t="s">
        <v>1980</v>
      </c>
      <c r="H8621" s="200" t="s">
        <v>322</v>
      </c>
    </row>
    <row r="8622" spans="1:8" ht="15" customHeight="1">
      <c r="A8622" s="199">
        <v>45804</v>
      </c>
      <c r="B8622" s="202" t="s">
        <v>6678</v>
      </c>
      <c r="C8622" s="200" t="s">
        <v>204</v>
      </c>
      <c r="D8622" s="649">
        <v>-1235255</v>
      </c>
      <c r="E8622" s="662">
        <v>45778</v>
      </c>
      <c r="F8622" s="200" t="s">
        <v>296</v>
      </c>
      <c r="G8622" s="200" t="s">
        <v>1983</v>
      </c>
      <c r="H8622" s="200" t="s">
        <v>322</v>
      </c>
    </row>
    <row r="8623" spans="1:8" ht="15" customHeight="1">
      <c r="A8623" s="199">
        <v>45804</v>
      </c>
      <c r="B8623" s="202" t="s">
        <v>6679</v>
      </c>
      <c r="C8623" s="200" t="s">
        <v>372</v>
      </c>
      <c r="D8623" s="204">
        <v>-30310</v>
      </c>
      <c r="E8623" s="662">
        <v>45778</v>
      </c>
      <c r="F8623" s="200" t="s">
        <v>296</v>
      </c>
      <c r="G8623" s="200" t="s">
        <v>1983</v>
      </c>
      <c r="H8623" s="200" t="s">
        <v>322</v>
      </c>
    </row>
    <row r="8624" spans="1:8" ht="15" customHeight="1">
      <c r="A8624" s="199">
        <v>45804</v>
      </c>
      <c r="B8624" s="202" t="s">
        <v>6678</v>
      </c>
      <c r="C8624" s="200" t="s">
        <v>204</v>
      </c>
      <c r="D8624" s="649">
        <v>-714323</v>
      </c>
      <c r="E8624" s="662">
        <v>45778</v>
      </c>
      <c r="F8624" s="200" t="s">
        <v>296</v>
      </c>
      <c r="G8624" s="200" t="s">
        <v>1983</v>
      </c>
      <c r="H8624" s="200" t="s">
        <v>322</v>
      </c>
    </row>
    <row r="8625" spans="1:8" ht="15" customHeight="1">
      <c r="A8625" s="199">
        <v>45804</v>
      </c>
      <c r="B8625" s="202" t="s">
        <v>6679</v>
      </c>
      <c r="C8625" s="200" t="s">
        <v>372</v>
      </c>
      <c r="D8625" s="204">
        <v>-17528</v>
      </c>
      <c r="E8625" s="662">
        <v>45778</v>
      </c>
      <c r="F8625" s="200" t="s">
        <v>296</v>
      </c>
      <c r="G8625" s="200" t="s">
        <v>1983</v>
      </c>
      <c r="H8625" s="200" t="s">
        <v>322</v>
      </c>
    </row>
    <row r="8626" spans="1:8" ht="15" customHeight="1">
      <c r="A8626" s="199">
        <v>45804</v>
      </c>
      <c r="B8626" s="202" t="s">
        <v>6680</v>
      </c>
      <c r="C8626" s="200" t="s">
        <v>204</v>
      </c>
      <c r="D8626" s="649">
        <v>-116150</v>
      </c>
      <c r="E8626" s="662">
        <v>45778</v>
      </c>
      <c r="F8626" s="200" t="s">
        <v>296</v>
      </c>
      <c r="G8626" s="200" t="s">
        <v>1980</v>
      </c>
      <c r="H8626" s="200" t="s">
        <v>322</v>
      </c>
    </row>
    <row r="8627" spans="1:8" ht="15" customHeight="1">
      <c r="A8627" s="199">
        <v>45804</v>
      </c>
      <c r="B8627" s="202" t="s">
        <v>6681</v>
      </c>
      <c r="C8627" s="200" t="s">
        <v>372</v>
      </c>
      <c r="D8627" s="204">
        <v>-2850</v>
      </c>
      <c r="E8627" s="662">
        <v>45778</v>
      </c>
      <c r="F8627" s="200" t="s">
        <v>296</v>
      </c>
      <c r="G8627" s="200" t="s">
        <v>1980</v>
      </c>
      <c r="H8627" s="200" t="s">
        <v>322</v>
      </c>
    </row>
    <row r="8628" spans="1:8" ht="15" customHeight="1">
      <c r="A8628" s="199">
        <v>45804</v>
      </c>
      <c r="B8628" s="202" t="s">
        <v>6680</v>
      </c>
      <c r="C8628" s="200" t="s">
        <v>204</v>
      </c>
      <c r="D8628" s="649">
        <v>-1277650</v>
      </c>
      <c r="E8628" s="662">
        <v>45778</v>
      </c>
      <c r="F8628" s="200" t="s">
        <v>296</v>
      </c>
      <c r="G8628" s="200" t="s">
        <v>1980</v>
      </c>
      <c r="H8628" s="200" t="s">
        <v>322</v>
      </c>
    </row>
    <row r="8629" spans="1:8" ht="15" customHeight="1">
      <c r="A8629" s="199">
        <v>45804</v>
      </c>
      <c r="B8629" s="202" t="s">
        <v>6681</v>
      </c>
      <c r="C8629" s="200" t="s">
        <v>372</v>
      </c>
      <c r="D8629" s="204">
        <v>-31350</v>
      </c>
      <c r="E8629" s="662">
        <v>45778</v>
      </c>
      <c r="F8629" s="200" t="s">
        <v>296</v>
      </c>
      <c r="G8629" s="200" t="s">
        <v>1980</v>
      </c>
      <c r="H8629" s="200" t="s">
        <v>322</v>
      </c>
    </row>
    <row r="8630" spans="1:8" ht="15" customHeight="1">
      <c r="A8630" s="199">
        <v>45804</v>
      </c>
      <c r="B8630" s="202" t="s">
        <v>6680</v>
      </c>
      <c r="C8630" s="200" t="s">
        <v>204</v>
      </c>
      <c r="D8630" s="649">
        <v>-116150</v>
      </c>
      <c r="E8630" s="662">
        <v>45778</v>
      </c>
      <c r="F8630" s="200" t="s">
        <v>296</v>
      </c>
      <c r="G8630" s="200" t="s">
        <v>1983</v>
      </c>
      <c r="H8630" s="200" t="s">
        <v>322</v>
      </c>
    </row>
    <row r="8631" spans="1:8" ht="15" customHeight="1">
      <c r="A8631" s="199">
        <v>45804</v>
      </c>
      <c r="B8631" s="202" t="s">
        <v>6681</v>
      </c>
      <c r="C8631" s="200" t="s">
        <v>372</v>
      </c>
      <c r="D8631" s="204">
        <v>-2850</v>
      </c>
      <c r="E8631" s="662">
        <v>45778</v>
      </c>
      <c r="F8631" s="200" t="s">
        <v>296</v>
      </c>
      <c r="G8631" s="200" t="s">
        <v>1983</v>
      </c>
      <c r="H8631" s="200" t="s">
        <v>322</v>
      </c>
    </row>
    <row r="8632" spans="1:8" ht="15" customHeight="1">
      <c r="A8632" s="199">
        <v>45804</v>
      </c>
      <c r="B8632" s="202" t="s">
        <v>6680</v>
      </c>
      <c r="C8632" s="200" t="s">
        <v>204</v>
      </c>
      <c r="D8632" s="649">
        <v>-1277650</v>
      </c>
      <c r="E8632" s="662">
        <v>45778</v>
      </c>
      <c r="F8632" s="200" t="s">
        <v>296</v>
      </c>
      <c r="G8632" s="200" t="s">
        <v>1983</v>
      </c>
      <c r="H8632" s="200" t="s">
        <v>322</v>
      </c>
    </row>
    <row r="8633" spans="1:8" ht="15" customHeight="1">
      <c r="A8633" s="199">
        <v>45804</v>
      </c>
      <c r="B8633" s="202" t="s">
        <v>6681</v>
      </c>
      <c r="C8633" s="200" t="s">
        <v>372</v>
      </c>
      <c r="D8633" s="204">
        <v>-31350</v>
      </c>
      <c r="E8633" s="662">
        <v>45778</v>
      </c>
      <c r="F8633" s="200" t="s">
        <v>296</v>
      </c>
      <c r="G8633" s="200" t="s">
        <v>1983</v>
      </c>
      <c r="H8633" s="200" t="s">
        <v>322</v>
      </c>
    </row>
    <row r="8634" spans="1:8" ht="15" customHeight="1">
      <c r="A8634" s="199">
        <v>45804</v>
      </c>
      <c r="B8634" s="202" t="s">
        <v>6682</v>
      </c>
      <c r="C8634" s="200" t="s">
        <v>204</v>
      </c>
      <c r="D8634" s="649">
        <v>-8231200</v>
      </c>
      <c r="E8634" s="662">
        <v>45778</v>
      </c>
      <c r="F8634" s="200" t="s">
        <v>296</v>
      </c>
      <c r="G8634" s="200" t="s">
        <v>807</v>
      </c>
      <c r="H8634" s="200" t="s">
        <v>488</v>
      </c>
    </row>
    <row r="8635" spans="1:8" ht="15" customHeight="1">
      <c r="A8635" s="199">
        <v>45804</v>
      </c>
      <c r="B8635" s="202" t="s">
        <v>6683</v>
      </c>
      <c r="C8635" s="200" t="s">
        <v>372</v>
      </c>
      <c r="D8635" s="204">
        <v>-476000</v>
      </c>
      <c r="E8635" s="662">
        <v>45778</v>
      </c>
      <c r="F8635" s="200" t="s">
        <v>296</v>
      </c>
      <c r="G8635" s="200" t="s">
        <v>807</v>
      </c>
      <c r="H8635" s="200" t="s">
        <v>488</v>
      </c>
    </row>
    <row r="8636" spans="1:8" ht="15" customHeight="1">
      <c r="A8636" s="199">
        <v>45804</v>
      </c>
      <c r="B8636" s="202" t="s">
        <v>6684</v>
      </c>
      <c r="C8636" s="200" t="s">
        <v>372</v>
      </c>
      <c r="D8636" s="204">
        <v>-142800</v>
      </c>
      <c r="E8636" s="662">
        <v>45778</v>
      </c>
      <c r="F8636" s="200" t="s">
        <v>296</v>
      </c>
      <c r="G8636" s="200" t="s">
        <v>807</v>
      </c>
      <c r="H8636" s="200" t="s">
        <v>488</v>
      </c>
    </row>
    <row r="8637" spans="1:8" ht="15" customHeight="1">
      <c r="A8637" s="199">
        <v>45804</v>
      </c>
      <c r="B8637" s="202" t="s">
        <v>6685</v>
      </c>
      <c r="C8637" s="200" t="s">
        <v>204</v>
      </c>
      <c r="D8637" s="649">
        <v>-3455000</v>
      </c>
      <c r="E8637" s="662">
        <v>45778</v>
      </c>
      <c r="F8637" s="200" t="s">
        <v>296</v>
      </c>
      <c r="G8637" s="200" t="s">
        <v>522</v>
      </c>
      <c r="H8637" s="200" t="s">
        <v>326</v>
      </c>
    </row>
    <row r="8638" spans="1:8" ht="15" customHeight="1">
      <c r="A8638" s="199">
        <v>45804</v>
      </c>
      <c r="B8638" s="202" t="s">
        <v>6686</v>
      </c>
      <c r="C8638" s="200" t="s">
        <v>372</v>
      </c>
      <c r="D8638" s="204">
        <v>-125311</v>
      </c>
      <c r="E8638" s="662">
        <v>45778</v>
      </c>
      <c r="F8638" s="200" t="s">
        <v>296</v>
      </c>
      <c r="G8638" s="200" t="s">
        <v>522</v>
      </c>
      <c r="H8638" s="200" t="s">
        <v>326</v>
      </c>
    </row>
    <row r="8639" spans="1:8" ht="15" customHeight="1">
      <c r="A8639" s="199">
        <v>45804</v>
      </c>
      <c r="B8639" s="202" t="s">
        <v>6687</v>
      </c>
      <c r="C8639" s="200" t="s">
        <v>204</v>
      </c>
      <c r="D8639" s="649">
        <v>-415800</v>
      </c>
      <c r="E8639" s="662">
        <v>45778</v>
      </c>
      <c r="F8639" s="200" t="s">
        <v>296</v>
      </c>
      <c r="G8639" s="200" t="s">
        <v>1980</v>
      </c>
      <c r="H8639" s="200" t="s">
        <v>326</v>
      </c>
    </row>
    <row r="8640" spans="1:8" ht="15" customHeight="1">
      <c r="A8640" s="199">
        <v>45804</v>
      </c>
      <c r="B8640" s="202" t="s">
        <v>6688</v>
      </c>
      <c r="C8640" s="200" t="s">
        <v>372</v>
      </c>
      <c r="D8640" s="204">
        <v>-4200</v>
      </c>
      <c r="E8640" s="662">
        <v>45778</v>
      </c>
      <c r="F8640" s="200" t="s">
        <v>296</v>
      </c>
      <c r="G8640" s="200" t="s">
        <v>1980</v>
      </c>
      <c r="H8640" s="200" t="s">
        <v>326</v>
      </c>
    </row>
    <row r="8641" spans="1:8" ht="15" customHeight="1">
      <c r="A8641" s="199">
        <v>45804</v>
      </c>
      <c r="B8641" s="202" t="s">
        <v>6687</v>
      </c>
      <c r="C8641" s="200" t="s">
        <v>204</v>
      </c>
      <c r="D8641" s="649">
        <v>-415800</v>
      </c>
      <c r="E8641" s="662">
        <v>45778</v>
      </c>
      <c r="F8641" s="200" t="s">
        <v>296</v>
      </c>
      <c r="G8641" s="200" t="s">
        <v>1983</v>
      </c>
      <c r="H8641" s="200" t="s">
        <v>326</v>
      </c>
    </row>
    <row r="8642" spans="1:8" ht="15" customHeight="1">
      <c r="A8642" s="199">
        <v>45804</v>
      </c>
      <c r="B8642" s="202" t="s">
        <v>6688</v>
      </c>
      <c r="C8642" s="200" t="s">
        <v>372</v>
      </c>
      <c r="D8642" s="204">
        <v>-4200</v>
      </c>
      <c r="E8642" s="662">
        <v>45778</v>
      </c>
      <c r="F8642" s="200" t="s">
        <v>296</v>
      </c>
      <c r="G8642" s="200" t="s">
        <v>1983</v>
      </c>
      <c r="H8642" s="200" t="s">
        <v>326</v>
      </c>
    </row>
    <row r="8643" spans="1:8" ht="15" customHeight="1">
      <c r="A8643" s="199">
        <v>45804</v>
      </c>
      <c r="B8643" s="202" t="s">
        <v>6689</v>
      </c>
      <c r="C8643" s="200" t="s">
        <v>204</v>
      </c>
      <c r="D8643" s="649">
        <v>-371926</v>
      </c>
      <c r="E8643" s="662">
        <v>45778</v>
      </c>
      <c r="F8643" s="200" t="s">
        <v>297</v>
      </c>
      <c r="G8643" s="200" t="s">
        <v>71</v>
      </c>
      <c r="H8643" s="200" t="s">
        <v>5376</v>
      </c>
    </row>
    <row r="8644" spans="1:8" ht="15" customHeight="1">
      <c r="A8644" s="199">
        <v>45804</v>
      </c>
      <c r="B8644" s="202" t="s">
        <v>6690</v>
      </c>
      <c r="C8644" s="200" t="s">
        <v>204</v>
      </c>
      <c r="D8644" s="649">
        <v>-56032</v>
      </c>
      <c r="E8644" s="662">
        <v>45778</v>
      </c>
      <c r="F8644" s="200" t="s">
        <v>297</v>
      </c>
      <c r="G8644" s="200" t="s">
        <v>71</v>
      </c>
      <c r="H8644" s="200" t="s">
        <v>5376</v>
      </c>
    </row>
    <row r="8645" spans="1:8" ht="15" customHeight="1">
      <c r="A8645" s="199">
        <v>45804</v>
      </c>
      <c r="B8645" s="202" t="s">
        <v>6691</v>
      </c>
      <c r="C8645" s="200" t="s">
        <v>204</v>
      </c>
      <c r="D8645" s="649">
        <v>-766814</v>
      </c>
      <c r="E8645" s="662">
        <v>45778</v>
      </c>
      <c r="F8645" s="200" t="s">
        <v>256</v>
      </c>
      <c r="G8645" s="200" t="s">
        <v>256</v>
      </c>
      <c r="H8645" s="200" t="s">
        <v>263</v>
      </c>
    </row>
    <row r="8646" spans="1:8" ht="15" customHeight="1">
      <c r="A8646" s="199">
        <v>45804</v>
      </c>
      <c r="B8646" s="202" t="s">
        <v>6692</v>
      </c>
      <c r="C8646" s="200" t="s">
        <v>372</v>
      </c>
      <c r="D8646" s="204">
        <v>-3886</v>
      </c>
      <c r="E8646" s="662">
        <v>45778</v>
      </c>
      <c r="F8646" s="200" t="s">
        <v>256</v>
      </c>
      <c r="G8646" s="200" t="s">
        <v>256</v>
      </c>
      <c r="H8646" s="200" t="s">
        <v>263</v>
      </c>
    </row>
    <row r="8647" spans="1:8" ht="15" customHeight="1">
      <c r="A8647" s="199">
        <v>45804</v>
      </c>
      <c r="B8647" s="202" t="s">
        <v>6693</v>
      </c>
      <c r="C8647" s="200" t="s">
        <v>204</v>
      </c>
      <c r="D8647" s="649">
        <v>-1838817</v>
      </c>
      <c r="E8647" s="662">
        <v>45778</v>
      </c>
      <c r="F8647" s="200" t="s">
        <v>296</v>
      </c>
      <c r="G8647" s="200" t="s">
        <v>1980</v>
      </c>
      <c r="H8647" s="200" t="s">
        <v>322</v>
      </c>
    </row>
    <row r="8648" spans="1:8" ht="15" customHeight="1">
      <c r="A8648" s="199">
        <v>45804</v>
      </c>
      <c r="B8648" s="202" t="s">
        <v>6694</v>
      </c>
      <c r="C8648" s="200" t="s">
        <v>204</v>
      </c>
      <c r="D8648" s="649">
        <v>-14291803</v>
      </c>
      <c r="E8648" s="662">
        <v>45778</v>
      </c>
      <c r="F8648" s="200" t="s">
        <v>297</v>
      </c>
      <c r="G8648" s="200" t="s">
        <v>3892</v>
      </c>
      <c r="H8648" s="200" t="s">
        <v>342</v>
      </c>
    </row>
    <row r="8649" spans="1:8" ht="15" customHeight="1">
      <c r="A8649" s="199">
        <v>45804</v>
      </c>
      <c r="B8649" s="202" t="s">
        <v>6695</v>
      </c>
      <c r="C8649" s="200" t="s">
        <v>372</v>
      </c>
      <c r="D8649" s="204">
        <v>-51890</v>
      </c>
      <c r="E8649" s="662">
        <v>45778</v>
      </c>
      <c r="F8649" s="200" t="s">
        <v>297</v>
      </c>
      <c r="G8649" s="200" t="s">
        <v>3892</v>
      </c>
      <c r="H8649" s="200" t="s">
        <v>342</v>
      </c>
    </row>
    <row r="8650" spans="1:8" ht="15" customHeight="1">
      <c r="A8650" s="199">
        <v>45804</v>
      </c>
      <c r="B8650" s="202" t="s">
        <v>6694</v>
      </c>
      <c r="C8650" s="200" t="s">
        <v>204</v>
      </c>
      <c r="D8650" s="649">
        <v>-5558077</v>
      </c>
      <c r="E8650" s="662">
        <v>45778</v>
      </c>
      <c r="F8650" s="200" t="s">
        <v>296</v>
      </c>
      <c r="G8650" s="200" t="s">
        <v>3360</v>
      </c>
      <c r="H8650" s="200" t="s">
        <v>857</v>
      </c>
    </row>
    <row r="8651" spans="1:8" ht="15" customHeight="1">
      <c r="A8651" s="199">
        <v>45804</v>
      </c>
      <c r="B8651" s="202" t="s">
        <v>6695</v>
      </c>
      <c r="C8651" s="200" t="s">
        <v>372</v>
      </c>
      <c r="D8651" s="204">
        <v>-20180</v>
      </c>
      <c r="E8651" s="662">
        <v>45778</v>
      </c>
      <c r="F8651" s="200" t="s">
        <v>296</v>
      </c>
      <c r="G8651" s="200" t="s">
        <v>3360</v>
      </c>
      <c r="H8651" s="200" t="s">
        <v>342</v>
      </c>
    </row>
    <row r="8652" spans="1:8" ht="15" customHeight="1">
      <c r="A8652" s="199">
        <v>45804</v>
      </c>
      <c r="B8652" s="202" t="s">
        <v>6696</v>
      </c>
      <c r="C8652" s="200" t="s">
        <v>204</v>
      </c>
      <c r="D8652" s="649">
        <v>-2911242</v>
      </c>
      <c r="E8652" s="662">
        <v>45778</v>
      </c>
      <c r="F8652" s="200" t="s">
        <v>297</v>
      </c>
      <c r="G8652" s="200" t="s">
        <v>3892</v>
      </c>
      <c r="H8652" s="200" t="s">
        <v>342</v>
      </c>
    </row>
    <row r="8653" spans="1:8" ht="15" customHeight="1">
      <c r="A8653" s="199">
        <v>45804</v>
      </c>
      <c r="B8653" s="202" t="s">
        <v>6697</v>
      </c>
      <c r="C8653" s="200" t="s">
        <v>204</v>
      </c>
      <c r="D8653" s="649">
        <v>-91800</v>
      </c>
      <c r="E8653" s="662">
        <v>45778</v>
      </c>
      <c r="F8653" s="200" t="s">
        <v>256</v>
      </c>
      <c r="G8653" s="200" t="s">
        <v>256</v>
      </c>
      <c r="H8653" s="200" t="s">
        <v>267</v>
      </c>
    </row>
    <row r="8654" spans="1:8" ht="15" customHeight="1">
      <c r="A8654" s="199">
        <v>45804</v>
      </c>
      <c r="B8654" s="202" t="s">
        <v>6698</v>
      </c>
      <c r="C8654" s="200" t="s">
        <v>204</v>
      </c>
      <c r="D8654" s="649">
        <v>-4577800</v>
      </c>
      <c r="E8654" s="662">
        <v>45778</v>
      </c>
      <c r="F8654" s="200" t="s">
        <v>296</v>
      </c>
      <c r="G8654" s="200" t="s">
        <v>522</v>
      </c>
      <c r="H8654" s="200" t="s">
        <v>488</v>
      </c>
    </row>
    <row r="8655" spans="1:8" ht="15" customHeight="1">
      <c r="A8655" s="199">
        <v>45804</v>
      </c>
      <c r="B8655" s="202" t="s">
        <v>6699</v>
      </c>
      <c r="C8655" s="200" t="s">
        <v>372</v>
      </c>
      <c r="D8655" s="204">
        <v>-94000</v>
      </c>
      <c r="E8655" s="662">
        <v>45778</v>
      </c>
      <c r="F8655" s="200" t="s">
        <v>296</v>
      </c>
      <c r="G8655" s="200" t="s">
        <v>522</v>
      </c>
      <c r="H8655" s="200" t="s">
        <v>488</v>
      </c>
    </row>
    <row r="8656" spans="1:8" ht="15" customHeight="1">
      <c r="A8656" s="199">
        <v>45804</v>
      </c>
      <c r="B8656" s="202" t="s">
        <v>6700</v>
      </c>
      <c r="C8656" s="200" t="s">
        <v>372</v>
      </c>
      <c r="D8656" s="204">
        <v>-28200</v>
      </c>
      <c r="E8656" s="662">
        <v>45778</v>
      </c>
      <c r="F8656" s="200" t="s">
        <v>296</v>
      </c>
      <c r="G8656" s="200" t="s">
        <v>522</v>
      </c>
      <c r="H8656" s="200" t="s">
        <v>488</v>
      </c>
    </row>
    <row r="8657" spans="1:8" ht="15" customHeight="1">
      <c r="A8657" s="199">
        <v>45804</v>
      </c>
      <c r="B8657" s="202" t="s">
        <v>6698</v>
      </c>
      <c r="C8657" s="200" t="s">
        <v>204</v>
      </c>
      <c r="D8657" s="649">
        <v>-7858232</v>
      </c>
      <c r="E8657" s="662">
        <v>45778</v>
      </c>
      <c r="F8657" s="200" t="s">
        <v>296</v>
      </c>
      <c r="G8657" s="200" t="s">
        <v>522</v>
      </c>
      <c r="H8657" s="200" t="s">
        <v>488</v>
      </c>
    </row>
    <row r="8658" spans="1:8" ht="15" customHeight="1">
      <c r="A8658" s="199">
        <v>45804</v>
      </c>
      <c r="B8658" s="202" t="s">
        <v>6699</v>
      </c>
      <c r="C8658" s="200" t="s">
        <v>372</v>
      </c>
      <c r="D8658" s="204">
        <v>-161360</v>
      </c>
      <c r="E8658" s="662">
        <v>45778</v>
      </c>
      <c r="F8658" s="200" t="s">
        <v>296</v>
      </c>
      <c r="G8658" s="200" t="s">
        <v>522</v>
      </c>
      <c r="H8658" s="200" t="s">
        <v>488</v>
      </c>
    </row>
    <row r="8659" spans="1:8" ht="15" customHeight="1">
      <c r="A8659" s="199">
        <v>45804</v>
      </c>
      <c r="B8659" s="202" t="s">
        <v>6700</v>
      </c>
      <c r="C8659" s="200" t="s">
        <v>372</v>
      </c>
      <c r="D8659" s="204">
        <v>-48408</v>
      </c>
      <c r="E8659" s="662">
        <v>45778</v>
      </c>
      <c r="F8659" s="200" t="s">
        <v>296</v>
      </c>
      <c r="G8659" s="200" t="s">
        <v>522</v>
      </c>
      <c r="H8659" s="200" t="s">
        <v>488</v>
      </c>
    </row>
    <row r="8660" spans="1:8" ht="15" customHeight="1">
      <c r="A8660" s="199">
        <v>45804</v>
      </c>
      <c r="B8660" s="202" t="s">
        <v>6698</v>
      </c>
      <c r="C8660" s="200" t="s">
        <v>204</v>
      </c>
      <c r="D8660" s="649">
        <v>-3847300</v>
      </c>
      <c r="E8660" s="662">
        <v>45778</v>
      </c>
      <c r="F8660" s="200" t="s">
        <v>296</v>
      </c>
      <c r="G8660" s="200" t="s">
        <v>44</v>
      </c>
      <c r="H8660" s="200" t="s">
        <v>488</v>
      </c>
    </row>
    <row r="8661" spans="1:8" ht="15" customHeight="1">
      <c r="A8661" s="199">
        <v>45804</v>
      </c>
      <c r="B8661" s="202" t="s">
        <v>6699</v>
      </c>
      <c r="C8661" s="200" t="s">
        <v>372</v>
      </c>
      <c r="D8661" s="204">
        <v>-79000</v>
      </c>
      <c r="E8661" s="662">
        <v>45778</v>
      </c>
      <c r="F8661" s="200" t="s">
        <v>296</v>
      </c>
      <c r="G8661" s="200" t="s">
        <v>44</v>
      </c>
      <c r="H8661" s="200" t="s">
        <v>488</v>
      </c>
    </row>
    <row r="8662" spans="1:8" ht="15" customHeight="1">
      <c r="A8662" s="199">
        <v>45804</v>
      </c>
      <c r="B8662" s="202" t="s">
        <v>6700</v>
      </c>
      <c r="C8662" s="200" t="s">
        <v>372</v>
      </c>
      <c r="D8662" s="204">
        <v>-23700</v>
      </c>
      <c r="E8662" s="662">
        <v>45778</v>
      </c>
      <c r="F8662" s="200" t="s">
        <v>296</v>
      </c>
      <c r="G8662" s="200" t="s">
        <v>44</v>
      </c>
      <c r="H8662" s="200" t="s">
        <v>488</v>
      </c>
    </row>
    <row r="8663" spans="1:8" ht="15" customHeight="1">
      <c r="A8663" s="199">
        <v>45804</v>
      </c>
      <c r="B8663" s="202" t="s">
        <v>6701</v>
      </c>
      <c r="C8663" s="200" t="s">
        <v>204</v>
      </c>
      <c r="D8663" s="649">
        <v>-3564000</v>
      </c>
      <c r="E8663" s="662">
        <v>45778</v>
      </c>
      <c r="F8663" s="200" t="s">
        <v>296</v>
      </c>
      <c r="G8663" s="200" t="s">
        <v>1362</v>
      </c>
      <c r="H8663" s="200" t="s">
        <v>342</v>
      </c>
    </row>
    <row r="8664" spans="1:8" ht="15" customHeight="1">
      <c r="A8664" s="199">
        <v>45804</v>
      </c>
      <c r="B8664" s="202" t="s">
        <v>6702</v>
      </c>
      <c r="C8664" s="200" t="s">
        <v>204</v>
      </c>
      <c r="D8664" s="649">
        <v>-1727872</v>
      </c>
      <c r="E8664" s="662">
        <v>45778</v>
      </c>
      <c r="F8664" s="200" t="s">
        <v>297</v>
      </c>
      <c r="G8664" s="200" t="s">
        <v>3892</v>
      </c>
      <c r="H8664" s="200" t="s">
        <v>5376</v>
      </c>
    </row>
    <row r="8665" spans="1:8" ht="15" customHeight="1">
      <c r="A8665" s="199">
        <v>45804</v>
      </c>
      <c r="B8665" s="202" t="s">
        <v>6703</v>
      </c>
      <c r="C8665" s="200" t="s">
        <v>204</v>
      </c>
      <c r="D8665" s="649">
        <v>-178775</v>
      </c>
      <c r="E8665" s="662">
        <v>45778</v>
      </c>
      <c r="F8665" s="200" t="s">
        <v>297</v>
      </c>
      <c r="G8665" s="200" t="s">
        <v>71</v>
      </c>
      <c r="H8665" s="200" t="s">
        <v>5376</v>
      </c>
    </row>
    <row r="8666" spans="1:8" ht="15" customHeight="1">
      <c r="A8666" s="199">
        <v>45804</v>
      </c>
      <c r="B8666" s="202" t="s">
        <v>6704</v>
      </c>
      <c r="C8666" s="200" t="s">
        <v>204</v>
      </c>
      <c r="D8666" s="649">
        <v>-567420</v>
      </c>
      <c r="E8666" s="662">
        <v>45778</v>
      </c>
      <c r="F8666" s="200" t="s">
        <v>256</v>
      </c>
      <c r="G8666" s="200" t="s">
        <v>256</v>
      </c>
      <c r="H8666" s="200" t="s">
        <v>269</v>
      </c>
    </row>
    <row r="8667" spans="1:8" ht="15" customHeight="1">
      <c r="A8667" s="199">
        <v>45804</v>
      </c>
      <c r="B8667" s="202" t="s">
        <v>6705</v>
      </c>
      <c r="C8667" s="200" t="s">
        <v>372</v>
      </c>
      <c r="D8667" s="204">
        <v>-20580</v>
      </c>
      <c r="E8667" s="662">
        <v>45778</v>
      </c>
      <c r="F8667" s="200" t="s">
        <v>256</v>
      </c>
      <c r="G8667" s="200" t="s">
        <v>256</v>
      </c>
      <c r="H8667" s="200" t="s">
        <v>269</v>
      </c>
    </row>
    <row r="8668" spans="1:8" ht="15" customHeight="1">
      <c r="A8668" s="199">
        <v>45804</v>
      </c>
      <c r="B8668" s="202" t="s">
        <v>6706</v>
      </c>
      <c r="C8668" s="200" t="s">
        <v>204</v>
      </c>
      <c r="D8668" s="649">
        <v>-43550</v>
      </c>
      <c r="E8668" s="662">
        <v>45778</v>
      </c>
      <c r="F8668" s="200" t="s">
        <v>297</v>
      </c>
      <c r="G8668" s="200" t="s">
        <v>71</v>
      </c>
      <c r="H8668" s="200" t="s">
        <v>5384</v>
      </c>
    </row>
    <row r="8669" spans="1:8" ht="15" customHeight="1">
      <c r="A8669" s="199">
        <v>45804</v>
      </c>
      <c r="B8669" s="202" t="s">
        <v>6707</v>
      </c>
      <c r="C8669" s="200" t="s">
        <v>204</v>
      </c>
      <c r="D8669" s="649">
        <v>-45000</v>
      </c>
      <c r="E8669" s="662">
        <v>45778</v>
      </c>
      <c r="F8669" s="200" t="s">
        <v>297</v>
      </c>
      <c r="G8669" s="200" t="s">
        <v>71</v>
      </c>
      <c r="H8669" s="200" t="s">
        <v>5384</v>
      </c>
    </row>
    <row r="8670" spans="1:8" ht="15" customHeight="1">
      <c r="A8670" s="199">
        <v>45804</v>
      </c>
      <c r="B8670" s="202" t="s">
        <v>6708</v>
      </c>
      <c r="C8670" s="200" t="s">
        <v>204</v>
      </c>
      <c r="D8670" s="649">
        <v>-437000</v>
      </c>
      <c r="E8670" s="662">
        <v>45778</v>
      </c>
      <c r="F8670" s="200" t="s">
        <v>297</v>
      </c>
      <c r="G8670" s="200" t="s">
        <v>71</v>
      </c>
      <c r="H8670" s="200" t="s">
        <v>5384</v>
      </c>
    </row>
    <row r="8671" spans="1:8" ht="15" customHeight="1">
      <c r="A8671" s="199">
        <v>45804</v>
      </c>
      <c r="B8671" s="202" t="s">
        <v>6709</v>
      </c>
      <c r="C8671" s="200" t="s">
        <v>204</v>
      </c>
      <c r="D8671" s="649">
        <v>-414000</v>
      </c>
      <c r="E8671" s="662">
        <v>45778</v>
      </c>
      <c r="F8671" s="200" t="s">
        <v>297</v>
      </c>
      <c r="G8671" s="200" t="s">
        <v>71</v>
      </c>
      <c r="H8671" s="200" t="s">
        <v>5384</v>
      </c>
    </row>
    <row r="8672" spans="1:8" ht="15" customHeight="1">
      <c r="A8672" s="199">
        <v>45805</v>
      </c>
      <c r="B8672" s="202" t="s">
        <v>6710</v>
      </c>
      <c r="C8672" s="200" t="s">
        <v>204</v>
      </c>
      <c r="D8672" s="649">
        <v>-428890</v>
      </c>
      <c r="E8672" s="662">
        <v>45778</v>
      </c>
      <c r="F8672" s="200" t="s">
        <v>296</v>
      </c>
      <c r="G8672" s="200" t="s">
        <v>57</v>
      </c>
      <c r="H8672" s="200" t="s">
        <v>97</v>
      </c>
    </row>
    <row r="8673" spans="1:8" ht="15" customHeight="1">
      <c r="A8673" s="199">
        <v>45803</v>
      </c>
      <c r="B8673" s="202" t="s">
        <v>6711</v>
      </c>
      <c r="C8673" s="200" t="s">
        <v>314</v>
      </c>
      <c r="D8673" s="204">
        <v>-21900</v>
      </c>
      <c r="E8673" s="662">
        <v>45778</v>
      </c>
      <c r="F8673" s="200" t="s">
        <v>296</v>
      </c>
      <c r="G8673" s="200" t="s">
        <v>57</v>
      </c>
      <c r="H8673" s="200" t="s">
        <v>98</v>
      </c>
    </row>
    <row r="8674" spans="1:8" ht="15" customHeight="1">
      <c r="A8674" s="199">
        <v>45803</v>
      </c>
      <c r="B8674" s="202" t="s">
        <v>6712</v>
      </c>
      <c r="C8674" s="200" t="s">
        <v>314</v>
      </c>
      <c r="D8674" s="204">
        <v>-21900</v>
      </c>
      <c r="E8674" s="662">
        <v>45778</v>
      </c>
      <c r="F8674" s="200" t="s">
        <v>296</v>
      </c>
      <c r="G8674" s="200" t="s">
        <v>57</v>
      </c>
      <c r="H8674" s="200" t="s">
        <v>98</v>
      </c>
    </row>
    <row r="8675" spans="1:8" ht="15" customHeight="1">
      <c r="A8675" s="199">
        <v>45805</v>
      </c>
      <c r="B8675" s="202" t="s">
        <v>6713</v>
      </c>
      <c r="C8675" s="200" t="s">
        <v>314</v>
      </c>
      <c r="D8675" s="204">
        <v>-240000</v>
      </c>
      <c r="E8675" s="662">
        <v>45778</v>
      </c>
      <c r="F8675" s="200" t="s">
        <v>256</v>
      </c>
      <c r="G8675" s="200" t="s">
        <v>256</v>
      </c>
      <c r="H8675" s="200" t="s">
        <v>9</v>
      </c>
    </row>
    <row r="8676" spans="1:8" ht="15" customHeight="1">
      <c r="A8676" s="199">
        <v>45805</v>
      </c>
      <c r="B8676" s="202" t="s">
        <v>6714</v>
      </c>
      <c r="C8676" s="200" t="s">
        <v>314</v>
      </c>
      <c r="D8676" s="204">
        <v>-1560000</v>
      </c>
      <c r="E8676" s="662">
        <v>45778</v>
      </c>
      <c r="F8676" s="200" t="s">
        <v>256</v>
      </c>
      <c r="G8676" s="200" t="s">
        <v>256</v>
      </c>
      <c r="H8676" s="200" t="s">
        <v>9</v>
      </c>
    </row>
    <row r="8677" spans="1:8" ht="15" customHeight="1">
      <c r="A8677" s="199">
        <v>45805</v>
      </c>
      <c r="B8677" s="202" t="s">
        <v>6715</v>
      </c>
      <c r="C8677" s="200" t="s">
        <v>314</v>
      </c>
      <c r="D8677" s="204">
        <v>-672206</v>
      </c>
      <c r="E8677" s="662">
        <v>45778</v>
      </c>
      <c r="F8677" s="200" t="s">
        <v>297</v>
      </c>
      <c r="G8677" s="200" t="s">
        <v>3892</v>
      </c>
      <c r="H8677" s="200" t="s">
        <v>5384</v>
      </c>
    </row>
    <row r="8678" spans="1:8" ht="15" customHeight="1">
      <c r="A8678" s="199">
        <v>45805</v>
      </c>
      <c r="B8678" s="202" t="s">
        <v>6716</v>
      </c>
      <c r="C8678" s="200" t="s">
        <v>314</v>
      </c>
      <c r="D8678" s="204">
        <v>-1200000</v>
      </c>
      <c r="E8678" s="662">
        <v>45778</v>
      </c>
      <c r="F8678" s="200" t="s">
        <v>256</v>
      </c>
      <c r="G8678" s="200" t="s">
        <v>256</v>
      </c>
      <c r="H8678" s="200" t="s">
        <v>9</v>
      </c>
    </row>
    <row r="8679" spans="1:8" ht="15" customHeight="1">
      <c r="A8679" s="199">
        <v>45805</v>
      </c>
      <c r="B8679" s="202" t="s">
        <v>1925</v>
      </c>
      <c r="C8679" s="200" t="s">
        <v>314</v>
      </c>
      <c r="D8679" s="204">
        <v>-234000</v>
      </c>
      <c r="E8679" s="662">
        <v>45778</v>
      </c>
      <c r="F8679" s="200" t="s">
        <v>297</v>
      </c>
      <c r="G8679" s="200" t="s">
        <v>71</v>
      </c>
      <c r="H8679" s="200" t="s">
        <v>268</v>
      </c>
    </row>
    <row r="8680" spans="1:8" ht="15" customHeight="1">
      <c r="A8680" s="199">
        <v>45805</v>
      </c>
      <c r="B8680" s="202" t="s">
        <v>1925</v>
      </c>
      <c r="C8680" s="200" t="s">
        <v>314</v>
      </c>
      <c r="D8680" s="204">
        <v>-385904</v>
      </c>
      <c r="E8680" s="662">
        <v>45778</v>
      </c>
      <c r="F8680" s="200" t="s">
        <v>296</v>
      </c>
      <c r="G8680" s="200" t="s">
        <v>522</v>
      </c>
      <c r="H8680" s="200" t="s">
        <v>326</v>
      </c>
    </row>
    <row r="8681" spans="1:8" ht="15" customHeight="1">
      <c r="A8681" s="199">
        <v>45805</v>
      </c>
      <c r="B8681" s="202" t="s">
        <v>1925</v>
      </c>
      <c r="C8681" s="200" t="s">
        <v>314</v>
      </c>
      <c r="D8681" s="204">
        <v>-28000</v>
      </c>
      <c r="E8681" s="662">
        <v>45778</v>
      </c>
      <c r="F8681" s="200" t="s">
        <v>296</v>
      </c>
      <c r="G8681" s="200" t="s">
        <v>44</v>
      </c>
      <c r="H8681" s="200" t="s">
        <v>326</v>
      </c>
    </row>
    <row r="8682" spans="1:8" ht="15" customHeight="1">
      <c r="A8682" s="199">
        <v>45805</v>
      </c>
      <c r="B8682" s="202" t="s">
        <v>1925</v>
      </c>
      <c r="C8682" s="200" t="s">
        <v>314</v>
      </c>
      <c r="D8682" s="204">
        <v>-10000</v>
      </c>
      <c r="E8682" s="662">
        <v>45778</v>
      </c>
      <c r="F8682" s="200" t="s">
        <v>296</v>
      </c>
      <c r="G8682" s="200" t="s">
        <v>1825</v>
      </c>
      <c r="H8682" s="200" t="s">
        <v>326</v>
      </c>
    </row>
    <row r="8683" spans="1:8" ht="15" customHeight="1">
      <c r="A8683" s="199">
        <v>45805</v>
      </c>
      <c r="B8683" s="202" t="s">
        <v>1925</v>
      </c>
      <c r="C8683" s="200" t="s">
        <v>314</v>
      </c>
      <c r="D8683" s="204">
        <v>-28000</v>
      </c>
      <c r="E8683" s="662">
        <v>45778</v>
      </c>
      <c r="F8683" s="200" t="s">
        <v>296</v>
      </c>
      <c r="G8683" s="200" t="s">
        <v>1980</v>
      </c>
      <c r="H8683" s="200" t="s">
        <v>326</v>
      </c>
    </row>
    <row r="8684" spans="1:8" ht="15" customHeight="1">
      <c r="A8684" s="199">
        <v>45805</v>
      </c>
      <c r="B8684" s="202" t="s">
        <v>1925</v>
      </c>
      <c r="C8684" s="200" t="s">
        <v>314</v>
      </c>
      <c r="D8684" s="204">
        <v>-38000</v>
      </c>
      <c r="E8684" s="662">
        <v>45778</v>
      </c>
      <c r="F8684" s="200" t="s">
        <v>256</v>
      </c>
      <c r="G8684" s="200" t="s">
        <v>256</v>
      </c>
      <c r="H8684" s="200" t="s">
        <v>268</v>
      </c>
    </row>
    <row r="8685" spans="1:8" ht="15" customHeight="1">
      <c r="A8685" s="199">
        <v>45805</v>
      </c>
      <c r="B8685" s="202" t="s">
        <v>1925</v>
      </c>
      <c r="C8685" s="200" t="s">
        <v>314</v>
      </c>
      <c r="D8685" s="204">
        <v>-20000</v>
      </c>
      <c r="E8685" s="662">
        <v>45778</v>
      </c>
      <c r="F8685" s="200" t="s">
        <v>296</v>
      </c>
      <c r="G8685" s="200" t="s">
        <v>807</v>
      </c>
      <c r="H8685" s="200" t="s">
        <v>326</v>
      </c>
    </row>
    <row r="8686" spans="1:8" ht="15" customHeight="1">
      <c r="A8686" s="199">
        <v>45805</v>
      </c>
      <c r="B8686" s="202" t="s">
        <v>1926</v>
      </c>
      <c r="C8686" s="200" t="s">
        <v>372</v>
      </c>
      <c r="D8686" s="204">
        <v>-7560</v>
      </c>
      <c r="E8686" s="662">
        <v>45778</v>
      </c>
      <c r="F8686" s="200" t="s">
        <v>296</v>
      </c>
      <c r="G8686" s="200" t="s">
        <v>522</v>
      </c>
      <c r="H8686" s="200" t="s">
        <v>326</v>
      </c>
    </row>
    <row r="8687" spans="1:8" ht="15" customHeight="1">
      <c r="A8687" s="199">
        <v>45805</v>
      </c>
      <c r="B8687" s="202" t="s">
        <v>1927</v>
      </c>
      <c r="C8687" s="200" t="s">
        <v>372</v>
      </c>
      <c r="D8687" s="204">
        <v>-4536</v>
      </c>
      <c r="E8687" s="662">
        <v>45778</v>
      </c>
      <c r="F8687" s="200" t="s">
        <v>296</v>
      </c>
      <c r="G8687" s="200" t="s">
        <v>522</v>
      </c>
      <c r="H8687" s="200" t="s">
        <v>326</v>
      </c>
    </row>
    <row r="8688" spans="1:8" ht="15" customHeight="1">
      <c r="A8688" s="199">
        <v>45800</v>
      </c>
      <c r="B8688" s="202" t="s">
        <v>6717</v>
      </c>
      <c r="C8688" s="200" t="s">
        <v>136</v>
      </c>
      <c r="D8688" s="658">
        <v>-479496</v>
      </c>
      <c r="E8688" s="662">
        <v>45778</v>
      </c>
      <c r="F8688" s="200" t="s">
        <v>256</v>
      </c>
      <c r="G8688" s="200" t="s">
        <v>256</v>
      </c>
      <c r="H8688" s="200" t="s">
        <v>266</v>
      </c>
    </row>
    <row r="8689" spans="1:8" ht="15" customHeight="1">
      <c r="A8689" s="199">
        <v>45803</v>
      </c>
      <c r="B8689" s="202" t="s">
        <v>6718</v>
      </c>
      <c r="C8689" s="200" t="s">
        <v>136</v>
      </c>
      <c r="D8689" s="658">
        <v>-375000</v>
      </c>
      <c r="E8689" s="662">
        <v>45778</v>
      </c>
      <c r="F8689" s="200" t="s">
        <v>296</v>
      </c>
      <c r="G8689" s="200" t="s">
        <v>5466</v>
      </c>
      <c r="H8689" s="200" t="s">
        <v>342</v>
      </c>
    </row>
    <row r="8690" spans="1:8" ht="15" customHeight="1">
      <c r="A8690" s="199">
        <v>45803</v>
      </c>
      <c r="B8690" s="202" t="s">
        <v>6719</v>
      </c>
      <c r="C8690" s="200" t="s">
        <v>136</v>
      </c>
      <c r="D8690" s="658">
        <v>-560600</v>
      </c>
      <c r="E8690" s="662">
        <v>45778</v>
      </c>
      <c r="F8690" s="200" t="s">
        <v>296</v>
      </c>
      <c r="G8690" s="200" t="s">
        <v>522</v>
      </c>
      <c r="H8690" s="200" t="s">
        <v>322</v>
      </c>
    </row>
    <row r="8691" spans="1:8" ht="15" customHeight="1">
      <c r="A8691" s="199">
        <v>45803</v>
      </c>
      <c r="B8691" s="202" t="s">
        <v>6720</v>
      </c>
      <c r="C8691" s="200" t="s">
        <v>136</v>
      </c>
      <c r="D8691" s="658">
        <v>-889908</v>
      </c>
      <c r="E8691" s="662">
        <v>45778</v>
      </c>
      <c r="F8691" s="200" t="s">
        <v>297</v>
      </c>
      <c r="G8691" s="200" t="s">
        <v>5404</v>
      </c>
      <c r="H8691" s="200" t="s">
        <v>518</v>
      </c>
    </row>
    <row r="8692" spans="1:8" ht="15" customHeight="1">
      <c r="A8692" s="199">
        <v>45803</v>
      </c>
      <c r="B8692" s="202" t="s">
        <v>6721</v>
      </c>
      <c r="C8692" s="200" t="s">
        <v>136</v>
      </c>
      <c r="D8692" s="658">
        <v>-1589584</v>
      </c>
      <c r="E8692" s="662">
        <v>45778</v>
      </c>
      <c r="F8692" s="200" t="s">
        <v>296</v>
      </c>
      <c r="G8692" s="200" t="s">
        <v>2418</v>
      </c>
      <c r="H8692" s="200" t="s">
        <v>518</v>
      </c>
    </row>
    <row r="8693" spans="1:8" ht="15" customHeight="1">
      <c r="A8693" s="199">
        <v>45803</v>
      </c>
      <c r="B8693" s="202" t="s">
        <v>6722</v>
      </c>
      <c r="C8693" s="200" t="s">
        <v>136</v>
      </c>
      <c r="D8693" s="658">
        <v>-84000</v>
      </c>
      <c r="E8693" s="662">
        <v>45778</v>
      </c>
      <c r="F8693" s="200" t="s">
        <v>296</v>
      </c>
      <c r="G8693" s="200" t="s">
        <v>522</v>
      </c>
      <c r="H8693" s="200" t="s">
        <v>366</v>
      </c>
    </row>
    <row r="8694" spans="1:8" ht="15" customHeight="1">
      <c r="A8694" s="199">
        <v>45803</v>
      </c>
      <c r="B8694" s="202" t="s">
        <v>6723</v>
      </c>
      <c r="C8694" s="200" t="s">
        <v>136</v>
      </c>
      <c r="D8694" s="658">
        <v>-1655557</v>
      </c>
      <c r="E8694" s="662">
        <v>45778</v>
      </c>
      <c r="F8694" s="200" t="s">
        <v>296</v>
      </c>
      <c r="G8694" s="200" t="s">
        <v>522</v>
      </c>
      <c r="H8694" s="200" t="s">
        <v>366</v>
      </c>
    </row>
    <row r="8695" spans="1:8" ht="15" customHeight="1">
      <c r="A8695" s="199">
        <v>45803</v>
      </c>
      <c r="B8695" s="202" t="s">
        <v>6724</v>
      </c>
      <c r="C8695" s="200" t="s">
        <v>372</v>
      </c>
      <c r="D8695" s="204">
        <v>-35680</v>
      </c>
      <c r="E8695" s="662">
        <v>45778</v>
      </c>
      <c r="F8695" s="200" t="s">
        <v>296</v>
      </c>
      <c r="G8695" s="200" t="s">
        <v>522</v>
      </c>
      <c r="H8695" s="200" t="s">
        <v>366</v>
      </c>
    </row>
    <row r="8696" spans="1:8" ht="15" customHeight="1">
      <c r="A8696" s="199">
        <v>45803</v>
      </c>
      <c r="B8696" s="202" t="s">
        <v>6725</v>
      </c>
      <c r="C8696" s="200" t="s">
        <v>372</v>
      </c>
      <c r="D8696" s="204">
        <v>-7136</v>
      </c>
      <c r="E8696" s="662">
        <v>45778</v>
      </c>
      <c r="F8696" s="200" t="s">
        <v>296</v>
      </c>
      <c r="G8696" s="200" t="s">
        <v>522</v>
      </c>
      <c r="H8696" s="200" t="s">
        <v>366</v>
      </c>
    </row>
    <row r="8697" spans="1:8" ht="15" customHeight="1">
      <c r="A8697" s="199">
        <v>45803</v>
      </c>
      <c r="B8697" s="202" t="s">
        <v>6726</v>
      </c>
      <c r="C8697" s="200" t="s">
        <v>136</v>
      </c>
      <c r="D8697" s="658">
        <v>-1958000</v>
      </c>
      <c r="E8697" s="662">
        <v>45778</v>
      </c>
      <c r="F8697" s="200" t="s">
        <v>296</v>
      </c>
      <c r="G8697" s="200" t="s">
        <v>522</v>
      </c>
      <c r="H8697" s="200" t="s">
        <v>1066</v>
      </c>
    </row>
    <row r="8698" spans="1:8" ht="15" customHeight="1">
      <c r="A8698" s="199">
        <v>45803</v>
      </c>
      <c r="B8698" s="202" t="s">
        <v>6727</v>
      </c>
      <c r="C8698" s="200" t="s">
        <v>372</v>
      </c>
      <c r="D8698" s="204">
        <v>-242000</v>
      </c>
      <c r="E8698" s="662">
        <v>45778</v>
      </c>
      <c r="F8698" s="200" t="s">
        <v>296</v>
      </c>
      <c r="G8698" s="200" t="s">
        <v>522</v>
      </c>
      <c r="H8698" s="200" t="s">
        <v>1066</v>
      </c>
    </row>
    <row r="8699" spans="1:8" ht="15" customHeight="1">
      <c r="A8699" s="199">
        <v>45803</v>
      </c>
      <c r="B8699" s="202" t="s">
        <v>6728</v>
      </c>
      <c r="C8699" s="200" t="s">
        <v>136</v>
      </c>
      <c r="D8699" s="658">
        <v>-240000</v>
      </c>
      <c r="E8699" s="662">
        <v>45778</v>
      </c>
      <c r="F8699" s="200" t="s">
        <v>296</v>
      </c>
      <c r="G8699" s="200" t="s">
        <v>44</v>
      </c>
      <c r="H8699" s="200" t="s">
        <v>366</v>
      </c>
    </row>
    <row r="8700" spans="1:8" ht="15" customHeight="1">
      <c r="A8700" s="199">
        <v>45803</v>
      </c>
      <c r="B8700" s="202" t="s">
        <v>6729</v>
      </c>
      <c r="C8700" s="200" t="s">
        <v>136</v>
      </c>
      <c r="D8700" s="658">
        <v>-367000</v>
      </c>
      <c r="E8700" s="662">
        <v>45778</v>
      </c>
      <c r="F8700" s="200" t="s">
        <v>296</v>
      </c>
      <c r="G8700" s="200" t="s">
        <v>1980</v>
      </c>
      <c r="H8700" s="200" t="s">
        <v>322</v>
      </c>
    </row>
    <row r="8701" spans="1:8" ht="15" customHeight="1">
      <c r="A8701" s="199">
        <v>45803</v>
      </c>
      <c r="B8701" s="202" t="s">
        <v>6730</v>
      </c>
      <c r="C8701" s="200" t="s">
        <v>136</v>
      </c>
      <c r="D8701" s="658">
        <v>-34603</v>
      </c>
      <c r="E8701" s="662">
        <v>45778</v>
      </c>
      <c r="F8701" s="200" t="s">
        <v>296</v>
      </c>
      <c r="G8701" s="200" t="s">
        <v>2994</v>
      </c>
      <c r="H8701" s="200" t="s">
        <v>5376</v>
      </c>
    </row>
    <row r="8702" spans="1:8" ht="15" customHeight="1">
      <c r="A8702" s="199">
        <v>45803</v>
      </c>
      <c r="B8702" s="202" t="s">
        <v>6731</v>
      </c>
      <c r="C8702" s="200" t="s">
        <v>136</v>
      </c>
      <c r="D8702" s="658">
        <v>-25528110</v>
      </c>
      <c r="E8702" s="662">
        <v>45778</v>
      </c>
      <c r="F8702" s="200" t="s">
        <v>296</v>
      </c>
      <c r="G8702" s="200" t="s">
        <v>807</v>
      </c>
      <c r="H8702" s="200" t="s">
        <v>1104</v>
      </c>
    </row>
    <row r="8703" spans="1:8" ht="15" customHeight="1">
      <c r="A8703" s="199">
        <v>45803</v>
      </c>
      <c r="B8703" s="202" t="s">
        <v>6732</v>
      </c>
      <c r="C8703" s="200" t="s">
        <v>136</v>
      </c>
      <c r="D8703" s="658">
        <v>-40537</v>
      </c>
      <c r="E8703" s="662">
        <v>45778</v>
      </c>
      <c r="F8703" s="200" t="s">
        <v>296</v>
      </c>
      <c r="G8703" s="200" t="s">
        <v>522</v>
      </c>
      <c r="H8703" s="200" t="s">
        <v>366</v>
      </c>
    </row>
    <row r="8704" spans="1:8" ht="15" customHeight="1">
      <c r="A8704" s="199">
        <v>45804</v>
      </c>
      <c r="B8704" s="202" t="s">
        <v>6733</v>
      </c>
      <c r="C8704" s="200" t="s">
        <v>136</v>
      </c>
      <c r="D8704" s="658">
        <v>-1931673</v>
      </c>
      <c r="E8704" s="662">
        <v>45778</v>
      </c>
      <c r="F8704" s="200" t="s">
        <v>297</v>
      </c>
      <c r="G8704" s="200" t="s">
        <v>71</v>
      </c>
      <c r="H8704" s="200" t="s">
        <v>342</v>
      </c>
    </row>
    <row r="8705" spans="1:8" ht="15" customHeight="1">
      <c r="A8705" s="199">
        <v>45805</v>
      </c>
      <c r="B8705" s="202" t="s">
        <v>6734</v>
      </c>
      <c r="C8705" s="200" t="s">
        <v>136</v>
      </c>
      <c r="D8705" s="658">
        <v>-792890</v>
      </c>
      <c r="E8705" s="662">
        <v>45778</v>
      </c>
      <c r="F8705" s="200" t="s">
        <v>256</v>
      </c>
      <c r="G8705" s="200" t="s">
        <v>256</v>
      </c>
      <c r="H8705" s="200" t="s">
        <v>263</v>
      </c>
    </row>
    <row r="8706" spans="1:8" ht="15" customHeight="1">
      <c r="A8706" s="199">
        <v>45805</v>
      </c>
      <c r="B8706" s="202" t="s">
        <v>6735</v>
      </c>
      <c r="C8706" s="200" t="s">
        <v>136</v>
      </c>
      <c r="D8706" s="658">
        <v>-3592933</v>
      </c>
      <c r="E8706" s="662">
        <v>45778</v>
      </c>
      <c r="F8706" s="200" t="s">
        <v>256</v>
      </c>
      <c r="G8706" s="200" t="s">
        <v>256</v>
      </c>
      <c r="H8706" s="200" t="s">
        <v>263</v>
      </c>
    </row>
    <row r="8707" spans="1:8" ht="15" customHeight="1">
      <c r="A8707" s="199">
        <v>45806</v>
      </c>
      <c r="B8707" s="202" t="s">
        <v>6736</v>
      </c>
      <c r="C8707" s="200" t="s">
        <v>204</v>
      </c>
      <c r="D8707" s="649">
        <v>-4839200</v>
      </c>
      <c r="E8707" s="662">
        <v>45778</v>
      </c>
      <c r="F8707" s="200" t="s">
        <v>256</v>
      </c>
      <c r="G8707" s="200" t="s">
        <v>256</v>
      </c>
      <c r="H8707" s="200" t="s">
        <v>121</v>
      </c>
    </row>
    <row r="8708" spans="1:8" ht="15" customHeight="1">
      <c r="A8708" s="199">
        <v>45806</v>
      </c>
      <c r="B8708" s="202" t="s">
        <v>6737</v>
      </c>
      <c r="C8708" s="200" t="s">
        <v>204</v>
      </c>
      <c r="D8708" s="649">
        <v>-12862000</v>
      </c>
      <c r="E8708" s="662">
        <v>45778</v>
      </c>
      <c r="F8708" s="200" t="s">
        <v>256</v>
      </c>
      <c r="G8708" s="200" t="s">
        <v>256</v>
      </c>
      <c r="H8708" s="200" t="s">
        <v>121</v>
      </c>
    </row>
    <row r="8709" spans="1:8" ht="15" customHeight="1">
      <c r="A8709" s="199">
        <v>45806</v>
      </c>
      <c r="B8709" s="202" t="s">
        <v>6738</v>
      </c>
      <c r="C8709" s="200" t="s">
        <v>204</v>
      </c>
      <c r="D8709" s="649">
        <v>-12862000.000000002</v>
      </c>
      <c r="E8709" s="662">
        <v>45778</v>
      </c>
      <c r="F8709" s="200" t="s">
        <v>256</v>
      </c>
      <c r="G8709" s="200" t="s">
        <v>256</v>
      </c>
      <c r="H8709" s="200" t="s">
        <v>121</v>
      </c>
    </row>
    <row r="8710" spans="1:8" ht="15" customHeight="1">
      <c r="A8710" s="199">
        <v>45806</v>
      </c>
      <c r="B8710" s="202" t="s">
        <v>6739</v>
      </c>
      <c r="C8710" s="200" t="s">
        <v>204</v>
      </c>
      <c r="D8710" s="649">
        <v>-882000</v>
      </c>
      <c r="E8710" s="662">
        <v>45778</v>
      </c>
      <c r="F8710" s="200" t="s">
        <v>256</v>
      </c>
      <c r="G8710" s="200" t="s">
        <v>256</v>
      </c>
      <c r="H8710" s="200" t="s">
        <v>121</v>
      </c>
    </row>
    <row r="8711" spans="1:8" ht="15" customHeight="1">
      <c r="A8711" s="199">
        <v>45806</v>
      </c>
      <c r="B8711" s="202" t="s">
        <v>6740</v>
      </c>
      <c r="C8711" s="200" t="s">
        <v>204</v>
      </c>
      <c r="D8711" s="649">
        <v>-2300000</v>
      </c>
      <c r="E8711" s="662">
        <v>45778</v>
      </c>
      <c r="F8711" s="200" t="s">
        <v>256</v>
      </c>
      <c r="G8711" s="200" t="s">
        <v>256</v>
      </c>
      <c r="H8711" s="200" t="s">
        <v>121</v>
      </c>
    </row>
    <row r="8712" spans="1:8" ht="15" customHeight="1">
      <c r="A8712" s="199">
        <v>45806</v>
      </c>
      <c r="B8712" s="202" t="s">
        <v>6741</v>
      </c>
      <c r="C8712" s="200" t="s">
        <v>204</v>
      </c>
      <c r="D8712" s="649">
        <v>-904080</v>
      </c>
      <c r="E8712" s="662">
        <v>45778</v>
      </c>
      <c r="F8712" s="200" t="s">
        <v>256</v>
      </c>
      <c r="G8712" s="200" t="s">
        <v>256</v>
      </c>
      <c r="H8712" s="200" t="s">
        <v>121</v>
      </c>
    </row>
    <row r="8713" spans="1:8" ht="15" customHeight="1">
      <c r="A8713" s="199">
        <v>45806</v>
      </c>
      <c r="B8713" s="202" t="s">
        <v>6742</v>
      </c>
      <c r="C8713" s="200" t="s">
        <v>204</v>
      </c>
      <c r="D8713" s="649">
        <v>-688143.33333333337</v>
      </c>
      <c r="E8713" s="662">
        <v>45778</v>
      </c>
      <c r="F8713" s="200" t="s">
        <v>256</v>
      </c>
      <c r="G8713" s="200" t="s">
        <v>256</v>
      </c>
      <c r="H8713" s="200" t="s">
        <v>121</v>
      </c>
    </row>
    <row r="8714" spans="1:8" ht="15" customHeight="1">
      <c r="A8714" s="199">
        <v>45806</v>
      </c>
      <c r="B8714" s="202" t="s">
        <v>6743</v>
      </c>
      <c r="C8714" s="200" t="s">
        <v>204</v>
      </c>
      <c r="D8714" s="649">
        <v>-3220000</v>
      </c>
      <c r="E8714" s="662">
        <v>45778</v>
      </c>
      <c r="F8714" s="200" t="s">
        <v>256</v>
      </c>
      <c r="G8714" s="200" t="s">
        <v>256</v>
      </c>
      <c r="H8714" s="200" t="s">
        <v>121</v>
      </c>
    </row>
    <row r="8715" spans="1:8" ht="15" customHeight="1">
      <c r="A8715" s="199">
        <v>45806</v>
      </c>
      <c r="B8715" s="202" t="s">
        <v>6744</v>
      </c>
      <c r="C8715" s="200" t="s">
        <v>204</v>
      </c>
      <c r="D8715" s="649">
        <v>-777500</v>
      </c>
      <c r="E8715" s="662">
        <v>45778</v>
      </c>
      <c r="F8715" s="200" t="s">
        <v>256</v>
      </c>
      <c r="G8715" s="200" t="s">
        <v>256</v>
      </c>
      <c r="H8715" s="200" t="s">
        <v>121</v>
      </c>
    </row>
    <row r="8716" spans="1:8" ht="15" customHeight="1">
      <c r="A8716" s="199">
        <v>45806</v>
      </c>
      <c r="B8716" s="202" t="s">
        <v>6745</v>
      </c>
      <c r="C8716" s="200" t="s">
        <v>204</v>
      </c>
      <c r="D8716" s="649">
        <v>-1856000</v>
      </c>
      <c r="E8716" s="662">
        <v>45778</v>
      </c>
      <c r="F8716" s="200" t="s">
        <v>256</v>
      </c>
      <c r="G8716" s="200" t="s">
        <v>256</v>
      </c>
      <c r="H8716" s="200" t="s">
        <v>121</v>
      </c>
    </row>
    <row r="8717" spans="1:8" ht="15" customHeight="1">
      <c r="A8717" s="199">
        <v>45806</v>
      </c>
      <c r="B8717" s="202" t="s">
        <v>6746</v>
      </c>
      <c r="C8717" s="200" t="s">
        <v>204</v>
      </c>
      <c r="D8717" s="649">
        <v>-1182000</v>
      </c>
      <c r="E8717" s="662">
        <v>45778</v>
      </c>
      <c r="F8717" s="200" t="s">
        <v>256</v>
      </c>
      <c r="G8717" s="200" t="s">
        <v>256</v>
      </c>
      <c r="H8717" s="200" t="s">
        <v>121</v>
      </c>
    </row>
    <row r="8718" spans="1:8" ht="15" customHeight="1">
      <c r="A8718" s="199">
        <v>45806</v>
      </c>
      <c r="B8718" s="202" t="s">
        <v>6747</v>
      </c>
      <c r="C8718" s="200" t="s">
        <v>204</v>
      </c>
      <c r="D8718" s="649">
        <v>-754810</v>
      </c>
      <c r="E8718" s="662">
        <v>45778</v>
      </c>
      <c r="F8718" s="200" t="s">
        <v>256</v>
      </c>
      <c r="G8718" s="200" t="s">
        <v>256</v>
      </c>
      <c r="H8718" s="200" t="s">
        <v>121</v>
      </c>
    </row>
    <row r="8719" spans="1:8" ht="15" customHeight="1">
      <c r="A8719" s="199">
        <v>45806</v>
      </c>
      <c r="B8719" s="202" t="s">
        <v>6748</v>
      </c>
      <c r="C8719" s="200" t="s">
        <v>204</v>
      </c>
      <c r="D8719" s="649">
        <v>-721476.66666666663</v>
      </c>
      <c r="E8719" s="662">
        <v>45778</v>
      </c>
      <c r="F8719" s="200" t="s">
        <v>256</v>
      </c>
      <c r="G8719" s="200" t="s">
        <v>256</v>
      </c>
      <c r="H8719" s="200" t="s">
        <v>121</v>
      </c>
    </row>
    <row r="8720" spans="1:8" ht="15" customHeight="1">
      <c r="A8720" s="199">
        <v>45806</v>
      </c>
      <c r="B8720" s="202" t="s">
        <v>6749</v>
      </c>
      <c r="C8720" s="200" t="s">
        <v>204</v>
      </c>
      <c r="D8720" s="649">
        <v>-2760000</v>
      </c>
      <c r="E8720" s="662">
        <v>45778</v>
      </c>
      <c r="F8720" s="200" t="s">
        <v>256</v>
      </c>
      <c r="G8720" s="200" t="s">
        <v>256</v>
      </c>
      <c r="H8720" s="200" t="s">
        <v>121</v>
      </c>
    </row>
    <row r="8721" spans="1:8" ht="15" customHeight="1">
      <c r="A8721" s="199">
        <v>45806</v>
      </c>
      <c r="B8721" s="202" t="s">
        <v>6750</v>
      </c>
      <c r="C8721" s="200" t="s">
        <v>204</v>
      </c>
      <c r="D8721" s="649">
        <v>-754810</v>
      </c>
      <c r="E8721" s="662">
        <v>45778</v>
      </c>
      <c r="F8721" s="200" t="s">
        <v>256</v>
      </c>
      <c r="G8721" s="200" t="s">
        <v>256</v>
      </c>
      <c r="H8721" s="200" t="s">
        <v>121</v>
      </c>
    </row>
    <row r="8722" spans="1:8" ht="15" customHeight="1">
      <c r="A8722" s="199">
        <v>45806</v>
      </c>
      <c r="B8722" s="202" t="s">
        <v>6751</v>
      </c>
      <c r="C8722" s="200" t="s">
        <v>204</v>
      </c>
      <c r="D8722" s="649">
        <v>-2316000</v>
      </c>
      <c r="E8722" s="662">
        <v>45778</v>
      </c>
      <c r="F8722" s="200" t="s">
        <v>256</v>
      </c>
      <c r="G8722" s="200" t="s">
        <v>256</v>
      </c>
      <c r="H8722" s="200" t="s">
        <v>121</v>
      </c>
    </row>
    <row r="8723" spans="1:8" ht="15" customHeight="1">
      <c r="A8723" s="199">
        <v>45806</v>
      </c>
      <c r="B8723" s="202" t="s">
        <v>6752</v>
      </c>
      <c r="C8723" s="200" t="s">
        <v>204</v>
      </c>
      <c r="D8723" s="649">
        <v>-882000</v>
      </c>
      <c r="E8723" s="662">
        <v>45778</v>
      </c>
      <c r="F8723" s="200" t="s">
        <v>256</v>
      </c>
      <c r="G8723" s="200" t="s">
        <v>256</v>
      </c>
      <c r="H8723" s="200" t="s">
        <v>121</v>
      </c>
    </row>
    <row r="8724" spans="1:8" ht="15" customHeight="1">
      <c r="A8724" s="199">
        <v>45806</v>
      </c>
      <c r="B8724" s="202" t="s">
        <v>6753</v>
      </c>
      <c r="C8724" s="200" t="s">
        <v>204</v>
      </c>
      <c r="D8724" s="649">
        <v>-3220000</v>
      </c>
      <c r="E8724" s="662">
        <v>45778</v>
      </c>
      <c r="F8724" s="200" t="s">
        <v>256</v>
      </c>
      <c r="G8724" s="200" t="s">
        <v>256</v>
      </c>
      <c r="H8724" s="200" t="s">
        <v>121</v>
      </c>
    </row>
    <row r="8725" spans="1:8" ht="15" customHeight="1">
      <c r="A8725" s="199">
        <v>45806</v>
      </c>
      <c r="B8725" s="202" t="s">
        <v>6754</v>
      </c>
      <c r="C8725" s="200" t="s">
        <v>204</v>
      </c>
      <c r="D8725" s="649">
        <v>-754810</v>
      </c>
      <c r="E8725" s="662">
        <v>45778</v>
      </c>
      <c r="F8725" s="200" t="s">
        <v>256</v>
      </c>
      <c r="G8725" s="200" t="s">
        <v>256</v>
      </c>
      <c r="H8725" s="200" t="s">
        <v>121</v>
      </c>
    </row>
    <row r="8726" spans="1:8" ht="15" customHeight="1">
      <c r="A8726" s="199">
        <v>45806</v>
      </c>
      <c r="B8726" s="202" t="s">
        <v>6755</v>
      </c>
      <c r="C8726" s="200" t="s">
        <v>204</v>
      </c>
      <c r="D8726" s="649">
        <v>-649333.33333333326</v>
      </c>
      <c r="E8726" s="662">
        <v>45778</v>
      </c>
      <c r="F8726" s="200" t="s">
        <v>256</v>
      </c>
      <c r="G8726" s="200" t="s">
        <v>256</v>
      </c>
      <c r="H8726" s="200" t="s">
        <v>121</v>
      </c>
    </row>
    <row r="8727" spans="1:8" ht="15" customHeight="1">
      <c r="A8727" s="199">
        <v>45806</v>
      </c>
      <c r="B8727" s="202" t="s">
        <v>6756</v>
      </c>
      <c r="C8727" s="200" t="s">
        <v>204</v>
      </c>
      <c r="D8727" s="649">
        <v>-251603.33333333331</v>
      </c>
      <c r="E8727" s="662">
        <v>45778</v>
      </c>
      <c r="F8727" s="200" t="s">
        <v>256</v>
      </c>
      <c r="G8727" s="200" t="s">
        <v>256</v>
      </c>
      <c r="H8727" s="200" t="s">
        <v>121</v>
      </c>
    </row>
    <row r="8728" spans="1:8" ht="15" customHeight="1">
      <c r="A8728" s="199">
        <v>45806</v>
      </c>
      <c r="B8728" s="202" t="s">
        <v>6757</v>
      </c>
      <c r="C8728" s="200" t="s">
        <v>204</v>
      </c>
      <c r="D8728" s="649">
        <v>-4442916.22</v>
      </c>
      <c r="E8728" s="662">
        <v>45778</v>
      </c>
      <c r="F8728" s="200" t="s">
        <v>256</v>
      </c>
      <c r="G8728" s="200" t="s">
        <v>107</v>
      </c>
      <c r="H8728" s="200" t="s">
        <v>121</v>
      </c>
    </row>
    <row r="8729" spans="1:8" ht="15" customHeight="1">
      <c r="A8729" s="199">
        <v>45806</v>
      </c>
      <c r="B8729" s="202" t="s">
        <v>5458</v>
      </c>
      <c r="C8729" s="200" t="s">
        <v>204</v>
      </c>
      <c r="D8729" s="649">
        <v>-4113750</v>
      </c>
      <c r="E8729" s="662">
        <v>45778</v>
      </c>
      <c r="F8729" s="200" t="s">
        <v>296</v>
      </c>
      <c r="G8729" s="200" t="s">
        <v>807</v>
      </c>
      <c r="H8729" s="200" t="s">
        <v>322</v>
      </c>
    </row>
    <row r="8730" spans="1:8" ht="15" customHeight="1">
      <c r="A8730" s="199">
        <v>45806</v>
      </c>
      <c r="B8730" s="202" t="s">
        <v>5458</v>
      </c>
      <c r="C8730" s="200" t="s">
        <v>204</v>
      </c>
      <c r="D8730" s="649">
        <v>-599582</v>
      </c>
      <c r="E8730" s="662">
        <v>45778</v>
      </c>
      <c r="F8730" s="200" t="s">
        <v>296</v>
      </c>
      <c r="G8730" s="200" t="s">
        <v>415</v>
      </c>
      <c r="H8730" s="200" t="s">
        <v>342</v>
      </c>
    </row>
    <row r="8731" spans="1:8" ht="15" customHeight="1">
      <c r="A8731" s="199">
        <v>45806</v>
      </c>
      <c r="B8731" s="202" t="s">
        <v>5458</v>
      </c>
      <c r="C8731" s="200" t="s">
        <v>204</v>
      </c>
      <c r="D8731" s="649">
        <v>-1372265</v>
      </c>
      <c r="E8731" s="662">
        <v>45778</v>
      </c>
      <c r="F8731" s="200" t="s">
        <v>297</v>
      </c>
      <c r="G8731" s="200" t="s">
        <v>5404</v>
      </c>
      <c r="H8731" s="200" t="s">
        <v>342</v>
      </c>
    </row>
    <row r="8732" spans="1:8" ht="15" customHeight="1">
      <c r="A8732" s="199">
        <v>45806</v>
      </c>
      <c r="B8732" s="202" t="s">
        <v>6758</v>
      </c>
      <c r="C8732" s="200" t="s">
        <v>204</v>
      </c>
      <c r="D8732" s="649">
        <v>-1004810</v>
      </c>
      <c r="E8732" s="662">
        <v>45778</v>
      </c>
      <c r="F8732" s="200" t="s">
        <v>256</v>
      </c>
      <c r="G8732" s="200" t="s">
        <v>107</v>
      </c>
      <c r="H8732" s="200" t="s">
        <v>121</v>
      </c>
    </row>
    <row r="8733" spans="1:8" ht="15" customHeight="1">
      <c r="A8733" s="199">
        <v>45806</v>
      </c>
      <c r="B8733" s="202" t="s">
        <v>6759</v>
      </c>
      <c r="C8733" s="200" t="s">
        <v>204</v>
      </c>
      <c r="D8733" s="649">
        <f>-4286400</f>
        <v>-4286400</v>
      </c>
      <c r="E8733" s="662">
        <v>45778</v>
      </c>
      <c r="F8733" s="200" t="s">
        <v>256</v>
      </c>
      <c r="G8733" s="200" t="s">
        <v>107</v>
      </c>
      <c r="H8733" s="200" t="s">
        <v>121</v>
      </c>
    </row>
    <row r="8734" spans="1:8" ht="15" customHeight="1">
      <c r="A8734" s="199">
        <v>45806</v>
      </c>
      <c r="B8734" s="202" t="s">
        <v>6760</v>
      </c>
      <c r="C8734" s="200" t="s">
        <v>204</v>
      </c>
      <c r="D8734" s="649">
        <v>-1062000</v>
      </c>
      <c r="E8734" s="662">
        <v>45778</v>
      </c>
      <c r="F8734" s="200" t="s">
        <v>296</v>
      </c>
      <c r="G8734" s="200" t="s">
        <v>3360</v>
      </c>
      <c r="H8734" s="200" t="s">
        <v>342</v>
      </c>
    </row>
    <row r="8735" spans="1:8" ht="15" customHeight="1">
      <c r="A8735" s="199">
        <v>45806</v>
      </c>
      <c r="B8735" s="202" t="s">
        <v>6761</v>
      </c>
      <c r="C8735" s="200" t="s">
        <v>204</v>
      </c>
      <c r="D8735" s="649">
        <v>-3436000</v>
      </c>
      <c r="E8735" s="662">
        <v>45778</v>
      </c>
      <c r="F8735" s="200" t="s">
        <v>256</v>
      </c>
      <c r="G8735" s="200" t="s">
        <v>107</v>
      </c>
      <c r="H8735" s="200" t="s">
        <v>121</v>
      </c>
    </row>
    <row r="8736" spans="1:8" ht="15" customHeight="1">
      <c r="A8736" s="199">
        <v>45806</v>
      </c>
      <c r="B8736" s="202" t="s">
        <v>6762</v>
      </c>
      <c r="C8736" s="200" t="s">
        <v>204</v>
      </c>
      <c r="D8736" s="649">
        <v>-2768000</v>
      </c>
      <c r="E8736" s="662">
        <v>45778</v>
      </c>
      <c r="F8736" s="200" t="s">
        <v>256</v>
      </c>
      <c r="G8736" s="200" t="s">
        <v>107</v>
      </c>
      <c r="H8736" s="200" t="s">
        <v>121</v>
      </c>
    </row>
    <row r="8737" spans="1:8" ht="15" customHeight="1">
      <c r="A8737" s="199">
        <v>45806</v>
      </c>
      <c r="B8737" s="202" t="s">
        <v>6763</v>
      </c>
      <c r="C8737" s="200" t="s">
        <v>204</v>
      </c>
      <c r="D8737" s="649">
        <v>-754810</v>
      </c>
      <c r="E8737" s="662">
        <v>45778</v>
      </c>
      <c r="F8737" s="200" t="s">
        <v>256</v>
      </c>
      <c r="G8737" s="200" t="s">
        <v>107</v>
      </c>
      <c r="H8737" s="200" t="s">
        <v>121</v>
      </c>
    </row>
    <row r="8738" spans="1:8" ht="15" customHeight="1">
      <c r="A8738" s="199">
        <v>45806</v>
      </c>
      <c r="B8738" s="202" t="s">
        <v>6764</v>
      </c>
      <c r="C8738" s="200" t="s">
        <v>204</v>
      </c>
      <c r="D8738" s="649">
        <v>-882000</v>
      </c>
      <c r="E8738" s="662">
        <v>45778</v>
      </c>
      <c r="F8738" s="200" t="s">
        <v>256</v>
      </c>
      <c r="G8738" s="200" t="s">
        <v>107</v>
      </c>
      <c r="H8738" s="200" t="s">
        <v>121</v>
      </c>
    </row>
    <row r="8739" spans="1:8" ht="15" customHeight="1">
      <c r="A8739" s="199">
        <v>45806</v>
      </c>
      <c r="B8739" s="202" t="s">
        <v>6765</v>
      </c>
      <c r="C8739" s="200" t="s">
        <v>204</v>
      </c>
      <c r="D8739" s="649">
        <v>-2690320</v>
      </c>
      <c r="E8739" s="662">
        <v>45778</v>
      </c>
      <c r="F8739" s="200" t="s">
        <v>256</v>
      </c>
      <c r="G8739" s="200" t="s">
        <v>107</v>
      </c>
      <c r="H8739" s="200" t="s">
        <v>121</v>
      </c>
    </row>
    <row r="8740" spans="1:8" ht="15" customHeight="1">
      <c r="A8740" s="199">
        <v>45806</v>
      </c>
      <c r="B8740" s="202" t="s">
        <v>5465</v>
      </c>
      <c r="C8740" s="200" t="s">
        <v>204</v>
      </c>
      <c r="D8740" s="649">
        <v>-325000</v>
      </c>
      <c r="E8740" s="662">
        <v>45778</v>
      </c>
      <c r="F8740" s="200" t="s">
        <v>296</v>
      </c>
      <c r="G8740" s="200" t="s">
        <v>5466</v>
      </c>
      <c r="H8740" s="200" t="s">
        <v>342</v>
      </c>
    </row>
    <row r="8741" spans="1:8" ht="15" customHeight="1">
      <c r="A8741" s="199">
        <v>45806</v>
      </c>
      <c r="B8741" s="202" t="s">
        <v>5465</v>
      </c>
      <c r="C8741" s="200" t="s">
        <v>204</v>
      </c>
      <c r="D8741" s="649">
        <v>-1671000</v>
      </c>
      <c r="E8741" s="662">
        <v>45778</v>
      </c>
      <c r="F8741" s="200" t="s">
        <v>297</v>
      </c>
      <c r="G8741" s="200" t="s">
        <v>3848</v>
      </c>
      <c r="H8741" s="200" t="s">
        <v>342</v>
      </c>
    </row>
    <row r="8742" spans="1:8" ht="15" customHeight="1">
      <c r="A8742" s="199">
        <v>45806</v>
      </c>
      <c r="B8742" s="202" t="s">
        <v>6766</v>
      </c>
      <c r="C8742" s="200" t="s">
        <v>204</v>
      </c>
      <c r="D8742" s="649">
        <v>-2324000</v>
      </c>
      <c r="E8742" s="662">
        <v>45778</v>
      </c>
      <c r="F8742" s="200" t="s">
        <v>256</v>
      </c>
      <c r="G8742" s="200" t="s">
        <v>107</v>
      </c>
      <c r="H8742" s="200" t="s">
        <v>121</v>
      </c>
    </row>
    <row r="8743" spans="1:8" ht="15" customHeight="1">
      <c r="A8743" s="199">
        <v>45806</v>
      </c>
      <c r="B8743" s="202" t="s">
        <v>6767</v>
      </c>
      <c r="C8743" s="200" t="s">
        <v>204</v>
      </c>
      <c r="D8743" s="649">
        <v>-2944000</v>
      </c>
      <c r="E8743" s="662">
        <v>45778</v>
      </c>
      <c r="F8743" s="200" t="s">
        <v>256</v>
      </c>
      <c r="G8743" s="200" t="s">
        <v>107</v>
      </c>
      <c r="H8743" s="200" t="s">
        <v>121</v>
      </c>
    </row>
    <row r="8744" spans="1:8" ht="15" customHeight="1">
      <c r="A8744" s="199">
        <v>45806</v>
      </c>
      <c r="B8744" s="202" t="s">
        <v>6768</v>
      </c>
      <c r="C8744" s="200" t="s">
        <v>204</v>
      </c>
      <c r="D8744" s="649">
        <v>-2361333.3333333335</v>
      </c>
      <c r="E8744" s="662">
        <v>45778</v>
      </c>
      <c r="F8744" s="200" t="s">
        <v>256</v>
      </c>
      <c r="G8744" s="200" t="s">
        <v>107</v>
      </c>
      <c r="H8744" s="200" t="s">
        <v>121</v>
      </c>
    </row>
    <row r="8745" spans="1:8" ht="15" customHeight="1">
      <c r="A8745" s="199">
        <v>45806</v>
      </c>
      <c r="B8745" s="202" t="s">
        <v>6769</v>
      </c>
      <c r="C8745" s="200" t="s">
        <v>204</v>
      </c>
      <c r="D8745" s="649">
        <v>-321666.66666599998</v>
      </c>
      <c r="E8745" s="662">
        <v>45778</v>
      </c>
      <c r="F8745" s="200" t="s">
        <v>2714</v>
      </c>
      <c r="G8745" s="200" t="s">
        <v>513</v>
      </c>
      <c r="H8745" s="200" t="s">
        <v>322</v>
      </c>
    </row>
    <row r="8746" spans="1:8" ht="15" customHeight="1">
      <c r="A8746" s="199">
        <v>45806</v>
      </c>
      <c r="B8746" s="202" t="s">
        <v>6769</v>
      </c>
      <c r="C8746" s="200" t="s">
        <v>204</v>
      </c>
      <c r="D8746" s="649">
        <v>-321666.66666599998</v>
      </c>
      <c r="E8746" s="662">
        <v>45778</v>
      </c>
      <c r="F8746" s="200" t="s">
        <v>296</v>
      </c>
      <c r="G8746" s="200" t="s">
        <v>44</v>
      </c>
      <c r="H8746" s="200" t="s">
        <v>322</v>
      </c>
    </row>
    <row r="8747" spans="1:8" ht="15" customHeight="1">
      <c r="A8747" s="199">
        <v>45806</v>
      </c>
      <c r="B8747" s="202" t="s">
        <v>6769</v>
      </c>
      <c r="C8747" s="200" t="s">
        <v>204</v>
      </c>
      <c r="D8747" s="649">
        <v>-321666.66666599998</v>
      </c>
      <c r="E8747" s="662">
        <v>45778</v>
      </c>
      <c r="F8747" s="200" t="s">
        <v>296</v>
      </c>
      <c r="G8747" s="200" t="s">
        <v>522</v>
      </c>
      <c r="H8747" s="200" t="s">
        <v>322</v>
      </c>
    </row>
    <row r="8748" spans="1:8" ht="15" customHeight="1">
      <c r="A8748" s="199">
        <v>45806</v>
      </c>
      <c r="B8748" s="202" t="s">
        <v>6769</v>
      </c>
      <c r="C8748" s="200" t="s">
        <v>204</v>
      </c>
      <c r="D8748" s="649">
        <v>-321666.66666599998</v>
      </c>
      <c r="E8748" s="662">
        <v>45778</v>
      </c>
      <c r="F8748" s="200" t="s">
        <v>296</v>
      </c>
      <c r="G8748" s="200" t="s">
        <v>1980</v>
      </c>
      <c r="H8748" s="200" t="s">
        <v>322</v>
      </c>
    </row>
    <row r="8749" spans="1:8" ht="15" customHeight="1">
      <c r="A8749" s="199">
        <v>45806</v>
      </c>
      <c r="B8749" s="202" t="s">
        <v>6769</v>
      </c>
      <c r="C8749" s="200" t="s">
        <v>204</v>
      </c>
      <c r="D8749" s="649">
        <v>-321666.66666599998</v>
      </c>
      <c r="E8749" s="662">
        <v>45778</v>
      </c>
      <c r="F8749" s="200" t="s">
        <v>296</v>
      </c>
      <c r="G8749" s="200" t="s">
        <v>1983</v>
      </c>
      <c r="H8749" s="200" t="s">
        <v>322</v>
      </c>
    </row>
    <row r="8750" spans="1:8" ht="15" customHeight="1">
      <c r="A8750" s="199">
        <v>45806</v>
      </c>
      <c r="B8750" s="202" t="s">
        <v>6769</v>
      </c>
      <c r="C8750" s="200" t="s">
        <v>204</v>
      </c>
      <c r="D8750" s="649">
        <v>-321666.66666599998</v>
      </c>
      <c r="E8750" s="662">
        <v>45778</v>
      </c>
      <c r="F8750" s="200" t="s">
        <v>296</v>
      </c>
      <c r="G8750" s="200" t="s">
        <v>6135</v>
      </c>
      <c r="H8750" s="200" t="s">
        <v>322</v>
      </c>
    </row>
    <row r="8751" spans="1:8" ht="15" customHeight="1">
      <c r="A8751" s="199">
        <v>45806</v>
      </c>
      <c r="B8751" s="202" t="s">
        <v>6770</v>
      </c>
      <c r="C8751" s="200" t="s">
        <v>204</v>
      </c>
      <c r="D8751" s="649">
        <v>-284700</v>
      </c>
      <c r="E8751" s="662">
        <v>45778</v>
      </c>
      <c r="F8751" s="200" t="s">
        <v>256</v>
      </c>
      <c r="G8751" s="200" t="s">
        <v>256</v>
      </c>
      <c r="H8751" s="200" t="s">
        <v>121</v>
      </c>
    </row>
    <row r="8752" spans="1:8" ht="15" customHeight="1">
      <c r="A8752" s="199">
        <v>45806</v>
      </c>
      <c r="B8752" s="202" t="s">
        <v>6771</v>
      </c>
      <c r="C8752" s="200" t="s">
        <v>204</v>
      </c>
      <c r="D8752" s="649">
        <v>-284700</v>
      </c>
      <c r="E8752" s="662">
        <v>45778</v>
      </c>
      <c r="F8752" s="200" t="s">
        <v>256</v>
      </c>
      <c r="G8752" s="200" t="s">
        <v>256</v>
      </c>
      <c r="H8752" s="200" t="s">
        <v>121</v>
      </c>
    </row>
    <row r="8753" spans="1:8" ht="15" customHeight="1">
      <c r="A8753" s="199">
        <v>45806</v>
      </c>
      <c r="B8753" s="202" t="s">
        <v>6772</v>
      </c>
      <c r="C8753" s="200" t="s">
        <v>204</v>
      </c>
      <c r="D8753" s="649">
        <v>-284700</v>
      </c>
      <c r="E8753" s="662">
        <v>45778</v>
      </c>
      <c r="F8753" s="200" t="s">
        <v>256</v>
      </c>
      <c r="G8753" s="200" t="s">
        <v>256</v>
      </c>
      <c r="H8753" s="200" t="s">
        <v>121</v>
      </c>
    </row>
    <row r="8754" spans="1:8" ht="15" customHeight="1">
      <c r="A8754" s="199">
        <v>45806</v>
      </c>
      <c r="B8754" s="202" t="s">
        <v>6773</v>
      </c>
      <c r="C8754" s="200" t="s">
        <v>204</v>
      </c>
      <c r="D8754" s="649">
        <v>-4140000</v>
      </c>
      <c r="E8754" s="662">
        <v>45778</v>
      </c>
      <c r="F8754" s="200" t="s">
        <v>296</v>
      </c>
      <c r="G8754" s="200" t="s">
        <v>57</v>
      </c>
      <c r="H8754" s="200" t="s">
        <v>121</v>
      </c>
    </row>
    <row r="8755" spans="1:8" ht="15" customHeight="1">
      <c r="A8755" s="199">
        <v>45806</v>
      </c>
      <c r="B8755" s="202" t="s">
        <v>6774</v>
      </c>
      <c r="C8755" s="200" t="s">
        <v>204</v>
      </c>
      <c r="D8755" s="649">
        <v>-2760000</v>
      </c>
      <c r="E8755" s="662">
        <v>45778</v>
      </c>
      <c r="F8755" s="200" t="s">
        <v>296</v>
      </c>
      <c r="G8755" s="200" t="s">
        <v>57</v>
      </c>
      <c r="H8755" s="200" t="s">
        <v>121</v>
      </c>
    </row>
    <row r="8756" spans="1:8" ht="15" customHeight="1">
      <c r="A8756" s="199">
        <v>45806</v>
      </c>
      <c r="B8756" s="202" t="s">
        <v>6775</v>
      </c>
      <c r="C8756" s="200" t="s">
        <v>204</v>
      </c>
      <c r="D8756" s="649">
        <v>-3404000</v>
      </c>
      <c r="E8756" s="662">
        <v>45778</v>
      </c>
      <c r="F8756" s="200" t="s">
        <v>296</v>
      </c>
      <c r="G8756" s="200" t="s">
        <v>57</v>
      </c>
      <c r="H8756" s="200" t="s">
        <v>121</v>
      </c>
    </row>
    <row r="8757" spans="1:8" ht="15" customHeight="1">
      <c r="A8757" s="199">
        <v>45806</v>
      </c>
      <c r="B8757" s="202" t="s">
        <v>6776</v>
      </c>
      <c r="C8757" s="200" t="s">
        <v>204</v>
      </c>
      <c r="D8757" s="649">
        <v>-2944000</v>
      </c>
      <c r="E8757" s="662">
        <v>45778</v>
      </c>
      <c r="F8757" s="200" t="s">
        <v>296</v>
      </c>
      <c r="G8757" s="200" t="s">
        <v>57</v>
      </c>
      <c r="H8757" s="200" t="s">
        <v>121</v>
      </c>
    </row>
    <row r="8758" spans="1:8" ht="15" customHeight="1">
      <c r="A8758" s="199">
        <v>45806</v>
      </c>
      <c r="B8758" s="202" t="s">
        <v>6777</v>
      </c>
      <c r="C8758" s="200" t="s">
        <v>204</v>
      </c>
      <c r="D8758" s="649">
        <v>-2500000</v>
      </c>
      <c r="E8758" s="662">
        <v>45778</v>
      </c>
      <c r="F8758" s="200" t="s">
        <v>296</v>
      </c>
      <c r="G8758" s="200" t="s">
        <v>57</v>
      </c>
      <c r="H8758" s="200" t="s">
        <v>121</v>
      </c>
    </row>
    <row r="8759" spans="1:8" ht="15" customHeight="1">
      <c r="A8759" s="199">
        <v>45806</v>
      </c>
      <c r="B8759" s="202" t="s">
        <v>6778</v>
      </c>
      <c r="C8759" s="200" t="s">
        <v>204</v>
      </c>
      <c r="D8759" s="649">
        <v>-1856000</v>
      </c>
      <c r="E8759" s="662">
        <v>45778</v>
      </c>
      <c r="F8759" s="200" t="s">
        <v>296</v>
      </c>
      <c r="G8759" s="200" t="s">
        <v>57</v>
      </c>
      <c r="H8759" s="200" t="s">
        <v>121</v>
      </c>
    </row>
    <row r="8760" spans="1:8" ht="15" customHeight="1">
      <c r="A8760" s="199">
        <v>45806</v>
      </c>
      <c r="B8760" s="202" t="s">
        <v>6779</v>
      </c>
      <c r="C8760" s="200" t="s">
        <v>204</v>
      </c>
      <c r="D8760" s="649">
        <v>-2592000</v>
      </c>
      <c r="E8760" s="662">
        <v>45778</v>
      </c>
      <c r="F8760" s="200" t="s">
        <v>296</v>
      </c>
      <c r="G8760" s="200" t="s">
        <v>57</v>
      </c>
      <c r="H8760" s="200" t="s">
        <v>121</v>
      </c>
    </row>
    <row r="8761" spans="1:8" ht="15" customHeight="1">
      <c r="A8761" s="199">
        <v>45806</v>
      </c>
      <c r="B8761" s="202" t="s">
        <v>6780</v>
      </c>
      <c r="C8761" s="200" t="s">
        <v>204</v>
      </c>
      <c r="D8761" s="649">
        <v>-2990000</v>
      </c>
      <c r="E8761" s="662">
        <v>45778</v>
      </c>
      <c r="F8761" s="200" t="s">
        <v>296</v>
      </c>
      <c r="G8761" s="200" t="s">
        <v>57</v>
      </c>
      <c r="H8761" s="200" t="s">
        <v>121</v>
      </c>
    </row>
    <row r="8762" spans="1:8" ht="15" customHeight="1">
      <c r="A8762" s="199">
        <v>45806</v>
      </c>
      <c r="B8762" s="202" t="s">
        <v>6781</v>
      </c>
      <c r="C8762" s="200" t="s">
        <v>204</v>
      </c>
      <c r="D8762" s="649">
        <v>-1641600</v>
      </c>
      <c r="E8762" s="662">
        <v>45778</v>
      </c>
      <c r="F8762" s="200" t="s">
        <v>296</v>
      </c>
      <c r="G8762" s="200" t="s">
        <v>57</v>
      </c>
      <c r="H8762" s="200" t="s">
        <v>121</v>
      </c>
    </row>
    <row r="8763" spans="1:8" ht="15" customHeight="1">
      <c r="A8763" s="199">
        <v>45806</v>
      </c>
      <c r="B8763" s="202" t="s">
        <v>6782</v>
      </c>
      <c r="C8763" s="200" t="s">
        <v>204</v>
      </c>
      <c r="D8763" s="649">
        <v>-1177600</v>
      </c>
      <c r="E8763" s="662">
        <v>45778</v>
      </c>
      <c r="F8763" s="200" t="s">
        <v>296</v>
      </c>
      <c r="G8763" s="200" t="s">
        <v>57</v>
      </c>
      <c r="H8763" s="200" t="s">
        <v>121</v>
      </c>
    </row>
    <row r="8764" spans="1:8" ht="15" customHeight="1">
      <c r="A8764" s="199">
        <v>45806</v>
      </c>
      <c r="B8764" s="202" t="s">
        <v>6783</v>
      </c>
      <c r="C8764" s="200" t="s">
        <v>204</v>
      </c>
      <c r="D8764" s="649">
        <v>-1380000</v>
      </c>
      <c r="E8764" s="662">
        <v>45778</v>
      </c>
      <c r="F8764" s="200" t="s">
        <v>296</v>
      </c>
      <c r="G8764" s="200" t="s">
        <v>1980</v>
      </c>
      <c r="H8764" s="200" t="s">
        <v>338</v>
      </c>
    </row>
    <row r="8765" spans="1:8" ht="15" customHeight="1">
      <c r="A8765" s="199">
        <v>45806</v>
      </c>
      <c r="B8765" s="202" t="s">
        <v>6783</v>
      </c>
      <c r="C8765" s="200" t="s">
        <v>204</v>
      </c>
      <c r="D8765" s="649">
        <v>-1380000</v>
      </c>
      <c r="E8765" s="662">
        <v>45778</v>
      </c>
      <c r="F8765" s="200" t="s">
        <v>296</v>
      </c>
      <c r="G8765" s="200" t="s">
        <v>1825</v>
      </c>
      <c r="H8765" s="200" t="s">
        <v>338</v>
      </c>
    </row>
    <row r="8766" spans="1:8" ht="15" customHeight="1">
      <c r="A8766" s="199">
        <v>45806</v>
      </c>
      <c r="B8766" s="202" t="s">
        <v>6783</v>
      </c>
      <c r="C8766" s="200" t="s">
        <v>204</v>
      </c>
      <c r="D8766" s="649">
        <v>-1380000</v>
      </c>
      <c r="E8766" s="662">
        <v>45778</v>
      </c>
      <c r="F8766" s="200" t="s">
        <v>296</v>
      </c>
      <c r="G8766" s="200" t="s">
        <v>522</v>
      </c>
      <c r="H8766" s="200" t="s">
        <v>338</v>
      </c>
    </row>
    <row r="8767" spans="1:8" ht="15" customHeight="1">
      <c r="A8767" s="199">
        <v>45806</v>
      </c>
      <c r="B8767" s="202" t="s">
        <v>6784</v>
      </c>
      <c r="C8767" s="200" t="s">
        <v>204</v>
      </c>
      <c r="D8767" s="649">
        <v>-1980500</v>
      </c>
      <c r="E8767" s="662">
        <v>45778</v>
      </c>
      <c r="F8767" s="200" t="s">
        <v>297</v>
      </c>
      <c r="G8767" s="200" t="s">
        <v>3892</v>
      </c>
      <c r="H8767" s="200" t="s">
        <v>567</v>
      </c>
    </row>
    <row r="8768" spans="1:8" ht="15" customHeight="1">
      <c r="A8768" s="199">
        <v>45806</v>
      </c>
      <c r="B8768" s="202" t="s">
        <v>6784</v>
      </c>
      <c r="C8768" s="200" t="s">
        <v>204</v>
      </c>
      <c r="D8768" s="649">
        <v>-1980500</v>
      </c>
      <c r="E8768" s="662">
        <v>45778</v>
      </c>
      <c r="F8768" s="200" t="s">
        <v>297</v>
      </c>
      <c r="G8768" s="200" t="s">
        <v>71</v>
      </c>
      <c r="H8768" s="200" t="s">
        <v>567</v>
      </c>
    </row>
    <row r="8769" spans="1:9" ht="15" customHeight="1">
      <c r="A8769" s="199">
        <v>45806</v>
      </c>
      <c r="B8769" s="202" t="s">
        <v>6784</v>
      </c>
      <c r="C8769" s="200" t="s">
        <v>204</v>
      </c>
      <c r="D8769" s="649">
        <v>-1980500</v>
      </c>
      <c r="E8769" s="662">
        <v>45778</v>
      </c>
      <c r="F8769" s="200" t="s">
        <v>296</v>
      </c>
      <c r="G8769" s="200" t="s">
        <v>1362</v>
      </c>
      <c r="H8769" s="200" t="s">
        <v>567</v>
      </c>
    </row>
    <row r="8770" spans="1:9" ht="15" customHeight="1">
      <c r="A8770" s="199">
        <v>45806</v>
      </c>
      <c r="B8770" s="202" t="s">
        <v>6784</v>
      </c>
      <c r="C8770" s="200" t="s">
        <v>204</v>
      </c>
      <c r="D8770" s="649">
        <v>-1980500</v>
      </c>
      <c r="E8770" s="662">
        <v>45778</v>
      </c>
      <c r="F8770" s="200" t="s">
        <v>296</v>
      </c>
      <c r="G8770" s="200" t="s">
        <v>2418</v>
      </c>
      <c r="H8770" s="200" t="s">
        <v>567</v>
      </c>
    </row>
    <row r="8771" spans="1:9" ht="15" customHeight="1">
      <c r="A8771" s="199">
        <v>45806</v>
      </c>
      <c r="B8771" s="202" t="s">
        <v>6785</v>
      </c>
      <c r="C8771" s="200" t="s">
        <v>204</v>
      </c>
      <c r="D8771" s="649">
        <v>-288120</v>
      </c>
      <c r="E8771" s="662">
        <v>45778</v>
      </c>
      <c r="F8771" s="200" t="s">
        <v>296</v>
      </c>
      <c r="G8771" s="200" t="s">
        <v>2418</v>
      </c>
      <c r="H8771" s="200" t="s">
        <v>567</v>
      </c>
    </row>
    <row r="8772" spans="1:9" ht="15" customHeight="1">
      <c r="A8772" s="199">
        <v>45806</v>
      </c>
      <c r="B8772" s="202" t="s">
        <v>6785</v>
      </c>
      <c r="C8772" s="200" t="s">
        <v>204</v>
      </c>
      <c r="D8772" s="649">
        <v>-384160</v>
      </c>
      <c r="E8772" s="662">
        <v>45778</v>
      </c>
      <c r="F8772" s="200" t="s">
        <v>297</v>
      </c>
      <c r="G8772" s="200" t="s">
        <v>71</v>
      </c>
      <c r="H8772" s="200" t="s">
        <v>567</v>
      </c>
    </row>
    <row r="8773" spans="1:9" ht="15" customHeight="1">
      <c r="A8773" s="199">
        <v>45806</v>
      </c>
      <c r="B8773" s="202" t="s">
        <v>6785</v>
      </c>
      <c r="C8773" s="200" t="s">
        <v>204</v>
      </c>
      <c r="D8773" s="649">
        <v>-48020</v>
      </c>
      <c r="E8773" s="662">
        <v>45778</v>
      </c>
      <c r="F8773" s="200" t="s">
        <v>296</v>
      </c>
      <c r="G8773" s="200" t="s">
        <v>1311</v>
      </c>
      <c r="H8773" s="200" t="s">
        <v>567</v>
      </c>
    </row>
    <row r="8774" spans="1:9" ht="15" customHeight="1">
      <c r="A8774" s="199">
        <v>45806</v>
      </c>
      <c r="B8774" s="202" t="s">
        <v>6785</v>
      </c>
      <c r="C8774" s="200" t="s">
        <v>204</v>
      </c>
      <c r="D8774" s="649">
        <v>-240100</v>
      </c>
      <c r="E8774" s="662">
        <v>45778</v>
      </c>
      <c r="F8774" s="200" t="s">
        <v>297</v>
      </c>
      <c r="G8774" s="200" t="s">
        <v>3892</v>
      </c>
      <c r="H8774" s="200" t="s">
        <v>567</v>
      </c>
    </row>
    <row r="8775" spans="1:9" ht="15" customHeight="1">
      <c r="A8775" s="199">
        <v>45806</v>
      </c>
      <c r="B8775" s="202" t="s">
        <v>6786</v>
      </c>
      <c r="C8775" s="200" t="s">
        <v>204</v>
      </c>
      <c r="D8775" s="649">
        <v>-2776000</v>
      </c>
      <c r="E8775" s="662">
        <v>45778</v>
      </c>
      <c r="F8775" s="200" t="s">
        <v>296</v>
      </c>
      <c r="G8775" s="200" t="s">
        <v>2418</v>
      </c>
      <c r="H8775" s="200" t="s">
        <v>567</v>
      </c>
    </row>
    <row r="8776" spans="1:9" ht="15" customHeight="1">
      <c r="A8776" s="199">
        <v>45806</v>
      </c>
      <c r="B8776" s="202" t="s">
        <v>6786</v>
      </c>
      <c r="C8776" s="200" t="s">
        <v>204</v>
      </c>
      <c r="D8776" s="649">
        <v>-694000</v>
      </c>
      <c r="E8776" s="662">
        <v>45778</v>
      </c>
      <c r="F8776" s="200" t="s">
        <v>296</v>
      </c>
      <c r="G8776" s="200" t="s">
        <v>3847</v>
      </c>
      <c r="H8776" s="200" t="s">
        <v>567</v>
      </c>
      <c r="I8776" s="648" t="s">
        <v>329</v>
      </c>
    </row>
    <row r="8777" spans="1:9" ht="15" customHeight="1">
      <c r="A8777" s="199">
        <v>45806</v>
      </c>
      <c r="B8777" s="202" t="s">
        <v>6787</v>
      </c>
      <c r="C8777" s="200" t="s">
        <v>204</v>
      </c>
      <c r="D8777" s="649">
        <v>-219568</v>
      </c>
      <c r="E8777" s="662">
        <v>45778</v>
      </c>
      <c r="F8777" s="200" t="s">
        <v>296</v>
      </c>
      <c r="G8777" s="200" t="s">
        <v>1311</v>
      </c>
      <c r="H8777" s="200" t="s">
        <v>567</v>
      </c>
    </row>
    <row r="8778" spans="1:9" ht="15" customHeight="1">
      <c r="A8778" s="199">
        <v>45806</v>
      </c>
      <c r="B8778" s="202" t="s">
        <v>6787</v>
      </c>
      <c r="C8778" s="200" t="s">
        <v>204</v>
      </c>
      <c r="D8778" s="649">
        <v>-109784</v>
      </c>
      <c r="E8778" s="662">
        <v>45778</v>
      </c>
      <c r="F8778" s="200" t="s">
        <v>297</v>
      </c>
      <c r="G8778" s="200" t="s">
        <v>5404</v>
      </c>
      <c r="H8778" s="200" t="s">
        <v>567</v>
      </c>
    </row>
    <row r="8779" spans="1:9" ht="15" customHeight="1">
      <c r="A8779" s="199">
        <v>45806</v>
      </c>
      <c r="B8779" s="202" t="s">
        <v>6787</v>
      </c>
      <c r="C8779" s="200" t="s">
        <v>204</v>
      </c>
      <c r="D8779" s="649">
        <v>-219568</v>
      </c>
      <c r="E8779" s="662">
        <v>45778</v>
      </c>
      <c r="F8779" s="200" t="s">
        <v>296</v>
      </c>
      <c r="G8779" s="200" t="s">
        <v>2994</v>
      </c>
      <c r="H8779" s="200" t="s">
        <v>567</v>
      </c>
    </row>
    <row r="8780" spans="1:9" ht="15" customHeight="1">
      <c r="A8780" s="199">
        <v>45806</v>
      </c>
      <c r="B8780" s="202" t="s">
        <v>6787</v>
      </c>
      <c r="C8780" s="200" t="s">
        <v>204</v>
      </c>
      <c r="D8780" s="649">
        <v>-219568</v>
      </c>
      <c r="E8780" s="662">
        <v>45778</v>
      </c>
      <c r="F8780" s="200" t="s">
        <v>297</v>
      </c>
      <c r="G8780" s="200" t="s">
        <v>1578</v>
      </c>
      <c r="H8780" s="200" t="s">
        <v>567</v>
      </c>
    </row>
    <row r="8781" spans="1:9" ht="15" customHeight="1">
      <c r="A8781" s="199">
        <v>45806</v>
      </c>
      <c r="B8781" s="202" t="s">
        <v>6787</v>
      </c>
      <c r="C8781" s="200" t="s">
        <v>204</v>
      </c>
      <c r="D8781" s="649">
        <v>-219568</v>
      </c>
      <c r="E8781" s="662">
        <v>45778</v>
      </c>
      <c r="F8781" s="200" t="s">
        <v>297</v>
      </c>
      <c r="G8781" s="200" t="s">
        <v>1313</v>
      </c>
      <c r="H8781" s="200" t="s">
        <v>567</v>
      </c>
      <c r="I8781" s="648" t="s">
        <v>329</v>
      </c>
    </row>
    <row r="8782" spans="1:9" ht="15" customHeight="1">
      <c r="A8782" s="199">
        <v>45806</v>
      </c>
      <c r="B8782" s="202" t="s">
        <v>6787</v>
      </c>
      <c r="C8782" s="200" t="s">
        <v>204</v>
      </c>
      <c r="D8782" s="649">
        <v>-109784</v>
      </c>
      <c r="E8782" s="662">
        <v>45778</v>
      </c>
      <c r="F8782" s="200" t="s">
        <v>296</v>
      </c>
      <c r="G8782" s="200" t="s">
        <v>984</v>
      </c>
      <c r="H8782" s="200" t="s">
        <v>567</v>
      </c>
      <c r="I8782" s="648" t="s">
        <v>329</v>
      </c>
    </row>
    <row r="8783" spans="1:9" ht="15" customHeight="1">
      <c r="A8783" s="199">
        <v>45806</v>
      </c>
      <c r="B8783" s="202" t="s">
        <v>6787</v>
      </c>
      <c r="C8783" s="200" t="s">
        <v>204</v>
      </c>
      <c r="D8783" s="649">
        <v>-109784</v>
      </c>
      <c r="E8783" s="662">
        <v>45778</v>
      </c>
      <c r="F8783" s="200" t="s">
        <v>296</v>
      </c>
      <c r="G8783" s="200" t="s">
        <v>411</v>
      </c>
      <c r="H8783" s="200" t="s">
        <v>567</v>
      </c>
      <c r="I8783" s="648" t="s">
        <v>329</v>
      </c>
    </row>
    <row r="8784" spans="1:9" ht="15" customHeight="1">
      <c r="A8784" s="199">
        <v>45806</v>
      </c>
      <c r="B8784" s="202" t="s">
        <v>6787</v>
      </c>
      <c r="C8784" s="200" t="s">
        <v>204</v>
      </c>
      <c r="D8784" s="649">
        <v>-219568</v>
      </c>
      <c r="E8784" s="662">
        <v>45778</v>
      </c>
      <c r="F8784" s="200" t="s">
        <v>296</v>
      </c>
      <c r="G8784" s="200" t="s">
        <v>392</v>
      </c>
      <c r="H8784" s="200" t="s">
        <v>567</v>
      </c>
      <c r="I8784" s="648" t="s">
        <v>329</v>
      </c>
    </row>
    <row r="8785" spans="1:9" ht="15" customHeight="1">
      <c r="A8785" s="199">
        <v>45806</v>
      </c>
      <c r="B8785" s="202" t="s">
        <v>6787</v>
      </c>
      <c r="C8785" s="200" t="s">
        <v>204</v>
      </c>
      <c r="D8785" s="649">
        <v>-219568</v>
      </c>
      <c r="E8785" s="662">
        <v>45778</v>
      </c>
      <c r="F8785" s="200" t="s">
        <v>296</v>
      </c>
      <c r="G8785" s="200" t="s">
        <v>875</v>
      </c>
      <c r="H8785" s="200" t="s">
        <v>567</v>
      </c>
    </row>
    <row r="8786" spans="1:9" ht="15" customHeight="1">
      <c r="A8786" s="199">
        <v>45806</v>
      </c>
      <c r="B8786" s="202" t="s">
        <v>6787</v>
      </c>
      <c r="C8786" s="200" t="s">
        <v>204</v>
      </c>
      <c r="D8786" s="649">
        <v>-219568</v>
      </c>
      <c r="E8786" s="662">
        <v>45778</v>
      </c>
      <c r="F8786" s="200" t="s">
        <v>296</v>
      </c>
      <c r="G8786" s="200" t="s">
        <v>1124</v>
      </c>
      <c r="H8786" s="200" t="s">
        <v>567</v>
      </c>
    </row>
    <row r="8787" spans="1:9" ht="15" customHeight="1">
      <c r="A8787" s="199">
        <v>45806</v>
      </c>
      <c r="B8787" s="202" t="s">
        <v>6787</v>
      </c>
      <c r="C8787" s="200" t="s">
        <v>204</v>
      </c>
      <c r="D8787" s="649">
        <v>-219568</v>
      </c>
      <c r="E8787" s="662">
        <v>45778</v>
      </c>
      <c r="F8787" s="200" t="s">
        <v>296</v>
      </c>
      <c r="G8787" s="200" t="s">
        <v>1362</v>
      </c>
      <c r="H8787" s="200" t="s">
        <v>567</v>
      </c>
    </row>
    <row r="8788" spans="1:9" ht="15" customHeight="1">
      <c r="A8788" s="199">
        <v>45806</v>
      </c>
      <c r="B8788" s="202" t="s">
        <v>6787</v>
      </c>
      <c r="C8788" s="200" t="s">
        <v>204</v>
      </c>
      <c r="D8788" s="649">
        <v>-109784</v>
      </c>
      <c r="E8788" s="662">
        <v>45778</v>
      </c>
      <c r="F8788" s="200" t="s">
        <v>297</v>
      </c>
      <c r="G8788" s="200" t="s">
        <v>3848</v>
      </c>
      <c r="H8788" s="200" t="s">
        <v>567</v>
      </c>
    </row>
    <row r="8789" spans="1:9" ht="15" customHeight="1">
      <c r="A8789" s="199">
        <v>45806</v>
      </c>
      <c r="B8789" s="202" t="s">
        <v>6788</v>
      </c>
      <c r="C8789" s="200" t="s">
        <v>204</v>
      </c>
      <c r="D8789" s="649">
        <v>-1012000</v>
      </c>
      <c r="E8789" s="662">
        <v>45778</v>
      </c>
      <c r="F8789" s="200" t="s">
        <v>296</v>
      </c>
      <c r="G8789" s="200" t="s">
        <v>1980</v>
      </c>
      <c r="H8789" s="200" t="s">
        <v>338</v>
      </c>
    </row>
    <row r="8790" spans="1:9" ht="15" customHeight="1">
      <c r="A8790" s="199">
        <v>45806</v>
      </c>
      <c r="B8790" s="202" t="s">
        <v>6788</v>
      </c>
      <c r="C8790" s="200" t="s">
        <v>204</v>
      </c>
      <c r="D8790" s="649">
        <v>-1012000</v>
      </c>
      <c r="E8790" s="662">
        <v>45778</v>
      </c>
      <c r="F8790" s="200" t="s">
        <v>296</v>
      </c>
      <c r="G8790" s="200" t="s">
        <v>1825</v>
      </c>
      <c r="H8790" s="200" t="s">
        <v>338</v>
      </c>
    </row>
    <row r="8791" spans="1:9" ht="15" customHeight="1">
      <c r="A8791" s="199">
        <v>45806</v>
      </c>
      <c r="B8791" s="202" t="s">
        <v>6788</v>
      </c>
      <c r="C8791" s="200" t="s">
        <v>204</v>
      </c>
      <c r="D8791" s="649">
        <v>-1012000</v>
      </c>
      <c r="E8791" s="662">
        <v>45778</v>
      </c>
      <c r="F8791" s="200" t="s">
        <v>296</v>
      </c>
      <c r="G8791" s="200" t="s">
        <v>522</v>
      </c>
      <c r="H8791" s="200" t="s">
        <v>338</v>
      </c>
    </row>
    <row r="8792" spans="1:9" ht="15" customHeight="1">
      <c r="A8792" s="199">
        <v>45806</v>
      </c>
      <c r="B8792" s="202" t="s">
        <v>6789</v>
      </c>
      <c r="C8792" s="200" t="s">
        <v>204</v>
      </c>
      <c r="D8792" s="649">
        <v>-543920</v>
      </c>
      <c r="E8792" s="662">
        <v>45778</v>
      </c>
      <c r="F8792" s="200" t="s">
        <v>296</v>
      </c>
      <c r="G8792" s="200" t="s">
        <v>2418</v>
      </c>
      <c r="H8792" s="200" t="s">
        <v>567</v>
      </c>
    </row>
    <row r="8793" spans="1:9" ht="15" customHeight="1">
      <c r="A8793" s="199">
        <v>45806</v>
      </c>
      <c r="B8793" s="202" t="s">
        <v>6789</v>
      </c>
      <c r="C8793" s="200" t="s">
        <v>204</v>
      </c>
      <c r="D8793" s="649">
        <v>-543920</v>
      </c>
      <c r="E8793" s="662">
        <v>45778</v>
      </c>
      <c r="F8793" s="200" t="s">
        <v>297</v>
      </c>
      <c r="G8793" s="200" t="s">
        <v>71</v>
      </c>
      <c r="H8793" s="200" t="s">
        <v>567</v>
      </c>
    </row>
    <row r="8794" spans="1:9" ht="15" customHeight="1">
      <c r="A8794" s="199">
        <v>45806</v>
      </c>
      <c r="B8794" s="202" t="s">
        <v>6789</v>
      </c>
      <c r="C8794" s="200" t="s">
        <v>204</v>
      </c>
      <c r="D8794" s="649">
        <v>-271960</v>
      </c>
      <c r="E8794" s="662">
        <v>45778</v>
      </c>
      <c r="F8794" s="200" t="s">
        <v>296</v>
      </c>
      <c r="G8794" s="200" t="s">
        <v>1311</v>
      </c>
      <c r="H8794" s="200" t="s">
        <v>567</v>
      </c>
      <c r="I8794" s="648" t="s">
        <v>329</v>
      </c>
    </row>
    <row r="8795" spans="1:9" ht="15" customHeight="1">
      <c r="A8795" s="199">
        <v>45806</v>
      </c>
      <c r="B8795" s="202" t="s">
        <v>6789</v>
      </c>
      <c r="C8795" s="200" t="s">
        <v>204</v>
      </c>
      <c r="D8795" s="649">
        <v>-135980</v>
      </c>
      <c r="E8795" s="662">
        <v>45778</v>
      </c>
      <c r="F8795" s="200" t="s">
        <v>297</v>
      </c>
      <c r="G8795" s="200" t="s">
        <v>5404</v>
      </c>
      <c r="H8795" s="200" t="s">
        <v>567</v>
      </c>
      <c r="I8795" s="648" t="s">
        <v>329</v>
      </c>
    </row>
    <row r="8796" spans="1:9" ht="15" customHeight="1">
      <c r="A8796" s="199">
        <v>45806</v>
      </c>
      <c r="B8796" s="202" t="s">
        <v>6789</v>
      </c>
      <c r="C8796" s="200" t="s">
        <v>204</v>
      </c>
      <c r="D8796" s="649">
        <v>-407940</v>
      </c>
      <c r="E8796" s="662">
        <v>45778</v>
      </c>
      <c r="F8796" s="200" t="s">
        <v>296</v>
      </c>
      <c r="G8796" s="200" t="s">
        <v>2994</v>
      </c>
      <c r="H8796" s="200" t="s">
        <v>567</v>
      </c>
    </row>
    <row r="8797" spans="1:9" ht="15" customHeight="1">
      <c r="A8797" s="199">
        <v>45806</v>
      </c>
      <c r="B8797" s="202" t="s">
        <v>6789</v>
      </c>
      <c r="C8797" s="200" t="s">
        <v>204</v>
      </c>
      <c r="D8797" s="649">
        <v>-271960</v>
      </c>
      <c r="E8797" s="662">
        <v>45778</v>
      </c>
      <c r="F8797" s="200" t="s">
        <v>297</v>
      </c>
      <c r="G8797" s="200" t="s">
        <v>1578</v>
      </c>
      <c r="H8797" s="200" t="s">
        <v>567</v>
      </c>
    </row>
    <row r="8798" spans="1:9" ht="15" customHeight="1">
      <c r="A8798" s="199">
        <v>45806</v>
      </c>
      <c r="B8798" s="202" t="s">
        <v>6789</v>
      </c>
      <c r="C8798" s="200" t="s">
        <v>204</v>
      </c>
      <c r="D8798" s="649">
        <v>-271960</v>
      </c>
      <c r="E8798" s="662">
        <v>45778</v>
      </c>
      <c r="F8798" s="200" t="s">
        <v>296</v>
      </c>
      <c r="G8798" s="200" t="s">
        <v>875</v>
      </c>
      <c r="H8798" s="200" t="s">
        <v>567</v>
      </c>
      <c r="I8798" s="648" t="s">
        <v>329</v>
      </c>
    </row>
    <row r="8799" spans="1:9" ht="15" customHeight="1">
      <c r="A8799" s="199">
        <v>45806</v>
      </c>
      <c r="B8799" s="202" t="s">
        <v>6789</v>
      </c>
      <c r="C8799" s="200" t="s">
        <v>204</v>
      </c>
      <c r="D8799" s="649">
        <v>-271960</v>
      </c>
      <c r="E8799" s="662">
        <v>45778</v>
      </c>
      <c r="F8799" s="200" t="s">
        <v>296</v>
      </c>
      <c r="G8799" s="200" t="s">
        <v>1735</v>
      </c>
      <c r="H8799" s="200" t="s">
        <v>567</v>
      </c>
    </row>
    <row r="8800" spans="1:9" ht="15" customHeight="1">
      <c r="A8800" s="199">
        <v>45806</v>
      </c>
      <c r="B8800" s="202" t="s">
        <v>6790</v>
      </c>
      <c r="C8800" s="200" t="s">
        <v>204</v>
      </c>
      <c r="D8800" s="649">
        <v>-3036000</v>
      </c>
      <c r="E8800" s="662">
        <v>45778</v>
      </c>
      <c r="F8800" s="200" t="s">
        <v>296</v>
      </c>
      <c r="G8800" s="200" t="s">
        <v>1825</v>
      </c>
      <c r="H8800" s="200" t="s">
        <v>338</v>
      </c>
    </row>
    <row r="8801" spans="1:9" ht="15" customHeight="1">
      <c r="A8801" s="199">
        <v>45806</v>
      </c>
      <c r="B8801" s="202" t="s">
        <v>6791</v>
      </c>
      <c r="C8801" s="200" t="s">
        <v>204</v>
      </c>
      <c r="D8801" s="649">
        <v>-802666.66666666663</v>
      </c>
      <c r="E8801" s="662">
        <v>45778</v>
      </c>
      <c r="F8801" s="200" t="s">
        <v>296</v>
      </c>
      <c r="G8801" s="200" t="s">
        <v>1980</v>
      </c>
      <c r="H8801" s="200" t="s">
        <v>338</v>
      </c>
    </row>
    <row r="8802" spans="1:9" ht="15" customHeight="1">
      <c r="A8802" s="199">
        <v>45806</v>
      </c>
      <c r="B8802" s="202" t="s">
        <v>6791</v>
      </c>
      <c r="C8802" s="200" t="s">
        <v>204</v>
      </c>
      <c r="D8802" s="649">
        <v>-802666.66666666663</v>
      </c>
      <c r="E8802" s="662">
        <v>45778</v>
      </c>
      <c r="F8802" s="200" t="s">
        <v>296</v>
      </c>
      <c r="G8802" s="200" t="s">
        <v>1825</v>
      </c>
      <c r="H8802" s="200" t="s">
        <v>338</v>
      </c>
    </row>
    <row r="8803" spans="1:9" ht="15" customHeight="1">
      <c r="A8803" s="199">
        <v>45806</v>
      </c>
      <c r="B8803" s="202" t="s">
        <v>6791</v>
      </c>
      <c r="C8803" s="200" t="s">
        <v>204</v>
      </c>
      <c r="D8803" s="649">
        <v>-802666.66666666663</v>
      </c>
      <c r="E8803" s="662">
        <v>45778</v>
      </c>
      <c r="F8803" s="200" t="s">
        <v>296</v>
      </c>
      <c r="G8803" s="200" t="s">
        <v>522</v>
      </c>
      <c r="H8803" s="200" t="s">
        <v>338</v>
      </c>
    </row>
    <row r="8804" spans="1:9" ht="15" customHeight="1">
      <c r="A8804" s="199">
        <v>45806</v>
      </c>
      <c r="B8804" s="202" t="s">
        <v>6792</v>
      </c>
      <c r="C8804" s="200" t="s">
        <v>204</v>
      </c>
      <c r="D8804" s="649">
        <v>-303600</v>
      </c>
      <c r="E8804" s="662">
        <v>45778</v>
      </c>
      <c r="F8804" s="200" t="s">
        <v>296</v>
      </c>
      <c r="G8804" s="200" t="s">
        <v>1124</v>
      </c>
      <c r="H8804" s="200" t="s">
        <v>567</v>
      </c>
    </row>
    <row r="8805" spans="1:9" ht="15" customHeight="1">
      <c r="A8805" s="199">
        <v>45806</v>
      </c>
      <c r="B8805" s="202" t="s">
        <v>6792</v>
      </c>
      <c r="C8805" s="200" t="s">
        <v>204</v>
      </c>
      <c r="D8805" s="649">
        <v>-151800</v>
      </c>
      <c r="E8805" s="662">
        <v>45778</v>
      </c>
      <c r="F8805" s="200" t="s">
        <v>296</v>
      </c>
      <c r="G8805" s="200" t="s">
        <v>3360</v>
      </c>
      <c r="H8805" s="200" t="s">
        <v>567</v>
      </c>
    </row>
    <row r="8806" spans="1:9" ht="15" customHeight="1">
      <c r="A8806" s="199">
        <v>45806</v>
      </c>
      <c r="B8806" s="202" t="s">
        <v>6792</v>
      </c>
      <c r="C8806" s="200" t="s">
        <v>204</v>
      </c>
      <c r="D8806" s="649">
        <v>-2428800</v>
      </c>
      <c r="E8806" s="662">
        <v>45778</v>
      </c>
      <c r="F8806" s="200" t="s">
        <v>297</v>
      </c>
      <c r="G8806" s="200" t="s">
        <v>3892</v>
      </c>
      <c r="H8806" s="200" t="s">
        <v>567</v>
      </c>
    </row>
    <row r="8807" spans="1:9" ht="15" customHeight="1">
      <c r="A8807" s="199">
        <v>45806</v>
      </c>
      <c r="B8807" s="202" t="s">
        <v>6792</v>
      </c>
      <c r="C8807" s="200" t="s">
        <v>204</v>
      </c>
      <c r="D8807" s="649">
        <v>-151800</v>
      </c>
      <c r="E8807" s="662">
        <v>45778</v>
      </c>
      <c r="F8807" s="200" t="s">
        <v>297</v>
      </c>
      <c r="G8807" s="200" t="s">
        <v>3848</v>
      </c>
      <c r="H8807" s="200" t="s">
        <v>567</v>
      </c>
    </row>
    <row r="8808" spans="1:9" ht="15" customHeight="1">
      <c r="A8808" s="199">
        <v>45806</v>
      </c>
      <c r="B8808" s="202" t="s">
        <v>6793</v>
      </c>
      <c r="C8808" s="200" t="s">
        <v>204</v>
      </c>
      <c r="D8808" s="649">
        <v>-625000</v>
      </c>
      <c r="E8808" s="662">
        <v>45778</v>
      </c>
      <c r="F8808" s="200" t="s">
        <v>296</v>
      </c>
      <c r="G8808" s="200" t="s">
        <v>1825</v>
      </c>
      <c r="H8808" s="200" t="s">
        <v>338</v>
      </c>
    </row>
    <row r="8809" spans="1:9" ht="15" customHeight="1">
      <c r="A8809" s="199">
        <v>45806</v>
      </c>
      <c r="B8809" s="202" t="s">
        <v>6793</v>
      </c>
      <c r="C8809" s="200" t="s">
        <v>204</v>
      </c>
      <c r="D8809" s="649">
        <v>-625000</v>
      </c>
      <c r="E8809" s="662">
        <v>45778</v>
      </c>
      <c r="F8809" s="200" t="s">
        <v>296</v>
      </c>
      <c r="G8809" s="200" t="s">
        <v>522</v>
      </c>
      <c r="H8809" s="200" t="s">
        <v>338</v>
      </c>
    </row>
    <row r="8810" spans="1:9" ht="15" customHeight="1">
      <c r="A8810" s="199">
        <v>45806</v>
      </c>
      <c r="B8810" s="202" t="s">
        <v>6794</v>
      </c>
      <c r="C8810" s="200" t="s">
        <v>204</v>
      </c>
      <c r="D8810" s="649">
        <v>-440100</v>
      </c>
      <c r="E8810" s="662">
        <v>45778</v>
      </c>
      <c r="F8810" s="200" t="s">
        <v>296</v>
      </c>
      <c r="G8810" s="200" t="s">
        <v>2418</v>
      </c>
      <c r="H8810" s="200" t="s">
        <v>567</v>
      </c>
      <c r="I8810" s="648" t="s">
        <v>329</v>
      </c>
    </row>
    <row r="8811" spans="1:9" ht="15" customHeight="1">
      <c r="A8811" s="199">
        <v>45806</v>
      </c>
      <c r="B8811" s="202" t="s">
        <v>6794</v>
      </c>
      <c r="C8811" s="200" t="s">
        <v>204</v>
      </c>
      <c r="D8811" s="649">
        <v>-733500</v>
      </c>
      <c r="E8811" s="662">
        <v>45778</v>
      </c>
      <c r="F8811" s="200" t="s">
        <v>296</v>
      </c>
      <c r="G8811" s="200" t="s">
        <v>415</v>
      </c>
      <c r="H8811" s="200" t="s">
        <v>567</v>
      </c>
    </row>
    <row r="8812" spans="1:9" ht="15" customHeight="1">
      <c r="A8812" s="199">
        <v>45806</v>
      </c>
      <c r="B8812" s="202" t="s">
        <v>6794</v>
      </c>
      <c r="C8812" s="200" t="s">
        <v>204</v>
      </c>
      <c r="D8812" s="649">
        <v>-1760400</v>
      </c>
      <c r="E8812" s="662">
        <v>45778</v>
      </c>
      <c r="F8812" s="200" t="s">
        <v>297</v>
      </c>
      <c r="G8812" s="200" t="s">
        <v>71</v>
      </c>
      <c r="H8812" s="200" t="s">
        <v>567</v>
      </c>
    </row>
    <row r="8813" spans="1:9" ht="15" customHeight="1">
      <c r="A8813" s="199">
        <v>45806</v>
      </c>
      <c r="B8813" s="202" t="s">
        <v>6795</v>
      </c>
      <c r="C8813" s="200" t="s">
        <v>204</v>
      </c>
      <c r="D8813" s="649">
        <v>-2760000</v>
      </c>
      <c r="E8813" s="662">
        <v>45778</v>
      </c>
      <c r="F8813" s="200" t="s">
        <v>296</v>
      </c>
      <c r="G8813" s="200" t="s">
        <v>522</v>
      </c>
      <c r="H8813" s="200" t="s">
        <v>338</v>
      </c>
    </row>
    <row r="8814" spans="1:9" ht="15" customHeight="1">
      <c r="A8814" s="199">
        <v>45806</v>
      </c>
      <c r="B8814" s="202" t="s">
        <v>6796</v>
      </c>
      <c r="C8814" s="200" t="s">
        <v>204</v>
      </c>
      <c r="D8814" s="649">
        <v>-2760000</v>
      </c>
      <c r="E8814" s="662">
        <v>45778</v>
      </c>
      <c r="F8814" s="200" t="s">
        <v>296</v>
      </c>
      <c r="G8814" s="200" t="s">
        <v>1980</v>
      </c>
      <c r="H8814" s="200" t="s">
        <v>338</v>
      </c>
    </row>
    <row r="8815" spans="1:9" ht="15" customHeight="1">
      <c r="A8815" s="199">
        <v>45806</v>
      </c>
      <c r="B8815" s="202" t="s">
        <v>6797</v>
      </c>
      <c r="C8815" s="200" t="s">
        <v>204</v>
      </c>
      <c r="D8815" s="649">
        <v>-1380000</v>
      </c>
      <c r="E8815" s="662">
        <v>45778</v>
      </c>
      <c r="F8815" s="200" t="s">
        <v>296</v>
      </c>
      <c r="G8815" s="200" t="s">
        <v>1362</v>
      </c>
      <c r="H8815" s="200" t="s">
        <v>567</v>
      </c>
    </row>
    <row r="8816" spans="1:9" ht="15" customHeight="1">
      <c r="A8816" s="199">
        <v>45806</v>
      </c>
      <c r="B8816" s="202" t="s">
        <v>6797</v>
      </c>
      <c r="C8816" s="200" t="s">
        <v>204</v>
      </c>
      <c r="D8816" s="649">
        <v>-1380000</v>
      </c>
      <c r="E8816" s="662">
        <v>45778</v>
      </c>
      <c r="F8816" s="200" t="s">
        <v>296</v>
      </c>
      <c r="G8816" s="200" t="s">
        <v>5466</v>
      </c>
      <c r="H8816" s="200" t="s">
        <v>567</v>
      </c>
    </row>
    <row r="8817" spans="1:9" ht="15" customHeight="1">
      <c r="A8817" s="199">
        <v>45806</v>
      </c>
      <c r="B8817" s="202" t="s">
        <v>6798</v>
      </c>
      <c r="C8817" s="200" t="s">
        <v>204</v>
      </c>
      <c r="D8817" s="649">
        <v>-2208000</v>
      </c>
      <c r="E8817" s="662">
        <v>45778</v>
      </c>
      <c r="F8817" s="200" t="s">
        <v>296</v>
      </c>
      <c r="G8817" s="200" t="s">
        <v>1362</v>
      </c>
      <c r="H8817" s="200" t="s">
        <v>567</v>
      </c>
    </row>
    <row r="8818" spans="1:9" ht="15" customHeight="1">
      <c r="A8818" s="199">
        <v>45806</v>
      </c>
      <c r="B8818" s="202" t="s">
        <v>6798</v>
      </c>
      <c r="C8818" s="200" t="s">
        <v>204</v>
      </c>
      <c r="D8818" s="649">
        <v>-552000</v>
      </c>
      <c r="E8818" s="662">
        <v>45778</v>
      </c>
      <c r="F8818" s="200" t="s">
        <v>296</v>
      </c>
      <c r="G8818" s="200" t="s">
        <v>5466</v>
      </c>
      <c r="H8818" s="200" t="s">
        <v>567</v>
      </c>
    </row>
    <row r="8819" spans="1:9" ht="15" customHeight="1">
      <c r="A8819" s="199">
        <v>45806</v>
      </c>
      <c r="B8819" s="202" t="s">
        <v>6799</v>
      </c>
      <c r="C8819" s="200" t="s">
        <v>204</v>
      </c>
      <c r="D8819" s="649">
        <v>-276000</v>
      </c>
      <c r="E8819" s="662">
        <v>45778</v>
      </c>
      <c r="F8819" s="200" t="s">
        <v>296</v>
      </c>
      <c r="G8819" s="200" t="s">
        <v>3360</v>
      </c>
      <c r="H8819" s="200" t="s">
        <v>567</v>
      </c>
    </row>
    <row r="8820" spans="1:9" ht="15" customHeight="1">
      <c r="A8820" s="199">
        <v>45806</v>
      </c>
      <c r="B8820" s="202" t="s">
        <v>6799</v>
      </c>
      <c r="C8820" s="200" t="s">
        <v>204</v>
      </c>
      <c r="D8820" s="649">
        <v>-2346000</v>
      </c>
      <c r="E8820" s="662">
        <v>45778</v>
      </c>
      <c r="F8820" s="200" t="s">
        <v>297</v>
      </c>
      <c r="G8820" s="200" t="s">
        <v>3892</v>
      </c>
      <c r="H8820" s="200" t="s">
        <v>567</v>
      </c>
    </row>
    <row r="8821" spans="1:9" ht="15" customHeight="1">
      <c r="A8821" s="199">
        <v>45806</v>
      </c>
      <c r="B8821" s="202" t="s">
        <v>6799</v>
      </c>
      <c r="C8821" s="200" t="s">
        <v>204</v>
      </c>
      <c r="D8821" s="649">
        <v>-138000</v>
      </c>
      <c r="E8821" s="662">
        <v>45778</v>
      </c>
      <c r="F8821" s="200" t="s">
        <v>297</v>
      </c>
      <c r="G8821" s="200" t="s">
        <v>3848</v>
      </c>
      <c r="H8821" s="200" t="s">
        <v>567</v>
      </c>
      <c r="I8821" s="648" t="s">
        <v>329</v>
      </c>
    </row>
    <row r="8822" spans="1:9" ht="15" customHeight="1">
      <c r="A8822" s="199">
        <v>45806</v>
      </c>
      <c r="B8822" s="202" t="s">
        <v>6800</v>
      </c>
      <c r="C8822" s="200" t="s">
        <v>204</v>
      </c>
      <c r="D8822" s="649">
        <v>-1334000</v>
      </c>
      <c r="E8822" s="662">
        <v>45778</v>
      </c>
      <c r="F8822" s="200" t="s">
        <v>296</v>
      </c>
      <c r="G8822" s="200" t="s">
        <v>44</v>
      </c>
      <c r="H8822" s="200" t="s">
        <v>429</v>
      </c>
    </row>
    <row r="8823" spans="1:9" ht="15" customHeight="1">
      <c r="A8823" s="199">
        <v>45806</v>
      </c>
      <c r="B8823" s="202" t="s">
        <v>6801</v>
      </c>
      <c r="C8823" s="200" t="s">
        <v>204</v>
      </c>
      <c r="D8823" s="649">
        <v>-741476.66666666663</v>
      </c>
      <c r="E8823" s="662">
        <v>45778</v>
      </c>
      <c r="F8823" s="200" t="s">
        <v>296</v>
      </c>
      <c r="G8823" s="200" t="s">
        <v>44</v>
      </c>
      <c r="H8823" s="200" t="s">
        <v>429</v>
      </c>
    </row>
    <row r="8824" spans="1:9" ht="15" customHeight="1">
      <c r="A8824" s="199">
        <v>45806</v>
      </c>
      <c r="B8824" s="202" t="s">
        <v>6802</v>
      </c>
      <c r="C8824" s="200" t="s">
        <v>204</v>
      </c>
      <c r="D8824" s="649">
        <v>-761927.5</v>
      </c>
      <c r="E8824" s="662">
        <v>45778</v>
      </c>
      <c r="F8824" s="200" t="s">
        <v>296</v>
      </c>
      <c r="G8824" s="200" t="s">
        <v>44</v>
      </c>
      <c r="H8824" s="200" t="s">
        <v>429</v>
      </c>
    </row>
    <row r="8825" spans="1:9" ht="15" customHeight="1">
      <c r="A8825" s="199">
        <v>45806</v>
      </c>
      <c r="B8825" s="202" t="s">
        <v>6803</v>
      </c>
      <c r="C8825" s="200" t="s">
        <v>204</v>
      </c>
      <c r="D8825" s="649">
        <v>-711606.83333333337</v>
      </c>
      <c r="E8825" s="662">
        <v>45778</v>
      </c>
      <c r="F8825" s="200" t="s">
        <v>296</v>
      </c>
      <c r="G8825" s="200" t="s">
        <v>44</v>
      </c>
      <c r="H8825" s="200" t="s">
        <v>429</v>
      </c>
    </row>
    <row r="8826" spans="1:9" ht="15" customHeight="1">
      <c r="A8826" s="199">
        <v>45806</v>
      </c>
      <c r="B8826" s="202" t="s">
        <v>6804</v>
      </c>
      <c r="C8826" s="200" t="s">
        <v>204</v>
      </c>
      <c r="D8826" s="649">
        <v>-761927.5</v>
      </c>
      <c r="E8826" s="662">
        <v>45778</v>
      </c>
      <c r="F8826" s="200" t="s">
        <v>296</v>
      </c>
      <c r="G8826" s="200" t="s">
        <v>44</v>
      </c>
      <c r="H8826" s="200" t="s">
        <v>429</v>
      </c>
    </row>
    <row r="8827" spans="1:9" ht="15" customHeight="1">
      <c r="A8827" s="199">
        <v>45806</v>
      </c>
      <c r="B8827" s="202" t="s">
        <v>6805</v>
      </c>
      <c r="C8827" s="200" t="s">
        <v>204</v>
      </c>
      <c r="D8827" s="649">
        <v>-1076500.0000000002</v>
      </c>
      <c r="E8827" s="662">
        <v>45778</v>
      </c>
      <c r="F8827" s="200" t="s">
        <v>296</v>
      </c>
      <c r="G8827" s="200" t="s">
        <v>44</v>
      </c>
      <c r="H8827" s="200" t="s">
        <v>429</v>
      </c>
    </row>
    <row r="8828" spans="1:9" ht="15" customHeight="1">
      <c r="A8828" s="199">
        <v>45806</v>
      </c>
      <c r="B8828" s="202" t="s">
        <v>6806</v>
      </c>
      <c r="C8828" s="200" t="s">
        <v>204</v>
      </c>
      <c r="D8828" s="649">
        <v>-1076500.0000000002</v>
      </c>
      <c r="E8828" s="662">
        <v>45778</v>
      </c>
      <c r="F8828" s="200" t="s">
        <v>296</v>
      </c>
      <c r="G8828" s="200" t="s">
        <v>1825</v>
      </c>
      <c r="H8828" s="200" t="s">
        <v>429</v>
      </c>
    </row>
    <row r="8829" spans="1:9" ht="15" customHeight="1">
      <c r="A8829" s="199">
        <v>45806</v>
      </c>
      <c r="B8829" s="202" t="s">
        <v>6807</v>
      </c>
      <c r="C8829" s="200" t="s">
        <v>204</v>
      </c>
      <c r="D8829" s="649">
        <v>-882000</v>
      </c>
      <c r="E8829" s="662">
        <v>45778</v>
      </c>
      <c r="F8829" s="200" t="s">
        <v>296</v>
      </c>
      <c r="G8829" s="200" t="s">
        <v>1825</v>
      </c>
      <c r="H8829" s="200" t="s">
        <v>429</v>
      </c>
    </row>
    <row r="8830" spans="1:9" ht="15" customHeight="1">
      <c r="A8830" s="199">
        <v>45806</v>
      </c>
      <c r="B8830" s="202" t="s">
        <v>6808</v>
      </c>
      <c r="C8830" s="200" t="s">
        <v>204</v>
      </c>
      <c r="D8830" s="649">
        <v>-754810</v>
      </c>
      <c r="E8830" s="662">
        <v>45778</v>
      </c>
      <c r="F8830" s="200" t="s">
        <v>296</v>
      </c>
      <c r="G8830" s="200" t="s">
        <v>1825</v>
      </c>
      <c r="H8830" s="200" t="s">
        <v>429</v>
      </c>
    </row>
    <row r="8831" spans="1:9" ht="15" customHeight="1">
      <c r="A8831" s="199">
        <v>45806</v>
      </c>
      <c r="B8831" s="202" t="s">
        <v>6809</v>
      </c>
      <c r="C8831" s="200" t="s">
        <v>204</v>
      </c>
      <c r="D8831" s="649">
        <v>-761927.5</v>
      </c>
      <c r="E8831" s="662">
        <v>45778</v>
      </c>
      <c r="F8831" s="200" t="s">
        <v>296</v>
      </c>
      <c r="G8831" s="200" t="s">
        <v>1825</v>
      </c>
      <c r="H8831" s="200" t="s">
        <v>429</v>
      </c>
    </row>
    <row r="8832" spans="1:9" ht="15" customHeight="1">
      <c r="A8832" s="199">
        <v>45806</v>
      </c>
      <c r="B8832" s="202" t="s">
        <v>6810</v>
      </c>
      <c r="C8832" s="200" t="s">
        <v>204</v>
      </c>
      <c r="D8832" s="649">
        <v>-754810</v>
      </c>
      <c r="E8832" s="662">
        <v>45778</v>
      </c>
      <c r="F8832" s="200" t="s">
        <v>296</v>
      </c>
      <c r="G8832" s="200" t="s">
        <v>1825</v>
      </c>
      <c r="H8832" s="200" t="s">
        <v>429</v>
      </c>
    </row>
    <row r="8833" spans="1:8" ht="15" customHeight="1">
      <c r="A8833" s="199">
        <v>45806</v>
      </c>
      <c r="B8833" s="202" t="s">
        <v>6811</v>
      </c>
      <c r="C8833" s="200" t="s">
        <v>204</v>
      </c>
      <c r="D8833" s="649">
        <v>-754810</v>
      </c>
      <c r="E8833" s="662">
        <v>45778</v>
      </c>
      <c r="F8833" s="200" t="s">
        <v>296</v>
      </c>
      <c r="G8833" s="200" t="s">
        <v>1825</v>
      </c>
      <c r="H8833" s="200" t="s">
        <v>429</v>
      </c>
    </row>
    <row r="8834" spans="1:8" ht="15" customHeight="1">
      <c r="A8834" s="199">
        <v>45806</v>
      </c>
      <c r="B8834" s="202" t="s">
        <v>6812</v>
      </c>
      <c r="C8834" s="200" t="s">
        <v>204</v>
      </c>
      <c r="D8834" s="649">
        <v>-754810</v>
      </c>
      <c r="E8834" s="662">
        <v>45778</v>
      </c>
      <c r="F8834" s="200" t="s">
        <v>296</v>
      </c>
      <c r="G8834" s="200" t="s">
        <v>1825</v>
      </c>
      <c r="H8834" s="200" t="s">
        <v>429</v>
      </c>
    </row>
    <row r="8835" spans="1:8" ht="15" customHeight="1">
      <c r="A8835" s="199">
        <v>45806</v>
      </c>
      <c r="B8835" s="202" t="s">
        <v>6813</v>
      </c>
      <c r="C8835" s="200" t="s">
        <v>204</v>
      </c>
      <c r="D8835" s="649">
        <v>-754810</v>
      </c>
      <c r="E8835" s="662">
        <v>45778</v>
      </c>
      <c r="F8835" s="200" t="s">
        <v>296</v>
      </c>
      <c r="G8835" s="200" t="s">
        <v>1825</v>
      </c>
      <c r="H8835" s="200" t="s">
        <v>429</v>
      </c>
    </row>
    <row r="8836" spans="1:8" ht="15" customHeight="1">
      <c r="A8836" s="199">
        <v>45806</v>
      </c>
      <c r="B8836" s="202" t="s">
        <v>6814</v>
      </c>
      <c r="C8836" s="200" t="s">
        <v>204</v>
      </c>
      <c r="D8836" s="649">
        <v>-754810</v>
      </c>
      <c r="E8836" s="662">
        <v>45778</v>
      </c>
      <c r="F8836" s="200" t="s">
        <v>296</v>
      </c>
      <c r="G8836" s="200" t="s">
        <v>1825</v>
      </c>
      <c r="H8836" s="200" t="s">
        <v>429</v>
      </c>
    </row>
    <row r="8837" spans="1:8" ht="15" customHeight="1">
      <c r="A8837" s="199">
        <v>45806</v>
      </c>
      <c r="B8837" s="202" t="s">
        <v>6815</v>
      </c>
      <c r="C8837" s="200" t="s">
        <v>204</v>
      </c>
      <c r="D8837" s="649">
        <v>-754810</v>
      </c>
      <c r="E8837" s="662">
        <v>45778</v>
      </c>
      <c r="F8837" s="200" t="s">
        <v>296</v>
      </c>
      <c r="G8837" s="200" t="s">
        <v>1825</v>
      </c>
      <c r="H8837" s="200" t="s">
        <v>429</v>
      </c>
    </row>
    <row r="8838" spans="1:8" ht="15" customHeight="1">
      <c r="A8838" s="199">
        <v>45806</v>
      </c>
      <c r="B8838" s="202" t="s">
        <v>6816</v>
      </c>
      <c r="C8838" s="200" t="s">
        <v>204</v>
      </c>
      <c r="D8838" s="649">
        <v>-754810</v>
      </c>
      <c r="E8838" s="662">
        <v>45778</v>
      </c>
      <c r="F8838" s="200" t="s">
        <v>296</v>
      </c>
      <c r="G8838" s="200" t="s">
        <v>1825</v>
      </c>
      <c r="H8838" s="200" t="s">
        <v>429</v>
      </c>
    </row>
    <row r="8839" spans="1:8" ht="15" customHeight="1">
      <c r="A8839" s="199">
        <v>45806</v>
      </c>
      <c r="B8839" s="202" t="s">
        <v>6817</v>
      </c>
      <c r="C8839" s="200" t="s">
        <v>204</v>
      </c>
      <c r="D8839" s="649">
        <v>-754810</v>
      </c>
      <c r="E8839" s="662">
        <v>45778</v>
      </c>
      <c r="F8839" s="200" t="s">
        <v>296</v>
      </c>
      <c r="G8839" s="200" t="s">
        <v>1825</v>
      </c>
      <c r="H8839" s="200" t="s">
        <v>429</v>
      </c>
    </row>
    <row r="8840" spans="1:8" ht="15" customHeight="1">
      <c r="A8840" s="199">
        <v>45806</v>
      </c>
      <c r="B8840" s="202" t="s">
        <v>6818</v>
      </c>
      <c r="C8840" s="200" t="s">
        <v>204</v>
      </c>
      <c r="D8840" s="649">
        <v>-754810</v>
      </c>
      <c r="E8840" s="662">
        <v>45778</v>
      </c>
      <c r="F8840" s="200" t="s">
        <v>296</v>
      </c>
      <c r="G8840" s="200" t="s">
        <v>1825</v>
      </c>
      <c r="H8840" s="200" t="s">
        <v>429</v>
      </c>
    </row>
    <row r="8841" spans="1:8" ht="15" customHeight="1">
      <c r="A8841" s="199">
        <v>45806</v>
      </c>
      <c r="B8841" s="202" t="s">
        <v>6819</v>
      </c>
      <c r="C8841" s="200" t="s">
        <v>204</v>
      </c>
      <c r="D8841" s="649">
        <v>-776162.5</v>
      </c>
      <c r="E8841" s="662">
        <v>45778</v>
      </c>
      <c r="F8841" s="200" t="s">
        <v>296</v>
      </c>
      <c r="G8841" s="200" t="s">
        <v>1825</v>
      </c>
      <c r="H8841" s="200" t="s">
        <v>429</v>
      </c>
    </row>
    <row r="8842" spans="1:8" ht="15" customHeight="1">
      <c r="A8842" s="199">
        <v>45806</v>
      </c>
      <c r="B8842" s="202" t="s">
        <v>6820</v>
      </c>
      <c r="C8842" s="200" t="s">
        <v>204</v>
      </c>
      <c r="D8842" s="649">
        <v>-769045</v>
      </c>
      <c r="E8842" s="662">
        <v>45778</v>
      </c>
      <c r="F8842" s="200" t="s">
        <v>296</v>
      </c>
      <c r="G8842" s="200" t="s">
        <v>1825</v>
      </c>
      <c r="H8842" s="200" t="s">
        <v>429</v>
      </c>
    </row>
    <row r="8843" spans="1:8" ht="15" customHeight="1">
      <c r="A8843" s="199">
        <v>45806</v>
      </c>
      <c r="B8843" s="202" t="s">
        <v>6821</v>
      </c>
      <c r="C8843" s="200" t="s">
        <v>204</v>
      </c>
      <c r="D8843" s="649">
        <v>-761927.5</v>
      </c>
      <c r="E8843" s="662">
        <v>45778</v>
      </c>
      <c r="F8843" s="200" t="s">
        <v>296</v>
      </c>
      <c r="G8843" s="200" t="s">
        <v>1825</v>
      </c>
      <c r="H8843" s="200" t="s">
        <v>429</v>
      </c>
    </row>
    <row r="8844" spans="1:8" ht="15" customHeight="1">
      <c r="A8844" s="199">
        <v>45806</v>
      </c>
      <c r="B8844" s="202" t="s">
        <v>6822</v>
      </c>
      <c r="C8844" s="200" t="s">
        <v>204</v>
      </c>
      <c r="D8844" s="649">
        <v>-761927.5</v>
      </c>
      <c r="E8844" s="662">
        <v>45778</v>
      </c>
      <c r="F8844" s="200" t="s">
        <v>296</v>
      </c>
      <c r="G8844" s="200" t="s">
        <v>1825</v>
      </c>
      <c r="H8844" s="200" t="s">
        <v>429</v>
      </c>
    </row>
    <row r="8845" spans="1:8" ht="15" customHeight="1">
      <c r="A8845" s="199">
        <v>45806</v>
      </c>
      <c r="B8845" s="202" t="s">
        <v>6823</v>
      </c>
      <c r="C8845" s="200" t="s">
        <v>204</v>
      </c>
      <c r="D8845" s="649">
        <v>-754810</v>
      </c>
      <c r="E8845" s="662">
        <v>45778</v>
      </c>
      <c r="F8845" s="200" t="s">
        <v>296</v>
      </c>
      <c r="G8845" s="200" t="s">
        <v>1825</v>
      </c>
      <c r="H8845" s="200" t="s">
        <v>429</v>
      </c>
    </row>
    <row r="8846" spans="1:8" ht="15" customHeight="1">
      <c r="A8846" s="199">
        <v>45806</v>
      </c>
      <c r="B8846" s="202" t="s">
        <v>6824</v>
      </c>
      <c r="C8846" s="200" t="s">
        <v>204</v>
      </c>
      <c r="D8846" s="649">
        <v>-761927.5</v>
      </c>
      <c r="E8846" s="662">
        <v>45778</v>
      </c>
      <c r="F8846" s="200" t="s">
        <v>296</v>
      </c>
      <c r="G8846" s="200" t="s">
        <v>1825</v>
      </c>
      <c r="H8846" s="200" t="s">
        <v>429</v>
      </c>
    </row>
    <row r="8847" spans="1:8" ht="15" customHeight="1">
      <c r="A8847" s="199">
        <v>45806</v>
      </c>
      <c r="B8847" s="202" t="s">
        <v>6825</v>
      </c>
      <c r="C8847" s="200" t="s">
        <v>204</v>
      </c>
      <c r="D8847" s="649">
        <v>-1247700</v>
      </c>
      <c r="E8847" s="662">
        <v>45778</v>
      </c>
      <c r="F8847" s="200" t="s">
        <v>296</v>
      </c>
      <c r="G8847" s="200" t="s">
        <v>522</v>
      </c>
      <c r="H8847" s="200" t="s">
        <v>429</v>
      </c>
    </row>
    <row r="8848" spans="1:8" ht="15" customHeight="1">
      <c r="A8848" s="199">
        <v>45806</v>
      </c>
      <c r="B8848" s="202" t="s">
        <v>6826</v>
      </c>
      <c r="C8848" s="200" t="s">
        <v>204</v>
      </c>
      <c r="D8848" s="649">
        <v>-836000</v>
      </c>
      <c r="E8848" s="662">
        <v>45778</v>
      </c>
      <c r="F8848" s="200" t="s">
        <v>296</v>
      </c>
      <c r="G8848" s="200" t="s">
        <v>522</v>
      </c>
      <c r="H8848" s="200" t="s">
        <v>429</v>
      </c>
    </row>
    <row r="8849" spans="1:8" ht="15" customHeight="1">
      <c r="A8849" s="199">
        <v>45806</v>
      </c>
      <c r="B8849" s="202" t="s">
        <v>6827</v>
      </c>
      <c r="C8849" s="200" t="s">
        <v>204</v>
      </c>
      <c r="D8849" s="649">
        <v>-1250000</v>
      </c>
      <c r="E8849" s="662">
        <v>45778</v>
      </c>
      <c r="F8849" s="200" t="s">
        <v>296</v>
      </c>
      <c r="G8849" s="200" t="s">
        <v>522</v>
      </c>
      <c r="H8849" s="200" t="s">
        <v>429</v>
      </c>
    </row>
    <row r="8850" spans="1:8" ht="15" customHeight="1">
      <c r="A8850" s="199">
        <v>45806</v>
      </c>
      <c r="B8850" s="202" t="s">
        <v>6828</v>
      </c>
      <c r="C8850" s="200" t="s">
        <v>204</v>
      </c>
      <c r="D8850" s="649">
        <v>-754810</v>
      </c>
      <c r="E8850" s="662">
        <v>45778</v>
      </c>
      <c r="F8850" s="200" t="s">
        <v>296</v>
      </c>
      <c r="G8850" s="200" t="s">
        <v>522</v>
      </c>
      <c r="H8850" s="200" t="s">
        <v>429</v>
      </c>
    </row>
    <row r="8851" spans="1:8" ht="15" customHeight="1">
      <c r="A8851" s="199">
        <v>45806</v>
      </c>
      <c r="B8851" s="202" t="s">
        <v>6829</v>
      </c>
      <c r="C8851" s="200" t="s">
        <v>204</v>
      </c>
      <c r="D8851" s="649">
        <v>-731510</v>
      </c>
      <c r="E8851" s="662">
        <v>45778</v>
      </c>
      <c r="F8851" s="200" t="s">
        <v>296</v>
      </c>
      <c r="G8851" s="200" t="s">
        <v>522</v>
      </c>
      <c r="H8851" s="200" t="s">
        <v>429</v>
      </c>
    </row>
    <row r="8852" spans="1:8" ht="15" customHeight="1">
      <c r="A8852" s="199">
        <v>45806</v>
      </c>
      <c r="B8852" s="202" t="s">
        <v>6830</v>
      </c>
      <c r="C8852" s="200" t="s">
        <v>204</v>
      </c>
      <c r="D8852" s="649">
        <v>-754810</v>
      </c>
      <c r="E8852" s="662">
        <v>45778</v>
      </c>
      <c r="F8852" s="200" t="s">
        <v>296</v>
      </c>
      <c r="G8852" s="200" t="s">
        <v>522</v>
      </c>
      <c r="H8852" s="200" t="s">
        <v>429</v>
      </c>
    </row>
    <row r="8853" spans="1:8" ht="15" customHeight="1">
      <c r="A8853" s="199">
        <v>45806</v>
      </c>
      <c r="B8853" s="202" t="s">
        <v>6831</v>
      </c>
      <c r="C8853" s="200" t="s">
        <v>204</v>
      </c>
      <c r="D8853" s="649">
        <v>-754810</v>
      </c>
      <c r="E8853" s="662">
        <v>45778</v>
      </c>
      <c r="F8853" s="200" t="s">
        <v>296</v>
      </c>
      <c r="G8853" s="200" t="s">
        <v>522</v>
      </c>
      <c r="H8853" s="200" t="s">
        <v>429</v>
      </c>
    </row>
    <row r="8854" spans="1:8" ht="15" customHeight="1">
      <c r="A8854" s="199">
        <v>45806</v>
      </c>
      <c r="B8854" s="202" t="s">
        <v>6832</v>
      </c>
      <c r="C8854" s="200" t="s">
        <v>204</v>
      </c>
      <c r="D8854" s="649">
        <v>-719310</v>
      </c>
      <c r="E8854" s="662">
        <v>45778</v>
      </c>
      <c r="F8854" s="200" t="s">
        <v>296</v>
      </c>
      <c r="G8854" s="200" t="s">
        <v>522</v>
      </c>
      <c r="H8854" s="200" t="s">
        <v>429</v>
      </c>
    </row>
    <row r="8855" spans="1:8" ht="15" customHeight="1">
      <c r="A8855" s="199">
        <v>45806</v>
      </c>
      <c r="B8855" s="202" t="s">
        <v>6833</v>
      </c>
      <c r="C8855" s="200" t="s">
        <v>204</v>
      </c>
      <c r="D8855" s="649">
        <v>-754810</v>
      </c>
      <c r="E8855" s="662">
        <v>45778</v>
      </c>
      <c r="F8855" s="200" t="s">
        <v>296</v>
      </c>
      <c r="G8855" s="200" t="s">
        <v>522</v>
      </c>
      <c r="H8855" s="200" t="s">
        <v>429</v>
      </c>
    </row>
    <row r="8856" spans="1:8" ht="15" customHeight="1">
      <c r="A8856" s="199">
        <v>45806</v>
      </c>
      <c r="B8856" s="202" t="s">
        <v>6834</v>
      </c>
      <c r="C8856" s="200" t="s">
        <v>204</v>
      </c>
      <c r="D8856" s="649">
        <v>-754810</v>
      </c>
      <c r="E8856" s="662">
        <v>45778</v>
      </c>
      <c r="F8856" s="200" t="s">
        <v>296</v>
      </c>
      <c r="G8856" s="200" t="s">
        <v>522</v>
      </c>
      <c r="H8856" s="200" t="s">
        <v>429</v>
      </c>
    </row>
    <row r="8857" spans="1:8" ht="15" customHeight="1">
      <c r="A8857" s="199">
        <v>45806</v>
      </c>
      <c r="B8857" s="202" t="s">
        <v>6835</v>
      </c>
      <c r="C8857" s="200" t="s">
        <v>204</v>
      </c>
      <c r="D8857" s="649">
        <v>-754810</v>
      </c>
      <c r="E8857" s="662">
        <v>45778</v>
      </c>
      <c r="F8857" s="200" t="s">
        <v>296</v>
      </c>
      <c r="G8857" s="200" t="s">
        <v>522</v>
      </c>
      <c r="H8857" s="200" t="s">
        <v>429</v>
      </c>
    </row>
    <row r="8858" spans="1:8" ht="15" customHeight="1">
      <c r="A8858" s="199">
        <v>45806</v>
      </c>
      <c r="B8858" s="202" t="s">
        <v>6836</v>
      </c>
      <c r="C8858" s="200" t="s">
        <v>204</v>
      </c>
      <c r="D8858" s="649">
        <v>-928000</v>
      </c>
      <c r="E8858" s="662">
        <v>45778</v>
      </c>
      <c r="F8858" s="200" t="s">
        <v>296</v>
      </c>
      <c r="G8858" s="200" t="s">
        <v>522</v>
      </c>
      <c r="H8858" s="200" t="s">
        <v>429</v>
      </c>
    </row>
    <row r="8859" spans="1:8" ht="15" customHeight="1">
      <c r="A8859" s="199">
        <v>45806</v>
      </c>
      <c r="B8859" s="202" t="s">
        <v>6837</v>
      </c>
      <c r="C8859" s="200" t="s">
        <v>204</v>
      </c>
      <c r="D8859" s="649">
        <v>-754810</v>
      </c>
      <c r="E8859" s="662">
        <v>45778</v>
      </c>
      <c r="F8859" s="200" t="s">
        <v>296</v>
      </c>
      <c r="G8859" s="200" t="s">
        <v>522</v>
      </c>
      <c r="H8859" s="200" t="s">
        <v>429</v>
      </c>
    </row>
    <row r="8860" spans="1:8" ht="15" customHeight="1">
      <c r="A8860" s="199">
        <v>45806</v>
      </c>
      <c r="B8860" s="202" t="s">
        <v>6838</v>
      </c>
      <c r="C8860" s="200" t="s">
        <v>204</v>
      </c>
      <c r="D8860" s="649">
        <v>-754810</v>
      </c>
      <c r="E8860" s="662">
        <v>45778</v>
      </c>
      <c r="F8860" s="200" t="s">
        <v>296</v>
      </c>
      <c r="G8860" s="200" t="s">
        <v>1980</v>
      </c>
      <c r="H8860" s="200" t="s">
        <v>488</v>
      </c>
    </row>
    <row r="8861" spans="1:8" ht="15" customHeight="1">
      <c r="A8861" s="199">
        <v>45806</v>
      </c>
      <c r="B8861" s="202" t="s">
        <v>6839</v>
      </c>
      <c r="C8861" s="200" t="s">
        <v>204</v>
      </c>
      <c r="D8861" s="649">
        <v>-848666.66666666663</v>
      </c>
      <c r="E8861" s="662">
        <v>45778</v>
      </c>
      <c r="F8861" s="200" t="s">
        <v>296</v>
      </c>
      <c r="G8861" s="200" t="s">
        <v>1980</v>
      </c>
      <c r="H8861" s="200" t="s">
        <v>488</v>
      </c>
    </row>
    <row r="8862" spans="1:8" ht="15" customHeight="1">
      <c r="A8862" s="199">
        <v>45806</v>
      </c>
      <c r="B8862" s="202" t="s">
        <v>6840</v>
      </c>
      <c r="C8862" s="200" t="s">
        <v>204</v>
      </c>
      <c r="D8862" s="649">
        <v>-754810</v>
      </c>
      <c r="E8862" s="662">
        <v>45778</v>
      </c>
      <c r="F8862" s="200" t="s">
        <v>296</v>
      </c>
      <c r="G8862" s="200" t="s">
        <v>1980</v>
      </c>
      <c r="H8862" s="200" t="s">
        <v>488</v>
      </c>
    </row>
    <row r="8863" spans="1:8" ht="15" customHeight="1">
      <c r="A8863" s="199">
        <v>45806</v>
      </c>
      <c r="B8863" s="202" t="s">
        <v>6841</v>
      </c>
      <c r="C8863" s="200" t="s">
        <v>204</v>
      </c>
      <c r="D8863" s="649">
        <v>-721476.66666666663</v>
      </c>
      <c r="E8863" s="662">
        <v>45778</v>
      </c>
      <c r="F8863" s="200" t="s">
        <v>296</v>
      </c>
      <c r="G8863" s="200" t="s">
        <v>1980</v>
      </c>
      <c r="H8863" s="200" t="s">
        <v>488</v>
      </c>
    </row>
    <row r="8864" spans="1:8" ht="15" customHeight="1">
      <c r="A8864" s="199">
        <v>45806</v>
      </c>
      <c r="B8864" s="202" t="s">
        <v>6842</v>
      </c>
      <c r="C8864" s="200" t="s">
        <v>204</v>
      </c>
      <c r="D8864" s="649">
        <v>-754810</v>
      </c>
      <c r="E8864" s="662">
        <v>45778</v>
      </c>
      <c r="F8864" s="200" t="s">
        <v>296</v>
      </c>
      <c r="G8864" s="200" t="s">
        <v>1980</v>
      </c>
      <c r="H8864" s="200" t="s">
        <v>488</v>
      </c>
    </row>
    <row r="8865" spans="1:8" ht="15" customHeight="1">
      <c r="A8865" s="199">
        <v>45806</v>
      </c>
      <c r="B8865" s="202" t="s">
        <v>6843</v>
      </c>
      <c r="C8865" s="200" t="s">
        <v>204</v>
      </c>
      <c r="D8865" s="649">
        <v>-754810</v>
      </c>
      <c r="E8865" s="662">
        <v>45778</v>
      </c>
      <c r="F8865" s="200" t="s">
        <v>296</v>
      </c>
      <c r="G8865" s="200" t="s">
        <v>1980</v>
      </c>
      <c r="H8865" s="200" t="s">
        <v>488</v>
      </c>
    </row>
    <row r="8866" spans="1:8" ht="15" customHeight="1">
      <c r="A8866" s="199">
        <v>45806</v>
      </c>
      <c r="B8866" s="202" t="s">
        <v>6844</v>
      </c>
      <c r="C8866" s="200" t="s">
        <v>204</v>
      </c>
      <c r="D8866" s="649">
        <v>-754810</v>
      </c>
      <c r="E8866" s="662">
        <v>45778</v>
      </c>
      <c r="F8866" s="200" t="s">
        <v>296</v>
      </c>
      <c r="G8866" s="200" t="s">
        <v>1980</v>
      </c>
      <c r="H8866" s="200" t="s">
        <v>488</v>
      </c>
    </row>
    <row r="8867" spans="1:8" ht="15" customHeight="1">
      <c r="A8867" s="199">
        <v>45806</v>
      </c>
      <c r="B8867" s="202" t="s">
        <v>6845</v>
      </c>
      <c r="C8867" s="200" t="s">
        <v>204</v>
      </c>
      <c r="D8867" s="649">
        <v>-728143.33333333337</v>
      </c>
      <c r="E8867" s="662">
        <v>45778</v>
      </c>
      <c r="F8867" s="200" t="s">
        <v>296</v>
      </c>
      <c r="G8867" s="200" t="s">
        <v>1980</v>
      </c>
      <c r="H8867" s="200" t="s">
        <v>488</v>
      </c>
    </row>
    <row r="8868" spans="1:8" ht="15" customHeight="1">
      <c r="A8868" s="199">
        <v>45806</v>
      </c>
      <c r="B8868" s="202" t="s">
        <v>6846</v>
      </c>
      <c r="C8868" s="200" t="s">
        <v>204</v>
      </c>
      <c r="D8868" s="649">
        <v>-754810</v>
      </c>
      <c r="E8868" s="662">
        <v>45778</v>
      </c>
      <c r="F8868" s="200" t="s">
        <v>296</v>
      </c>
      <c r="G8868" s="200" t="s">
        <v>1980</v>
      </c>
      <c r="H8868" s="200" t="s">
        <v>488</v>
      </c>
    </row>
    <row r="8869" spans="1:8" ht="15" customHeight="1">
      <c r="A8869" s="199">
        <v>45806</v>
      </c>
      <c r="B8869" s="202" t="s">
        <v>6847</v>
      </c>
      <c r="C8869" s="200" t="s">
        <v>204</v>
      </c>
      <c r="D8869" s="649">
        <v>-754810</v>
      </c>
      <c r="E8869" s="662">
        <v>45778</v>
      </c>
      <c r="F8869" s="200" t="s">
        <v>296</v>
      </c>
      <c r="G8869" s="200" t="s">
        <v>1980</v>
      </c>
      <c r="H8869" s="200" t="s">
        <v>488</v>
      </c>
    </row>
    <row r="8870" spans="1:8" ht="15" customHeight="1">
      <c r="A8870" s="199">
        <v>45806</v>
      </c>
      <c r="B8870" s="202" t="s">
        <v>6848</v>
      </c>
      <c r="C8870" s="200" t="s">
        <v>204</v>
      </c>
      <c r="D8870" s="649">
        <v>-754810</v>
      </c>
      <c r="E8870" s="662">
        <v>45778</v>
      </c>
      <c r="F8870" s="200" t="s">
        <v>296</v>
      </c>
      <c r="G8870" s="200" t="s">
        <v>1980</v>
      </c>
      <c r="H8870" s="200" t="s">
        <v>488</v>
      </c>
    </row>
    <row r="8871" spans="1:8" ht="15" customHeight="1">
      <c r="A8871" s="199">
        <v>45806</v>
      </c>
      <c r="B8871" s="202" t="s">
        <v>6849</v>
      </c>
      <c r="C8871" s="200" t="s">
        <v>204</v>
      </c>
      <c r="D8871" s="649">
        <v>-754810</v>
      </c>
      <c r="E8871" s="662">
        <v>45778</v>
      </c>
      <c r="F8871" s="200" t="s">
        <v>296</v>
      </c>
      <c r="G8871" s="200" t="s">
        <v>1980</v>
      </c>
      <c r="H8871" s="200" t="s">
        <v>488</v>
      </c>
    </row>
    <row r="8872" spans="1:8" ht="15" customHeight="1">
      <c r="A8872" s="199">
        <v>45806</v>
      </c>
      <c r="B8872" s="202" t="s">
        <v>6850</v>
      </c>
      <c r="C8872" s="200" t="s">
        <v>204</v>
      </c>
      <c r="D8872" s="649">
        <v>-754810</v>
      </c>
      <c r="E8872" s="662">
        <v>45778</v>
      </c>
      <c r="F8872" s="200" t="s">
        <v>296</v>
      </c>
      <c r="G8872" s="200" t="s">
        <v>1980</v>
      </c>
      <c r="H8872" s="200" t="s">
        <v>488</v>
      </c>
    </row>
    <row r="8873" spans="1:8" ht="15" customHeight="1">
      <c r="A8873" s="199">
        <v>45806</v>
      </c>
      <c r="B8873" s="202" t="s">
        <v>6851</v>
      </c>
      <c r="C8873" s="200" t="s">
        <v>204</v>
      </c>
      <c r="D8873" s="649">
        <v>-754810</v>
      </c>
      <c r="E8873" s="662">
        <v>45778</v>
      </c>
      <c r="F8873" s="200" t="s">
        <v>296</v>
      </c>
      <c r="G8873" s="200" t="s">
        <v>1980</v>
      </c>
      <c r="H8873" s="200" t="s">
        <v>488</v>
      </c>
    </row>
    <row r="8874" spans="1:8" ht="15" customHeight="1">
      <c r="A8874" s="199">
        <v>45806</v>
      </c>
      <c r="B8874" s="202" t="s">
        <v>6852</v>
      </c>
      <c r="C8874" s="200" t="s">
        <v>204</v>
      </c>
      <c r="D8874" s="649">
        <v>-754810</v>
      </c>
      <c r="E8874" s="662">
        <v>45778</v>
      </c>
      <c r="F8874" s="200" t="s">
        <v>296</v>
      </c>
      <c r="G8874" s="200" t="s">
        <v>1980</v>
      </c>
      <c r="H8874" s="200" t="s">
        <v>488</v>
      </c>
    </row>
    <row r="8875" spans="1:8" ht="15" customHeight="1">
      <c r="A8875" s="199">
        <v>45806</v>
      </c>
      <c r="B8875" s="202" t="s">
        <v>6853</v>
      </c>
      <c r="C8875" s="200" t="s">
        <v>204</v>
      </c>
      <c r="D8875" s="649">
        <v>-754810</v>
      </c>
      <c r="E8875" s="662">
        <v>45778</v>
      </c>
      <c r="F8875" s="200" t="s">
        <v>296</v>
      </c>
      <c r="G8875" s="200" t="s">
        <v>1980</v>
      </c>
      <c r="H8875" s="200" t="s">
        <v>488</v>
      </c>
    </row>
    <row r="8876" spans="1:8" ht="15" customHeight="1">
      <c r="A8876" s="199">
        <v>45806</v>
      </c>
      <c r="B8876" s="202" t="s">
        <v>6854</v>
      </c>
      <c r="C8876" s="200" t="s">
        <v>204</v>
      </c>
      <c r="D8876" s="649">
        <v>-741476.66666666663</v>
      </c>
      <c r="E8876" s="662">
        <v>45778</v>
      </c>
      <c r="F8876" s="200" t="s">
        <v>296</v>
      </c>
      <c r="G8876" s="200" t="s">
        <v>1980</v>
      </c>
      <c r="H8876" s="200" t="s">
        <v>488</v>
      </c>
    </row>
    <row r="8877" spans="1:8" ht="15" customHeight="1">
      <c r="A8877" s="199">
        <v>45806</v>
      </c>
      <c r="B8877" s="202" t="s">
        <v>6855</v>
      </c>
      <c r="C8877" s="200" t="s">
        <v>204</v>
      </c>
      <c r="D8877" s="649">
        <v>-754810</v>
      </c>
      <c r="E8877" s="662">
        <v>45778</v>
      </c>
      <c r="F8877" s="200" t="s">
        <v>296</v>
      </c>
      <c r="G8877" s="200" t="s">
        <v>1980</v>
      </c>
      <c r="H8877" s="200" t="s">
        <v>488</v>
      </c>
    </row>
    <row r="8878" spans="1:8" ht="15" customHeight="1">
      <c r="A8878" s="199">
        <v>45806</v>
      </c>
      <c r="B8878" s="202" t="s">
        <v>6856</v>
      </c>
      <c r="C8878" s="200" t="s">
        <v>204</v>
      </c>
      <c r="D8878" s="649">
        <v>-754810</v>
      </c>
      <c r="E8878" s="662">
        <v>45778</v>
      </c>
      <c r="F8878" s="200" t="s">
        <v>296</v>
      </c>
      <c r="G8878" s="200" t="s">
        <v>1980</v>
      </c>
      <c r="H8878" s="200" t="s">
        <v>488</v>
      </c>
    </row>
    <row r="8879" spans="1:8" ht="15" customHeight="1">
      <c r="A8879" s="199">
        <v>45806</v>
      </c>
      <c r="B8879" s="202" t="s">
        <v>6857</v>
      </c>
      <c r="C8879" s="200" t="s">
        <v>204</v>
      </c>
      <c r="D8879" s="649">
        <v>-754810</v>
      </c>
      <c r="E8879" s="662">
        <v>45778</v>
      </c>
      <c r="F8879" s="200" t="s">
        <v>296</v>
      </c>
      <c r="G8879" s="200" t="s">
        <v>1980</v>
      </c>
      <c r="H8879" s="200" t="s">
        <v>488</v>
      </c>
    </row>
    <row r="8880" spans="1:8" ht="15" customHeight="1">
      <c r="A8880" s="199">
        <v>45806</v>
      </c>
      <c r="B8880" s="202" t="s">
        <v>6858</v>
      </c>
      <c r="C8880" s="200" t="s">
        <v>204</v>
      </c>
      <c r="D8880" s="649">
        <v>-741476.66666666663</v>
      </c>
      <c r="E8880" s="662">
        <v>45778</v>
      </c>
      <c r="F8880" s="200" t="s">
        <v>296</v>
      </c>
      <c r="G8880" s="200" t="s">
        <v>1980</v>
      </c>
      <c r="H8880" s="200" t="s">
        <v>488</v>
      </c>
    </row>
    <row r="8881" spans="1:8" ht="15" customHeight="1">
      <c r="A8881" s="199">
        <v>45806</v>
      </c>
      <c r="B8881" s="202" t="s">
        <v>6859</v>
      </c>
      <c r="C8881" s="200" t="s">
        <v>204</v>
      </c>
      <c r="D8881" s="649">
        <v>-754810</v>
      </c>
      <c r="E8881" s="662">
        <v>45778</v>
      </c>
      <c r="F8881" s="200" t="s">
        <v>296</v>
      </c>
      <c r="G8881" s="200" t="s">
        <v>1980</v>
      </c>
      <c r="H8881" s="200" t="s">
        <v>488</v>
      </c>
    </row>
    <row r="8882" spans="1:8" ht="15" customHeight="1">
      <c r="A8882" s="199">
        <v>45806</v>
      </c>
      <c r="B8882" s="202" t="s">
        <v>6860</v>
      </c>
      <c r="C8882" s="200" t="s">
        <v>204</v>
      </c>
      <c r="D8882" s="649">
        <v>-754810</v>
      </c>
      <c r="E8882" s="662">
        <v>45778</v>
      </c>
      <c r="F8882" s="200" t="s">
        <v>296</v>
      </c>
      <c r="G8882" s="200" t="s">
        <v>1980</v>
      </c>
      <c r="H8882" s="200" t="s">
        <v>488</v>
      </c>
    </row>
    <row r="8883" spans="1:8" ht="15" customHeight="1">
      <c r="A8883" s="199">
        <v>45806</v>
      </c>
      <c r="B8883" s="202" t="s">
        <v>6861</v>
      </c>
      <c r="C8883" s="200" t="s">
        <v>204</v>
      </c>
      <c r="D8883" s="649">
        <v>-754810</v>
      </c>
      <c r="E8883" s="662">
        <v>45778</v>
      </c>
      <c r="F8883" s="200" t="s">
        <v>296</v>
      </c>
      <c r="G8883" s="200" t="s">
        <v>1980</v>
      </c>
      <c r="H8883" s="200" t="s">
        <v>488</v>
      </c>
    </row>
    <row r="8884" spans="1:8" ht="15" customHeight="1">
      <c r="A8884" s="199">
        <v>45806</v>
      </c>
      <c r="B8884" s="202" t="s">
        <v>6862</v>
      </c>
      <c r="C8884" s="200" t="s">
        <v>204</v>
      </c>
      <c r="D8884" s="649">
        <v>-754810</v>
      </c>
      <c r="E8884" s="662">
        <v>45778</v>
      </c>
      <c r="F8884" s="200" t="s">
        <v>296</v>
      </c>
      <c r="G8884" s="200" t="s">
        <v>1980</v>
      </c>
      <c r="H8884" s="200" t="s">
        <v>488</v>
      </c>
    </row>
    <row r="8885" spans="1:8" ht="15" customHeight="1">
      <c r="A8885" s="199">
        <v>45806</v>
      </c>
      <c r="B8885" s="202" t="s">
        <v>6863</v>
      </c>
      <c r="C8885" s="200" t="s">
        <v>204</v>
      </c>
      <c r="D8885" s="649">
        <v>-754810</v>
      </c>
      <c r="E8885" s="662">
        <v>45778</v>
      </c>
      <c r="F8885" s="200" t="s">
        <v>296</v>
      </c>
      <c r="G8885" s="200" t="s">
        <v>1983</v>
      </c>
      <c r="H8885" s="200" t="s">
        <v>429</v>
      </c>
    </row>
    <row r="8886" spans="1:8" ht="15" customHeight="1">
      <c r="A8886" s="199">
        <v>45806</v>
      </c>
      <c r="B8886" s="202" t="s">
        <v>6864</v>
      </c>
      <c r="C8886" s="200" t="s">
        <v>204</v>
      </c>
      <c r="D8886" s="649">
        <v>-704489.33333333337</v>
      </c>
      <c r="E8886" s="662">
        <v>45778</v>
      </c>
      <c r="F8886" s="200" t="s">
        <v>296</v>
      </c>
      <c r="G8886" s="200" t="s">
        <v>1983</v>
      </c>
      <c r="H8886" s="200" t="s">
        <v>429</v>
      </c>
    </row>
    <row r="8887" spans="1:8" ht="15" customHeight="1">
      <c r="A8887" s="199">
        <v>45806</v>
      </c>
      <c r="B8887" s="202" t="s">
        <v>6865</v>
      </c>
      <c r="C8887" s="200" t="s">
        <v>204</v>
      </c>
      <c r="D8887" s="649">
        <v>-754810</v>
      </c>
      <c r="E8887" s="662">
        <v>45778</v>
      </c>
      <c r="F8887" s="200" t="s">
        <v>296</v>
      </c>
      <c r="G8887" s="200" t="s">
        <v>1983</v>
      </c>
      <c r="H8887" s="200" t="s">
        <v>429</v>
      </c>
    </row>
    <row r="8888" spans="1:8" ht="15" customHeight="1">
      <c r="A8888" s="199">
        <v>45806</v>
      </c>
      <c r="B8888" s="202" t="s">
        <v>6866</v>
      </c>
      <c r="C8888" s="200" t="s">
        <v>204</v>
      </c>
      <c r="D8888" s="649">
        <v>-754810</v>
      </c>
      <c r="E8888" s="662">
        <v>45778</v>
      </c>
      <c r="F8888" s="200" t="s">
        <v>296</v>
      </c>
      <c r="G8888" s="200" t="s">
        <v>1983</v>
      </c>
      <c r="H8888" s="200" t="s">
        <v>429</v>
      </c>
    </row>
    <row r="8889" spans="1:8" ht="15" customHeight="1">
      <c r="A8889" s="199">
        <v>45806</v>
      </c>
      <c r="B8889" s="202" t="s">
        <v>6867</v>
      </c>
      <c r="C8889" s="200" t="s">
        <v>204</v>
      </c>
      <c r="D8889" s="649">
        <v>-754810</v>
      </c>
      <c r="E8889" s="662">
        <v>45778</v>
      </c>
      <c r="F8889" s="200" t="s">
        <v>296</v>
      </c>
      <c r="G8889" s="200" t="s">
        <v>1983</v>
      </c>
      <c r="H8889" s="200" t="s">
        <v>429</v>
      </c>
    </row>
    <row r="8890" spans="1:8" ht="15" customHeight="1">
      <c r="A8890" s="199">
        <v>45806</v>
      </c>
      <c r="B8890" s="202" t="s">
        <v>6868</v>
      </c>
      <c r="C8890" s="200" t="s">
        <v>204</v>
      </c>
      <c r="D8890" s="649">
        <v>-754810</v>
      </c>
      <c r="E8890" s="662">
        <v>45778</v>
      </c>
      <c r="F8890" s="200" t="s">
        <v>296</v>
      </c>
      <c r="G8890" s="200" t="s">
        <v>1983</v>
      </c>
      <c r="H8890" s="200" t="s">
        <v>429</v>
      </c>
    </row>
    <row r="8891" spans="1:8" ht="15" customHeight="1">
      <c r="A8891" s="199">
        <v>45806</v>
      </c>
      <c r="B8891" s="202" t="s">
        <v>6869</v>
      </c>
      <c r="C8891" s="200" t="s">
        <v>204</v>
      </c>
      <c r="D8891" s="649">
        <v>-754810</v>
      </c>
      <c r="E8891" s="662">
        <v>45778</v>
      </c>
      <c r="F8891" s="200" t="s">
        <v>296</v>
      </c>
      <c r="G8891" s="200" t="s">
        <v>1983</v>
      </c>
      <c r="H8891" s="200" t="s">
        <v>429</v>
      </c>
    </row>
    <row r="8892" spans="1:8" ht="15" customHeight="1">
      <c r="A8892" s="199">
        <v>45806</v>
      </c>
      <c r="B8892" s="202" t="s">
        <v>6870</v>
      </c>
      <c r="C8892" s="200" t="s">
        <v>204</v>
      </c>
      <c r="D8892" s="649">
        <v>-754810</v>
      </c>
      <c r="E8892" s="662">
        <v>45778</v>
      </c>
      <c r="F8892" s="200" t="s">
        <v>296</v>
      </c>
      <c r="G8892" s="200" t="s">
        <v>1983</v>
      </c>
      <c r="H8892" s="200" t="s">
        <v>429</v>
      </c>
    </row>
    <row r="8893" spans="1:8" ht="15" customHeight="1">
      <c r="A8893" s="199">
        <v>45806</v>
      </c>
      <c r="B8893" s="202" t="s">
        <v>6871</v>
      </c>
      <c r="C8893" s="200" t="s">
        <v>204</v>
      </c>
      <c r="D8893" s="649">
        <v>-754810</v>
      </c>
      <c r="E8893" s="662">
        <v>45778</v>
      </c>
      <c r="F8893" s="200" t="s">
        <v>296</v>
      </c>
      <c r="G8893" s="200" t="s">
        <v>807</v>
      </c>
      <c r="H8893" s="200" t="s">
        <v>429</v>
      </c>
    </row>
    <row r="8894" spans="1:8" ht="15" customHeight="1">
      <c r="A8894" s="199">
        <v>45806</v>
      </c>
      <c r="B8894" s="202" t="s">
        <v>6872</v>
      </c>
      <c r="C8894" s="200" t="s">
        <v>204</v>
      </c>
      <c r="D8894" s="649">
        <v>-754810</v>
      </c>
      <c r="E8894" s="662">
        <v>45778</v>
      </c>
      <c r="F8894" s="200" t="s">
        <v>296</v>
      </c>
      <c r="G8894" s="200" t="s">
        <v>807</v>
      </c>
      <c r="H8894" s="200" t="s">
        <v>429</v>
      </c>
    </row>
    <row r="8895" spans="1:8" ht="15" customHeight="1">
      <c r="A8895" s="199">
        <v>45806</v>
      </c>
      <c r="B8895" s="202" t="s">
        <v>6873</v>
      </c>
      <c r="C8895" s="200" t="s">
        <v>204</v>
      </c>
      <c r="D8895" s="649">
        <v>-754810</v>
      </c>
      <c r="E8895" s="662">
        <v>45778</v>
      </c>
      <c r="F8895" s="200" t="s">
        <v>296</v>
      </c>
      <c r="G8895" s="200" t="s">
        <v>807</v>
      </c>
      <c r="H8895" s="200" t="s">
        <v>429</v>
      </c>
    </row>
    <row r="8896" spans="1:8" ht="15" customHeight="1">
      <c r="A8896" s="199">
        <v>45806</v>
      </c>
      <c r="B8896" s="202" t="s">
        <v>6874</v>
      </c>
      <c r="C8896" s="200" t="s">
        <v>204</v>
      </c>
      <c r="D8896" s="649">
        <v>-882000</v>
      </c>
      <c r="E8896" s="662">
        <v>45778</v>
      </c>
      <c r="F8896" s="200" t="s">
        <v>296</v>
      </c>
      <c r="G8896" s="200" t="s">
        <v>807</v>
      </c>
      <c r="H8896" s="200" t="s">
        <v>429</v>
      </c>
    </row>
    <row r="8897" spans="1:8" ht="15" customHeight="1">
      <c r="A8897" s="199">
        <v>45806</v>
      </c>
      <c r="B8897" s="202" t="s">
        <v>6875</v>
      </c>
      <c r="C8897" s="200" t="s">
        <v>204</v>
      </c>
      <c r="D8897" s="649">
        <v>-754810</v>
      </c>
      <c r="E8897" s="662">
        <v>45778</v>
      </c>
      <c r="F8897" s="200" t="s">
        <v>296</v>
      </c>
      <c r="G8897" s="200" t="s">
        <v>807</v>
      </c>
      <c r="H8897" s="200" t="s">
        <v>429</v>
      </c>
    </row>
    <row r="8898" spans="1:8" ht="15" customHeight="1">
      <c r="A8898" s="199">
        <v>45806</v>
      </c>
      <c r="B8898" s="202" t="s">
        <v>6876</v>
      </c>
      <c r="C8898" s="200" t="s">
        <v>204</v>
      </c>
      <c r="D8898" s="649">
        <v>-754810</v>
      </c>
      <c r="E8898" s="662">
        <v>45778</v>
      </c>
      <c r="F8898" s="200" t="s">
        <v>296</v>
      </c>
      <c r="G8898" s="200" t="s">
        <v>807</v>
      </c>
      <c r="H8898" s="200" t="s">
        <v>429</v>
      </c>
    </row>
    <row r="8899" spans="1:8" ht="15" customHeight="1">
      <c r="A8899" s="199">
        <v>45806</v>
      </c>
      <c r="B8899" s="202" t="s">
        <v>6877</v>
      </c>
      <c r="C8899" s="200" t="s">
        <v>204</v>
      </c>
      <c r="D8899" s="649">
        <v>-754810</v>
      </c>
      <c r="E8899" s="662">
        <v>45778</v>
      </c>
      <c r="F8899" s="200" t="s">
        <v>296</v>
      </c>
      <c r="G8899" s="200" t="s">
        <v>807</v>
      </c>
      <c r="H8899" s="200" t="s">
        <v>429</v>
      </c>
    </row>
    <row r="8900" spans="1:8" ht="15" customHeight="1">
      <c r="A8900" s="199">
        <v>45806</v>
      </c>
      <c r="B8900" s="202" t="s">
        <v>6878</v>
      </c>
      <c r="C8900" s="200" t="s">
        <v>204</v>
      </c>
      <c r="D8900" s="649">
        <v>-754810</v>
      </c>
      <c r="E8900" s="662">
        <v>45778</v>
      </c>
      <c r="F8900" s="200" t="s">
        <v>296</v>
      </c>
      <c r="G8900" s="200" t="s">
        <v>807</v>
      </c>
      <c r="H8900" s="200" t="s">
        <v>429</v>
      </c>
    </row>
    <row r="8901" spans="1:8" ht="15" customHeight="1">
      <c r="A8901" s="199">
        <v>45806</v>
      </c>
      <c r="B8901" s="202" t="s">
        <v>6879</v>
      </c>
      <c r="C8901" s="200" t="s">
        <v>204</v>
      </c>
      <c r="D8901" s="649">
        <v>-754810</v>
      </c>
      <c r="E8901" s="662">
        <v>45778</v>
      </c>
      <c r="F8901" s="200" t="s">
        <v>296</v>
      </c>
      <c r="G8901" s="200" t="s">
        <v>807</v>
      </c>
      <c r="H8901" s="200" t="s">
        <v>429</v>
      </c>
    </row>
    <row r="8902" spans="1:8" ht="15" customHeight="1">
      <c r="A8902" s="199">
        <v>45806</v>
      </c>
      <c r="B8902" s="202" t="s">
        <v>6880</v>
      </c>
      <c r="C8902" s="200" t="s">
        <v>204</v>
      </c>
      <c r="D8902" s="649">
        <v>-754810</v>
      </c>
      <c r="E8902" s="662">
        <v>45778</v>
      </c>
      <c r="F8902" s="200" t="s">
        <v>296</v>
      </c>
      <c r="G8902" s="200" t="s">
        <v>807</v>
      </c>
      <c r="H8902" s="200" t="s">
        <v>429</v>
      </c>
    </row>
    <row r="8903" spans="1:8" ht="15" customHeight="1">
      <c r="A8903" s="199">
        <v>45806</v>
      </c>
      <c r="B8903" s="202" t="s">
        <v>6881</v>
      </c>
      <c r="C8903" s="200" t="s">
        <v>204</v>
      </c>
      <c r="D8903" s="649">
        <v>-754810</v>
      </c>
      <c r="E8903" s="662">
        <v>45778</v>
      </c>
      <c r="F8903" s="200" t="s">
        <v>296</v>
      </c>
      <c r="G8903" s="200" t="s">
        <v>807</v>
      </c>
      <c r="H8903" s="200" t="s">
        <v>429</v>
      </c>
    </row>
    <row r="8904" spans="1:8" ht="15" customHeight="1">
      <c r="A8904" s="199">
        <v>45806</v>
      </c>
      <c r="B8904" s="202" t="s">
        <v>6882</v>
      </c>
      <c r="C8904" s="200" t="s">
        <v>204</v>
      </c>
      <c r="D8904" s="649">
        <v>-654810</v>
      </c>
      <c r="E8904" s="662">
        <v>45778</v>
      </c>
      <c r="F8904" s="200" t="s">
        <v>296</v>
      </c>
      <c r="G8904" s="200" t="s">
        <v>807</v>
      </c>
      <c r="H8904" s="200" t="s">
        <v>429</v>
      </c>
    </row>
    <row r="8905" spans="1:8" ht="15" customHeight="1">
      <c r="A8905" s="199">
        <v>45806</v>
      </c>
      <c r="B8905" s="202" t="s">
        <v>6883</v>
      </c>
      <c r="C8905" s="200" t="s">
        <v>204</v>
      </c>
      <c r="D8905" s="649">
        <v>-754810</v>
      </c>
      <c r="E8905" s="662">
        <v>45778</v>
      </c>
      <c r="F8905" s="200" t="s">
        <v>296</v>
      </c>
      <c r="G8905" s="200" t="s">
        <v>807</v>
      </c>
      <c r="H8905" s="200" t="s">
        <v>429</v>
      </c>
    </row>
    <row r="8906" spans="1:8" ht="15" customHeight="1">
      <c r="A8906" s="199">
        <v>45806</v>
      </c>
      <c r="B8906" s="202" t="s">
        <v>6884</v>
      </c>
      <c r="C8906" s="200" t="s">
        <v>204</v>
      </c>
      <c r="D8906" s="649">
        <v>-754810</v>
      </c>
      <c r="E8906" s="662">
        <v>45778</v>
      </c>
      <c r="F8906" s="200" t="s">
        <v>296</v>
      </c>
      <c r="G8906" s="200" t="s">
        <v>807</v>
      </c>
      <c r="H8906" s="200" t="s">
        <v>429</v>
      </c>
    </row>
    <row r="8907" spans="1:8" ht="15" customHeight="1">
      <c r="A8907" s="199">
        <v>45806</v>
      </c>
      <c r="B8907" s="202" t="s">
        <v>6885</v>
      </c>
      <c r="C8907" s="200" t="s">
        <v>204</v>
      </c>
      <c r="D8907" s="649">
        <v>-754810</v>
      </c>
      <c r="E8907" s="662">
        <v>45778</v>
      </c>
      <c r="F8907" s="200" t="s">
        <v>296</v>
      </c>
      <c r="G8907" s="200" t="s">
        <v>807</v>
      </c>
      <c r="H8907" s="200" t="s">
        <v>429</v>
      </c>
    </row>
    <row r="8908" spans="1:8" ht="15" customHeight="1">
      <c r="A8908" s="199">
        <v>45806</v>
      </c>
      <c r="B8908" s="202" t="s">
        <v>6886</v>
      </c>
      <c r="C8908" s="200" t="s">
        <v>204</v>
      </c>
      <c r="D8908" s="649">
        <v>-701476.66666666663</v>
      </c>
      <c r="E8908" s="662">
        <v>45778</v>
      </c>
      <c r="F8908" s="200" t="s">
        <v>296</v>
      </c>
      <c r="G8908" s="200" t="s">
        <v>807</v>
      </c>
      <c r="H8908" s="200" t="s">
        <v>429</v>
      </c>
    </row>
    <row r="8909" spans="1:8" ht="15" customHeight="1">
      <c r="A8909" s="199">
        <v>45806</v>
      </c>
      <c r="B8909" s="202" t="s">
        <v>6887</v>
      </c>
      <c r="C8909" s="200" t="s">
        <v>204</v>
      </c>
      <c r="D8909" s="649">
        <v>-754810</v>
      </c>
      <c r="E8909" s="662">
        <v>45778</v>
      </c>
      <c r="F8909" s="200" t="s">
        <v>296</v>
      </c>
      <c r="G8909" s="200" t="s">
        <v>807</v>
      </c>
      <c r="H8909" s="200" t="s">
        <v>429</v>
      </c>
    </row>
    <row r="8910" spans="1:8" ht="15" customHeight="1">
      <c r="A8910" s="199">
        <v>45806</v>
      </c>
      <c r="B8910" s="202" t="s">
        <v>6888</v>
      </c>
      <c r="C8910" s="200" t="s">
        <v>204</v>
      </c>
      <c r="D8910" s="649">
        <v>-754810</v>
      </c>
      <c r="E8910" s="662">
        <v>45778</v>
      </c>
      <c r="F8910" s="200" t="s">
        <v>296</v>
      </c>
      <c r="G8910" s="200" t="s">
        <v>807</v>
      </c>
      <c r="H8910" s="200" t="s">
        <v>429</v>
      </c>
    </row>
    <row r="8911" spans="1:8" ht="15" customHeight="1">
      <c r="A8911" s="199">
        <v>45806</v>
      </c>
      <c r="B8911" s="202" t="s">
        <v>6889</v>
      </c>
      <c r="C8911" s="200" t="s">
        <v>204</v>
      </c>
      <c r="D8911" s="649">
        <v>-754810</v>
      </c>
      <c r="E8911" s="662">
        <v>45778</v>
      </c>
      <c r="F8911" s="200" t="s">
        <v>296</v>
      </c>
      <c r="G8911" s="200" t="s">
        <v>807</v>
      </c>
      <c r="H8911" s="200" t="s">
        <v>429</v>
      </c>
    </row>
    <row r="8912" spans="1:8" ht="15" customHeight="1">
      <c r="A8912" s="199">
        <v>45806</v>
      </c>
      <c r="B8912" s="202" t="s">
        <v>6890</v>
      </c>
      <c r="C8912" s="200" t="s">
        <v>204</v>
      </c>
      <c r="D8912" s="649">
        <v>-754810</v>
      </c>
      <c r="E8912" s="662">
        <v>45778</v>
      </c>
      <c r="F8912" s="200" t="s">
        <v>296</v>
      </c>
      <c r="G8912" s="200" t="s">
        <v>807</v>
      </c>
      <c r="H8912" s="200" t="s">
        <v>429</v>
      </c>
    </row>
    <row r="8913" spans="1:8" ht="15" customHeight="1">
      <c r="A8913" s="199">
        <v>45806</v>
      </c>
      <c r="B8913" s="202" t="s">
        <v>6891</v>
      </c>
      <c r="C8913" s="200" t="s">
        <v>204</v>
      </c>
      <c r="D8913" s="649">
        <v>-754810</v>
      </c>
      <c r="E8913" s="662">
        <v>45778</v>
      </c>
      <c r="F8913" s="200" t="s">
        <v>296</v>
      </c>
      <c r="G8913" s="200" t="s">
        <v>807</v>
      </c>
      <c r="H8913" s="200" t="s">
        <v>429</v>
      </c>
    </row>
    <row r="8914" spans="1:8" ht="15" customHeight="1">
      <c r="A8914" s="199">
        <v>45806</v>
      </c>
      <c r="B8914" s="202" t="s">
        <v>6892</v>
      </c>
      <c r="C8914" s="200" t="s">
        <v>204</v>
      </c>
      <c r="D8914" s="649">
        <v>-754810</v>
      </c>
      <c r="E8914" s="662">
        <v>45778</v>
      </c>
      <c r="F8914" s="200" t="s">
        <v>296</v>
      </c>
      <c r="G8914" s="200" t="s">
        <v>807</v>
      </c>
      <c r="H8914" s="200" t="s">
        <v>429</v>
      </c>
    </row>
    <row r="8915" spans="1:8" ht="15" customHeight="1">
      <c r="A8915" s="199">
        <v>45806</v>
      </c>
      <c r="B8915" s="202" t="s">
        <v>6893</v>
      </c>
      <c r="C8915" s="200" t="s">
        <v>204</v>
      </c>
      <c r="D8915" s="649">
        <v>-754810</v>
      </c>
      <c r="E8915" s="662">
        <v>45778</v>
      </c>
      <c r="F8915" s="200" t="s">
        <v>296</v>
      </c>
      <c r="G8915" s="200" t="s">
        <v>807</v>
      </c>
      <c r="H8915" s="200" t="s">
        <v>429</v>
      </c>
    </row>
    <row r="8916" spans="1:8" ht="15" customHeight="1">
      <c r="A8916" s="199">
        <v>45806</v>
      </c>
      <c r="B8916" s="202" t="s">
        <v>6894</v>
      </c>
      <c r="C8916" s="200" t="s">
        <v>204</v>
      </c>
      <c r="D8916" s="649">
        <v>-754810</v>
      </c>
      <c r="E8916" s="662">
        <v>45778</v>
      </c>
      <c r="F8916" s="200" t="s">
        <v>296</v>
      </c>
      <c r="G8916" s="200" t="s">
        <v>807</v>
      </c>
      <c r="H8916" s="200" t="s">
        <v>429</v>
      </c>
    </row>
    <row r="8917" spans="1:8" ht="15" customHeight="1">
      <c r="A8917" s="199">
        <v>45806</v>
      </c>
      <c r="B8917" s="202" t="s">
        <v>6895</v>
      </c>
      <c r="C8917" s="200" t="s">
        <v>204</v>
      </c>
      <c r="D8917" s="649">
        <v>-1247700</v>
      </c>
      <c r="E8917" s="662">
        <v>45778</v>
      </c>
      <c r="F8917" s="200" t="s">
        <v>297</v>
      </c>
      <c r="G8917" s="200" t="s">
        <v>3892</v>
      </c>
      <c r="H8917" s="200" t="s">
        <v>342</v>
      </c>
    </row>
    <row r="8918" spans="1:8" ht="15" customHeight="1">
      <c r="A8918" s="199">
        <v>45806</v>
      </c>
      <c r="B8918" s="202" t="s">
        <v>6896</v>
      </c>
      <c r="C8918" s="200" t="s">
        <v>204</v>
      </c>
      <c r="D8918" s="649">
        <v>-836000</v>
      </c>
      <c r="E8918" s="662">
        <v>45778</v>
      </c>
      <c r="F8918" s="200" t="s">
        <v>297</v>
      </c>
      <c r="G8918" s="200" t="s">
        <v>3892</v>
      </c>
      <c r="H8918" s="200" t="s">
        <v>342</v>
      </c>
    </row>
    <row r="8919" spans="1:8" ht="15" customHeight="1">
      <c r="A8919" s="199">
        <v>45806</v>
      </c>
      <c r="B8919" s="202" t="s">
        <v>6897</v>
      </c>
      <c r="C8919" s="200" t="s">
        <v>204</v>
      </c>
      <c r="D8919" s="649">
        <v>-853480</v>
      </c>
      <c r="E8919" s="662">
        <v>45778</v>
      </c>
      <c r="F8919" s="200" t="s">
        <v>297</v>
      </c>
      <c r="G8919" s="200" t="s">
        <v>3892</v>
      </c>
      <c r="H8919" s="200" t="s">
        <v>342</v>
      </c>
    </row>
    <row r="8920" spans="1:8" ht="15" customHeight="1">
      <c r="A8920" s="199">
        <v>45806</v>
      </c>
      <c r="B8920" s="202" t="s">
        <v>6898</v>
      </c>
      <c r="C8920" s="200" t="s">
        <v>204</v>
      </c>
      <c r="D8920" s="649">
        <v>-754810</v>
      </c>
      <c r="E8920" s="662">
        <v>45778</v>
      </c>
      <c r="F8920" s="200" t="s">
        <v>297</v>
      </c>
      <c r="G8920" s="200" t="s">
        <v>3892</v>
      </c>
      <c r="H8920" s="200" t="s">
        <v>342</v>
      </c>
    </row>
    <row r="8921" spans="1:8" ht="15" customHeight="1">
      <c r="A8921" s="199">
        <v>45806</v>
      </c>
      <c r="B8921" s="202" t="s">
        <v>6899</v>
      </c>
      <c r="C8921" s="200" t="s">
        <v>204</v>
      </c>
      <c r="D8921" s="649">
        <v>-754810</v>
      </c>
      <c r="E8921" s="662">
        <v>45778</v>
      </c>
      <c r="F8921" s="200" t="s">
        <v>297</v>
      </c>
      <c r="G8921" s="200" t="s">
        <v>3892</v>
      </c>
      <c r="H8921" s="200" t="s">
        <v>342</v>
      </c>
    </row>
    <row r="8922" spans="1:8" ht="15" customHeight="1">
      <c r="A8922" s="199">
        <v>45806</v>
      </c>
      <c r="B8922" s="202" t="s">
        <v>6900</v>
      </c>
      <c r="C8922" s="200" t="s">
        <v>204</v>
      </c>
      <c r="D8922" s="649">
        <v>-853480</v>
      </c>
      <c r="E8922" s="662">
        <v>45778</v>
      </c>
      <c r="F8922" s="200" t="s">
        <v>297</v>
      </c>
      <c r="G8922" s="200" t="s">
        <v>3892</v>
      </c>
      <c r="H8922" s="200" t="s">
        <v>342</v>
      </c>
    </row>
    <row r="8923" spans="1:8" ht="15" customHeight="1">
      <c r="A8923" s="199">
        <v>45806</v>
      </c>
      <c r="B8923" s="202" t="s">
        <v>6901</v>
      </c>
      <c r="C8923" s="200" t="s">
        <v>204</v>
      </c>
      <c r="D8923" s="649">
        <v>-718910</v>
      </c>
      <c r="E8923" s="662">
        <v>45778</v>
      </c>
      <c r="F8923" s="200" t="s">
        <v>297</v>
      </c>
      <c r="G8923" s="200" t="s">
        <v>71</v>
      </c>
      <c r="H8923" s="200" t="s">
        <v>342</v>
      </c>
    </row>
    <row r="8924" spans="1:8" ht="15" customHeight="1">
      <c r="A8924" s="199">
        <v>45806</v>
      </c>
      <c r="B8924" s="202" t="s">
        <v>6902</v>
      </c>
      <c r="C8924" s="200" t="s">
        <v>204</v>
      </c>
      <c r="D8924" s="649">
        <v>-969737.33333333326</v>
      </c>
      <c r="E8924" s="662">
        <v>45778</v>
      </c>
      <c r="F8924" s="200" t="s">
        <v>297</v>
      </c>
      <c r="G8924" s="200" t="s">
        <v>71</v>
      </c>
      <c r="H8924" s="200" t="s">
        <v>342</v>
      </c>
    </row>
    <row r="8925" spans="1:8" ht="15" customHeight="1">
      <c r="A8925" s="199">
        <v>45806</v>
      </c>
      <c r="B8925" s="202" t="s">
        <v>6903</v>
      </c>
      <c r="C8925" s="200" t="s">
        <v>204</v>
      </c>
      <c r="D8925" s="649">
        <v>-731510</v>
      </c>
      <c r="E8925" s="662">
        <v>45778</v>
      </c>
      <c r="F8925" s="200" t="s">
        <v>297</v>
      </c>
      <c r="G8925" s="200" t="s">
        <v>71</v>
      </c>
      <c r="H8925" s="200" t="s">
        <v>342</v>
      </c>
    </row>
    <row r="8926" spans="1:8" ht="15" customHeight="1">
      <c r="A8926" s="199">
        <v>45806</v>
      </c>
      <c r="B8926" s="202" t="s">
        <v>6904</v>
      </c>
      <c r="C8926" s="200" t="s">
        <v>204</v>
      </c>
      <c r="D8926" s="649">
        <v>-754810</v>
      </c>
      <c r="E8926" s="662">
        <v>45778</v>
      </c>
      <c r="F8926" s="200" t="s">
        <v>297</v>
      </c>
      <c r="G8926" s="200" t="s">
        <v>71</v>
      </c>
      <c r="H8926" s="200" t="s">
        <v>342</v>
      </c>
    </row>
    <row r="8927" spans="1:8" ht="15" customHeight="1">
      <c r="A8927" s="199">
        <v>45806</v>
      </c>
      <c r="B8927" s="202" t="s">
        <v>6905</v>
      </c>
      <c r="C8927" s="200" t="s">
        <v>204</v>
      </c>
      <c r="D8927" s="649">
        <v>-754810</v>
      </c>
      <c r="E8927" s="662">
        <v>45778</v>
      </c>
      <c r="F8927" s="200" t="s">
        <v>297</v>
      </c>
      <c r="G8927" s="200" t="s">
        <v>71</v>
      </c>
      <c r="H8927" s="200" t="s">
        <v>342</v>
      </c>
    </row>
    <row r="8928" spans="1:8" ht="15" customHeight="1">
      <c r="A8928" s="199">
        <v>45806</v>
      </c>
      <c r="B8928" s="202" t="s">
        <v>6906</v>
      </c>
      <c r="C8928" s="200" t="s">
        <v>204</v>
      </c>
      <c r="D8928" s="649">
        <v>-731510</v>
      </c>
      <c r="E8928" s="662">
        <v>45778</v>
      </c>
      <c r="F8928" s="200" t="s">
        <v>297</v>
      </c>
      <c r="G8928" s="200" t="s">
        <v>71</v>
      </c>
      <c r="H8928" s="200" t="s">
        <v>342</v>
      </c>
    </row>
    <row r="8929" spans="1:9" ht="15" customHeight="1">
      <c r="A8929" s="199">
        <v>45806</v>
      </c>
      <c r="B8929" s="202" t="s">
        <v>6907</v>
      </c>
      <c r="C8929" s="200" t="s">
        <v>204</v>
      </c>
      <c r="D8929" s="649">
        <v>-512088</v>
      </c>
      <c r="E8929" s="662">
        <v>45778</v>
      </c>
      <c r="F8929" s="200" t="s">
        <v>297</v>
      </c>
      <c r="G8929" s="200" t="s">
        <v>3892</v>
      </c>
      <c r="H8929" s="200" t="s">
        <v>342</v>
      </c>
    </row>
    <row r="8930" spans="1:9" ht="15" customHeight="1">
      <c r="A8930" s="199">
        <v>45806</v>
      </c>
      <c r="B8930" s="202" t="s">
        <v>6907</v>
      </c>
      <c r="C8930" s="200" t="s">
        <v>204</v>
      </c>
      <c r="D8930" s="649">
        <v>-341392</v>
      </c>
      <c r="E8930" s="662">
        <v>45778</v>
      </c>
      <c r="F8930" s="200" t="s">
        <v>296</v>
      </c>
      <c r="G8930" s="200" t="s">
        <v>1362</v>
      </c>
      <c r="H8930" s="200" t="s">
        <v>342</v>
      </c>
    </row>
    <row r="8931" spans="1:9" ht="15" customHeight="1">
      <c r="A8931" s="199">
        <v>45806</v>
      </c>
      <c r="B8931" s="202" t="s">
        <v>6908</v>
      </c>
      <c r="C8931" s="200" t="s">
        <v>204</v>
      </c>
      <c r="D8931" s="649">
        <v>-784500</v>
      </c>
      <c r="E8931" s="662">
        <v>45778</v>
      </c>
      <c r="F8931" s="200" t="s">
        <v>297</v>
      </c>
      <c r="G8931" s="200" t="s">
        <v>3892</v>
      </c>
      <c r="H8931" s="200" t="s">
        <v>342</v>
      </c>
    </row>
    <row r="8932" spans="1:9" ht="15" customHeight="1">
      <c r="A8932" s="199">
        <v>45806</v>
      </c>
      <c r="B8932" s="202" t="s">
        <v>6908</v>
      </c>
      <c r="C8932" s="200" t="s">
        <v>204</v>
      </c>
      <c r="D8932" s="649">
        <v>-523000</v>
      </c>
      <c r="E8932" s="662">
        <v>45778</v>
      </c>
      <c r="F8932" s="200" t="s">
        <v>296</v>
      </c>
      <c r="G8932" s="200" t="s">
        <v>1362</v>
      </c>
      <c r="H8932" s="200" t="s">
        <v>342</v>
      </c>
    </row>
    <row r="8933" spans="1:9" ht="15" customHeight="1">
      <c r="A8933" s="199">
        <v>45806</v>
      </c>
      <c r="B8933" s="202" t="s">
        <v>6909</v>
      </c>
      <c r="C8933" s="200" t="s">
        <v>204</v>
      </c>
      <c r="D8933" s="649">
        <v>-1261400</v>
      </c>
      <c r="E8933" s="662">
        <v>45778</v>
      </c>
      <c r="F8933" s="200" t="s">
        <v>296</v>
      </c>
      <c r="G8933" s="200" t="s">
        <v>44</v>
      </c>
      <c r="H8933" s="200" t="s">
        <v>366</v>
      </c>
    </row>
    <row r="8934" spans="1:9" ht="15" customHeight="1">
      <c r="A8934" s="199">
        <v>45806</v>
      </c>
      <c r="B8934" s="202" t="s">
        <v>6910</v>
      </c>
      <c r="C8934" s="200" t="s">
        <v>204</v>
      </c>
      <c r="D8934" s="649">
        <v>-1261400</v>
      </c>
      <c r="E8934" s="662">
        <v>45778</v>
      </c>
      <c r="F8934" s="200" t="s">
        <v>296</v>
      </c>
      <c r="G8934" s="200" t="s">
        <v>44</v>
      </c>
      <c r="H8934" s="200" t="s">
        <v>366</v>
      </c>
    </row>
    <row r="8935" spans="1:9" ht="15" customHeight="1">
      <c r="A8935" s="199">
        <v>45806</v>
      </c>
      <c r="B8935" s="202" t="s">
        <v>6911</v>
      </c>
      <c r="C8935" s="200" t="s">
        <v>204</v>
      </c>
      <c r="D8935" s="649">
        <v>-450000</v>
      </c>
      <c r="E8935" s="662">
        <v>45778</v>
      </c>
      <c r="F8935" s="200" t="s">
        <v>296</v>
      </c>
      <c r="G8935" s="200" t="s">
        <v>1980</v>
      </c>
      <c r="H8935" s="200" t="s">
        <v>326</v>
      </c>
    </row>
    <row r="8936" spans="1:9" ht="15" customHeight="1">
      <c r="A8936" s="199">
        <v>45806</v>
      </c>
      <c r="B8936" s="202" t="s">
        <v>6912</v>
      </c>
      <c r="C8936" s="200" t="s">
        <v>372</v>
      </c>
      <c r="D8936" s="204">
        <v>-16321</v>
      </c>
      <c r="E8936" s="662">
        <v>45778</v>
      </c>
      <c r="F8936" s="200" t="s">
        <v>296</v>
      </c>
      <c r="G8936" s="200" t="s">
        <v>1980</v>
      </c>
      <c r="H8936" s="200" t="s">
        <v>326</v>
      </c>
    </row>
    <row r="8937" spans="1:9" ht="15" customHeight="1">
      <c r="A8937" s="199">
        <v>45806</v>
      </c>
      <c r="B8937" s="202" t="s">
        <v>6913</v>
      </c>
      <c r="C8937" s="200" t="s">
        <v>204</v>
      </c>
      <c r="D8937" s="649">
        <v>-400000</v>
      </c>
      <c r="E8937" s="662">
        <v>45778</v>
      </c>
      <c r="F8937" s="200" t="s">
        <v>296</v>
      </c>
      <c r="G8937" s="200" t="s">
        <v>1980</v>
      </c>
      <c r="H8937" s="200" t="s">
        <v>326</v>
      </c>
    </row>
    <row r="8938" spans="1:9" ht="15" customHeight="1">
      <c r="A8938" s="199">
        <v>45806</v>
      </c>
      <c r="B8938" s="202" t="s">
        <v>6914</v>
      </c>
      <c r="C8938" s="200" t="s">
        <v>372</v>
      </c>
      <c r="D8938" s="204">
        <v>-14508</v>
      </c>
      <c r="E8938" s="662">
        <v>45778</v>
      </c>
      <c r="F8938" s="200" t="s">
        <v>296</v>
      </c>
      <c r="G8938" s="200" t="s">
        <v>1980</v>
      </c>
      <c r="H8938" s="200" t="s">
        <v>326</v>
      </c>
    </row>
    <row r="8939" spans="1:9" ht="15" customHeight="1">
      <c r="A8939" s="199">
        <v>45806</v>
      </c>
      <c r="B8939" s="202" t="s">
        <v>6915</v>
      </c>
      <c r="C8939" s="200" t="s">
        <v>204</v>
      </c>
      <c r="D8939" s="649">
        <v>-3177150</v>
      </c>
      <c r="E8939" s="662">
        <v>45778</v>
      </c>
      <c r="F8939" s="200" t="s">
        <v>297</v>
      </c>
      <c r="G8939" s="200" t="s">
        <v>71</v>
      </c>
      <c r="H8939" s="200" t="s">
        <v>5384</v>
      </c>
    </row>
    <row r="8940" spans="1:9" ht="15" customHeight="1">
      <c r="A8940" s="199">
        <v>45806</v>
      </c>
      <c r="B8940" s="202" t="s">
        <v>6916</v>
      </c>
      <c r="C8940" s="200" t="s">
        <v>204</v>
      </c>
      <c r="D8940" s="649">
        <v>-6152250</v>
      </c>
      <c r="E8940" s="662">
        <v>45778</v>
      </c>
      <c r="F8940" s="200" t="s">
        <v>296</v>
      </c>
      <c r="G8940" s="200" t="s">
        <v>5466</v>
      </c>
      <c r="H8940" s="200" t="s">
        <v>839</v>
      </c>
    </row>
    <row r="8941" spans="1:9" ht="15" customHeight="1">
      <c r="A8941" s="199">
        <v>45806</v>
      </c>
      <c r="B8941" s="202" t="s">
        <v>6917</v>
      </c>
      <c r="C8941" s="200" t="s">
        <v>204</v>
      </c>
      <c r="D8941" s="649">
        <v>-5355000</v>
      </c>
      <c r="E8941" s="662">
        <v>45778</v>
      </c>
      <c r="F8941" s="200" t="s">
        <v>296</v>
      </c>
      <c r="G8941" s="200" t="s">
        <v>57</v>
      </c>
      <c r="H8941" s="200" t="s">
        <v>96</v>
      </c>
    </row>
    <row r="8942" spans="1:9" ht="15" customHeight="1">
      <c r="A8942" s="199">
        <v>45806</v>
      </c>
      <c r="B8942" s="202" t="s">
        <v>6918</v>
      </c>
      <c r="C8942" s="200" t="s">
        <v>204</v>
      </c>
      <c r="D8942" s="649">
        <v>-11122</v>
      </c>
      <c r="E8942" s="662">
        <v>45778</v>
      </c>
      <c r="F8942" s="200" t="s">
        <v>297</v>
      </c>
      <c r="G8942" s="200" t="s">
        <v>71</v>
      </c>
      <c r="H8942" s="200" t="s">
        <v>5376</v>
      </c>
    </row>
    <row r="8943" spans="1:9" ht="15" customHeight="1">
      <c r="A8943" s="199">
        <v>45806</v>
      </c>
      <c r="B8943" s="202" t="s">
        <v>6919</v>
      </c>
      <c r="C8943" s="200" t="s">
        <v>204</v>
      </c>
      <c r="D8943" s="649">
        <v>-1602000</v>
      </c>
      <c r="E8943" s="662">
        <v>45778</v>
      </c>
      <c r="F8943" s="200" t="s">
        <v>296</v>
      </c>
      <c r="G8943" s="200" t="s">
        <v>1735</v>
      </c>
      <c r="H8943" s="200" t="s">
        <v>1066</v>
      </c>
    </row>
    <row r="8944" spans="1:9" ht="15" customHeight="1">
      <c r="A8944" s="199">
        <v>45806</v>
      </c>
      <c r="B8944" s="202" t="s">
        <v>6920</v>
      </c>
      <c r="C8944" s="200" t="s">
        <v>372</v>
      </c>
      <c r="D8944" s="204">
        <v>-198000</v>
      </c>
      <c r="E8944" s="662">
        <v>45778</v>
      </c>
      <c r="F8944" s="200" t="s">
        <v>296</v>
      </c>
      <c r="G8944" s="200" t="s">
        <v>1735</v>
      </c>
      <c r="H8944" s="200" t="s">
        <v>1066</v>
      </c>
      <c r="I8944" s="648" t="s">
        <v>329</v>
      </c>
    </row>
    <row r="8945" spans="1:8" ht="15" customHeight="1">
      <c r="A8945" s="199">
        <v>45806</v>
      </c>
      <c r="B8945" s="202" t="s">
        <v>6921</v>
      </c>
      <c r="C8945" s="200" t="s">
        <v>204</v>
      </c>
      <c r="D8945" s="649">
        <v>-100639</v>
      </c>
      <c r="E8945" s="662">
        <v>45778</v>
      </c>
      <c r="F8945" s="200" t="s">
        <v>297</v>
      </c>
      <c r="G8945" s="200" t="s">
        <v>71</v>
      </c>
      <c r="H8945" s="200" t="s">
        <v>5384</v>
      </c>
    </row>
    <row r="8946" spans="1:8" ht="15" customHeight="1">
      <c r="A8946" s="199">
        <v>45806</v>
      </c>
      <c r="B8946" s="202" t="s">
        <v>6922</v>
      </c>
      <c r="C8946" s="200" t="s">
        <v>204</v>
      </c>
      <c r="D8946" s="649">
        <v>-502154</v>
      </c>
      <c r="E8946" s="662">
        <v>45778</v>
      </c>
      <c r="F8946" s="200" t="s">
        <v>296</v>
      </c>
      <c r="G8946" s="200" t="s">
        <v>5466</v>
      </c>
      <c r="H8946" s="200" t="s">
        <v>379</v>
      </c>
    </row>
    <row r="8947" spans="1:8" ht="15" customHeight="1">
      <c r="A8947" s="199">
        <v>45806</v>
      </c>
      <c r="B8947" s="202" t="s">
        <v>6923</v>
      </c>
      <c r="C8947" s="200" t="s">
        <v>372</v>
      </c>
      <c r="D8947" s="204">
        <v>-20923</v>
      </c>
      <c r="E8947" s="662">
        <v>45778</v>
      </c>
      <c r="F8947" s="200" t="s">
        <v>296</v>
      </c>
      <c r="G8947" s="200" t="s">
        <v>5466</v>
      </c>
      <c r="H8947" s="200" t="s">
        <v>379</v>
      </c>
    </row>
    <row r="8948" spans="1:8" ht="15" customHeight="1">
      <c r="A8948" s="199">
        <v>45806</v>
      </c>
      <c r="B8948" s="202" t="s">
        <v>6924</v>
      </c>
      <c r="C8948" s="200" t="s">
        <v>204</v>
      </c>
      <c r="D8948" s="649">
        <v>-80000</v>
      </c>
      <c r="E8948" s="662">
        <v>45778</v>
      </c>
      <c r="F8948" s="200" t="s">
        <v>296</v>
      </c>
      <c r="G8948" s="200" t="s">
        <v>5466</v>
      </c>
      <c r="H8948" s="200" t="s">
        <v>346</v>
      </c>
    </row>
    <row r="8949" spans="1:8" ht="15" customHeight="1">
      <c r="A8949" s="199">
        <v>45806</v>
      </c>
      <c r="B8949" s="202" t="s">
        <v>6925</v>
      </c>
      <c r="C8949" s="200" t="s">
        <v>204</v>
      </c>
      <c r="D8949" s="649">
        <v>-500000</v>
      </c>
      <c r="E8949" s="662">
        <v>45778</v>
      </c>
      <c r="F8949" s="200" t="s">
        <v>296</v>
      </c>
      <c r="G8949" s="200" t="s">
        <v>5466</v>
      </c>
      <c r="H8949" s="200" t="s">
        <v>379</v>
      </c>
    </row>
    <row r="8950" spans="1:8" ht="15" customHeight="1">
      <c r="A8950" s="199">
        <v>45806</v>
      </c>
      <c r="B8950" s="202" t="s">
        <v>6926</v>
      </c>
      <c r="C8950" s="200" t="s">
        <v>204</v>
      </c>
      <c r="D8950" s="649">
        <v>-920000</v>
      </c>
      <c r="E8950" s="662">
        <v>45778</v>
      </c>
      <c r="F8950" s="200" t="s">
        <v>296</v>
      </c>
      <c r="G8950" s="200" t="s">
        <v>5466</v>
      </c>
      <c r="H8950" s="200" t="s">
        <v>379</v>
      </c>
    </row>
    <row r="8951" spans="1:8" ht="15" customHeight="1">
      <c r="A8951" s="199">
        <v>45806</v>
      </c>
      <c r="B8951" s="202" t="s">
        <v>6927</v>
      </c>
      <c r="C8951" s="200" t="s">
        <v>372</v>
      </c>
      <c r="D8951" s="204">
        <v>-32000</v>
      </c>
      <c r="E8951" s="662">
        <v>45778</v>
      </c>
      <c r="F8951" s="200" t="s">
        <v>296</v>
      </c>
      <c r="G8951" s="200" t="s">
        <v>5466</v>
      </c>
      <c r="H8951" s="200" t="s">
        <v>379</v>
      </c>
    </row>
    <row r="8952" spans="1:8" ht="15" customHeight="1">
      <c r="A8952" s="199">
        <v>45806</v>
      </c>
      <c r="B8952" s="202" t="s">
        <v>6928</v>
      </c>
      <c r="C8952" s="200" t="s">
        <v>204</v>
      </c>
      <c r="D8952" s="649">
        <v>-590000</v>
      </c>
      <c r="E8952" s="662">
        <v>45778</v>
      </c>
      <c r="F8952" s="200" t="s">
        <v>296</v>
      </c>
      <c r="G8952" s="200" t="s">
        <v>5466</v>
      </c>
      <c r="H8952" s="200" t="s">
        <v>346</v>
      </c>
    </row>
    <row r="8953" spans="1:8" ht="15" customHeight="1">
      <c r="A8953" s="199">
        <v>45806</v>
      </c>
      <c r="B8953" s="202" t="s">
        <v>6929</v>
      </c>
      <c r="C8953" s="200" t="s">
        <v>372</v>
      </c>
      <c r="D8953" s="204">
        <v>-5000</v>
      </c>
      <c r="E8953" s="662">
        <v>45778</v>
      </c>
      <c r="F8953" s="200" t="s">
        <v>296</v>
      </c>
      <c r="G8953" s="200" t="s">
        <v>5466</v>
      </c>
      <c r="H8953" s="200" t="s">
        <v>346</v>
      </c>
    </row>
    <row r="8954" spans="1:8" ht="15" customHeight="1">
      <c r="A8954" s="199">
        <v>45806</v>
      </c>
      <c r="B8954" s="202" t="s">
        <v>6922</v>
      </c>
      <c r="C8954" s="200" t="s">
        <v>204</v>
      </c>
      <c r="D8954" s="649">
        <v>-216000</v>
      </c>
      <c r="E8954" s="662">
        <v>45778</v>
      </c>
      <c r="F8954" s="200" t="s">
        <v>296</v>
      </c>
      <c r="G8954" s="200" t="s">
        <v>5466</v>
      </c>
      <c r="H8954" s="200" t="s">
        <v>379</v>
      </c>
    </row>
    <row r="8955" spans="1:8" ht="15" customHeight="1">
      <c r="A8955" s="199">
        <v>45806</v>
      </c>
      <c r="B8955" s="202" t="s">
        <v>6923</v>
      </c>
      <c r="C8955" s="200" t="s">
        <v>372</v>
      </c>
      <c r="D8955" s="204">
        <v>-9000</v>
      </c>
      <c r="E8955" s="662">
        <v>45778</v>
      </c>
      <c r="F8955" s="200" t="s">
        <v>296</v>
      </c>
      <c r="G8955" s="200" t="s">
        <v>5466</v>
      </c>
      <c r="H8955" s="200" t="s">
        <v>379</v>
      </c>
    </row>
    <row r="8956" spans="1:8" ht="15" customHeight="1">
      <c r="A8956" s="199">
        <v>45806</v>
      </c>
      <c r="B8956" s="202" t="s">
        <v>6925</v>
      </c>
      <c r="C8956" s="200" t="s">
        <v>204</v>
      </c>
      <c r="D8956" s="649">
        <v>-300000</v>
      </c>
      <c r="E8956" s="662">
        <v>45778</v>
      </c>
      <c r="F8956" s="200" t="s">
        <v>296</v>
      </c>
      <c r="G8956" s="200" t="s">
        <v>5466</v>
      </c>
      <c r="H8956" s="200" t="s">
        <v>379</v>
      </c>
    </row>
    <row r="8957" spans="1:8" ht="15" customHeight="1">
      <c r="A8957" s="199">
        <v>45806</v>
      </c>
      <c r="B8957" s="202" t="s">
        <v>6930</v>
      </c>
      <c r="C8957" s="200" t="s">
        <v>204</v>
      </c>
      <c r="D8957" s="649">
        <v>-665850</v>
      </c>
      <c r="E8957" s="662">
        <v>45778</v>
      </c>
      <c r="F8957" s="200" t="s">
        <v>296</v>
      </c>
      <c r="G8957" s="200" t="s">
        <v>5466</v>
      </c>
      <c r="H8957" s="200" t="s">
        <v>342</v>
      </c>
    </row>
    <row r="8958" spans="1:8" ht="15" customHeight="1">
      <c r="A8958" s="199">
        <v>45806</v>
      </c>
      <c r="B8958" s="202" t="s">
        <v>6931</v>
      </c>
      <c r="C8958" s="200" t="s">
        <v>204</v>
      </c>
      <c r="D8958" s="649">
        <v>-1485000</v>
      </c>
      <c r="E8958" s="662">
        <v>45778</v>
      </c>
      <c r="F8958" s="200" t="s">
        <v>296</v>
      </c>
      <c r="G8958" s="200" t="s">
        <v>57</v>
      </c>
      <c r="H8958" s="200" t="s">
        <v>97</v>
      </c>
    </row>
    <row r="8959" spans="1:8" ht="15" customHeight="1">
      <c r="A8959" s="199">
        <v>45806</v>
      </c>
      <c r="B8959" s="202" t="s">
        <v>6932</v>
      </c>
      <c r="C8959" s="200" t="s">
        <v>372</v>
      </c>
      <c r="D8959" s="204">
        <v>-15000</v>
      </c>
      <c r="E8959" s="662">
        <v>45778</v>
      </c>
      <c r="F8959" s="200" t="s">
        <v>296</v>
      </c>
      <c r="G8959" s="200" t="s">
        <v>57</v>
      </c>
      <c r="H8959" s="200" t="s">
        <v>97</v>
      </c>
    </row>
    <row r="8960" spans="1:8" ht="15" customHeight="1">
      <c r="A8960" s="199">
        <v>45806</v>
      </c>
      <c r="B8960" s="202" t="s">
        <v>6933</v>
      </c>
      <c r="C8960" s="200" t="s">
        <v>204</v>
      </c>
      <c r="D8960" s="649">
        <v>-633750</v>
      </c>
      <c r="E8960" s="662">
        <v>45778</v>
      </c>
      <c r="F8960" s="200" t="s">
        <v>296</v>
      </c>
      <c r="G8960" s="200" t="s">
        <v>44</v>
      </c>
      <c r="H8960" s="200" t="s">
        <v>811</v>
      </c>
    </row>
    <row r="8961" spans="1:9" ht="15" customHeight="1">
      <c r="A8961" s="199">
        <v>45806</v>
      </c>
      <c r="B8961" s="202" t="s">
        <v>6934</v>
      </c>
      <c r="C8961" s="200" t="s">
        <v>372</v>
      </c>
      <c r="D8961" s="204">
        <v>-16250</v>
      </c>
      <c r="E8961" s="662">
        <v>45778</v>
      </c>
      <c r="F8961" s="200" t="s">
        <v>296</v>
      </c>
      <c r="G8961" s="200" t="s">
        <v>44</v>
      </c>
      <c r="H8961" s="200" t="s">
        <v>811</v>
      </c>
    </row>
    <row r="8962" spans="1:9" ht="15" customHeight="1">
      <c r="A8962" s="199">
        <v>45806</v>
      </c>
      <c r="B8962" s="202" t="s">
        <v>6935</v>
      </c>
      <c r="C8962" s="200" t="s">
        <v>204</v>
      </c>
      <c r="D8962" s="649">
        <v>-770250</v>
      </c>
      <c r="E8962" s="662">
        <v>45778</v>
      </c>
      <c r="F8962" s="200" t="s">
        <v>296</v>
      </c>
      <c r="G8962" s="200" t="s">
        <v>44</v>
      </c>
      <c r="H8962" s="200" t="s">
        <v>811</v>
      </c>
    </row>
    <row r="8963" spans="1:9" ht="15" customHeight="1">
      <c r="A8963" s="199">
        <v>45806</v>
      </c>
      <c r="B8963" s="202" t="s">
        <v>6936</v>
      </c>
      <c r="C8963" s="200" t="s">
        <v>372</v>
      </c>
      <c r="D8963" s="204">
        <v>-19750</v>
      </c>
      <c r="E8963" s="662">
        <v>45778</v>
      </c>
      <c r="F8963" s="200" t="s">
        <v>296</v>
      </c>
      <c r="G8963" s="200" t="s">
        <v>44</v>
      </c>
      <c r="H8963" s="200" t="s">
        <v>811</v>
      </c>
    </row>
    <row r="8964" spans="1:9" ht="15" customHeight="1">
      <c r="A8964" s="199">
        <v>45806</v>
      </c>
      <c r="B8964" s="202" t="s">
        <v>6937</v>
      </c>
      <c r="C8964" s="200" t="s">
        <v>204</v>
      </c>
      <c r="D8964" s="649">
        <v>-21900</v>
      </c>
      <c r="E8964" s="662">
        <v>45778</v>
      </c>
      <c r="F8964" s="200" t="s">
        <v>296</v>
      </c>
      <c r="G8964" s="200" t="s">
        <v>57</v>
      </c>
      <c r="H8964" s="200" t="s">
        <v>98</v>
      </c>
    </row>
    <row r="8965" spans="1:9" ht="15" customHeight="1">
      <c r="A8965" s="199">
        <v>45792</v>
      </c>
      <c r="B8965" s="202" t="s">
        <v>1514</v>
      </c>
      <c r="C8965" s="200" t="s">
        <v>204</v>
      </c>
      <c r="D8965" s="649">
        <v>-12700</v>
      </c>
      <c r="E8965" s="662">
        <v>45778</v>
      </c>
      <c r="F8965" s="200" t="s">
        <v>256</v>
      </c>
      <c r="G8965" s="200" t="s">
        <v>107</v>
      </c>
      <c r="H8965" s="200" t="s">
        <v>275</v>
      </c>
      <c r="I8965" s="200" t="s">
        <v>1515</v>
      </c>
    </row>
    <row r="8966" spans="1:9" ht="15" customHeight="1">
      <c r="A8966" s="199">
        <v>45792</v>
      </c>
      <c r="B8966" s="202" t="s">
        <v>5618</v>
      </c>
      <c r="C8966" s="200" t="s">
        <v>204</v>
      </c>
      <c r="D8966" s="649">
        <v>-12700</v>
      </c>
      <c r="E8966" s="662">
        <v>45778</v>
      </c>
      <c r="F8966" s="200" t="s">
        <v>256</v>
      </c>
      <c r="G8966" s="200" t="s">
        <v>107</v>
      </c>
      <c r="H8966" s="200" t="s">
        <v>275</v>
      </c>
      <c r="I8966" s="200" t="s">
        <v>1515</v>
      </c>
    </row>
    <row r="8967" spans="1:9" ht="15" customHeight="1">
      <c r="A8967" s="199">
        <v>45792</v>
      </c>
      <c r="B8967" s="202" t="s">
        <v>1521</v>
      </c>
      <c r="C8967" s="200" t="s">
        <v>204</v>
      </c>
      <c r="D8967" s="649">
        <v>-35796</v>
      </c>
      <c r="E8967" s="662">
        <v>45778</v>
      </c>
      <c r="F8967" s="200" t="s">
        <v>256</v>
      </c>
      <c r="G8967" s="200" t="s">
        <v>107</v>
      </c>
      <c r="H8967" s="200" t="s">
        <v>275</v>
      </c>
      <c r="I8967" s="200" t="s">
        <v>1515</v>
      </c>
    </row>
    <row r="8968" spans="1:9" ht="15" customHeight="1">
      <c r="A8968" s="199">
        <v>45806</v>
      </c>
      <c r="B8968" s="202" t="s">
        <v>4261</v>
      </c>
      <c r="C8968" s="200" t="s">
        <v>204</v>
      </c>
      <c r="D8968" s="649">
        <v>-750000</v>
      </c>
      <c r="E8968" s="201">
        <v>45778</v>
      </c>
      <c r="F8968" s="200" t="s">
        <v>2714</v>
      </c>
      <c r="G8968" s="200" t="s">
        <v>513</v>
      </c>
      <c r="H8968" s="200" t="s">
        <v>322</v>
      </c>
    </row>
    <row r="8969" spans="1:9" ht="15" customHeight="1">
      <c r="A8969" s="199">
        <v>45806</v>
      </c>
      <c r="B8969" s="202" t="s">
        <v>4262</v>
      </c>
      <c r="C8969" s="200" t="s">
        <v>204</v>
      </c>
      <c r="D8969" s="649">
        <v>-750000</v>
      </c>
      <c r="E8969" s="201">
        <v>45778</v>
      </c>
      <c r="F8969" s="200" t="s">
        <v>296</v>
      </c>
      <c r="G8969" s="200" t="s">
        <v>44</v>
      </c>
      <c r="H8969" s="200" t="s">
        <v>322</v>
      </c>
    </row>
    <row r="8970" spans="1:9" ht="15" customHeight="1">
      <c r="A8970" s="199">
        <v>45806</v>
      </c>
      <c r="B8970" s="202" t="s">
        <v>4263</v>
      </c>
      <c r="C8970" s="200" t="s">
        <v>204</v>
      </c>
      <c r="D8970" s="649">
        <v>-750000</v>
      </c>
      <c r="E8970" s="201">
        <v>45778</v>
      </c>
      <c r="F8970" s="200" t="s">
        <v>296</v>
      </c>
      <c r="G8970" s="200" t="s">
        <v>522</v>
      </c>
      <c r="H8970" s="200" t="s">
        <v>322</v>
      </c>
    </row>
    <row r="8971" spans="1:9" ht="15" customHeight="1">
      <c r="A8971" s="199">
        <v>45806</v>
      </c>
      <c r="B8971" s="202" t="s">
        <v>4265</v>
      </c>
      <c r="C8971" s="200" t="s">
        <v>204</v>
      </c>
      <c r="D8971" s="649">
        <v>-750000</v>
      </c>
      <c r="E8971" s="201">
        <v>45778</v>
      </c>
      <c r="F8971" s="200" t="s">
        <v>296</v>
      </c>
      <c r="G8971" s="200" t="s">
        <v>1980</v>
      </c>
      <c r="H8971" s="200" t="s">
        <v>322</v>
      </c>
    </row>
    <row r="8972" spans="1:9" ht="15" customHeight="1">
      <c r="A8972" s="199">
        <v>45806</v>
      </c>
      <c r="B8972" s="202" t="s">
        <v>6938</v>
      </c>
      <c r="C8972" s="200" t="s">
        <v>204</v>
      </c>
      <c r="D8972" s="649">
        <v>-1097885</v>
      </c>
      <c r="E8972" s="201">
        <v>45778</v>
      </c>
      <c r="F8972" s="200" t="s">
        <v>315</v>
      </c>
    </row>
    <row r="8973" spans="1:9" ht="15" customHeight="1">
      <c r="A8973" s="199">
        <v>45806</v>
      </c>
      <c r="B8973" s="202" t="s">
        <v>6938</v>
      </c>
      <c r="C8973" s="200" t="s">
        <v>204</v>
      </c>
      <c r="D8973" s="649">
        <v>-527171</v>
      </c>
      <c r="E8973" s="201">
        <v>45778</v>
      </c>
      <c r="F8973" s="200" t="s">
        <v>315</v>
      </c>
    </row>
    <row r="8974" spans="1:9" ht="15" customHeight="1">
      <c r="A8974" s="199">
        <v>45806</v>
      </c>
      <c r="B8974" s="202" t="s">
        <v>6939</v>
      </c>
      <c r="C8974" s="200" t="s">
        <v>204</v>
      </c>
      <c r="D8974" s="649">
        <v>-1963888</v>
      </c>
      <c r="E8974" s="201">
        <v>45778</v>
      </c>
      <c r="F8974" s="200" t="s">
        <v>315</v>
      </c>
    </row>
    <row r="8975" spans="1:9" ht="15" customHeight="1">
      <c r="A8975" s="199">
        <v>45806</v>
      </c>
      <c r="B8975" s="202" t="s">
        <v>6940</v>
      </c>
      <c r="C8975" s="200" t="s">
        <v>204</v>
      </c>
      <c r="D8975" s="649">
        <v>-1200000</v>
      </c>
      <c r="E8975" s="201">
        <v>45778</v>
      </c>
      <c r="F8975" s="200" t="s">
        <v>296</v>
      </c>
      <c r="G8975" s="200" t="s">
        <v>5466</v>
      </c>
      <c r="H8975" s="200" t="s">
        <v>342</v>
      </c>
      <c r="I8975" s="648" t="s">
        <v>329</v>
      </c>
    </row>
    <row r="8976" spans="1:9" ht="15" customHeight="1">
      <c r="A8976" s="199">
        <v>45806</v>
      </c>
      <c r="B8976" s="202" t="s">
        <v>6941</v>
      </c>
      <c r="C8976" s="200" t="s">
        <v>307</v>
      </c>
      <c r="D8976" s="204">
        <v>-30000</v>
      </c>
      <c r="E8976" s="201">
        <v>45778</v>
      </c>
      <c r="F8976" s="200" t="s">
        <v>256</v>
      </c>
      <c r="G8976" s="200" t="s">
        <v>256</v>
      </c>
      <c r="H8976" s="200" t="s">
        <v>9</v>
      </c>
    </row>
    <row r="8977" spans="1:9" ht="15" customHeight="1">
      <c r="A8977" s="199">
        <v>45806</v>
      </c>
      <c r="B8977" s="202" t="s">
        <v>6942</v>
      </c>
      <c r="C8977" s="200" t="s">
        <v>307</v>
      </c>
      <c r="D8977" s="204">
        <v>-154000</v>
      </c>
      <c r="E8977" s="201">
        <v>45778</v>
      </c>
      <c r="F8977" s="200" t="s">
        <v>296</v>
      </c>
      <c r="G8977" s="200" t="s">
        <v>1980</v>
      </c>
      <c r="H8977" s="200" t="s">
        <v>326</v>
      </c>
    </row>
    <row r="8978" spans="1:9" ht="15" customHeight="1">
      <c r="A8978" s="199">
        <v>45806</v>
      </c>
      <c r="B8978" s="202" t="s">
        <v>4394</v>
      </c>
      <c r="C8978" s="200" t="s">
        <v>307</v>
      </c>
      <c r="D8978" s="204">
        <v>-14000</v>
      </c>
      <c r="E8978" s="201">
        <v>45778</v>
      </c>
      <c r="F8978" s="200" t="s">
        <v>296</v>
      </c>
      <c r="G8978" s="200" t="s">
        <v>2994</v>
      </c>
      <c r="H8978" s="200" t="s">
        <v>268</v>
      </c>
      <c r="I8978" s="648" t="s">
        <v>329</v>
      </c>
    </row>
    <row r="8979" spans="1:9" ht="15" customHeight="1">
      <c r="A8979" s="199">
        <v>45806</v>
      </c>
      <c r="B8979" s="202" t="s">
        <v>4394</v>
      </c>
      <c r="C8979" s="200" t="s">
        <v>307</v>
      </c>
      <c r="D8979" s="204">
        <v>-22000</v>
      </c>
      <c r="E8979" s="201">
        <v>45778</v>
      </c>
      <c r="F8979" s="200" t="s">
        <v>256</v>
      </c>
      <c r="G8979" s="200" t="s">
        <v>256</v>
      </c>
      <c r="H8979" s="200" t="s">
        <v>268</v>
      </c>
    </row>
    <row r="8980" spans="1:9" ht="15" customHeight="1">
      <c r="A8980" s="199">
        <v>45806</v>
      </c>
      <c r="B8980" s="202" t="s">
        <v>4394</v>
      </c>
      <c r="C8980" s="200" t="s">
        <v>307</v>
      </c>
      <c r="D8980" s="204">
        <v>-54080</v>
      </c>
      <c r="E8980" s="201">
        <v>45778</v>
      </c>
      <c r="F8980" s="200" t="s">
        <v>297</v>
      </c>
      <c r="G8980" s="200" t="s">
        <v>71</v>
      </c>
      <c r="H8980" s="200" t="s">
        <v>268</v>
      </c>
    </row>
    <row r="8981" spans="1:9" ht="15" customHeight="1">
      <c r="A8981" s="199">
        <v>45806</v>
      </c>
      <c r="B8981" s="202" t="s">
        <v>4394</v>
      </c>
      <c r="C8981" s="200" t="s">
        <v>307</v>
      </c>
      <c r="D8981" s="204">
        <v>-14000</v>
      </c>
      <c r="E8981" s="201">
        <v>45778</v>
      </c>
      <c r="F8981" s="200" t="s">
        <v>296</v>
      </c>
      <c r="G8981" s="200" t="s">
        <v>1980</v>
      </c>
      <c r="H8981" s="200" t="s">
        <v>326</v>
      </c>
    </row>
    <row r="8982" spans="1:9" ht="15" customHeight="1">
      <c r="A8982" s="199">
        <v>45806</v>
      </c>
      <c r="B8982" s="202" t="s">
        <v>4394</v>
      </c>
      <c r="C8982" s="200" t="s">
        <v>307</v>
      </c>
      <c r="D8982" s="204">
        <v>-14000</v>
      </c>
      <c r="E8982" s="201">
        <v>45778</v>
      </c>
      <c r="F8982" s="200" t="s">
        <v>296</v>
      </c>
      <c r="G8982" s="200" t="s">
        <v>44</v>
      </c>
      <c r="H8982" s="200" t="s">
        <v>326</v>
      </c>
    </row>
    <row r="8983" spans="1:9" ht="15" customHeight="1">
      <c r="A8983" s="199">
        <v>45806</v>
      </c>
      <c r="B8983" s="202" t="s">
        <v>4395</v>
      </c>
      <c r="C8983" s="200" t="s">
        <v>372</v>
      </c>
      <c r="D8983" s="204">
        <v>-1200</v>
      </c>
      <c r="E8983" s="201">
        <v>45778</v>
      </c>
      <c r="F8983" s="200" t="s">
        <v>297</v>
      </c>
      <c r="G8983" s="200" t="s">
        <v>71</v>
      </c>
      <c r="H8983" s="200" t="s">
        <v>268</v>
      </c>
    </row>
    <row r="8984" spans="1:9" ht="15" customHeight="1">
      <c r="A8984" s="199">
        <v>45806</v>
      </c>
      <c r="B8984" s="202" t="s">
        <v>4396</v>
      </c>
      <c r="C8984" s="200" t="s">
        <v>372</v>
      </c>
      <c r="D8984" s="204">
        <v>-720</v>
      </c>
      <c r="E8984" s="201">
        <v>45778</v>
      </c>
      <c r="F8984" s="200" t="s">
        <v>297</v>
      </c>
      <c r="G8984" s="200" t="s">
        <v>71</v>
      </c>
      <c r="H8984" s="200" t="s">
        <v>268</v>
      </c>
    </row>
    <row r="8985" spans="1:9" ht="15" customHeight="1">
      <c r="A8985" s="199">
        <v>45804</v>
      </c>
      <c r="B8985" s="202" t="s">
        <v>2774</v>
      </c>
      <c r="C8985" s="200" t="s">
        <v>307</v>
      </c>
      <c r="D8985" s="204">
        <v>-17000</v>
      </c>
      <c r="E8985" s="201">
        <v>45778</v>
      </c>
      <c r="F8985" s="200" t="s">
        <v>296</v>
      </c>
      <c r="G8985" s="200" t="s">
        <v>415</v>
      </c>
      <c r="H8985" s="200" t="s">
        <v>268</v>
      </c>
      <c r="I8985" s="200" t="s">
        <v>6943</v>
      </c>
    </row>
    <row r="8986" spans="1:9" ht="15" customHeight="1">
      <c r="A8986" s="199">
        <v>45804</v>
      </c>
      <c r="B8986" s="202" t="s">
        <v>6603</v>
      </c>
      <c r="C8986" s="200" t="s">
        <v>307</v>
      </c>
      <c r="D8986" s="204">
        <v>-6500</v>
      </c>
      <c r="E8986" s="201">
        <v>45778</v>
      </c>
      <c r="F8986" s="200" t="s">
        <v>296</v>
      </c>
      <c r="G8986" s="200" t="s">
        <v>415</v>
      </c>
      <c r="H8986" s="200" t="s">
        <v>268</v>
      </c>
      <c r="I8986" s="200" t="s">
        <v>6943</v>
      </c>
    </row>
    <row r="8987" spans="1:9" ht="15" customHeight="1">
      <c r="A8987" s="199">
        <v>45804</v>
      </c>
      <c r="B8987" s="202" t="s">
        <v>6944</v>
      </c>
      <c r="C8987" s="200" t="s">
        <v>307</v>
      </c>
      <c r="D8987" s="204">
        <v>-6500</v>
      </c>
      <c r="E8987" s="201">
        <v>45778</v>
      </c>
      <c r="F8987" s="200" t="s">
        <v>296</v>
      </c>
      <c r="G8987" s="200" t="s">
        <v>415</v>
      </c>
      <c r="H8987" s="200" t="s">
        <v>268</v>
      </c>
      <c r="I8987" s="200" t="s">
        <v>6943</v>
      </c>
    </row>
    <row r="8988" spans="1:9" ht="15" customHeight="1">
      <c r="A8988" s="199">
        <v>45804</v>
      </c>
      <c r="B8988" s="202" t="s">
        <v>6945</v>
      </c>
      <c r="C8988" s="200" t="s">
        <v>307</v>
      </c>
      <c r="D8988" s="204">
        <v>-6500</v>
      </c>
      <c r="E8988" s="201">
        <v>45778</v>
      </c>
      <c r="F8988" s="200" t="s">
        <v>296</v>
      </c>
      <c r="G8988" s="200" t="s">
        <v>415</v>
      </c>
      <c r="H8988" s="200" t="s">
        <v>268</v>
      </c>
      <c r="I8988" s="200" t="s">
        <v>6943</v>
      </c>
    </row>
    <row r="8989" spans="1:9" ht="15" customHeight="1">
      <c r="A8989" s="199">
        <v>45804</v>
      </c>
      <c r="B8989" s="202" t="s">
        <v>1523</v>
      </c>
      <c r="C8989" s="200" t="s">
        <v>307</v>
      </c>
      <c r="D8989" s="204">
        <v>-8000</v>
      </c>
      <c r="E8989" s="201">
        <v>45778</v>
      </c>
      <c r="F8989" s="200" t="s">
        <v>296</v>
      </c>
      <c r="G8989" s="200" t="s">
        <v>415</v>
      </c>
      <c r="H8989" s="200" t="s">
        <v>342</v>
      </c>
      <c r="I8989" s="200" t="s">
        <v>6943</v>
      </c>
    </row>
    <row r="8990" spans="1:9" ht="15" customHeight="1">
      <c r="A8990" s="199">
        <v>45804</v>
      </c>
      <c r="B8990" s="202" t="s">
        <v>4030</v>
      </c>
      <c r="C8990" s="200" t="s">
        <v>307</v>
      </c>
      <c r="D8990" s="204">
        <v>-9000</v>
      </c>
      <c r="E8990" s="201">
        <v>45778</v>
      </c>
      <c r="F8990" s="200" t="s">
        <v>296</v>
      </c>
      <c r="G8990" s="200" t="s">
        <v>415</v>
      </c>
      <c r="H8990" s="200" t="s">
        <v>342</v>
      </c>
      <c r="I8990" s="200" t="s">
        <v>6943</v>
      </c>
    </row>
    <row r="8991" spans="1:9" ht="15" customHeight="1">
      <c r="A8991" s="199">
        <v>45804</v>
      </c>
      <c r="B8991" s="202" t="s">
        <v>6946</v>
      </c>
      <c r="C8991" s="200" t="s">
        <v>307</v>
      </c>
      <c r="D8991" s="204">
        <v>-6500</v>
      </c>
      <c r="E8991" s="201">
        <v>45778</v>
      </c>
      <c r="F8991" s="200" t="s">
        <v>296</v>
      </c>
      <c r="G8991" s="200" t="s">
        <v>415</v>
      </c>
      <c r="H8991" s="200" t="s">
        <v>268</v>
      </c>
      <c r="I8991" s="200" t="s">
        <v>6943</v>
      </c>
    </row>
    <row r="8992" spans="1:9" ht="15" customHeight="1">
      <c r="A8992" s="199">
        <v>45804</v>
      </c>
      <c r="B8992" s="202" t="s">
        <v>6947</v>
      </c>
      <c r="C8992" s="200" t="s">
        <v>307</v>
      </c>
      <c r="D8992" s="204">
        <v>-17000</v>
      </c>
      <c r="E8992" s="201">
        <v>45778</v>
      </c>
      <c r="F8992" s="200" t="s">
        <v>296</v>
      </c>
      <c r="G8992" s="200" t="s">
        <v>415</v>
      </c>
      <c r="H8992" s="200" t="s">
        <v>268</v>
      </c>
      <c r="I8992" s="648" t="s">
        <v>329</v>
      </c>
    </row>
    <row r="8993" spans="1:9" ht="15" customHeight="1">
      <c r="A8993" s="199">
        <v>45792</v>
      </c>
      <c r="B8993" s="202" t="s">
        <v>6948</v>
      </c>
      <c r="C8993" s="200" t="s">
        <v>307</v>
      </c>
      <c r="D8993" s="204">
        <v>-17000</v>
      </c>
      <c r="E8993" s="201">
        <v>45778</v>
      </c>
      <c r="F8993" s="200" t="s">
        <v>297</v>
      </c>
      <c r="G8993" s="200" t="s">
        <v>1578</v>
      </c>
      <c r="H8993" s="200" t="s">
        <v>268</v>
      </c>
      <c r="I8993" s="200" t="s">
        <v>208</v>
      </c>
    </row>
    <row r="8994" spans="1:9" ht="15" customHeight="1">
      <c r="A8994" s="199">
        <v>45792</v>
      </c>
      <c r="B8994" s="202" t="s">
        <v>6949</v>
      </c>
      <c r="C8994" s="200" t="s">
        <v>307</v>
      </c>
      <c r="D8994" s="204">
        <v>-8000</v>
      </c>
      <c r="E8994" s="201">
        <v>45778</v>
      </c>
      <c r="F8994" s="200" t="s">
        <v>297</v>
      </c>
      <c r="G8994" s="200" t="s">
        <v>1578</v>
      </c>
      <c r="H8994" s="200" t="s">
        <v>268</v>
      </c>
      <c r="I8994" s="200" t="s">
        <v>208</v>
      </c>
    </row>
    <row r="8995" spans="1:9" ht="15" customHeight="1">
      <c r="A8995" s="199">
        <v>45792</v>
      </c>
      <c r="B8995" s="202" t="s">
        <v>6950</v>
      </c>
      <c r="C8995" s="200" t="s">
        <v>307</v>
      </c>
      <c r="D8995" s="204">
        <v>-8000</v>
      </c>
      <c r="E8995" s="201">
        <v>45778</v>
      </c>
      <c r="F8995" s="200" t="s">
        <v>297</v>
      </c>
      <c r="G8995" s="200" t="s">
        <v>1578</v>
      </c>
      <c r="H8995" s="200" t="s">
        <v>268</v>
      </c>
      <c r="I8995" s="200" t="s">
        <v>208</v>
      </c>
    </row>
    <row r="8996" spans="1:9" ht="15" customHeight="1">
      <c r="A8996" s="199">
        <v>45792</v>
      </c>
      <c r="B8996" s="202" t="s">
        <v>6951</v>
      </c>
      <c r="C8996" s="200" t="s">
        <v>307</v>
      </c>
      <c r="D8996" s="204">
        <v>-17000</v>
      </c>
      <c r="E8996" s="201">
        <v>45778</v>
      </c>
      <c r="F8996" s="200" t="s">
        <v>297</v>
      </c>
      <c r="G8996" s="200" t="s">
        <v>1578</v>
      </c>
      <c r="H8996" s="200" t="s">
        <v>268</v>
      </c>
      <c r="I8996" s="648" t="s">
        <v>329</v>
      </c>
    </row>
    <row r="8997" spans="1:9" ht="15" customHeight="1">
      <c r="A8997" s="199">
        <v>45794</v>
      </c>
      <c r="B8997" s="202" t="s">
        <v>6952</v>
      </c>
      <c r="C8997" s="200" t="s">
        <v>307</v>
      </c>
      <c r="D8997" s="204">
        <v>-27000</v>
      </c>
      <c r="E8997" s="201">
        <v>45778</v>
      </c>
      <c r="F8997" s="200" t="s">
        <v>296</v>
      </c>
      <c r="G8997" s="200" t="s">
        <v>5422</v>
      </c>
      <c r="H8997" s="200" t="s">
        <v>268</v>
      </c>
      <c r="I8997" s="200" t="s">
        <v>208</v>
      </c>
    </row>
    <row r="8998" spans="1:9" ht="15" customHeight="1">
      <c r="A8998" s="199">
        <v>45797</v>
      </c>
      <c r="B8998" s="202" t="s">
        <v>6953</v>
      </c>
      <c r="C8998" s="200" t="s">
        <v>307</v>
      </c>
      <c r="D8998" s="204">
        <v>-105054</v>
      </c>
      <c r="E8998" s="201">
        <v>45778</v>
      </c>
      <c r="F8998" s="200" t="s">
        <v>296</v>
      </c>
      <c r="G8998" s="200" t="s">
        <v>57</v>
      </c>
      <c r="H8998" s="200" t="s">
        <v>97</v>
      </c>
      <c r="I8998" s="200" t="s">
        <v>6954</v>
      </c>
    </row>
    <row r="8999" spans="1:9" ht="15" customHeight="1">
      <c r="A8999" s="199">
        <v>45797</v>
      </c>
      <c r="B8999" s="202" t="s">
        <v>6955</v>
      </c>
      <c r="C8999" s="200" t="s">
        <v>307</v>
      </c>
      <c r="D8999" s="204">
        <v>-14800</v>
      </c>
      <c r="E8999" s="201">
        <v>45778</v>
      </c>
      <c r="F8999" s="200" t="s">
        <v>296</v>
      </c>
      <c r="G8999" s="200" t="s">
        <v>57</v>
      </c>
      <c r="H8999" s="200" t="s">
        <v>97</v>
      </c>
      <c r="I8999" s="200" t="s">
        <v>6954</v>
      </c>
    </row>
    <row r="9000" spans="1:9" ht="15" customHeight="1">
      <c r="A9000" s="199">
        <v>45797</v>
      </c>
      <c r="B9000" s="202" t="s">
        <v>6956</v>
      </c>
      <c r="C9000" s="200" t="s">
        <v>307</v>
      </c>
      <c r="D9000" s="204">
        <v>-59000</v>
      </c>
      <c r="E9000" s="201">
        <v>45778</v>
      </c>
      <c r="F9000" s="200" t="s">
        <v>296</v>
      </c>
      <c r="G9000" s="200" t="s">
        <v>57</v>
      </c>
      <c r="H9000" s="200" t="s">
        <v>97</v>
      </c>
      <c r="I9000" s="200" t="s">
        <v>6954</v>
      </c>
    </row>
    <row r="9001" spans="1:9" ht="15" customHeight="1">
      <c r="A9001" s="199">
        <v>45797</v>
      </c>
      <c r="B9001" s="202" t="s">
        <v>6957</v>
      </c>
      <c r="C9001" s="200" t="s">
        <v>307</v>
      </c>
      <c r="D9001" s="204">
        <v>-30000</v>
      </c>
      <c r="E9001" s="201">
        <v>45778</v>
      </c>
      <c r="F9001" s="200" t="s">
        <v>296</v>
      </c>
      <c r="G9001" s="200" t="s">
        <v>57</v>
      </c>
      <c r="H9001" s="200" t="s">
        <v>97</v>
      </c>
      <c r="I9001" s="200" t="s">
        <v>6954</v>
      </c>
    </row>
    <row r="9002" spans="1:9" ht="15" customHeight="1">
      <c r="A9002" s="199">
        <v>45798</v>
      </c>
      <c r="B9002" s="202" t="s">
        <v>6958</v>
      </c>
      <c r="C9002" s="200" t="s">
        <v>307</v>
      </c>
      <c r="D9002" s="204">
        <v>-90000</v>
      </c>
      <c r="E9002" s="201">
        <v>45778</v>
      </c>
      <c r="F9002" s="200" t="s">
        <v>296</v>
      </c>
      <c r="G9002" s="200" t="s">
        <v>57</v>
      </c>
      <c r="H9002" s="200" t="s">
        <v>97</v>
      </c>
      <c r="I9002" s="200" t="s">
        <v>6954</v>
      </c>
    </row>
    <row r="9003" spans="1:9" ht="15" customHeight="1">
      <c r="A9003" s="199">
        <v>45801</v>
      </c>
      <c r="B9003" s="202" t="s">
        <v>6955</v>
      </c>
      <c r="C9003" s="200" t="s">
        <v>307</v>
      </c>
      <c r="D9003" s="204">
        <v>-14800</v>
      </c>
      <c r="E9003" s="201">
        <v>45778</v>
      </c>
      <c r="F9003" s="200" t="s">
        <v>296</v>
      </c>
      <c r="G9003" s="200" t="s">
        <v>57</v>
      </c>
      <c r="H9003" s="200" t="s">
        <v>97</v>
      </c>
      <c r="I9003" s="200" t="s">
        <v>6954</v>
      </c>
    </row>
    <row r="9004" spans="1:9" ht="15" customHeight="1">
      <c r="A9004" s="199">
        <v>45804</v>
      </c>
      <c r="B9004" s="202" t="s">
        <v>6959</v>
      </c>
      <c r="C9004" s="200" t="s">
        <v>307</v>
      </c>
      <c r="D9004" s="204">
        <v>-14000</v>
      </c>
      <c r="E9004" s="201">
        <v>45778</v>
      </c>
      <c r="F9004" s="200" t="s">
        <v>256</v>
      </c>
      <c r="G9004" s="200" t="s">
        <v>256</v>
      </c>
      <c r="H9004" s="200" t="s">
        <v>268</v>
      </c>
    </row>
    <row r="9005" spans="1:9" ht="15" customHeight="1">
      <c r="A9005" s="199">
        <v>45784</v>
      </c>
      <c r="B9005" s="202" t="s">
        <v>6960</v>
      </c>
      <c r="C9005" s="200" t="s">
        <v>307</v>
      </c>
      <c r="D9005" s="204">
        <v>-15000</v>
      </c>
      <c r="E9005" s="201">
        <v>45778</v>
      </c>
      <c r="F9005" s="200" t="s">
        <v>297</v>
      </c>
      <c r="G9005" s="200" t="s">
        <v>71</v>
      </c>
      <c r="H9005" s="200" t="s">
        <v>5384</v>
      </c>
      <c r="I9005" s="200" t="s">
        <v>6961</v>
      </c>
    </row>
    <row r="9006" spans="1:9" ht="15" customHeight="1">
      <c r="A9006" s="199">
        <v>45797</v>
      </c>
      <c r="B9006" s="202" t="s">
        <v>729</v>
      </c>
      <c r="C9006" s="200" t="s">
        <v>307</v>
      </c>
      <c r="D9006" s="204">
        <v>-5090</v>
      </c>
      <c r="E9006" s="201">
        <v>45778</v>
      </c>
      <c r="F9006" s="200" t="s">
        <v>296</v>
      </c>
      <c r="G9006" s="200" t="s">
        <v>44</v>
      </c>
      <c r="H9006" s="200" t="s">
        <v>326</v>
      </c>
      <c r="I9006" s="200" t="s">
        <v>6961</v>
      </c>
    </row>
    <row r="9007" spans="1:9" ht="15" customHeight="1">
      <c r="A9007" s="199">
        <v>45797</v>
      </c>
      <c r="B9007" s="202" t="s">
        <v>6962</v>
      </c>
      <c r="C9007" s="200" t="s">
        <v>307</v>
      </c>
      <c r="D9007" s="204">
        <v>-40000</v>
      </c>
      <c r="E9007" s="201">
        <v>45778</v>
      </c>
      <c r="F9007" s="200" t="s">
        <v>296</v>
      </c>
      <c r="G9007" s="200" t="s">
        <v>44</v>
      </c>
      <c r="H9007" s="200" t="s">
        <v>326</v>
      </c>
      <c r="I9007" s="200" t="s">
        <v>6961</v>
      </c>
    </row>
    <row r="9008" spans="1:9" ht="15" customHeight="1">
      <c r="A9008" s="199">
        <v>45797</v>
      </c>
      <c r="B9008" s="202" t="s">
        <v>6962</v>
      </c>
      <c r="C9008" s="200" t="s">
        <v>307</v>
      </c>
      <c r="D9008" s="204">
        <v>-50000</v>
      </c>
      <c r="E9008" s="201">
        <v>45778</v>
      </c>
      <c r="F9008" s="200" t="s">
        <v>296</v>
      </c>
      <c r="G9008" s="200" t="s">
        <v>522</v>
      </c>
      <c r="H9008" s="200" t="s">
        <v>326</v>
      </c>
      <c r="I9008" s="200" t="s">
        <v>6961</v>
      </c>
    </row>
    <row r="9009" spans="1:9" ht="15" customHeight="1">
      <c r="A9009" s="199">
        <v>45796</v>
      </c>
      <c r="B9009" s="202" t="s">
        <v>6963</v>
      </c>
      <c r="C9009" s="200" t="s">
        <v>307</v>
      </c>
      <c r="D9009" s="204">
        <v>-7000</v>
      </c>
      <c r="E9009" s="201">
        <v>45778</v>
      </c>
      <c r="F9009" s="200" t="s">
        <v>296</v>
      </c>
      <c r="G9009" s="200" t="s">
        <v>1980</v>
      </c>
      <c r="H9009" s="200" t="s">
        <v>326</v>
      </c>
      <c r="I9009" s="200" t="s">
        <v>1901</v>
      </c>
    </row>
    <row r="9010" spans="1:9" ht="15" customHeight="1">
      <c r="A9010" s="199">
        <v>45796</v>
      </c>
      <c r="B9010" s="202" t="s">
        <v>6964</v>
      </c>
      <c r="C9010" s="200" t="s">
        <v>307</v>
      </c>
      <c r="D9010" s="204">
        <v>-22000</v>
      </c>
      <c r="E9010" s="201">
        <v>45778</v>
      </c>
      <c r="F9010" s="200" t="s">
        <v>296</v>
      </c>
      <c r="G9010" s="200" t="s">
        <v>1980</v>
      </c>
      <c r="H9010" s="200" t="s">
        <v>326</v>
      </c>
      <c r="I9010" s="200" t="s">
        <v>1901</v>
      </c>
    </row>
    <row r="9011" spans="1:9" ht="15" customHeight="1">
      <c r="A9011" s="199">
        <v>45796</v>
      </c>
      <c r="B9011" s="202" t="s">
        <v>498</v>
      </c>
      <c r="C9011" s="200" t="s">
        <v>307</v>
      </c>
      <c r="D9011" s="204">
        <v>-10000</v>
      </c>
      <c r="E9011" s="201">
        <v>45778</v>
      </c>
      <c r="F9011" s="200" t="s">
        <v>296</v>
      </c>
      <c r="G9011" s="200" t="s">
        <v>1980</v>
      </c>
      <c r="H9011" s="200" t="s">
        <v>326</v>
      </c>
      <c r="I9011" s="200" t="s">
        <v>1901</v>
      </c>
    </row>
    <row r="9012" spans="1:9" ht="15" customHeight="1">
      <c r="A9012" s="199">
        <v>45796</v>
      </c>
      <c r="B9012" s="202" t="s">
        <v>6965</v>
      </c>
      <c r="C9012" s="200" t="s">
        <v>307</v>
      </c>
      <c r="D9012" s="204">
        <v>-66800</v>
      </c>
      <c r="E9012" s="201">
        <v>45778</v>
      </c>
      <c r="F9012" s="200" t="s">
        <v>296</v>
      </c>
      <c r="G9012" s="200" t="s">
        <v>1980</v>
      </c>
      <c r="H9012" s="200" t="s">
        <v>326</v>
      </c>
      <c r="I9012" s="200" t="s">
        <v>1901</v>
      </c>
    </row>
    <row r="9013" spans="1:9" ht="15" customHeight="1">
      <c r="A9013" s="199">
        <v>45796</v>
      </c>
      <c r="B9013" s="202" t="s">
        <v>1020</v>
      </c>
      <c r="C9013" s="200" t="s">
        <v>307</v>
      </c>
      <c r="D9013" s="204">
        <v>-20000</v>
      </c>
      <c r="E9013" s="201">
        <v>45778</v>
      </c>
      <c r="F9013" s="200" t="s">
        <v>296</v>
      </c>
      <c r="G9013" s="200" t="s">
        <v>1980</v>
      </c>
      <c r="H9013" s="200" t="s">
        <v>326</v>
      </c>
      <c r="I9013" s="200" t="s">
        <v>1901</v>
      </c>
    </row>
    <row r="9014" spans="1:9" ht="15" customHeight="1">
      <c r="A9014" s="199">
        <v>45796</v>
      </c>
      <c r="B9014" s="202" t="s">
        <v>6966</v>
      </c>
      <c r="C9014" s="200" t="s">
        <v>307</v>
      </c>
      <c r="D9014" s="204">
        <v>-5000</v>
      </c>
      <c r="E9014" s="201">
        <v>45778</v>
      </c>
      <c r="F9014" s="200" t="s">
        <v>296</v>
      </c>
      <c r="G9014" s="200" t="s">
        <v>1980</v>
      </c>
      <c r="H9014" s="200" t="s">
        <v>326</v>
      </c>
      <c r="I9014" s="200" t="s">
        <v>1901</v>
      </c>
    </row>
    <row r="9015" spans="1:9" ht="15" customHeight="1">
      <c r="A9015" s="199">
        <v>45796</v>
      </c>
      <c r="B9015" s="202" t="s">
        <v>6966</v>
      </c>
      <c r="C9015" s="200" t="s">
        <v>307</v>
      </c>
      <c r="D9015" s="204">
        <v>-3000</v>
      </c>
      <c r="E9015" s="201">
        <v>45778</v>
      </c>
      <c r="F9015" s="200" t="s">
        <v>296</v>
      </c>
      <c r="G9015" s="200" t="s">
        <v>1980</v>
      </c>
      <c r="H9015" s="200" t="s">
        <v>326</v>
      </c>
      <c r="I9015" s="200" t="s">
        <v>1901</v>
      </c>
    </row>
    <row r="9016" spans="1:9" ht="15" customHeight="1">
      <c r="A9016" s="199">
        <v>45779</v>
      </c>
      <c r="B9016" s="202" t="s">
        <v>6967</v>
      </c>
      <c r="C9016" s="200" t="s">
        <v>307</v>
      </c>
      <c r="D9016" s="204">
        <v>-129800</v>
      </c>
      <c r="E9016" s="201">
        <v>45778</v>
      </c>
      <c r="F9016" s="200" t="s">
        <v>296</v>
      </c>
      <c r="G9016" s="200" t="s">
        <v>44</v>
      </c>
      <c r="H9016" s="200" t="s">
        <v>488</v>
      </c>
      <c r="I9016" s="200" t="s">
        <v>6968</v>
      </c>
    </row>
    <row r="9017" spans="1:9" ht="15" customHeight="1">
      <c r="A9017" s="199">
        <v>45780</v>
      </c>
      <c r="B9017" s="202" t="s">
        <v>6969</v>
      </c>
      <c r="C9017" s="200" t="s">
        <v>307</v>
      </c>
      <c r="D9017" s="204">
        <v>-70000</v>
      </c>
      <c r="E9017" s="201">
        <v>45778</v>
      </c>
      <c r="F9017" s="200" t="s">
        <v>296</v>
      </c>
      <c r="G9017" s="200" t="s">
        <v>1825</v>
      </c>
      <c r="H9017" s="200" t="s">
        <v>442</v>
      </c>
      <c r="I9017" s="200" t="s">
        <v>6968</v>
      </c>
    </row>
    <row r="9018" spans="1:9" ht="15" customHeight="1">
      <c r="A9018" s="199">
        <v>45783</v>
      </c>
      <c r="B9018" s="202" t="s">
        <v>6970</v>
      </c>
      <c r="C9018" s="200" t="s">
        <v>307</v>
      </c>
      <c r="D9018" s="204">
        <v>-133000</v>
      </c>
      <c r="E9018" s="201">
        <v>45778</v>
      </c>
      <c r="F9018" s="200" t="s">
        <v>296</v>
      </c>
      <c r="G9018" s="200" t="s">
        <v>1825</v>
      </c>
      <c r="H9018" s="200" t="s">
        <v>429</v>
      </c>
      <c r="I9018" s="200" t="s">
        <v>6968</v>
      </c>
    </row>
    <row r="9019" spans="1:9" ht="15" customHeight="1">
      <c r="A9019" s="199">
        <v>45784</v>
      </c>
      <c r="B9019" s="202" t="s">
        <v>6971</v>
      </c>
      <c r="C9019" s="200" t="s">
        <v>307</v>
      </c>
      <c r="D9019" s="204">
        <v>-69000</v>
      </c>
      <c r="E9019" s="201">
        <v>45778</v>
      </c>
      <c r="F9019" s="200" t="s">
        <v>296</v>
      </c>
      <c r="G9019" s="200" t="s">
        <v>44</v>
      </c>
      <c r="H9019" s="200" t="s">
        <v>488</v>
      </c>
      <c r="I9019" s="200" t="s">
        <v>6968</v>
      </c>
    </row>
    <row r="9020" spans="1:9" ht="15" customHeight="1">
      <c r="A9020" s="199">
        <v>45784</v>
      </c>
      <c r="B9020" s="202" t="s">
        <v>6972</v>
      </c>
      <c r="C9020" s="200" t="s">
        <v>307</v>
      </c>
      <c r="D9020" s="204">
        <v>-150134</v>
      </c>
      <c r="E9020" s="201">
        <v>45778</v>
      </c>
      <c r="F9020" s="200" t="s">
        <v>296</v>
      </c>
      <c r="G9020" s="200" t="s">
        <v>1825</v>
      </c>
      <c r="H9020" s="200" t="s">
        <v>326</v>
      </c>
      <c r="I9020" s="200" t="s">
        <v>6968</v>
      </c>
    </row>
    <row r="9021" spans="1:9" ht="15" customHeight="1">
      <c r="A9021" s="199">
        <v>45790</v>
      </c>
      <c r="B9021" s="202" t="s">
        <v>6972</v>
      </c>
      <c r="C9021" s="200" t="s">
        <v>307</v>
      </c>
      <c r="D9021" s="204">
        <v>-150005</v>
      </c>
      <c r="E9021" s="201">
        <v>45778</v>
      </c>
      <c r="F9021" s="200" t="s">
        <v>296</v>
      </c>
      <c r="G9021" s="200" t="s">
        <v>1825</v>
      </c>
      <c r="H9021" s="200" t="s">
        <v>326</v>
      </c>
      <c r="I9021" s="200" t="s">
        <v>6968</v>
      </c>
    </row>
    <row r="9022" spans="1:9" ht="15" customHeight="1">
      <c r="A9022" s="199">
        <v>45791</v>
      </c>
      <c r="B9022" s="202" t="s">
        <v>6973</v>
      </c>
      <c r="C9022" s="200" t="s">
        <v>307</v>
      </c>
      <c r="D9022" s="204">
        <v>-40095</v>
      </c>
      <c r="E9022" s="201">
        <v>45778</v>
      </c>
      <c r="F9022" s="200" t="s">
        <v>296</v>
      </c>
      <c r="G9022" s="200" t="s">
        <v>1825</v>
      </c>
      <c r="H9022" s="200" t="s">
        <v>429</v>
      </c>
      <c r="I9022" s="200" t="s">
        <v>6968</v>
      </c>
    </row>
    <row r="9023" spans="1:9" ht="15" customHeight="1">
      <c r="A9023" s="199">
        <v>45792</v>
      </c>
      <c r="B9023" s="202" t="s">
        <v>5849</v>
      </c>
      <c r="C9023" s="200" t="s">
        <v>307</v>
      </c>
      <c r="D9023" s="204">
        <v>-50000</v>
      </c>
      <c r="E9023" s="201">
        <v>45778</v>
      </c>
      <c r="F9023" s="200" t="s">
        <v>296</v>
      </c>
      <c r="G9023" s="200" t="s">
        <v>1825</v>
      </c>
      <c r="H9023" s="200" t="s">
        <v>326</v>
      </c>
      <c r="I9023" s="200" t="s">
        <v>6968</v>
      </c>
    </row>
    <row r="9024" spans="1:9" ht="15" customHeight="1">
      <c r="A9024" s="199">
        <v>45794</v>
      </c>
      <c r="B9024" s="202" t="s">
        <v>6972</v>
      </c>
      <c r="C9024" s="200" t="s">
        <v>307</v>
      </c>
      <c r="D9024" s="204">
        <v>-186050</v>
      </c>
      <c r="E9024" s="201">
        <v>45778</v>
      </c>
      <c r="F9024" s="200" t="s">
        <v>296</v>
      </c>
      <c r="G9024" s="200" t="s">
        <v>1825</v>
      </c>
      <c r="H9024" s="200" t="s">
        <v>326</v>
      </c>
      <c r="I9024" s="200" t="s">
        <v>6968</v>
      </c>
    </row>
    <row r="9025" spans="1:9" ht="15" customHeight="1">
      <c r="A9025" s="199">
        <v>45794</v>
      </c>
      <c r="B9025" s="202" t="s">
        <v>6974</v>
      </c>
      <c r="C9025" s="200" t="s">
        <v>307</v>
      </c>
      <c r="D9025" s="204">
        <v>-14800</v>
      </c>
      <c r="E9025" s="201">
        <v>45778</v>
      </c>
      <c r="F9025" s="200" t="s">
        <v>296</v>
      </c>
      <c r="G9025" s="200" t="s">
        <v>1825</v>
      </c>
      <c r="H9025" s="200" t="s">
        <v>326</v>
      </c>
      <c r="I9025" s="200" t="s">
        <v>6968</v>
      </c>
    </row>
    <row r="9026" spans="1:9" ht="15" customHeight="1">
      <c r="A9026" s="199">
        <v>45796</v>
      </c>
      <c r="B9026" s="202" t="s">
        <v>6975</v>
      </c>
      <c r="C9026" s="200" t="s">
        <v>307</v>
      </c>
      <c r="D9026" s="204">
        <v>-14800</v>
      </c>
      <c r="E9026" s="201">
        <v>45778</v>
      </c>
      <c r="F9026" s="200" t="s">
        <v>296</v>
      </c>
      <c r="G9026" s="200" t="s">
        <v>1825</v>
      </c>
      <c r="H9026" s="200" t="s">
        <v>326</v>
      </c>
      <c r="I9026" s="200" t="s">
        <v>6968</v>
      </c>
    </row>
    <row r="9027" spans="1:9" ht="15" customHeight="1">
      <c r="A9027" s="199">
        <v>45797</v>
      </c>
      <c r="B9027" s="202" t="s">
        <v>5849</v>
      </c>
      <c r="C9027" s="200" t="s">
        <v>307</v>
      </c>
      <c r="D9027" s="204">
        <v>-50000</v>
      </c>
      <c r="E9027" s="201">
        <v>45778</v>
      </c>
      <c r="F9027" s="200" t="s">
        <v>296</v>
      </c>
      <c r="G9027" s="200" t="s">
        <v>1825</v>
      </c>
      <c r="H9027" s="200" t="s">
        <v>326</v>
      </c>
      <c r="I9027" s="200" t="s">
        <v>6968</v>
      </c>
    </row>
    <row r="9028" spans="1:9" ht="15" customHeight="1">
      <c r="A9028" s="199">
        <v>45798</v>
      </c>
      <c r="B9028" s="202" t="s">
        <v>6973</v>
      </c>
      <c r="C9028" s="200" t="s">
        <v>307</v>
      </c>
      <c r="D9028" s="204">
        <v>-50054</v>
      </c>
      <c r="E9028" s="201">
        <v>45778</v>
      </c>
      <c r="F9028" s="200" t="s">
        <v>296</v>
      </c>
      <c r="G9028" s="200" t="s">
        <v>1825</v>
      </c>
      <c r="H9028" s="200" t="s">
        <v>429</v>
      </c>
      <c r="I9028" s="200" t="s">
        <v>6968</v>
      </c>
    </row>
    <row r="9029" spans="1:9" ht="15" customHeight="1">
      <c r="A9029" s="199">
        <v>45799</v>
      </c>
      <c r="B9029" s="202" t="s">
        <v>6972</v>
      </c>
      <c r="C9029" s="200" t="s">
        <v>307</v>
      </c>
      <c r="D9029" s="204">
        <v>-100010</v>
      </c>
      <c r="E9029" s="201">
        <v>45778</v>
      </c>
      <c r="F9029" s="200" t="s">
        <v>296</v>
      </c>
      <c r="G9029" s="200" t="s">
        <v>1825</v>
      </c>
      <c r="H9029" s="200" t="s">
        <v>326</v>
      </c>
      <c r="I9029" s="200" t="s">
        <v>6968</v>
      </c>
    </row>
    <row r="9030" spans="1:9" ht="15" customHeight="1">
      <c r="A9030" s="199">
        <v>45803</v>
      </c>
      <c r="B9030" s="202" t="s">
        <v>6972</v>
      </c>
      <c r="C9030" s="200" t="s">
        <v>307</v>
      </c>
      <c r="D9030" s="204">
        <v>-130046</v>
      </c>
      <c r="E9030" s="201">
        <v>45778</v>
      </c>
      <c r="F9030" s="200" t="s">
        <v>296</v>
      </c>
      <c r="G9030" s="200" t="s">
        <v>1825</v>
      </c>
      <c r="H9030" s="200" t="s">
        <v>326</v>
      </c>
      <c r="I9030" s="200" t="s">
        <v>6968</v>
      </c>
    </row>
    <row r="9031" spans="1:9" ht="15" customHeight="1">
      <c r="A9031" s="199">
        <v>45803</v>
      </c>
      <c r="B9031" s="202" t="s">
        <v>6976</v>
      </c>
      <c r="C9031" s="200" t="s">
        <v>307</v>
      </c>
      <c r="D9031" s="204">
        <v>-40046</v>
      </c>
      <c r="E9031" s="201">
        <v>45778</v>
      </c>
      <c r="F9031" s="200" t="s">
        <v>296</v>
      </c>
      <c r="G9031" s="200" t="s">
        <v>1825</v>
      </c>
      <c r="H9031" s="200" t="s">
        <v>429</v>
      </c>
      <c r="I9031" s="200" t="s">
        <v>6968</v>
      </c>
    </row>
    <row r="9032" spans="1:9" ht="15" customHeight="1">
      <c r="A9032" s="199">
        <v>45803</v>
      </c>
      <c r="B9032" s="202" t="s">
        <v>6977</v>
      </c>
      <c r="C9032" s="200" t="s">
        <v>307</v>
      </c>
      <c r="D9032" s="204">
        <v>-7500</v>
      </c>
      <c r="E9032" s="201">
        <v>45778</v>
      </c>
      <c r="F9032" s="200" t="s">
        <v>296</v>
      </c>
      <c r="G9032" s="200" t="s">
        <v>1825</v>
      </c>
      <c r="H9032" s="200" t="s">
        <v>326</v>
      </c>
      <c r="I9032" s="200" t="s">
        <v>6968</v>
      </c>
    </row>
    <row r="9033" spans="1:9" ht="15" customHeight="1">
      <c r="A9033" s="199">
        <v>45800</v>
      </c>
      <c r="B9033" s="202" t="s">
        <v>6978</v>
      </c>
      <c r="C9033" s="200" t="s">
        <v>314</v>
      </c>
      <c r="D9033" s="204">
        <v>4000000</v>
      </c>
      <c r="E9033" s="662">
        <v>45778</v>
      </c>
      <c r="F9033" s="200" t="s">
        <v>295</v>
      </c>
    </row>
    <row r="9034" spans="1:9" ht="15" customHeight="1">
      <c r="A9034" s="199">
        <v>45803</v>
      </c>
      <c r="B9034" s="202" t="s">
        <v>6979</v>
      </c>
      <c r="C9034" s="200" t="s">
        <v>314</v>
      </c>
      <c r="D9034" s="204">
        <v>1115627</v>
      </c>
      <c r="E9034" s="662">
        <v>45778</v>
      </c>
      <c r="F9034" s="200" t="s">
        <v>295</v>
      </c>
    </row>
    <row r="9035" spans="1:9" ht="15" customHeight="1">
      <c r="A9035" s="199">
        <v>45806</v>
      </c>
      <c r="B9035" s="202" t="s">
        <v>6980</v>
      </c>
      <c r="C9035" s="200" t="s">
        <v>314</v>
      </c>
      <c r="D9035" s="204">
        <v>2626068</v>
      </c>
      <c r="E9035" s="662">
        <v>45778</v>
      </c>
      <c r="F9035" s="200" t="s">
        <v>295</v>
      </c>
    </row>
    <row r="9036" spans="1:9" ht="15" customHeight="1">
      <c r="A9036" s="199">
        <v>45804</v>
      </c>
      <c r="B9036" s="202" t="s">
        <v>6981</v>
      </c>
      <c r="C9036" s="200" t="s">
        <v>136</v>
      </c>
      <c r="D9036" s="204">
        <v>-2425776</v>
      </c>
      <c r="E9036" s="662">
        <v>45778</v>
      </c>
      <c r="F9036" s="200" t="s">
        <v>296</v>
      </c>
      <c r="G9036" s="200" t="s">
        <v>1980</v>
      </c>
    </row>
    <row r="9037" spans="1:9" ht="15" customHeight="1">
      <c r="A9037" s="199">
        <v>45804</v>
      </c>
      <c r="B9037" s="202" t="s">
        <v>6982</v>
      </c>
      <c r="C9037" s="200" t="s">
        <v>136</v>
      </c>
      <c r="D9037" s="658">
        <v>2425776</v>
      </c>
      <c r="E9037" s="662">
        <v>45778</v>
      </c>
      <c r="F9037" s="200" t="s">
        <v>296</v>
      </c>
      <c r="G9037" s="200" t="s">
        <v>1980</v>
      </c>
    </row>
    <row r="9038" spans="1:9" ht="15" customHeight="1">
      <c r="A9038" s="199">
        <v>45779</v>
      </c>
      <c r="B9038" s="202" t="s">
        <v>2643</v>
      </c>
      <c r="C9038" s="200" t="s">
        <v>307</v>
      </c>
      <c r="D9038" s="204">
        <v>-40000</v>
      </c>
      <c r="E9038" s="662">
        <v>45778</v>
      </c>
      <c r="F9038" s="200" t="s">
        <v>296</v>
      </c>
      <c r="G9038" s="200" t="s">
        <v>522</v>
      </c>
      <c r="H9038" s="200" t="s">
        <v>326</v>
      </c>
      <c r="I9038" s="200" t="s">
        <v>2962</v>
      </c>
    </row>
    <row r="9039" spans="1:9" ht="15" customHeight="1">
      <c r="A9039" s="199">
        <v>45779</v>
      </c>
      <c r="B9039" s="202" t="s">
        <v>6983</v>
      </c>
      <c r="C9039" s="200" t="s">
        <v>307</v>
      </c>
      <c r="D9039" s="204">
        <v>-70000</v>
      </c>
      <c r="E9039" s="662">
        <v>45778</v>
      </c>
      <c r="F9039" s="200" t="s">
        <v>296</v>
      </c>
      <c r="G9039" s="200" t="s">
        <v>522</v>
      </c>
      <c r="H9039" s="200" t="s">
        <v>1079</v>
      </c>
      <c r="I9039" s="200" t="s">
        <v>2962</v>
      </c>
    </row>
    <row r="9040" spans="1:9" ht="15" customHeight="1">
      <c r="A9040" s="199">
        <v>45783</v>
      </c>
      <c r="B9040" s="202" t="s">
        <v>2637</v>
      </c>
      <c r="C9040" s="200" t="s">
        <v>307</v>
      </c>
      <c r="D9040" s="204">
        <v>-30000</v>
      </c>
      <c r="E9040" s="662">
        <v>45778</v>
      </c>
      <c r="F9040" s="200" t="s">
        <v>296</v>
      </c>
      <c r="G9040" s="200" t="s">
        <v>522</v>
      </c>
      <c r="H9040" s="200" t="s">
        <v>326</v>
      </c>
      <c r="I9040" s="200" t="s">
        <v>2962</v>
      </c>
    </row>
    <row r="9041" spans="1:9" ht="15" customHeight="1">
      <c r="A9041" s="199">
        <v>45783</v>
      </c>
      <c r="B9041" s="202" t="s">
        <v>6984</v>
      </c>
      <c r="C9041" s="200" t="s">
        <v>307</v>
      </c>
      <c r="D9041" s="204">
        <v>-115000</v>
      </c>
      <c r="E9041" s="662">
        <v>45778</v>
      </c>
      <c r="F9041" s="200" t="s">
        <v>296</v>
      </c>
      <c r="G9041" s="200" t="s">
        <v>522</v>
      </c>
      <c r="H9041" s="200" t="s">
        <v>326</v>
      </c>
      <c r="I9041" s="200" t="s">
        <v>2962</v>
      </c>
    </row>
    <row r="9042" spans="1:9" ht="15" customHeight="1">
      <c r="A9042" s="199">
        <v>45784</v>
      </c>
      <c r="B9042" s="202" t="s">
        <v>2637</v>
      </c>
      <c r="C9042" s="200" t="s">
        <v>307</v>
      </c>
      <c r="D9042" s="204">
        <v>-40000</v>
      </c>
      <c r="E9042" s="662">
        <v>45778</v>
      </c>
      <c r="F9042" s="200" t="s">
        <v>296</v>
      </c>
      <c r="G9042" s="200" t="s">
        <v>522</v>
      </c>
      <c r="H9042" s="200" t="s">
        <v>326</v>
      </c>
      <c r="I9042" s="200" t="s">
        <v>2962</v>
      </c>
    </row>
    <row r="9043" spans="1:9" ht="15" customHeight="1">
      <c r="A9043" s="199">
        <v>45784</v>
      </c>
      <c r="B9043" s="202" t="s">
        <v>6985</v>
      </c>
      <c r="C9043" s="200" t="s">
        <v>307</v>
      </c>
      <c r="D9043" s="204">
        <v>-6500</v>
      </c>
      <c r="E9043" s="662">
        <v>45778</v>
      </c>
      <c r="F9043" s="200" t="s">
        <v>296</v>
      </c>
      <c r="G9043" s="200" t="s">
        <v>522</v>
      </c>
      <c r="H9043" s="200" t="s">
        <v>322</v>
      </c>
      <c r="I9043" s="200" t="s">
        <v>2962</v>
      </c>
    </row>
    <row r="9044" spans="1:9" ht="15" customHeight="1">
      <c r="A9044" s="199">
        <v>45785</v>
      </c>
      <c r="B9044" s="202" t="s">
        <v>5841</v>
      </c>
      <c r="C9044" s="200" t="s">
        <v>307</v>
      </c>
      <c r="D9044" s="204">
        <v>-40000</v>
      </c>
      <c r="E9044" s="662">
        <v>45778</v>
      </c>
      <c r="F9044" s="200" t="s">
        <v>296</v>
      </c>
      <c r="G9044" s="200" t="s">
        <v>522</v>
      </c>
      <c r="H9044" s="200" t="s">
        <v>429</v>
      </c>
      <c r="I9044" s="200" t="s">
        <v>2962</v>
      </c>
    </row>
    <row r="9045" spans="1:9" ht="15" customHeight="1">
      <c r="A9045" s="199">
        <v>45785</v>
      </c>
      <c r="B9045" s="202" t="s">
        <v>1709</v>
      </c>
      <c r="C9045" s="200" t="s">
        <v>307</v>
      </c>
      <c r="D9045" s="204">
        <v>-70000</v>
      </c>
      <c r="E9045" s="662">
        <v>45778</v>
      </c>
      <c r="F9045" s="200" t="s">
        <v>296</v>
      </c>
      <c r="G9045" s="200" t="s">
        <v>522</v>
      </c>
      <c r="H9045" s="200" t="s">
        <v>429</v>
      </c>
      <c r="I9045" s="200" t="s">
        <v>2962</v>
      </c>
    </row>
    <row r="9046" spans="1:9" ht="15" customHeight="1">
      <c r="A9046" s="199">
        <v>45786</v>
      </c>
      <c r="B9046" s="202" t="s">
        <v>2643</v>
      </c>
      <c r="C9046" s="200" t="s">
        <v>307</v>
      </c>
      <c r="D9046" s="204">
        <v>-20000</v>
      </c>
      <c r="E9046" s="662">
        <v>45778</v>
      </c>
      <c r="F9046" s="200" t="s">
        <v>296</v>
      </c>
      <c r="G9046" s="200" t="s">
        <v>522</v>
      </c>
      <c r="H9046" s="200" t="s">
        <v>326</v>
      </c>
      <c r="I9046" s="200" t="s">
        <v>2962</v>
      </c>
    </row>
    <row r="9047" spans="1:9" ht="15" customHeight="1">
      <c r="A9047" s="199">
        <v>45787</v>
      </c>
      <c r="B9047" s="202" t="s">
        <v>4294</v>
      </c>
      <c r="C9047" s="200" t="s">
        <v>307</v>
      </c>
      <c r="D9047" s="204">
        <v>-190000</v>
      </c>
      <c r="E9047" s="662">
        <v>45778</v>
      </c>
      <c r="F9047" s="200" t="s">
        <v>296</v>
      </c>
      <c r="G9047" s="200" t="s">
        <v>522</v>
      </c>
      <c r="H9047" s="200" t="s">
        <v>326</v>
      </c>
      <c r="I9047" s="200" t="s">
        <v>2962</v>
      </c>
    </row>
    <row r="9048" spans="1:9" ht="15" customHeight="1">
      <c r="A9048" s="199">
        <v>45787</v>
      </c>
      <c r="B9048" s="202" t="s">
        <v>1890</v>
      </c>
      <c r="C9048" s="200" t="s">
        <v>307</v>
      </c>
      <c r="D9048" s="204">
        <v>-14800</v>
      </c>
      <c r="E9048" s="662">
        <v>45778</v>
      </c>
      <c r="F9048" s="200" t="s">
        <v>296</v>
      </c>
      <c r="G9048" s="200" t="s">
        <v>522</v>
      </c>
      <c r="H9048" s="200" t="s">
        <v>326</v>
      </c>
      <c r="I9048" s="200" t="s">
        <v>2962</v>
      </c>
    </row>
    <row r="9049" spans="1:9" ht="15" customHeight="1">
      <c r="A9049" s="199">
        <v>45789</v>
      </c>
      <c r="B9049" s="202" t="s">
        <v>1892</v>
      </c>
      <c r="C9049" s="200" t="s">
        <v>307</v>
      </c>
      <c r="D9049" s="204">
        <v>-14800</v>
      </c>
      <c r="E9049" s="662">
        <v>45778</v>
      </c>
      <c r="F9049" s="200" t="s">
        <v>296</v>
      </c>
      <c r="G9049" s="200" t="s">
        <v>522</v>
      </c>
      <c r="H9049" s="200" t="s">
        <v>326</v>
      </c>
      <c r="I9049" s="200" t="s">
        <v>2962</v>
      </c>
    </row>
    <row r="9050" spans="1:9" ht="15" customHeight="1">
      <c r="A9050" s="199">
        <v>45789</v>
      </c>
      <c r="B9050" s="202" t="s">
        <v>6986</v>
      </c>
      <c r="C9050" s="200" t="s">
        <v>307</v>
      </c>
      <c r="D9050" s="204">
        <v>-20000</v>
      </c>
      <c r="E9050" s="662">
        <v>45778</v>
      </c>
      <c r="F9050" s="200" t="s">
        <v>296</v>
      </c>
      <c r="G9050" s="200" t="s">
        <v>522</v>
      </c>
      <c r="H9050" s="200" t="s">
        <v>326</v>
      </c>
      <c r="I9050" s="200" t="s">
        <v>2962</v>
      </c>
    </row>
    <row r="9051" spans="1:9" ht="15" customHeight="1">
      <c r="A9051" s="199">
        <v>45789</v>
      </c>
      <c r="B9051" s="202" t="s">
        <v>6987</v>
      </c>
      <c r="C9051" s="200" t="s">
        <v>307</v>
      </c>
      <c r="D9051" s="204">
        <v>-40000</v>
      </c>
      <c r="E9051" s="662">
        <v>45778</v>
      </c>
      <c r="F9051" s="200" t="s">
        <v>296</v>
      </c>
      <c r="G9051" s="200" t="s">
        <v>522</v>
      </c>
      <c r="H9051" s="200" t="s">
        <v>326</v>
      </c>
      <c r="I9051" s="200" t="s">
        <v>2962</v>
      </c>
    </row>
    <row r="9052" spans="1:9" ht="15" customHeight="1">
      <c r="A9052" s="199">
        <v>45790</v>
      </c>
      <c r="B9052" s="202" t="s">
        <v>6988</v>
      </c>
      <c r="C9052" s="200" t="s">
        <v>307</v>
      </c>
      <c r="D9052" s="204">
        <v>-215000</v>
      </c>
      <c r="E9052" s="662">
        <v>45778</v>
      </c>
      <c r="F9052" s="200" t="s">
        <v>296</v>
      </c>
      <c r="G9052" s="200" t="s">
        <v>522</v>
      </c>
      <c r="H9052" s="200" t="s">
        <v>326</v>
      </c>
      <c r="I9052" s="200" t="s">
        <v>2962</v>
      </c>
    </row>
    <row r="9053" spans="1:9" ht="15" customHeight="1">
      <c r="A9053" s="199">
        <v>45790</v>
      </c>
      <c r="B9053" s="202" t="s">
        <v>1709</v>
      </c>
      <c r="C9053" s="200" t="s">
        <v>307</v>
      </c>
      <c r="D9053" s="204">
        <v>-70000</v>
      </c>
      <c r="E9053" s="662">
        <v>45778</v>
      </c>
      <c r="F9053" s="200" t="s">
        <v>296</v>
      </c>
      <c r="G9053" s="200" t="s">
        <v>522</v>
      </c>
      <c r="H9053" s="200" t="s">
        <v>366</v>
      </c>
      <c r="I9053" s="200" t="s">
        <v>2962</v>
      </c>
    </row>
    <row r="9054" spans="1:9" ht="15" customHeight="1">
      <c r="A9054" s="199">
        <v>45790</v>
      </c>
      <c r="B9054" s="202" t="s">
        <v>2637</v>
      </c>
      <c r="C9054" s="200" t="s">
        <v>307</v>
      </c>
      <c r="D9054" s="204">
        <v>-40000</v>
      </c>
      <c r="E9054" s="662">
        <v>45778</v>
      </c>
      <c r="F9054" s="200" t="s">
        <v>296</v>
      </c>
      <c r="G9054" s="200" t="s">
        <v>522</v>
      </c>
      <c r="H9054" s="200" t="s">
        <v>326</v>
      </c>
      <c r="I9054" s="200" t="s">
        <v>2962</v>
      </c>
    </row>
    <row r="9055" spans="1:9" ht="15" customHeight="1">
      <c r="A9055" s="199">
        <v>45791</v>
      </c>
      <c r="B9055" s="202" t="s">
        <v>2637</v>
      </c>
      <c r="C9055" s="200" t="s">
        <v>307</v>
      </c>
      <c r="D9055" s="204">
        <v>-40000</v>
      </c>
      <c r="E9055" s="662">
        <v>45778</v>
      </c>
      <c r="F9055" s="200" t="s">
        <v>296</v>
      </c>
      <c r="G9055" s="200" t="s">
        <v>522</v>
      </c>
      <c r="H9055" s="200" t="s">
        <v>326</v>
      </c>
      <c r="I9055" s="200" t="s">
        <v>2962</v>
      </c>
    </row>
    <row r="9056" spans="1:9" ht="15" customHeight="1">
      <c r="A9056" s="199">
        <v>45762</v>
      </c>
      <c r="B9056" s="202" t="s">
        <v>4294</v>
      </c>
      <c r="C9056" s="200" t="s">
        <v>307</v>
      </c>
      <c r="D9056" s="204">
        <v>-50000</v>
      </c>
      <c r="E9056" s="662">
        <v>45778</v>
      </c>
      <c r="F9056" s="200" t="s">
        <v>296</v>
      </c>
      <c r="G9056" s="200" t="s">
        <v>522</v>
      </c>
      <c r="H9056" s="200" t="s">
        <v>326</v>
      </c>
      <c r="I9056" s="200" t="s">
        <v>2962</v>
      </c>
    </row>
    <row r="9057" spans="1:9" ht="15" customHeight="1">
      <c r="A9057" s="199">
        <v>45793</v>
      </c>
      <c r="B9057" s="202" t="s">
        <v>6989</v>
      </c>
      <c r="C9057" s="200" t="s">
        <v>307</v>
      </c>
      <c r="D9057" s="204">
        <v>-804000</v>
      </c>
      <c r="E9057" s="662">
        <v>45778</v>
      </c>
      <c r="F9057" s="200" t="s">
        <v>296</v>
      </c>
      <c r="G9057" s="200" t="s">
        <v>807</v>
      </c>
      <c r="H9057" s="200" t="s">
        <v>488</v>
      </c>
      <c r="I9057" s="200" t="s">
        <v>2962</v>
      </c>
    </row>
    <row r="9058" spans="1:9" ht="15" customHeight="1">
      <c r="A9058" s="199">
        <v>45796</v>
      </c>
      <c r="B9058" s="202" t="s">
        <v>2637</v>
      </c>
      <c r="C9058" s="200" t="s">
        <v>307</v>
      </c>
      <c r="D9058" s="204">
        <v>-40000</v>
      </c>
      <c r="E9058" s="662">
        <v>45778</v>
      </c>
      <c r="F9058" s="200" t="s">
        <v>296</v>
      </c>
      <c r="G9058" s="200" t="s">
        <v>522</v>
      </c>
      <c r="H9058" s="200" t="s">
        <v>326</v>
      </c>
      <c r="I9058" s="200" t="s">
        <v>2962</v>
      </c>
    </row>
    <row r="9059" spans="1:9" ht="15" customHeight="1">
      <c r="A9059" s="199">
        <v>45798</v>
      </c>
      <c r="B9059" s="202" t="s">
        <v>2637</v>
      </c>
      <c r="C9059" s="200" t="s">
        <v>307</v>
      </c>
      <c r="D9059" s="204">
        <v>-40000</v>
      </c>
      <c r="E9059" s="662">
        <v>45778</v>
      </c>
      <c r="F9059" s="200" t="s">
        <v>296</v>
      </c>
      <c r="G9059" s="200" t="s">
        <v>522</v>
      </c>
      <c r="H9059" s="200" t="s">
        <v>326</v>
      </c>
      <c r="I9059" s="200" t="s">
        <v>2962</v>
      </c>
    </row>
    <row r="9060" spans="1:9" ht="15" customHeight="1">
      <c r="A9060" s="199">
        <v>45798</v>
      </c>
      <c r="B9060" s="202" t="s">
        <v>4294</v>
      </c>
      <c r="C9060" s="200" t="s">
        <v>307</v>
      </c>
      <c r="D9060" s="204">
        <v>-80000</v>
      </c>
      <c r="E9060" s="662">
        <v>45778</v>
      </c>
      <c r="F9060" s="200" t="s">
        <v>296</v>
      </c>
      <c r="G9060" s="200" t="s">
        <v>522</v>
      </c>
      <c r="H9060" s="200" t="s">
        <v>326</v>
      </c>
      <c r="I9060" s="200" t="s">
        <v>2962</v>
      </c>
    </row>
    <row r="9061" spans="1:9" ht="15" customHeight="1">
      <c r="A9061" s="199">
        <v>45798</v>
      </c>
      <c r="B9061" s="202" t="s">
        <v>6990</v>
      </c>
      <c r="C9061" s="200" t="s">
        <v>307</v>
      </c>
      <c r="D9061" s="204">
        <v>-30000</v>
      </c>
      <c r="E9061" s="662">
        <v>45778</v>
      </c>
      <c r="F9061" s="200" t="s">
        <v>296</v>
      </c>
      <c r="G9061" s="200" t="s">
        <v>807</v>
      </c>
      <c r="H9061" s="200" t="s">
        <v>429</v>
      </c>
      <c r="I9061" s="200" t="s">
        <v>2962</v>
      </c>
    </row>
    <row r="9062" spans="1:9" ht="15" customHeight="1">
      <c r="A9062" s="199">
        <v>45800</v>
      </c>
      <c r="B9062" s="202" t="s">
        <v>2637</v>
      </c>
      <c r="C9062" s="200" t="s">
        <v>307</v>
      </c>
      <c r="D9062" s="204">
        <v>-40000</v>
      </c>
      <c r="E9062" s="662">
        <v>45778</v>
      </c>
      <c r="F9062" s="200" t="s">
        <v>296</v>
      </c>
      <c r="G9062" s="200" t="s">
        <v>522</v>
      </c>
      <c r="H9062" s="200" t="s">
        <v>326</v>
      </c>
      <c r="I9062" s="200" t="s">
        <v>2962</v>
      </c>
    </row>
    <row r="9063" spans="1:9" ht="15" customHeight="1">
      <c r="A9063" s="199">
        <v>45800</v>
      </c>
      <c r="B9063" s="202" t="s">
        <v>2643</v>
      </c>
      <c r="C9063" s="200" t="s">
        <v>307</v>
      </c>
      <c r="D9063" s="204">
        <v>-20000</v>
      </c>
      <c r="E9063" s="662">
        <v>45778</v>
      </c>
      <c r="F9063" s="200" t="s">
        <v>296</v>
      </c>
      <c r="G9063" s="200" t="s">
        <v>807</v>
      </c>
      <c r="H9063" s="200" t="s">
        <v>326</v>
      </c>
      <c r="I9063" s="200" t="s">
        <v>2962</v>
      </c>
    </row>
    <row r="9064" spans="1:9" ht="15" customHeight="1">
      <c r="A9064" s="199">
        <v>45800</v>
      </c>
      <c r="B9064" s="202" t="s">
        <v>6991</v>
      </c>
      <c r="C9064" s="200" t="s">
        <v>307</v>
      </c>
      <c r="D9064" s="204">
        <v>-20000</v>
      </c>
      <c r="E9064" s="662">
        <v>45778</v>
      </c>
      <c r="F9064" s="200" t="s">
        <v>296</v>
      </c>
      <c r="G9064" s="200" t="s">
        <v>807</v>
      </c>
      <c r="H9064" s="200" t="s">
        <v>326</v>
      </c>
      <c r="I9064" s="200" t="s">
        <v>2962</v>
      </c>
    </row>
    <row r="9065" spans="1:9" ht="15" customHeight="1">
      <c r="A9065" s="199">
        <v>45800</v>
      </c>
      <c r="B9065" s="202" t="s">
        <v>6992</v>
      </c>
      <c r="C9065" s="200" t="s">
        <v>307</v>
      </c>
      <c r="D9065" s="204">
        <v>-8000</v>
      </c>
      <c r="E9065" s="662">
        <v>45778</v>
      </c>
      <c r="F9065" s="200" t="s">
        <v>296</v>
      </c>
      <c r="G9065" s="200" t="s">
        <v>807</v>
      </c>
      <c r="H9065" s="200" t="s">
        <v>322</v>
      </c>
      <c r="I9065" s="200" t="s">
        <v>2962</v>
      </c>
    </row>
    <row r="9066" spans="1:9" ht="15" customHeight="1">
      <c r="A9066" s="199">
        <v>45801</v>
      </c>
      <c r="B9066" s="202" t="s">
        <v>4294</v>
      </c>
      <c r="C9066" s="200" t="s">
        <v>307</v>
      </c>
      <c r="D9066" s="204">
        <v>-50000</v>
      </c>
      <c r="E9066" s="662">
        <v>45778</v>
      </c>
      <c r="F9066" s="200" t="s">
        <v>296</v>
      </c>
      <c r="G9066" s="200" t="s">
        <v>522</v>
      </c>
      <c r="H9066" s="200" t="s">
        <v>326</v>
      </c>
      <c r="I9066" s="200" t="s">
        <v>2962</v>
      </c>
    </row>
    <row r="9067" spans="1:9" ht="15" customHeight="1">
      <c r="A9067" s="199">
        <v>45801</v>
      </c>
      <c r="B9067" s="202" t="s">
        <v>1890</v>
      </c>
      <c r="C9067" s="200" t="s">
        <v>307</v>
      </c>
      <c r="D9067" s="204">
        <v>-14800</v>
      </c>
      <c r="E9067" s="662">
        <v>45778</v>
      </c>
      <c r="F9067" s="200" t="s">
        <v>296</v>
      </c>
      <c r="G9067" s="200" t="s">
        <v>522</v>
      </c>
      <c r="H9067" s="200" t="s">
        <v>326</v>
      </c>
      <c r="I9067" s="200" t="s">
        <v>2962</v>
      </c>
    </row>
    <row r="9068" spans="1:9" ht="15" customHeight="1">
      <c r="A9068" s="199">
        <v>45803</v>
      </c>
      <c r="B9068" s="202" t="s">
        <v>2637</v>
      </c>
      <c r="C9068" s="200" t="s">
        <v>307</v>
      </c>
      <c r="D9068" s="204">
        <v>-40000</v>
      </c>
      <c r="E9068" s="662">
        <v>45778</v>
      </c>
      <c r="F9068" s="200" t="s">
        <v>296</v>
      </c>
      <c r="G9068" s="200" t="s">
        <v>522</v>
      </c>
      <c r="H9068" s="200" t="s">
        <v>326</v>
      </c>
      <c r="I9068" s="200" t="s">
        <v>2962</v>
      </c>
    </row>
    <row r="9069" spans="1:9" ht="15" customHeight="1">
      <c r="A9069" s="199">
        <v>45787</v>
      </c>
      <c r="B9069" s="202" t="s">
        <v>6993</v>
      </c>
      <c r="C9069" s="200" t="s">
        <v>307</v>
      </c>
      <c r="D9069" s="204">
        <v>-70000</v>
      </c>
      <c r="E9069" s="662">
        <v>45778</v>
      </c>
      <c r="F9069" s="200" t="s">
        <v>296</v>
      </c>
      <c r="G9069" s="200" t="s">
        <v>1980</v>
      </c>
      <c r="H9069" s="200" t="s">
        <v>326</v>
      </c>
      <c r="I9069" s="200" t="s">
        <v>2951</v>
      </c>
    </row>
    <row r="9070" spans="1:9" ht="15" customHeight="1">
      <c r="A9070" s="199">
        <v>45787</v>
      </c>
      <c r="B9070" s="202" t="s">
        <v>6994</v>
      </c>
      <c r="C9070" s="200" t="s">
        <v>307</v>
      </c>
      <c r="D9070" s="204">
        <v>-35000</v>
      </c>
      <c r="E9070" s="662">
        <v>45778</v>
      </c>
      <c r="F9070" s="200" t="s">
        <v>296</v>
      </c>
      <c r="G9070" s="200" t="s">
        <v>1980</v>
      </c>
      <c r="H9070" s="200" t="s">
        <v>326</v>
      </c>
      <c r="I9070" s="200" t="s">
        <v>2951</v>
      </c>
    </row>
    <row r="9071" spans="1:9" ht="15" customHeight="1">
      <c r="A9071" s="199">
        <v>45787</v>
      </c>
      <c r="B9071" s="202" t="s">
        <v>5273</v>
      </c>
      <c r="C9071" s="200" t="s">
        <v>307</v>
      </c>
      <c r="D9071" s="204">
        <v>-135006</v>
      </c>
      <c r="E9071" s="662">
        <v>45778</v>
      </c>
      <c r="F9071" s="200" t="s">
        <v>296</v>
      </c>
      <c r="G9071" s="200" t="s">
        <v>1980</v>
      </c>
      <c r="H9071" s="200" t="s">
        <v>326</v>
      </c>
      <c r="I9071" s="200" t="s">
        <v>2951</v>
      </c>
    </row>
    <row r="9072" spans="1:9" ht="15" customHeight="1">
      <c r="A9072" s="199">
        <v>45787</v>
      </c>
      <c r="B9072" s="202" t="s">
        <v>6995</v>
      </c>
      <c r="C9072" s="200" t="s">
        <v>307</v>
      </c>
      <c r="D9072" s="204">
        <v>-53084</v>
      </c>
      <c r="E9072" s="662">
        <v>45778</v>
      </c>
      <c r="F9072" s="200" t="s">
        <v>296</v>
      </c>
      <c r="G9072" s="200" t="s">
        <v>1983</v>
      </c>
      <c r="H9072" s="200" t="s">
        <v>490</v>
      </c>
      <c r="I9072" s="200" t="s">
        <v>2951</v>
      </c>
    </row>
    <row r="9073" spans="1:9" ht="15" customHeight="1">
      <c r="A9073" s="199">
        <v>45787</v>
      </c>
      <c r="B9073" s="202" t="s">
        <v>6996</v>
      </c>
      <c r="C9073" s="200" t="s">
        <v>307</v>
      </c>
      <c r="D9073" s="204">
        <v>-53005</v>
      </c>
      <c r="E9073" s="662">
        <v>45778</v>
      </c>
      <c r="F9073" s="200" t="s">
        <v>296</v>
      </c>
      <c r="G9073" s="200" t="s">
        <v>1983</v>
      </c>
      <c r="H9073" s="200" t="s">
        <v>490</v>
      </c>
      <c r="I9073" s="200" t="s">
        <v>2951</v>
      </c>
    </row>
    <row r="9074" spans="1:9" ht="15" customHeight="1">
      <c r="A9074" s="199">
        <v>45787</v>
      </c>
      <c r="B9074" s="202" t="s">
        <v>6106</v>
      </c>
      <c r="C9074" s="200" t="s">
        <v>307</v>
      </c>
      <c r="D9074" s="204">
        <v>-76006</v>
      </c>
      <c r="E9074" s="662">
        <v>45778</v>
      </c>
      <c r="F9074" s="200" t="s">
        <v>296</v>
      </c>
      <c r="G9074" s="200" t="s">
        <v>1983</v>
      </c>
      <c r="H9074" s="200" t="s">
        <v>429</v>
      </c>
      <c r="I9074" s="200" t="s">
        <v>2951</v>
      </c>
    </row>
    <row r="9075" spans="1:9" ht="15" customHeight="1">
      <c r="A9075" s="199">
        <v>45789</v>
      </c>
      <c r="B9075" s="202" t="s">
        <v>2954</v>
      </c>
      <c r="C9075" s="200" t="s">
        <v>307</v>
      </c>
      <c r="D9075" s="204">
        <v>-60000</v>
      </c>
      <c r="E9075" s="662">
        <v>45778</v>
      </c>
      <c r="F9075" s="200" t="s">
        <v>296</v>
      </c>
      <c r="G9075" s="200" t="s">
        <v>1980</v>
      </c>
      <c r="H9075" s="200" t="s">
        <v>326</v>
      </c>
      <c r="I9075" s="200" t="s">
        <v>2951</v>
      </c>
    </row>
    <row r="9076" spans="1:9" ht="15" customHeight="1">
      <c r="A9076" s="199">
        <v>45789</v>
      </c>
      <c r="B9076" s="202" t="s">
        <v>6109</v>
      </c>
      <c r="C9076" s="200" t="s">
        <v>307</v>
      </c>
      <c r="D9076" s="204">
        <v>-10500</v>
      </c>
      <c r="E9076" s="662">
        <v>45778</v>
      </c>
      <c r="F9076" s="200" t="s">
        <v>296</v>
      </c>
      <c r="G9076" s="200" t="s">
        <v>1980</v>
      </c>
      <c r="H9076" s="200" t="s">
        <v>490</v>
      </c>
      <c r="I9076" s="200" t="s">
        <v>2951</v>
      </c>
    </row>
    <row r="9077" spans="1:9" ht="15" customHeight="1">
      <c r="A9077" s="199">
        <v>45790</v>
      </c>
      <c r="B9077" s="202" t="s">
        <v>2954</v>
      </c>
      <c r="C9077" s="200" t="s">
        <v>307</v>
      </c>
      <c r="D9077" s="204">
        <v>-60000</v>
      </c>
      <c r="E9077" s="662">
        <v>45778</v>
      </c>
      <c r="F9077" s="200" t="s">
        <v>296</v>
      </c>
      <c r="G9077" s="200" t="s">
        <v>1980</v>
      </c>
      <c r="H9077" s="200" t="s">
        <v>326</v>
      </c>
      <c r="I9077" s="200" t="s">
        <v>2951</v>
      </c>
    </row>
    <row r="9078" spans="1:9" ht="15" customHeight="1">
      <c r="A9078" s="199">
        <v>45791</v>
      </c>
      <c r="B9078" s="202" t="s">
        <v>2954</v>
      </c>
      <c r="C9078" s="200" t="s">
        <v>307</v>
      </c>
      <c r="D9078" s="204">
        <v>-60000</v>
      </c>
      <c r="E9078" s="662">
        <v>45778</v>
      </c>
      <c r="F9078" s="200" t="s">
        <v>296</v>
      </c>
      <c r="G9078" s="200" t="s">
        <v>1980</v>
      </c>
      <c r="H9078" s="200" t="s">
        <v>326</v>
      </c>
      <c r="I9078" s="200" t="s">
        <v>2951</v>
      </c>
    </row>
    <row r="9079" spans="1:9" ht="15" customHeight="1">
      <c r="A9079" s="199">
        <v>45791</v>
      </c>
      <c r="B9079" s="202" t="s">
        <v>5275</v>
      </c>
      <c r="C9079" s="200" t="s">
        <v>307</v>
      </c>
      <c r="D9079" s="204">
        <v>-43300</v>
      </c>
      <c r="E9079" s="662">
        <v>45778</v>
      </c>
      <c r="F9079" s="200" t="s">
        <v>296</v>
      </c>
      <c r="G9079" s="200" t="s">
        <v>1980</v>
      </c>
      <c r="H9079" s="200" t="s">
        <v>326</v>
      </c>
      <c r="I9079" s="200" t="s">
        <v>2951</v>
      </c>
    </row>
    <row r="9080" spans="1:9" ht="15" customHeight="1">
      <c r="A9080" s="199">
        <v>45791</v>
      </c>
      <c r="B9080" s="202" t="s">
        <v>6997</v>
      </c>
      <c r="C9080" s="200" t="s">
        <v>307</v>
      </c>
      <c r="D9080" s="204">
        <v>-10800</v>
      </c>
      <c r="E9080" s="662">
        <v>45778</v>
      </c>
      <c r="F9080" s="200" t="s">
        <v>296</v>
      </c>
      <c r="G9080" s="200" t="s">
        <v>1980</v>
      </c>
      <c r="H9080" s="200" t="s">
        <v>322</v>
      </c>
      <c r="I9080" s="200" t="s">
        <v>2951</v>
      </c>
    </row>
    <row r="9081" spans="1:9" ht="15" customHeight="1">
      <c r="A9081" s="199">
        <v>45791</v>
      </c>
      <c r="B9081" s="202" t="s">
        <v>6998</v>
      </c>
      <c r="C9081" s="200" t="s">
        <v>307</v>
      </c>
      <c r="D9081" s="204">
        <v>-21000</v>
      </c>
      <c r="E9081" s="662">
        <v>45778</v>
      </c>
      <c r="F9081" s="200" t="s">
        <v>296</v>
      </c>
      <c r="G9081" s="200" t="s">
        <v>1980</v>
      </c>
      <c r="H9081" s="200" t="s">
        <v>442</v>
      </c>
      <c r="I9081" s="200" t="s">
        <v>2951</v>
      </c>
    </row>
    <row r="9082" spans="1:9" ht="15" customHeight="1">
      <c r="A9082" s="199">
        <v>45791</v>
      </c>
      <c r="B9082" s="202" t="s">
        <v>6109</v>
      </c>
      <c r="C9082" s="200" t="s">
        <v>307</v>
      </c>
      <c r="D9082" s="204">
        <v>-4500</v>
      </c>
      <c r="E9082" s="662">
        <v>45778</v>
      </c>
      <c r="F9082" s="200" t="s">
        <v>296</v>
      </c>
      <c r="G9082" s="200" t="s">
        <v>1983</v>
      </c>
      <c r="H9082" s="200" t="s">
        <v>490</v>
      </c>
      <c r="I9082" s="200" t="s">
        <v>2951</v>
      </c>
    </row>
    <row r="9083" spans="1:9" ht="15" customHeight="1">
      <c r="A9083" s="199">
        <v>45792</v>
      </c>
      <c r="B9083" s="202" t="s">
        <v>2954</v>
      </c>
      <c r="C9083" s="200" t="s">
        <v>307</v>
      </c>
      <c r="D9083" s="204">
        <v>-66600</v>
      </c>
      <c r="E9083" s="662">
        <v>45778</v>
      </c>
      <c r="F9083" s="200" t="s">
        <v>296</v>
      </c>
      <c r="G9083" s="200" t="s">
        <v>1983</v>
      </c>
      <c r="H9083" s="200" t="s">
        <v>326</v>
      </c>
      <c r="I9083" s="200" t="s">
        <v>2951</v>
      </c>
    </row>
    <row r="9084" spans="1:9" ht="15" customHeight="1">
      <c r="A9084" s="199">
        <v>45793</v>
      </c>
      <c r="B9084" s="202" t="s">
        <v>6999</v>
      </c>
      <c r="C9084" s="200" t="s">
        <v>307</v>
      </c>
      <c r="D9084" s="204">
        <v>-44000</v>
      </c>
      <c r="E9084" s="662">
        <v>45778</v>
      </c>
      <c r="F9084" s="200" t="s">
        <v>296</v>
      </c>
      <c r="G9084" s="200" t="s">
        <v>1980</v>
      </c>
      <c r="H9084" s="200" t="s">
        <v>326</v>
      </c>
      <c r="I9084" s="200" t="s">
        <v>2951</v>
      </c>
    </row>
    <row r="9085" spans="1:9" ht="15" customHeight="1">
      <c r="A9085" s="199">
        <v>45793</v>
      </c>
      <c r="B9085" s="202" t="s">
        <v>7000</v>
      </c>
      <c r="C9085" s="200" t="s">
        <v>307</v>
      </c>
      <c r="D9085" s="204">
        <v>-27500</v>
      </c>
      <c r="E9085" s="662">
        <v>45778</v>
      </c>
      <c r="F9085" s="200" t="s">
        <v>296</v>
      </c>
      <c r="G9085" s="200" t="s">
        <v>1980</v>
      </c>
      <c r="H9085" s="200" t="s">
        <v>322</v>
      </c>
      <c r="I9085" s="200" t="s">
        <v>2951</v>
      </c>
    </row>
    <row r="9086" spans="1:9" ht="15" customHeight="1">
      <c r="A9086" s="199">
        <v>45796</v>
      </c>
      <c r="B9086" s="202" t="s">
        <v>2954</v>
      </c>
      <c r="C9086" s="200" t="s">
        <v>307</v>
      </c>
      <c r="D9086" s="204">
        <v>-45000</v>
      </c>
      <c r="E9086" s="662">
        <v>45778</v>
      </c>
      <c r="F9086" s="200" t="s">
        <v>296</v>
      </c>
      <c r="G9086" s="200" t="s">
        <v>1980</v>
      </c>
      <c r="H9086" s="200" t="s">
        <v>326</v>
      </c>
      <c r="I9086" s="200" t="s">
        <v>2951</v>
      </c>
    </row>
    <row r="9087" spans="1:9" ht="15" customHeight="1">
      <c r="A9087" s="199">
        <v>45798</v>
      </c>
      <c r="B9087" s="202" t="s">
        <v>2954</v>
      </c>
      <c r="C9087" s="200" t="s">
        <v>307</v>
      </c>
      <c r="D9087" s="204">
        <v>-92400</v>
      </c>
      <c r="E9087" s="662">
        <v>45778</v>
      </c>
      <c r="F9087" s="200" t="s">
        <v>296</v>
      </c>
      <c r="G9087" s="200" t="s">
        <v>1980</v>
      </c>
      <c r="H9087" s="200" t="s">
        <v>326</v>
      </c>
      <c r="I9087" s="200" t="s">
        <v>2951</v>
      </c>
    </row>
    <row r="9088" spans="1:9" ht="15" customHeight="1">
      <c r="A9088" s="199">
        <v>45799</v>
      </c>
      <c r="B9088" s="202" t="s">
        <v>5273</v>
      </c>
      <c r="C9088" s="200" t="s">
        <v>307</v>
      </c>
      <c r="D9088" s="204">
        <v>-143071</v>
      </c>
      <c r="E9088" s="662">
        <v>45778</v>
      </c>
      <c r="F9088" s="200" t="s">
        <v>296</v>
      </c>
      <c r="G9088" s="200" t="s">
        <v>1983</v>
      </c>
      <c r="H9088" s="200" t="s">
        <v>326</v>
      </c>
      <c r="I9088" s="200" t="s">
        <v>2951</v>
      </c>
    </row>
    <row r="9089" spans="1:9" ht="15" customHeight="1">
      <c r="A9089" s="199">
        <v>45799</v>
      </c>
      <c r="B9089" s="202" t="s">
        <v>6996</v>
      </c>
      <c r="C9089" s="200" t="s">
        <v>307</v>
      </c>
      <c r="D9089" s="204">
        <v>-107078</v>
      </c>
      <c r="E9089" s="662">
        <v>45778</v>
      </c>
      <c r="F9089" s="200" t="s">
        <v>296</v>
      </c>
      <c r="G9089" s="200" t="s">
        <v>1983</v>
      </c>
      <c r="H9089" s="200" t="s">
        <v>326</v>
      </c>
      <c r="I9089" s="200" t="s">
        <v>2951</v>
      </c>
    </row>
    <row r="9090" spans="1:9" ht="15" customHeight="1">
      <c r="A9090" s="199">
        <v>45799</v>
      </c>
      <c r="B9090" s="202" t="s">
        <v>6995</v>
      </c>
      <c r="C9090" s="200" t="s">
        <v>307</v>
      </c>
      <c r="D9090" s="204">
        <v>-55088</v>
      </c>
      <c r="E9090" s="662">
        <v>45778</v>
      </c>
      <c r="F9090" s="200" t="s">
        <v>296</v>
      </c>
      <c r="G9090" s="200" t="s">
        <v>1983</v>
      </c>
      <c r="H9090" s="200" t="s">
        <v>326</v>
      </c>
      <c r="I9090" s="200" t="s">
        <v>2951</v>
      </c>
    </row>
    <row r="9091" spans="1:9" ht="15" customHeight="1">
      <c r="A9091" s="199">
        <v>45799</v>
      </c>
      <c r="B9091" s="202" t="s">
        <v>7001</v>
      </c>
      <c r="C9091" s="200" t="s">
        <v>307</v>
      </c>
      <c r="D9091" s="204">
        <v>-7800</v>
      </c>
      <c r="E9091" s="662">
        <v>45778</v>
      </c>
      <c r="F9091" s="200" t="s">
        <v>296</v>
      </c>
      <c r="G9091" s="200" t="s">
        <v>1983</v>
      </c>
      <c r="H9091" s="200" t="s">
        <v>490</v>
      </c>
      <c r="I9091" s="200" t="s">
        <v>2951</v>
      </c>
    </row>
    <row r="9092" spans="1:9" ht="15" customHeight="1">
      <c r="A9092" s="199">
        <v>45800</v>
      </c>
      <c r="B9092" s="202" t="s">
        <v>6993</v>
      </c>
      <c r="C9092" s="200" t="s">
        <v>307</v>
      </c>
      <c r="D9092" s="204">
        <v>-70000</v>
      </c>
      <c r="E9092" s="662">
        <v>45778</v>
      </c>
      <c r="F9092" s="200" t="s">
        <v>296</v>
      </c>
      <c r="G9092" s="200" t="s">
        <v>1983</v>
      </c>
      <c r="H9092" s="200" t="s">
        <v>326</v>
      </c>
      <c r="I9092" s="200" t="s">
        <v>2951</v>
      </c>
    </row>
    <row r="9093" spans="1:9" ht="15" customHeight="1">
      <c r="A9093" s="199">
        <v>45800</v>
      </c>
      <c r="B9093" s="202" t="s">
        <v>6994</v>
      </c>
      <c r="C9093" s="200" t="s">
        <v>307</v>
      </c>
      <c r="D9093" s="204">
        <v>-35000</v>
      </c>
      <c r="E9093" s="662">
        <v>45778</v>
      </c>
      <c r="F9093" s="200" t="s">
        <v>296</v>
      </c>
      <c r="G9093" s="200" t="s">
        <v>1983</v>
      </c>
      <c r="H9093" s="200" t="s">
        <v>326</v>
      </c>
      <c r="I9093" s="200" t="s">
        <v>2951</v>
      </c>
    </row>
    <row r="9094" spans="1:9" ht="15" customHeight="1">
      <c r="A9094" s="199">
        <v>45800</v>
      </c>
      <c r="B9094" s="202" t="s">
        <v>2955</v>
      </c>
      <c r="C9094" s="200" t="s">
        <v>307</v>
      </c>
      <c r="D9094" s="204">
        <v>-13500</v>
      </c>
      <c r="E9094" s="662">
        <v>45778</v>
      </c>
      <c r="F9094" s="200" t="s">
        <v>296</v>
      </c>
      <c r="G9094" s="200" t="s">
        <v>1980</v>
      </c>
      <c r="H9094" s="200" t="s">
        <v>326</v>
      </c>
      <c r="I9094" s="200" t="s">
        <v>2951</v>
      </c>
    </row>
    <row r="9095" spans="1:9" ht="15" customHeight="1">
      <c r="A9095" s="199">
        <v>45800</v>
      </c>
      <c r="B9095" s="202" t="s">
        <v>7001</v>
      </c>
      <c r="C9095" s="200" t="s">
        <v>307</v>
      </c>
      <c r="D9095" s="204">
        <v>-17200</v>
      </c>
      <c r="E9095" s="662">
        <v>45778</v>
      </c>
      <c r="F9095" s="200" t="s">
        <v>296</v>
      </c>
      <c r="G9095" s="200" t="s">
        <v>1983</v>
      </c>
      <c r="H9095" s="200" t="s">
        <v>490</v>
      </c>
      <c r="I9095" s="200" t="s">
        <v>2951</v>
      </c>
    </row>
    <row r="9096" spans="1:9" ht="15" customHeight="1">
      <c r="A9096" s="199">
        <v>45800</v>
      </c>
      <c r="B9096" s="202" t="s">
        <v>7002</v>
      </c>
      <c r="C9096" s="200" t="s">
        <v>307</v>
      </c>
      <c r="D9096" s="204">
        <v>-14500</v>
      </c>
      <c r="E9096" s="662">
        <v>45778</v>
      </c>
      <c r="F9096" s="200" t="s">
        <v>296</v>
      </c>
      <c r="G9096" s="200" t="s">
        <v>1980</v>
      </c>
      <c r="H9096" s="200" t="s">
        <v>326</v>
      </c>
      <c r="I9096" s="200" t="s">
        <v>2951</v>
      </c>
    </row>
    <row r="9097" spans="1:9" ht="15" customHeight="1">
      <c r="A9097" s="199">
        <v>45800</v>
      </c>
      <c r="B9097" s="202" t="s">
        <v>7003</v>
      </c>
      <c r="C9097" s="200" t="s">
        <v>307</v>
      </c>
      <c r="D9097" s="204">
        <v>-21000</v>
      </c>
      <c r="E9097" s="662">
        <v>45778</v>
      </c>
      <c r="F9097" s="200" t="s">
        <v>296</v>
      </c>
      <c r="G9097" s="200" t="s">
        <v>1983</v>
      </c>
      <c r="H9097" s="200" t="s">
        <v>442</v>
      </c>
      <c r="I9097" s="200" t="s">
        <v>2951</v>
      </c>
    </row>
    <row r="9098" spans="1:9" ht="15" customHeight="1">
      <c r="A9098" s="199">
        <v>45799</v>
      </c>
      <c r="B9098" s="202" t="s">
        <v>2213</v>
      </c>
      <c r="C9098" s="200" t="s">
        <v>307</v>
      </c>
      <c r="D9098" s="204">
        <v>-186100</v>
      </c>
      <c r="E9098" s="662">
        <v>45778</v>
      </c>
      <c r="F9098" s="200" t="s">
        <v>296</v>
      </c>
      <c r="G9098" s="200" t="s">
        <v>1980</v>
      </c>
      <c r="H9098" s="200" t="s">
        <v>326</v>
      </c>
      <c r="I9098" s="648" t="s">
        <v>329</v>
      </c>
    </row>
    <row r="9099" spans="1:9" ht="15" customHeight="1">
      <c r="A9099" s="199">
        <v>45800</v>
      </c>
      <c r="B9099" s="202" t="s">
        <v>7004</v>
      </c>
      <c r="C9099" s="200" t="s">
        <v>136</v>
      </c>
      <c r="D9099" s="658">
        <v>18590001</v>
      </c>
      <c r="E9099" s="662">
        <v>45778</v>
      </c>
      <c r="F9099" s="200" t="s">
        <v>2786</v>
      </c>
    </row>
    <row r="9100" spans="1:9" ht="15" customHeight="1">
      <c r="A9100" s="199">
        <v>45803</v>
      </c>
      <c r="B9100" s="202" t="s">
        <v>7005</v>
      </c>
      <c r="C9100" s="200" t="s">
        <v>136</v>
      </c>
      <c r="D9100" s="658">
        <v>7807328</v>
      </c>
      <c r="E9100" s="201">
        <v>45778</v>
      </c>
      <c r="F9100" s="200" t="s">
        <v>295</v>
      </c>
    </row>
    <row r="9101" spans="1:9" ht="15" customHeight="1">
      <c r="A9101" s="199">
        <v>45804</v>
      </c>
      <c r="B9101" s="202" t="s">
        <v>7006</v>
      </c>
      <c r="C9101" s="200" t="s">
        <v>136</v>
      </c>
      <c r="D9101" s="658">
        <v>840372</v>
      </c>
      <c r="E9101" s="201">
        <v>45778</v>
      </c>
      <c r="F9101" s="200" t="s">
        <v>295</v>
      </c>
    </row>
    <row r="9102" spans="1:9" ht="15" customHeight="1">
      <c r="A9102" s="199">
        <v>45788</v>
      </c>
      <c r="B9102" s="202" t="s">
        <v>7007</v>
      </c>
      <c r="C9102" s="200" t="s">
        <v>307</v>
      </c>
      <c r="D9102" s="204">
        <v>-60000</v>
      </c>
      <c r="E9102" s="201">
        <v>45778</v>
      </c>
      <c r="F9102" s="200" t="s">
        <v>297</v>
      </c>
      <c r="G9102" s="200" t="s">
        <v>3892</v>
      </c>
      <c r="H9102" s="200" t="s">
        <v>268</v>
      </c>
      <c r="I9102" s="200" t="s">
        <v>4979</v>
      </c>
    </row>
    <row r="9103" spans="1:9" ht="15" customHeight="1">
      <c r="A9103" s="199">
        <v>45789</v>
      </c>
      <c r="B9103" s="202" t="s">
        <v>7008</v>
      </c>
      <c r="C9103" s="200" t="s">
        <v>307</v>
      </c>
      <c r="D9103" s="204">
        <v>-56019</v>
      </c>
      <c r="E9103" s="201">
        <v>45778</v>
      </c>
      <c r="F9103" s="200" t="s">
        <v>297</v>
      </c>
      <c r="G9103" s="200" t="s">
        <v>3892</v>
      </c>
      <c r="H9103" s="200" t="s">
        <v>268</v>
      </c>
      <c r="I9103" s="200" t="s">
        <v>4979</v>
      </c>
    </row>
    <row r="9104" spans="1:9" ht="15" customHeight="1">
      <c r="A9104" s="199">
        <v>45789</v>
      </c>
      <c r="B9104" s="202" t="s">
        <v>6126</v>
      </c>
      <c r="C9104" s="200" t="s">
        <v>307</v>
      </c>
      <c r="D9104" s="204">
        <v>-32220</v>
      </c>
      <c r="E9104" s="201">
        <v>45778</v>
      </c>
      <c r="F9104" s="200" t="s">
        <v>297</v>
      </c>
      <c r="G9104" s="200" t="s">
        <v>3892</v>
      </c>
      <c r="H9104" s="200" t="s">
        <v>268</v>
      </c>
      <c r="I9104" s="200" t="s">
        <v>4979</v>
      </c>
    </row>
    <row r="9105" spans="1:9" ht="15" customHeight="1">
      <c r="A9105" s="199">
        <v>45789</v>
      </c>
      <c r="B9105" s="202" t="s">
        <v>7009</v>
      </c>
      <c r="C9105" s="200" t="s">
        <v>307</v>
      </c>
      <c r="D9105" s="204">
        <v>-32000</v>
      </c>
      <c r="E9105" s="201">
        <v>45778</v>
      </c>
      <c r="F9105" s="200" t="s">
        <v>297</v>
      </c>
      <c r="G9105" s="200" t="s">
        <v>3892</v>
      </c>
      <c r="H9105" s="200" t="s">
        <v>268</v>
      </c>
      <c r="I9105" s="200" t="s">
        <v>4979</v>
      </c>
    </row>
    <row r="9106" spans="1:9" ht="15" customHeight="1">
      <c r="A9106" s="199">
        <v>45790</v>
      </c>
      <c r="B9106" s="202" t="s">
        <v>5922</v>
      </c>
      <c r="C9106" s="200" t="s">
        <v>307</v>
      </c>
      <c r="D9106" s="204">
        <v>-25000</v>
      </c>
      <c r="E9106" s="201">
        <v>45778</v>
      </c>
      <c r="F9106" s="200" t="s">
        <v>296</v>
      </c>
      <c r="G9106" s="200" t="s">
        <v>1124</v>
      </c>
      <c r="H9106" s="200" t="s">
        <v>268</v>
      </c>
      <c r="I9106" s="200" t="s">
        <v>4979</v>
      </c>
    </row>
    <row r="9107" spans="1:9" ht="15" customHeight="1">
      <c r="A9107" s="199">
        <v>45790</v>
      </c>
      <c r="B9107" s="202" t="s">
        <v>7010</v>
      </c>
      <c r="C9107" s="200" t="s">
        <v>307</v>
      </c>
      <c r="D9107" s="204">
        <v>-20000</v>
      </c>
      <c r="E9107" s="201">
        <v>45778</v>
      </c>
      <c r="F9107" s="200" t="s">
        <v>296</v>
      </c>
      <c r="G9107" s="200" t="s">
        <v>1124</v>
      </c>
      <c r="H9107" s="200" t="s">
        <v>268</v>
      </c>
      <c r="I9107" s="200" t="s">
        <v>4979</v>
      </c>
    </row>
    <row r="9108" spans="1:9" ht="15" customHeight="1">
      <c r="A9108" s="199">
        <v>45790</v>
      </c>
      <c r="B9108" s="202" t="s">
        <v>7011</v>
      </c>
      <c r="C9108" s="200" t="s">
        <v>307</v>
      </c>
      <c r="D9108" s="204">
        <v>-16000</v>
      </c>
      <c r="E9108" s="201">
        <v>45778</v>
      </c>
      <c r="F9108" s="200" t="s">
        <v>296</v>
      </c>
      <c r="G9108" s="200" t="s">
        <v>1124</v>
      </c>
      <c r="H9108" s="200" t="s">
        <v>268</v>
      </c>
      <c r="I9108" s="200" t="s">
        <v>4979</v>
      </c>
    </row>
    <row r="9109" spans="1:9" ht="15" customHeight="1">
      <c r="A9109" s="199">
        <v>45790</v>
      </c>
      <c r="B9109" s="202" t="s">
        <v>7012</v>
      </c>
      <c r="C9109" s="200" t="s">
        <v>307</v>
      </c>
      <c r="D9109" s="204">
        <v>-24000</v>
      </c>
      <c r="E9109" s="201">
        <v>45778</v>
      </c>
      <c r="F9109" s="200" t="s">
        <v>296</v>
      </c>
      <c r="G9109" s="200" t="s">
        <v>1124</v>
      </c>
      <c r="H9109" s="200" t="s">
        <v>268</v>
      </c>
      <c r="I9109" s="648" t="s">
        <v>329</v>
      </c>
    </row>
    <row r="9110" spans="1:9" ht="15" customHeight="1">
      <c r="A9110" s="199">
        <v>45790</v>
      </c>
      <c r="B9110" s="202" t="s">
        <v>7013</v>
      </c>
      <c r="C9110" s="200" t="s">
        <v>307</v>
      </c>
      <c r="D9110" s="204">
        <v>-25000</v>
      </c>
      <c r="E9110" s="201">
        <v>45778</v>
      </c>
      <c r="F9110" s="200" t="s">
        <v>296</v>
      </c>
      <c r="G9110" s="200" t="s">
        <v>3360</v>
      </c>
      <c r="H9110" s="200" t="s">
        <v>268</v>
      </c>
      <c r="I9110" s="200" t="s">
        <v>4979</v>
      </c>
    </row>
    <row r="9111" spans="1:9" ht="15" customHeight="1">
      <c r="A9111" s="199">
        <v>45790</v>
      </c>
      <c r="B9111" s="202" t="s">
        <v>3106</v>
      </c>
      <c r="C9111" s="200" t="s">
        <v>307</v>
      </c>
      <c r="D9111" s="204">
        <v>-25000</v>
      </c>
      <c r="E9111" s="201">
        <v>45778</v>
      </c>
      <c r="F9111" s="200" t="s">
        <v>296</v>
      </c>
      <c r="G9111" s="200" t="s">
        <v>3360</v>
      </c>
      <c r="H9111" s="200" t="s">
        <v>268</v>
      </c>
      <c r="I9111" s="200" t="s">
        <v>4979</v>
      </c>
    </row>
    <row r="9112" spans="1:9" ht="15" customHeight="1">
      <c r="A9112" s="199">
        <v>45790</v>
      </c>
      <c r="B9112" s="202" t="s">
        <v>3106</v>
      </c>
      <c r="C9112" s="200" t="s">
        <v>307</v>
      </c>
      <c r="D9112" s="204">
        <v>-7000</v>
      </c>
      <c r="E9112" s="201">
        <v>45778</v>
      </c>
      <c r="F9112" s="200" t="s">
        <v>296</v>
      </c>
      <c r="G9112" s="200" t="s">
        <v>3360</v>
      </c>
      <c r="H9112" s="200" t="s">
        <v>268</v>
      </c>
      <c r="I9112" s="200" t="s">
        <v>4979</v>
      </c>
    </row>
    <row r="9113" spans="1:9" ht="15" customHeight="1">
      <c r="A9113" s="199">
        <v>45790</v>
      </c>
      <c r="B9113" s="202" t="s">
        <v>7014</v>
      </c>
      <c r="C9113" s="200" t="s">
        <v>307</v>
      </c>
      <c r="D9113" s="204">
        <v>-33000</v>
      </c>
      <c r="E9113" s="201">
        <v>45778</v>
      </c>
      <c r="F9113" s="200" t="s">
        <v>296</v>
      </c>
      <c r="G9113" s="200" t="s">
        <v>3360</v>
      </c>
      <c r="H9113" s="200" t="s">
        <v>268</v>
      </c>
      <c r="I9113" s="200" t="s">
        <v>4979</v>
      </c>
    </row>
    <row r="9114" spans="1:9" ht="15" customHeight="1">
      <c r="A9114" s="199">
        <v>45790</v>
      </c>
      <c r="B9114" s="202" t="s">
        <v>5922</v>
      </c>
      <c r="C9114" s="200" t="s">
        <v>307</v>
      </c>
      <c r="D9114" s="204">
        <v>-22000</v>
      </c>
      <c r="E9114" s="201">
        <v>45778</v>
      </c>
      <c r="F9114" s="200" t="s">
        <v>296</v>
      </c>
      <c r="G9114" s="200" t="s">
        <v>3360</v>
      </c>
      <c r="H9114" s="200" t="s">
        <v>342</v>
      </c>
      <c r="I9114" s="200" t="s">
        <v>4979</v>
      </c>
    </row>
    <row r="9115" spans="1:9" ht="15" customHeight="1">
      <c r="A9115" s="199">
        <v>45790</v>
      </c>
      <c r="B9115" s="202" t="s">
        <v>7015</v>
      </c>
      <c r="C9115" s="200" t="s">
        <v>307</v>
      </c>
      <c r="D9115" s="204">
        <v>-20000</v>
      </c>
      <c r="E9115" s="201">
        <v>45778</v>
      </c>
      <c r="F9115" s="200" t="s">
        <v>296</v>
      </c>
      <c r="G9115" s="200" t="s">
        <v>3360</v>
      </c>
      <c r="H9115" s="200" t="s">
        <v>268</v>
      </c>
      <c r="I9115" s="200" t="s">
        <v>4979</v>
      </c>
    </row>
    <row r="9116" spans="1:9" ht="15" customHeight="1">
      <c r="A9116" s="199">
        <v>45790</v>
      </c>
      <c r="B9116" s="202" t="s">
        <v>7008</v>
      </c>
      <c r="C9116" s="200" t="s">
        <v>307</v>
      </c>
      <c r="D9116" s="204">
        <v>-20000</v>
      </c>
      <c r="E9116" s="201">
        <v>45778</v>
      </c>
      <c r="F9116" s="200" t="s">
        <v>296</v>
      </c>
      <c r="G9116" s="200" t="s">
        <v>3360</v>
      </c>
      <c r="H9116" s="200" t="s">
        <v>268</v>
      </c>
      <c r="I9116" s="648" t="s">
        <v>329</v>
      </c>
    </row>
    <row r="9117" spans="1:9" ht="15" customHeight="1">
      <c r="A9117" s="199">
        <v>45790</v>
      </c>
      <c r="B9117" s="202" t="s">
        <v>6126</v>
      </c>
      <c r="C9117" s="200" t="s">
        <v>307</v>
      </c>
      <c r="D9117" s="204">
        <v>-32220</v>
      </c>
      <c r="E9117" s="201">
        <v>45778</v>
      </c>
      <c r="F9117" s="200" t="s">
        <v>297</v>
      </c>
      <c r="G9117" s="200" t="s">
        <v>3892</v>
      </c>
      <c r="H9117" s="200" t="s">
        <v>268</v>
      </c>
      <c r="I9117" s="200" t="s">
        <v>4979</v>
      </c>
    </row>
    <row r="9118" spans="1:9" ht="15" customHeight="1">
      <c r="A9118" s="199">
        <v>45791</v>
      </c>
      <c r="B9118" s="202" t="s">
        <v>7016</v>
      </c>
      <c r="C9118" s="200" t="s">
        <v>307</v>
      </c>
      <c r="D9118" s="204">
        <v>-22000</v>
      </c>
      <c r="E9118" s="201">
        <v>45778</v>
      </c>
      <c r="F9118" s="200" t="s">
        <v>297</v>
      </c>
      <c r="G9118" s="200" t="s">
        <v>3892</v>
      </c>
      <c r="H9118" s="200" t="s">
        <v>268</v>
      </c>
      <c r="I9118" s="200" t="s">
        <v>4979</v>
      </c>
    </row>
    <row r="9119" spans="1:9" ht="15" customHeight="1">
      <c r="A9119" s="199">
        <v>45791</v>
      </c>
      <c r="B9119" s="202" t="s">
        <v>498</v>
      </c>
      <c r="C9119" s="200" t="s">
        <v>307</v>
      </c>
      <c r="D9119" s="204">
        <v>-36000</v>
      </c>
      <c r="E9119" s="201">
        <v>45778</v>
      </c>
      <c r="F9119" s="200" t="s">
        <v>297</v>
      </c>
      <c r="G9119" s="200" t="s">
        <v>3892</v>
      </c>
      <c r="H9119" s="200" t="s">
        <v>342</v>
      </c>
      <c r="I9119" s="200" t="s">
        <v>4979</v>
      </c>
    </row>
    <row r="9120" spans="1:9" ht="15" customHeight="1">
      <c r="A9120" s="199">
        <v>45791</v>
      </c>
      <c r="B9120" s="202" t="s">
        <v>7017</v>
      </c>
      <c r="C9120" s="200" t="s">
        <v>307</v>
      </c>
      <c r="D9120" s="204">
        <v>-11000</v>
      </c>
      <c r="E9120" s="201">
        <v>45778</v>
      </c>
      <c r="F9120" s="200" t="s">
        <v>297</v>
      </c>
      <c r="G9120" s="200" t="s">
        <v>3892</v>
      </c>
      <c r="H9120" s="200" t="s">
        <v>5384</v>
      </c>
      <c r="I9120" s="200" t="s">
        <v>4979</v>
      </c>
    </row>
    <row r="9121" spans="1:9" ht="15" customHeight="1">
      <c r="A9121" s="199">
        <v>45791</v>
      </c>
      <c r="B9121" s="202" t="s">
        <v>6124</v>
      </c>
      <c r="C9121" s="200" t="s">
        <v>307</v>
      </c>
      <c r="D9121" s="204">
        <v>-19040</v>
      </c>
      <c r="E9121" s="201">
        <v>45778</v>
      </c>
      <c r="F9121" s="200" t="s">
        <v>297</v>
      </c>
      <c r="G9121" s="200" t="s">
        <v>3892</v>
      </c>
      <c r="H9121" s="200" t="s">
        <v>268</v>
      </c>
      <c r="I9121" s="200" t="s">
        <v>4979</v>
      </c>
    </row>
    <row r="9122" spans="1:9" ht="15" customHeight="1">
      <c r="A9122" s="199">
        <v>45791</v>
      </c>
      <c r="B9122" s="202" t="s">
        <v>6126</v>
      </c>
      <c r="C9122" s="200" t="s">
        <v>307</v>
      </c>
      <c r="D9122" s="204">
        <v>-32000</v>
      </c>
      <c r="E9122" s="201">
        <v>45778</v>
      </c>
      <c r="F9122" s="200" t="s">
        <v>297</v>
      </c>
      <c r="G9122" s="200" t="s">
        <v>3892</v>
      </c>
      <c r="H9122" s="200" t="s">
        <v>268</v>
      </c>
      <c r="I9122" s="200" t="s">
        <v>4979</v>
      </c>
    </row>
    <row r="9123" spans="1:9" ht="15" customHeight="1">
      <c r="A9123" s="199">
        <v>45791</v>
      </c>
      <c r="B9123" s="202" t="s">
        <v>6126</v>
      </c>
      <c r="C9123" s="200" t="s">
        <v>307</v>
      </c>
      <c r="D9123" s="204">
        <v>-20000</v>
      </c>
      <c r="E9123" s="201">
        <v>45778</v>
      </c>
      <c r="F9123" s="200" t="s">
        <v>297</v>
      </c>
      <c r="G9123" s="200" t="s">
        <v>3892</v>
      </c>
      <c r="H9123" s="200" t="s">
        <v>268</v>
      </c>
      <c r="I9123" s="200" t="s">
        <v>4979</v>
      </c>
    </row>
    <row r="9124" spans="1:9" ht="15" customHeight="1">
      <c r="A9124" s="199">
        <v>45792</v>
      </c>
      <c r="B9124" s="202" t="s">
        <v>6124</v>
      </c>
      <c r="C9124" s="200" t="s">
        <v>307</v>
      </c>
      <c r="D9124" s="204">
        <v>-18000</v>
      </c>
      <c r="E9124" s="201">
        <v>45778</v>
      </c>
      <c r="F9124" s="200" t="s">
        <v>297</v>
      </c>
      <c r="G9124" s="200" t="s">
        <v>3892</v>
      </c>
      <c r="H9124" s="200" t="s">
        <v>268</v>
      </c>
      <c r="I9124" s="200" t="s">
        <v>4979</v>
      </c>
    </row>
    <row r="9125" spans="1:9" ht="15" customHeight="1">
      <c r="A9125" s="199">
        <v>45792</v>
      </c>
      <c r="B9125" s="202" t="s">
        <v>6126</v>
      </c>
      <c r="C9125" s="200" t="s">
        <v>307</v>
      </c>
      <c r="D9125" s="204">
        <v>-30029</v>
      </c>
      <c r="E9125" s="201">
        <v>45778</v>
      </c>
      <c r="F9125" s="200" t="s">
        <v>297</v>
      </c>
      <c r="G9125" s="200" t="s">
        <v>3892</v>
      </c>
      <c r="H9125" s="200" t="s">
        <v>268</v>
      </c>
      <c r="I9125" s="200" t="s">
        <v>4979</v>
      </c>
    </row>
    <row r="9126" spans="1:9" ht="15" customHeight="1">
      <c r="A9126" s="199">
        <v>45792</v>
      </c>
      <c r="B9126" s="202" t="s">
        <v>7018</v>
      </c>
      <c r="C9126" s="200" t="s">
        <v>307</v>
      </c>
      <c r="D9126" s="204">
        <v>-22000</v>
      </c>
      <c r="E9126" s="201">
        <v>45778</v>
      </c>
      <c r="F9126" s="200" t="s">
        <v>297</v>
      </c>
      <c r="G9126" s="200" t="s">
        <v>3892</v>
      </c>
      <c r="H9126" s="200" t="s">
        <v>268</v>
      </c>
      <c r="I9126" s="200" t="s">
        <v>4979</v>
      </c>
    </row>
    <row r="9127" spans="1:9" ht="15" customHeight="1">
      <c r="A9127" s="199">
        <v>45792</v>
      </c>
      <c r="B9127" s="202" t="s">
        <v>7019</v>
      </c>
      <c r="C9127" s="200" t="s">
        <v>307</v>
      </c>
      <c r="D9127" s="204">
        <v>-154850</v>
      </c>
      <c r="E9127" s="201">
        <v>45778</v>
      </c>
      <c r="F9127" s="200" t="s">
        <v>297</v>
      </c>
      <c r="G9127" s="200" t="s">
        <v>3892</v>
      </c>
      <c r="H9127" s="200" t="s">
        <v>268</v>
      </c>
      <c r="I9127" s="200" t="s">
        <v>4979</v>
      </c>
    </row>
    <row r="9128" spans="1:9" ht="15" customHeight="1">
      <c r="A9128" s="199">
        <v>45792</v>
      </c>
      <c r="B9128" s="202" t="s">
        <v>7020</v>
      </c>
      <c r="C9128" s="200" t="s">
        <v>307</v>
      </c>
      <c r="D9128" s="204">
        <v>-10000</v>
      </c>
      <c r="E9128" s="201">
        <v>45778</v>
      </c>
      <c r="F9128" s="200" t="s">
        <v>297</v>
      </c>
      <c r="G9128" s="200" t="s">
        <v>3892</v>
      </c>
      <c r="H9128" s="200" t="s">
        <v>268</v>
      </c>
      <c r="I9128" s="200" t="s">
        <v>4979</v>
      </c>
    </row>
    <row r="9129" spans="1:9" ht="15" customHeight="1">
      <c r="A9129" s="199">
        <v>45793</v>
      </c>
      <c r="B9129" s="202" t="s">
        <v>7019</v>
      </c>
      <c r="C9129" s="200" t="s">
        <v>307</v>
      </c>
      <c r="D9129" s="204">
        <v>-10000</v>
      </c>
      <c r="E9129" s="201">
        <v>45778</v>
      </c>
      <c r="F9129" s="200" t="s">
        <v>297</v>
      </c>
      <c r="G9129" s="200" t="s">
        <v>3892</v>
      </c>
      <c r="H9129" s="200" t="s">
        <v>268</v>
      </c>
      <c r="I9129" s="200" t="s">
        <v>4979</v>
      </c>
    </row>
    <row r="9130" spans="1:9" ht="15" customHeight="1">
      <c r="A9130" s="199">
        <v>45793</v>
      </c>
      <c r="B9130" s="202" t="s">
        <v>7021</v>
      </c>
      <c r="C9130" s="200" t="s">
        <v>307</v>
      </c>
      <c r="D9130" s="204">
        <v>-10009</v>
      </c>
      <c r="E9130" s="201">
        <v>45778</v>
      </c>
      <c r="F9130" s="200" t="s">
        <v>297</v>
      </c>
      <c r="G9130" s="200" t="s">
        <v>3892</v>
      </c>
      <c r="H9130" s="200" t="s">
        <v>268</v>
      </c>
      <c r="I9130" s="200" t="s">
        <v>4979</v>
      </c>
    </row>
    <row r="9131" spans="1:9" ht="15" customHeight="1">
      <c r="A9131" s="199">
        <v>45794</v>
      </c>
      <c r="B9131" s="202" t="s">
        <v>7022</v>
      </c>
      <c r="C9131" s="200" t="s">
        <v>307</v>
      </c>
      <c r="D9131" s="204">
        <v>-45800</v>
      </c>
      <c r="E9131" s="201">
        <v>45778</v>
      </c>
      <c r="F9131" s="200" t="s">
        <v>297</v>
      </c>
      <c r="G9131" s="200" t="s">
        <v>3892</v>
      </c>
      <c r="H9131" s="200" t="s">
        <v>268</v>
      </c>
      <c r="I9131" s="200" t="s">
        <v>4979</v>
      </c>
    </row>
    <row r="9132" spans="1:9" ht="15" customHeight="1">
      <c r="A9132" s="199">
        <v>45794</v>
      </c>
      <c r="B9132" s="202" t="s">
        <v>6126</v>
      </c>
      <c r="C9132" s="200" t="s">
        <v>307</v>
      </c>
      <c r="D9132" s="204">
        <v>-15000</v>
      </c>
      <c r="E9132" s="201">
        <v>45778</v>
      </c>
      <c r="F9132" s="200" t="s">
        <v>297</v>
      </c>
      <c r="G9132" s="200" t="s">
        <v>3892</v>
      </c>
      <c r="H9132" s="200" t="s">
        <v>268</v>
      </c>
      <c r="I9132" s="648" t="s">
        <v>329</v>
      </c>
    </row>
    <row r="9133" spans="1:9" ht="15" customHeight="1">
      <c r="A9133" s="199">
        <v>45800</v>
      </c>
      <c r="B9133" s="202" t="s">
        <v>7023</v>
      </c>
      <c r="C9133" s="200" t="s">
        <v>204</v>
      </c>
      <c r="D9133" s="204">
        <v>6285669</v>
      </c>
      <c r="E9133" s="201">
        <v>45778</v>
      </c>
      <c r="F9133" s="200" t="s">
        <v>650</v>
      </c>
    </row>
    <row r="9134" spans="1:9" ht="15" customHeight="1">
      <c r="A9134" s="199">
        <v>45806</v>
      </c>
      <c r="B9134" s="202" t="s">
        <v>7024</v>
      </c>
      <c r="C9134" s="200" t="s">
        <v>204</v>
      </c>
      <c r="D9134" s="204">
        <v>200000000</v>
      </c>
      <c r="E9134" s="201">
        <v>45778</v>
      </c>
      <c r="F9134" s="200" t="s">
        <v>652</v>
      </c>
      <c r="G9134" s="200" t="s">
        <v>1825</v>
      </c>
    </row>
    <row r="9135" spans="1:9" ht="15" customHeight="1">
      <c r="A9135" s="199">
        <v>45807</v>
      </c>
      <c r="B9135" s="202" t="s">
        <v>7025</v>
      </c>
      <c r="C9135" s="200" t="s">
        <v>307</v>
      </c>
      <c r="D9135" s="204">
        <v>-9550</v>
      </c>
      <c r="E9135" s="201">
        <v>45778</v>
      </c>
      <c r="F9135" s="200" t="s">
        <v>256</v>
      </c>
      <c r="G9135" s="200" t="s">
        <v>256</v>
      </c>
      <c r="H9135" s="200" t="s">
        <v>267</v>
      </c>
      <c r="I9135" s="200" t="s">
        <v>7026</v>
      </c>
    </row>
    <row r="9136" spans="1:9" ht="15" customHeight="1">
      <c r="A9136" s="199">
        <v>45807</v>
      </c>
      <c r="B9136" s="202" t="s">
        <v>7027</v>
      </c>
      <c r="C9136" s="200" t="s">
        <v>307</v>
      </c>
      <c r="D9136" s="204">
        <v>-1400</v>
      </c>
      <c r="E9136" s="201">
        <v>45778</v>
      </c>
      <c r="F9136" s="200" t="s">
        <v>256</v>
      </c>
      <c r="G9136" s="200" t="s">
        <v>256</v>
      </c>
      <c r="H9136" s="200" t="s">
        <v>267</v>
      </c>
      <c r="I9136" s="200" t="s">
        <v>7026</v>
      </c>
    </row>
    <row r="9137" spans="1:9" ht="15" customHeight="1">
      <c r="A9137" s="199">
        <v>45786</v>
      </c>
      <c r="B9137" s="202" t="s">
        <v>1682</v>
      </c>
      <c r="C9137" s="200" t="s">
        <v>307</v>
      </c>
      <c r="D9137" s="204">
        <v>-20000</v>
      </c>
      <c r="E9137" s="201">
        <v>45778</v>
      </c>
      <c r="F9137" s="200" t="s">
        <v>2714</v>
      </c>
      <c r="G9137" s="200" t="s">
        <v>513</v>
      </c>
      <c r="I9137" s="200" t="s">
        <v>7028</v>
      </c>
    </row>
    <row r="9138" spans="1:9" ht="15" customHeight="1">
      <c r="A9138" s="199">
        <v>45786</v>
      </c>
      <c r="B9138" s="202" t="s">
        <v>1060</v>
      </c>
      <c r="C9138" s="200" t="s">
        <v>307</v>
      </c>
      <c r="D9138" s="204">
        <v>-15000</v>
      </c>
      <c r="E9138" s="201">
        <v>45778</v>
      </c>
      <c r="F9138" s="200" t="s">
        <v>2714</v>
      </c>
      <c r="G9138" s="200" t="s">
        <v>513</v>
      </c>
    </row>
    <row r="9139" spans="1:9" ht="15" customHeight="1">
      <c r="A9139" s="199">
        <v>45797</v>
      </c>
      <c r="B9139" s="202" t="s">
        <v>1521</v>
      </c>
      <c r="C9139" s="200" t="s">
        <v>307</v>
      </c>
      <c r="D9139" s="204">
        <v>-30000</v>
      </c>
      <c r="E9139" s="201">
        <v>45778</v>
      </c>
      <c r="F9139" s="200" t="s">
        <v>2714</v>
      </c>
      <c r="G9139" s="200" t="s">
        <v>337</v>
      </c>
    </row>
    <row r="9140" spans="1:9" ht="15" customHeight="1">
      <c r="A9140" s="199">
        <v>45797</v>
      </c>
      <c r="B9140" s="202" t="s">
        <v>7029</v>
      </c>
      <c r="C9140" s="200" t="s">
        <v>307</v>
      </c>
      <c r="D9140" s="204">
        <v>-15000</v>
      </c>
      <c r="E9140" s="201">
        <v>45778</v>
      </c>
      <c r="F9140" s="200" t="s">
        <v>2714</v>
      </c>
      <c r="G9140" s="200" t="s">
        <v>337</v>
      </c>
    </row>
    <row r="9141" spans="1:9" ht="15" customHeight="1">
      <c r="A9141" s="199">
        <v>45797</v>
      </c>
      <c r="B9141" s="202" t="s">
        <v>1745</v>
      </c>
      <c r="C9141" s="200" t="s">
        <v>307</v>
      </c>
      <c r="D9141" s="204">
        <v>-20000</v>
      </c>
      <c r="E9141" s="201">
        <v>45778</v>
      </c>
      <c r="F9141" s="200" t="s">
        <v>2714</v>
      </c>
      <c r="G9141" s="200" t="s">
        <v>337</v>
      </c>
    </row>
    <row r="9142" spans="1:9" ht="15" customHeight="1">
      <c r="A9142" s="199">
        <v>45792</v>
      </c>
      <c r="B9142" s="202" t="s">
        <v>7030</v>
      </c>
      <c r="C9142" s="200" t="s">
        <v>307</v>
      </c>
      <c r="D9142" s="204">
        <v>-80000</v>
      </c>
      <c r="E9142" s="201">
        <v>45778</v>
      </c>
      <c r="F9142" s="200" t="s">
        <v>256</v>
      </c>
      <c r="G9142" s="200" t="s">
        <v>107</v>
      </c>
      <c r="H9142" s="200" t="s">
        <v>275</v>
      </c>
      <c r="I9142" s="200" t="s">
        <v>206</v>
      </c>
    </row>
    <row r="9143" spans="1:9" ht="15" customHeight="1">
      <c r="A9143" s="199">
        <v>45792</v>
      </c>
      <c r="B9143" s="202" t="s">
        <v>7031</v>
      </c>
      <c r="C9143" s="200" t="s">
        <v>307</v>
      </c>
      <c r="D9143" s="204">
        <v>-16300</v>
      </c>
      <c r="E9143" s="201">
        <v>45778</v>
      </c>
      <c r="F9143" s="200" t="s">
        <v>256</v>
      </c>
      <c r="G9143" s="200" t="s">
        <v>107</v>
      </c>
      <c r="H9143" s="200" t="s">
        <v>275</v>
      </c>
      <c r="I9143" s="200" t="s">
        <v>206</v>
      </c>
    </row>
    <row r="9144" spans="1:9" ht="15" customHeight="1">
      <c r="A9144" s="199">
        <v>45792</v>
      </c>
      <c r="B9144" s="202" t="s">
        <v>1705</v>
      </c>
      <c r="C9144" s="200" t="s">
        <v>307</v>
      </c>
      <c r="D9144" s="204">
        <v>-26000</v>
      </c>
      <c r="E9144" s="201">
        <v>45778</v>
      </c>
      <c r="F9144" s="200" t="s">
        <v>256</v>
      </c>
      <c r="G9144" s="200" t="s">
        <v>107</v>
      </c>
      <c r="H9144" s="200" t="s">
        <v>275</v>
      </c>
      <c r="I9144" s="200" t="s">
        <v>206</v>
      </c>
    </row>
    <row r="9145" spans="1:9" ht="15" customHeight="1">
      <c r="A9145" s="199">
        <v>45792</v>
      </c>
      <c r="B9145" s="202" t="s">
        <v>1701</v>
      </c>
      <c r="C9145" s="200" t="s">
        <v>307</v>
      </c>
      <c r="D9145" s="204">
        <v>-71000</v>
      </c>
      <c r="E9145" s="201">
        <v>45778</v>
      </c>
      <c r="F9145" s="200" t="s">
        <v>256</v>
      </c>
      <c r="G9145" s="200" t="s">
        <v>107</v>
      </c>
      <c r="H9145" s="200" t="s">
        <v>275</v>
      </c>
      <c r="I9145" s="200" t="s">
        <v>206</v>
      </c>
    </row>
    <row r="9146" spans="1:9" ht="15" customHeight="1">
      <c r="A9146" s="199">
        <v>45792</v>
      </c>
      <c r="B9146" s="202" t="s">
        <v>7032</v>
      </c>
      <c r="C9146" s="200" t="s">
        <v>307</v>
      </c>
      <c r="D9146" s="204">
        <v>-66400</v>
      </c>
      <c r="E9146" s="201">
        <v>45778</v>
      </c>
      <c r="F9146" s="200" t="s">
        <v>256</v>
      </c>
      <c r="G9146" s="200" t="s">
        <v>107</v>
      </c>
      <c r="H9146" s="200" t="s">
        <v>275</v>
      </c>
      <c r="I9146" s="200" t="s">
        <v>206</v>
      </c>
    </row>
    <row r="9147" spans="1:9" ht="15" customHeight="1">
      <c r="A9147" s="199">
        <v>45792</v>
      </c>
      <c r="B9147" s="202" t="s">
        <v>1705</v>
      </c>
      <c r="C9147" s="200" t="s">
        <v>307</v>
      </c>
      <c r="D9147" s="204">
        <v>-32000</v>
      </c>
      <c r="E9147" s="201">
        <v>45778</v>
      </c>
      <c r="F9147" s="200" t="s">
        <v>256</v>
      </c>
      <c r="G9147" s="200" t="s">
        <v>107</v>
      </c>
      <c r="H9147" s="200" t="s">
        <v>275</v>
      </c>
      <c r="I9147" s="200" t="s">
        <v>206</v>
      </c>
    </row>
    <row r="9148" spans="1:9" ht="15" customHeight="1">
      <c r="A9148" s="199">
        <v>45792</v>
      </c>
      <c r="B9148" s="202" t="s">
        <v>7033</v>
      </c>
      <c r="C9148" s="200" t="s">
        <v>307</v>
      </c>
      <c r="D9148" s="204">
        <v>-16300</v>
      </c>
      <c r="E9148" s="201">
        <v>45778</v>
      </c>
      <c r="F9148" s="200" t="s">
        <v>256</v>
      </c>
      <c r="G9148" s="200" t="s">
        <v>107</v>
      </c>
      <c r="H9148" s="200" t="s">
        <v>275</v>
      </c>
      <c r="I9148" s="200" t="s">
        <v>206</v>
      </c>
    </row>
    <row r="9149" spans="1:9" ht="15" customHeight="1">
      <c r="A9149" s="199">
        <v>45792</v>
      </c>
      <c r="B9149" s="202" t="s">
        <v>7034</v>
      </c>
      <c r="C9149" s="200" t="s">
        <v>307</v>
      </c>
      <c r="D9149" s="204">
        <v>-50000</v>
      </c>
      <c r="E9149" s="201">
        <v>45778</v>
      </c>
      <c r="F9149" s="200" t="s">
        <v>256</v>
      </c>
      <c r="G9149" s="200" t="s">
        <v>107</v>
      </c>
      <c r="H9149" s="200" t="s">
        <v>275</v>
      </c>
      <c r="I9149" s="200" t="s">
        <v>206</v>
      </c>
    </row>
    <row r="9150" spans="1:9" ht="15" customHeight="1">
      <c r="A9150" s="199">
        <v>45789</v>
      </c>
      <c r="B9150" s="202" t="s">
        <v>7035</v>
      </c>
      <c r="C9150" s="200" t="s">
        <v>307</v>
      </c>
      <c r="D9150" s="204">
        <v>-130000</v>
      </c>
      <c r="E9150" s="201">
        <v>45778</v>
      </c>
      <c r="F9150" s="200" t="s">
        <v>256</v>
      </c>
      <c r="G9150" s="200" t="s">
        <v>107</v>
      </c>
      <c r="H9150" s="200" t="s">
        <v>275</v>
      </c>
      <c r="I9150" s="200" t="s">
        <v>7036</v>
      </c>
    </row>
    <row r="9151" spans="1:9" ht="15" customHeight="1">
      <c r="A9151" s="199">
        <v>45789</v>
      </c>
      <c r="B9151" s="202" t="s">
        <v>7037</v>
      </c>
      <c r="C9151" s="200" t="s">
        <v>307</v>
      </c>
      <c r="D9151" s="204">
        <v>-21900</v>
      </c>
      <c r="E9151" s="201">
        <v>45778</v>
      </c>
      <c r="F9151" s="200" t="s">
        <v>256</v>
      </c>
      <c r="G9151" s="200" t="s">
        <v>107</v>
      </c>
      <c r="H9151" s="200" t="s">
        <v>275</v>
      </c>
      <c r="I9151" s="200" t="s">
        <v>7036</v>
      </c>
    </row>
    <row r="9152" spans="1:9" ht="15" customHeight="1">
      <c r="A9152" s="199">
        <v>45789</v>
      </c>
      <c r="B9152" s="202" t="s">
        <v>7038</v>
      </c>
      <c r="C9152" s="200" t="s">
        <v>307</v>
      </c>
      <c r="D9152" s="204">
        <v>-20000</v>
      </c>
      <c r="E9152" s="201">
        <v>45778</v>
      </c>
      <c r="F9152" s="200" t="s">
        <v>256</v>
      </c>
      <c r="G9152" s="200" t="s">
        <v>107</v>
      </c>
      <c r="H9152" s="200" t="s">
        <v>275</v>
      </c>
      <c r="I9152" s="200" t="s">
        <v>7036</v>
      </c>
    </row>
    <row r="9153" spans="1:9" ht="15" customHeight="1">
      <c r="A9153" s="199">
        <v>45789</v>
      </c>
      <c r="B9153" s="202" t="s">
        <v>7039</v>
      </c>
      <c r="C9153" s="200" t="s">
        <v>307</v>
      </c>
      <c r="D9153" s="204">
        <v>-26500</v>
      </c>
      <c r="E9153" s="201">
        <v>45778</v>
      </c>
      <c r="F9153" s="200" t="s">
        <v>256</v>
      </c>
      <c r="G9153" s="200" t="s">
        <v>107</v>
      </c>
      <c r="H9153" s="200" t="s">
        <v>275</v>
      </c>
      <c r="I9153" s="200" t="s">
        <v>7036</v>
      </c>
    </row>
    <row r="9154" spans="1:9" ht="15" customHeight="1">
      <c r="A9154" s="199">
        <v>45790</v>
      </c>
      <c r="B9154" s="202" t="s">
        <v>7040</v>
      </c>
      <c r="C9154" s="200" t="s">
        <v>307</v>
      </c>
      <c r="D9154" s="204">
        <v>-5500</v>
      </c>
      <c r="E9154" s="201">
        <v>45778</v>
      </c>
      <c r="F9154" s="200" t="s">
        <v>256</v>
      </c>
      <c r="G9154" s="200" t="s">
        <v>107</v>
      </c>
      <c r="H9154" s="200" t="s">
        <v>275</v>
      </c>
      <c r="I9154" s="200" t="s">
        <v>7036</v>
      </c>
    </row>
    <row r="9155" spans="1:9" ht="15" customHeight="1">
      <c r="A9155" s="199">
        <v>45790</v>
      </c>
      <c r="B9155" s="202" t="s">
        <v>7041</v>
      </c>
      <c r="C9155" s="200" t="s">
        <v>307</v>
      </c>
      <c r="D9155" s="204">
        <v>-19000</v>
      </c>
      <c r="E9155" s="201">
        <v>45778</v>
      </c>
      <c r="F9155" s="200" t="s">
        <v>256</v>
      </c>
      <c r="G9155" s="200" t="s">
        <v>107</v>
      </c>
      <c r="H9155" s="200" t="s">
        <v>275</v>
      </c>
      <c r="I9155" s="200" t="s">
        <v>7036</v>
      </c>
    </row>
    <row r="9156" spans="1:9" ht="15" customHeight="1">
      <c r="A9156" s="199">
        <v>45790</v>
      </c>
      <c r="B9156" s="202" t="s">
        <v>7042</v>
      </c>
      <c r="C9156" s="200" t="s">
        <v>307</v>
      </c>
      <c r="D9156" s="204">
        <v>-6000</v>
      </c>
      <c r="E9156" s="201">
        <v>45778</v>
      </c>
      <c r="F9156" s="200" t="s">
        <v>256</v>
      </c>
      <c r="G9156" s="200" t="s">
        <v>107</v>
      </c>
      <c r="H9156" s="200" t="s">
        <v>275</v>
      </c>
      <c r="I9156" s="200" t="s">
        <v>7036</v>
      </c>
    </row>
    <row r="9157" spans="1:9" ht="15" customHeight="1">
      <c r="A9157" s="199">
        <v>45790</v>
      </c>
      <c r="B9157" s="202" t="s">
        <v>7043</v>
      </c>
      <c r="C9157" s="200" t="s">
        <v>307</v>
      </c>
      <c r="D9157" s="204">
        <v>-6000</v>
      </c>
      <c r="E9157" s="201">
        <v>45778</v>
      </c>
      <c r="F9157" s="200" t="s">
        <v>256</v>
      </c>
      <c r="G9157" s="200" t="s">
        <v>107</v>
      </c>
      <c r="H9157" s="200" t="s">
        <v>275</v>
      </c>
      <c r="I9157" s="200" t="s">
        <v>7036</v>
      </c>
    </row>
    <row r="9158" spans="1:9" ht="15" customHeight="1">
      <c r="A9158" s="199">
        <v>45790</v>
      </c>
      <c r="B9158" s="202" t="s">
        <v>7044</v>
      </c>
      <c r="C9158" s="200" t="s">
        <v>307</v>
      </c>
      <c r="D9158" s="204">
        <v>-26000</v>
      </c>
      <c r="E9158" s="201">
        <v>45778</v>
      </c>
      <c r="F9158" s="200" t="s">
        <v>256</v>
      </c>
      <c r="G9158" s="200" t="s">
        <v>107</v>
      </c>
      <c r="H9158" s="200" t="s">
        <v>275</v>
      </c>
      <c r="I9158" s="200" t="s">
        <v>7036</v>
      </c>
    </row>
    <row r="9159" spans="1:9" ht="15" customHeight="1">
      <c r="A9159" s="199">
        <v>45791</v>
      </c>
      <c r="B9159" s="202" t="s">
        <v>7040</v>
      </c>
      <c r="C9159" s="200" t="s">
        <v>307</v>
      </c>
      <c r="D9159" s="204">
        <v>-5500</v>
      </c>
      <c r="E9159" s="201">
        <v>45778</v>
      </c>
      <c r="F9159" s="200" t="s">
        <v>256</v>
      </c>
      <c r="G9159" s="200" t="s">
        <v>107</v>
      </c>
      <c r="H9159" s="200" t="s">
        <v>275</v>
      </c>
      <c r="I9159" s="200" t="s">
        <v>7036</v>
      </c>
    </row>
    <row r="9160" spans="1:9" ht="15" customHeight="1">
      <c r="A9160" s="199">
        <v>45791</v>
      </c>
      <c r="B9160" s="202" t="s">
        <v>7045</v>
      </c>
      <c r="C9160" s="200" t="s">
        <v>307</v>
      </c>
      <c r="D9160" s="204">
        <v>-7100</v>
      </c>
      <c r="E9160" s="201">
        <v>45778</v>
      </c>
      <c r="F9160" s="200" t="s">
        <v>256</v>
      </c>
      <c r="G9160" s="200" t="s">
        <v>107</v>
      </c>
      <c r="H9160" s="200" t="s">
        <v>275</v>
      </c>
      <c r="I9160" s="200" t="s">
        <v>7036</v>
      </c>
    </row>
    <row r="9161" spans="1:9" ht="15" customHeight="1">
      <c r="A9161" s="199">
        <v>45791</v>
      </c>
      <c r="B9161" s="202" t="s">
        <v>7046</v>
      </c>
      <c r="C9161" s="200" t="s">
        <v>307</v>
      </c>
      <c r="D9161" s="204">
        <v>-30000</v>
      </c>
      <c r="E9161" s="201">
        <v>45778</v>
      </c>
      <c r="F9161" s="200" t="s">
        <v>256</v>
      </c>
      <c r="G9161" s="200" t="s">
        <v>107</v>
      </c>
      <c r="H9161" s="200" t="s">
        <v>275</v>
      </c>
      <c r="I9161" s="200" t="s">
        <v>7036</v>
      </c>
    </row>
    <row r="9162" spans="1:9" ht="15" customHeight="1">
      <c r="A9162" s="199">
        <v>45791</v>
      </c>
      <c r="B9162" s="202" t="s">
        <v>7047</v>
      </c>
      <c r="C9162" s="200" t="s">
        <v>307</v>
      </c>
      <c r="D9162" s="204">
        <v>-13000</v>
      </c>
      <c r="E9162" s="201">
        <v>45778</v>
      </c>
      <c r="F9162" s="200" t="s">
        <v>256</v>
      </c>
      <c r="G9162" s="200" t="s">
        <v>107</v>
      </c>
      <c r="H9162" s="200" t="s">
        <v>275</v>
      </c>
      <c r="I9162" s="200" t="s">
        <v>7036</v>
      </c>
    </row>
    <row r="9163" spans="1:9" ht="15" customHeight="1">
      <c r="A9163" s="199">
        <v>45791</v>
      </c>
      <c r="B9163" s="202" t="s">
        <v>7048</v>
      </c>
      <c r="C9163" s="200" t="s">
        <v>307</v>
      </c>
      <c r="D9163" s="204">
        <v>-8800</v>
      </c>
      <c r="E9163" s="201">
        <v>45778</v>
      </c>
      <c r="F9163" s="200" t="s">
        <v>256</v>
      </c>
      <c r="G9163" s="200" t="s">
        <v>107</v>
      </c>
      <c r="H9163" s="200" t="s">
        <v>275</v>
      </c>
      <c r="I9163" s="200" t="s">
        <v>7036</v>
      </c>
    </row>
    <row r="9164" spans="1:9" ht="15" customHeight="1">
      <c r="A9164" s="199">
        <v>45791</v>
      </c>
      <c r="B9164" s="202" t="s">
        <v>7049</v>
      </c>
      <c r="C9164" s="200" t="s">
        <v>307</v>
      </c>
      <c r="D9164" s="204">
        <v>-179928</v>
      </c>
      <c r="E9164" s="201">
        <v>45778</v>
      </c>
      <c r="F9164" s="200" t="s">
        <v>256</v>
      </c>
      <c r="G9164" s="200" t="s">
        <v>107</v>
      </c>
      <c r="H9164" s="200" t="s">
        <v>275</v>
      </c>
      <c r="I9164" s="200" t="s">
        <v>7036</v>
      </c>
    </row>
    <row r="9165" spans="1:9" ht="15" customHeight="1">
      <c r="A9165" s="199">
        <v>45791</v>
      </c>
      <c r="B9165" s="202" t="s">
        <v>7044</v>
      </c>
      <c r="C9165" s="200" t="s">
        <v>307</v>
      </c>
      <c r="D9165" s="204">
        <v>-27000</v>
      </c>
      <c r="E9165" s="201">
        <v>45778</v>
      </c>
      <c r="F9165" s="200" t="s">
        <v>256</v>
      </c>
      <c r="G9165" s="200" t="s">
        <v>107</v>
      </c>
      <c r="H9165" s="200" t="s">
        <v>275</v>
      </c>
      <c r="I9165" s="200" t="s">
        <v>7036</v>
      </c>
    </row>
    <row r="9166" spans="1:9" ht="15" customHeight="1">
      <c r="A9166" s="199">
        <v>45792</v>
      </c>
      <c r="B9166" s="202" t="s">
        <v>7050</v>
      </c>
      <c r="C9166" s="200" t="s">
        <v>307</v>
      </c>
      <c r="D9166" s="204">
        <v>-7800</v>
      </c>
      <c r="E9166" s="201">
        <v>45778</v>
      </c>
      <c r="F9166" s="200" t="s">
        <v>256</v>
      </c>
      <c r="G9166" s="200" t="s">
        <v>107</v>
      </c>
      <c r="H9166" s="200" t="s">
        <v>275</v>
      </c>
      <c r="I9166" s="200" t="s">
        <v>7036</v>
      </c>
    </row>
    <row r="9167" spans="1:9" ht="15" customHeight="1">
      <c r="A9167" s="199">
        <v>45792</v>
      </c>
      <c r="B9167" s="202" t="s">
        <v>7051</v>
      </c>
      <c r="C9167" s="200" t="s">
        <v>307</v>
      </c>
      <c r="D9167" s="204">
        <v>-16000</v>
      </c>
      <c r="E9167" s="201">
        <v>45778</v>
      </c>
      <c r="F9167" s="200" t="s">
        <v>256</v>
      </c>
      <c r="G9167" s="200" t="s">
        <v>107</v>
      </c>
      <c r="H9167" s="200" t="s">
        <v>275</v>
      </c>
      <c r="I9167" s="200" t="s">
        <v>7036</v>
      </c>
    </row>
    <row r="9168" spans="1:9" ht="15" customHeight="1">
      <c r="A9168" s="199">
        <v>45792</v>
      </c>
      <c r="B9168" s="202" t="s">
        <v>7041</v>
      </c>
      <c r="C9168" s="200" t="s">
        <v>307</v>
      </c>
      <c r="D9168" s="204">
        <v>-22900</v>
      </c>
      <c r="E9168" s="201">
        <v>45778</v>
      </c>
      <c r="F9168" s="200" t="s">
        <v>256</v>
      </c>
      <c r="G9168" s="200" t="s">
        <v>107</v>
      </c>
      <c r="H9168" s="200" t="s">
        <v>275</v>
      </c>
      <c r="I9168" s="200" t="s">
        <v>7036</v>
      </c>
    </row>
    <row r="9169" spans="1:9" ht="15" customHeight="1">
      <c r="A9169" s="199">
        <v>45792</v>
      </c>
      <c r="B9169" s="202" t="s">
        <v>7052</v>
      </c>
      <c r="C9169" s="200" t="s">
        <v>307</v>
      </c>
      <c r="D9169" s="204">
        <v>-6500</v>
      </c>
      <c r="E9169" s="201">
        <v>45778</v>
      </c>
      <c r="F9169" s="200" t="s">
        <v>256</v>
      </c>
      <c r="G9169" s="200" t="s">
        <v>107</v>
      </c>
      <c r="H9169" s="200" t="s">
        <v>275</v>
      </c>
      <c r="I9169" s="200" t="s">
        <v>7036</v>
      </c>
    </row>
    <row r="9170" spans="1:9" ht="15" customHeight="1">
      <c r="A9170" s="199">
        <v>45792</v>
      </c>
      <c r="B9170" s="202" t="s">
        <v>7053</v>
      </c>
      <c r="C9170" s="200" t="s">
        <v>307</v>
      </c>
      <c r="D9170" s="204">
        <v>-13800</v>
      </c>
      <c r="E9170" s="201">
        <v>45778</v>
      </c>
      <c r="F9170" s="200" t="s">
        <v>256</v>
      </c>
      <c r="G9170" s="200" t="s">
        <v>107</v>
      </c>
      <c r="H9170" s="200" t="s">
        <v>275</v>
      </c>
      <c r="I9170" s="200" t="s">
        <v>7036</v>
      </c>
    </row>
    <row r="9171" spans="1:9" ht="15" customHeight="1">
      <c r="A9171" s="199">
        <v>45792</v>
      </c>
      <c r="B9171" s="202" t="s">
        <v>7054</v>
      </c>
      <c r="C9171" s="200" t="s">
        <v>307</v>
      </c>
      <c r="D9171" s="204">
        <v>-28000</v>
      </c>
      <c r="E9171" s="201">
        <v>45778</v>
      </c>
      <c r="F9171" s="200" t="s">
        <v>256</v>
      </c>
      <c r="G9171" s="200" t="s">
        <v>107</v>
      </c>
      <c r="H9171" s="200" t="s">
        <v>275</v>
      </c>
      <c r="I9171" s="200" t="s">
        <v>7036</v>
      </c>
    </row>
    <row r="9172" spans="1:9" ht="15" customHeight="1">
      <c r="A9172" s="199">
        <v>45792</v>
      </c>
      <c r="B9172" s="202" t="s">
        <v>7050</v>
      </c>
      <c r="C9172" s="200" t="s">
        <v>307</v>
      </c>
      <c r="D9172" s="204">
        <v>-6500</v>
      </c>
      <c r="E9172" s="201">
        <v>45778</v>
      </c>
      <c r="F9172" s="200" t="s">
        <v>256</v>
      </c>
      <c r="G9172" s="200" t="s">
        <v>107</v>
      </c>
      <c r="H9172" s="200" t="s">
        <v>275</v>
      </c>
      <c r="I9172" s="200" t="s">
        <v>7036</v>
      </c>
    </row>
    <row r="9173" spans="1:9" ht="15" customHeight="1">
      <c r="A9173" s="199">
        <v>45792</v>
      </c>
      <c r="B9173" s="202" t="s">
        <v>7055</v>
      </c>
      <c r="C9173" s="200" t="s">
        <v>307</v>
      </c>
      <c r="D9173" s="204">
        <v>-10200</v>
      </c>
      <c r="E9173" s="201">
        <v>45778</v>
      </c>
      <c r="F9173" s="200" t="s">
        <v>256</v>
      </c>
      <c r="G9173" s="200" t="s">
        <v>107</v>
      </c>
      <c r="H9173" s="200" t="s">
        <v>275</v>
      </c>
      <c r="I9173" s="200" t="s">
        <v>7036</v>
      </c>
    </row>
    <row r="9174" spans="1:9" ht="15" customHeight="1">
      <c r="A9174" s="199">
        <v>45793</v>
      </c>
      <c r="B9174" s="202" t="s">
        <v>7056</v>
      </c>
      <c r="C9174" s="200" t="s">
        <v>307</v>
      </c>
      <c r="D9174" s="204">
        <v>-5500</v>
      </c>
      <c r="E9174" s="201">
        <v>45778</v>
      </c>
      <c r="F9174" s="200" t="s">
        <v>256</v>
      </c>
      <c r="G9174" s="200" t="s">
        <v>107</v>
      </c>
      <c r="H9174" s="200" t="s">
        <v>275</v>
      </c>
      <c r="I9174" s="200" t="s">
        <v>7036</v>
      </c>
    </row>
    <row r="9175" spans="1:9" ht="15" customHeight="1">
      <c r="A9175" s="199">
        <v>45793</v>
      </c>
      <c r="B9175" s="202" t="s">
        <v>7041</v>
      </c>
      <c r="C9175" s="200" t="s">
        <v>307</v>
      </c>
      <c r="D9175" s="204">
        <v>-20700</v>
      </c>
      <c r="E9175" s="201">
        <v>45778</v>
      </c>
      <c r="F9175" s="200" t="s">
        <v>256</v>
      </c>
      <c r="G9175" s="200" t="s">
        <v>107</v>
      </c>
      <c r="H9175" s="200" t="s">
        <v>275</v>
      </c>
      <c r="I9175" s="200" t="s">
        <v>7036</v>
      </c>
    </row>
    <row r="9176" spans="1:9" ht="15" customHeight="1">
      <c r="A9176" s="199">
        <v>45793</v>
      </c>
      <c r="B9176" s="202" t="s">
        <v>7057</v>
      </c>
      <c r="C9176" s="200" t="s">
        <v>307</v>
      </c>
      <c r="D9176" s="204">
        <v>-8000</v>
      </c>
      <c r="E9176" s="201">
        <v>45778</v>
      </c>
      <c r="F9176" s="200" t="s">
        <v>256</v>
      </c>
      <c r="G9176" s="200" t="s">
        <v>107</v>
      </c>
      <c r="H9176" s="200" t="s">
        <v>275</v>
      </c>
      <c r="I9176" s="200" t="s">
        <v>7036</v>
      </c>
    </row>
    <row r="9177" spans="1:9" ht="15" customHeight="1">
      <c r="A9177" s="199">
        <v>45793</v>
      </c>
      <c r="B9177" s="202" t="s">
        <v>7058</v>
      </c>
      <c r="C9177" s="200" t="s">
        <v>307</v>
      </c>
      <c r="D9177" s="204">
        <v>-16000</v>
      </c>
      <c r="E9177" s="201">
        <v>45778</v>
      </c>
      <c r="F9177" s="200" t="s">
        <v>256</v>
      </c>
      <c r="G9177" s="200" t="s">
        <v>107</v>
      </c>
      <c r="H9177" s="200" t="s">
        <v>275</v>
      </c>
      <c r="I9177" s="200" t="s">
        <v>7036</v>
      </c>
    </row>
    <row r="9178" spans="1:9" ht="15" customHeight="1">
      <c r="A9178" s="199">
        <v>45793</v>
      </c>
      <c r="B9178" s="202" t="s">
        <v>7059</v>
      </c>
      <c r="C9178" s="200" t="s">
        <v>307</v>
      </c>
      <c r="D9178" s="204">
        <v>-107705</v>
      </c>
      <c r="E9178" s="201">
        <v>45778</v>
      </c>
      <c r="F9178" s="200" t="s">
        <v>256</v>
      </c>
      <c r="G9178" s="200" t="s">
        <v>107</v>
      </c>
      <c r="H9178" s="200" t="s">
        <v>275</v>
      </c>
      <c r="I9178" s="200" t="s">
        <v>7036</v>
      </c>
    </row>
    <row r="9179" spans="1:9" ht="15" customHeight="1">
      <c r="A9179" s="199">
        <v>45795</v>
      </c>
      <c r="B9179" s="202" t="s">
        <v>7060</v>
      </c>
      <c r="C9179" s="200" t="s">
        <v>307</v>
      </c>
      <c r="D9179" s="204">
        <v>-95000</v>
      </c>
      <c r="E9179" s="201">
        <v>45778</v>
      </c>
      <c r="F9179" s="200" t="s">
        <v>296</v>
      </c>
      <c r="G9179" s="200" t="s">
        <v>1362</v>
      </c>
      <c r="H9179" s="200" t="s">
        <v>342</v>
      </c>
      <c r="I9179" s="200" t="s">
        <v>7061</v>
      </c>
    </row>
    <row r="9180" spans="1:9" ht="15" customHeight="1">
      <c r="A9180" s="199">
        <v>45796</v>
      </c>
      <c r="B9180" s="202" t="s">
        <v>7062</v>
      </c>
      <c r="C9180" s="200" t="s">
        <v>307</v>
      </c>
      <c r="D9180" s="204">
        <v>-27748</v>
      </c>
      <c r="E9180" s="201">
        <v>45778</v>
      </c>
      <c r="F9180" s="200" t="s">
        <v>296</v>
      </c>
      <c r="G9180" s="200" t="s">
        <v>1362</v>
      </c>
      <c r="H9180" s="200" t="s">
        <v>342</v>
      </c>
      <c r="I9180" s="200" t="s">
        <v>7061</v>
      </c>
    </row>
    <row r="9181" spans="1:9" ht="15" customHeight="1">
      <c r="A9181" s="199">
        <v>45796</v>
      </c>
      <c r="B9181" s="202" t="s">
        <v>1705</v>
      </c>
      <c r="C9181" s="200" t="s">
        <v>307</v>
      </c>
      <c r="D9181" s="204">
        <v>-18500</v>
      </c>
      <c r="E9181" s="201">
        <v>45778</v>
      </c>
      <c r="F9181" s="200" t="s">
        <v>296</v>
      </c>
      <c r="G9181" s="200" t="s">
        <v>1362</v>
      </c>
      <c r="H9181" s="200" t="s">
        <v>342</v>
      </c>
      <c r="I9181" s="200" t="s">
        <v>7061</v>
      </c>
    </row>
    <row r="9182" spans="1:9" ht="15" customHeight="1">
      <c r="A9182" s="199">
        <v>45796</v>
      </c>
      <c r="B9182" s="202" t="s">
        <v>7063</v>
      </c>
      <c r="C9182" s="200" t="s">
        <v>307</v>
      </c>
      <c r="D9182" s="204">
        <v>-12000</v>
      </c>
      <c r="E9182" s="201">
        <v>45778</v>
      </c>
      <c r="F9182" s="200" t="s">
        <v>296</v>
      </c>
      <c r="G9182" s="200" t="s">
        <v>1362</v>
      </c>
      <c r="H9182" s="200" t="s">
        <v>342</v>
      </c>
      <c r="I9182" s="200" t="s">
        <v>7061</v>
      </c>
    </row>
    <row r="9183" spans="1:9" ht="15" customHeight="1">
      <c r="A9183" s="199">
        <v>45796</v>
      </c>
      <c r="B9183" s="202" t="s">
        <v>7064</v>
      </c>
      <c r="C9183" s="200" t="s">
        <v>307</v>
      </c>
      <c r="D9183" s="204">
        <v>-75000</v>
      </c>
      <c r="E9183" s="201">
        <v>45778</v>
      </c>
      <c r="F9183" s="200" t="s">
        <v>296</v>
      </c>
      <c r="G9183" s="200" t="s">
        <v>1362</v>
      </c>
      <c r="H9183" s="200" t="s">
        <v>342</v>
      </c>
      <c r="I9183" s="200" t="s">
        <v>7061</v>
      </c>
    </row>
    <row r="9184" spans="1:9" ht="15" customHeight="1">
      <c r="A9184" s="199">
        <v>45796</v>
      </c>
      <c r="B9184" s="202" t="s">
        <v>1745</v>
      </c>
      <c r="C9184" s="200" t="s">
        <v>307</v>
      </c>
      <c r="D9184" s="204">
        <v>-39800</v>
      </c>
      <c r="E9184" s="201">
        <v>45778</v>
      </c>
      <c r="F9184" s="200" t="s">
        <v>296</v>
      </c>
      <c r="G9184" s="200" t="s">
        <v>1362</v>
      </c>
      <c r="H9184" s="200" t="s">
        <v>342</v>
      </c>
      <c r="I9184" s="200" t="s">
        <v>7061</v>
      </c>
    </row>
    <row r="9185" spans="1:9" ht="15" customHeight="1">
      <c r="A9185" s="199">
        <v>45797</v>
      </c>
      <c r="B9185" s="202" t="s">
        <v>1705</v>
      </c>
      <c r="C9185" s="200" t="s">
        <v>307</v>
      </c>
      <c r="D9185" s="204">
        <v>-15000</v>
      </c>
      <c r="E9185" s="201">
        <v>45778</v>
      </c>
      <c r="F9185" s="200" t="s">
        <v>296</v>
      </c>
      <c r="G9185" s="200" t="s">
        <v>1362</v>
      </c>
      <c r="H9185" s="200" t="s">
        <v>342</v>
      </c>
      <c r="I9185" s="200" t="s">
        <v>7061</v>
      </c>
    </row>
    <row r="9186" spans="1:9" ht="15" customHeight="1">
      <c r="A9186" s="199">
        <v>45797</v>
      </c>
      <c r="B9186" s="202" t="s">
        <v>7065</v>
      </c>
      <c r="C9186" s="200" t="s">
        <v>307</v>
      </c>
      <c r="D9186" s="204">
        <v>-45000</v>
      </c>
      <c r="E9186" s="201">
        <v>45778</v>
      </c>
      <c r="F9186" s="200" t="s">
        <v>296</v>
      </c>
      <c r="G9186" s="200" t="s">
        <v>1362</v>
      </c>
      <c r="H9186" s="200" t="s">
        <v>5384</v>
      </c>
      <c r="I9186" s="200" t="s">
        <v>7061</v>
      </c>
    </row>
    <row r="9187" spans="1:9" ht="15" customHeight="1">
      <c r="A9187" s="199">
        <v>45797</v>
      </c>
      <c r="B9187" s="202" t="s">
        <v>7066</v>
      </c>
      <c r="C9187" s="200" t="s">
        <v>307</v>
      </c>
      <c r="D9187" s="204">
        <v>-12000</v>
      </c>
      <c r="E9187" s="201">
        <v>45778</v>
      </c>
      <c r="F9187" s="200" t="s">
        <v>296</v>
      </c>
      <c r="G9187" s="200" t="s">
        <v>1362</v>
      </c>
      <c r="H9187" s="200" t="s">
        <v>342</v>
      </c>
      <c r="I9187" s="200" t="s">
        <v>7061</v>
      </c>
    </row>
    <row r="9188" spans="1:9" ht="15" customHeight="1">
      <c r="A9188" s="199">
        <v>45798</v>
      </c>
      <c r="B9188" s="202" t="s">
        <v>7067</v>
      </c>
      <c r="C9188" s="200" t="s">
        <v>307</v>
      </c>
      <c r="D9188" s="204">
        <v>-12000</v>
      </c>
      <c r="E9188" s="201">
        <v>45778</v>
      </c>
      <c r="F9188" s="200" t="s">
        <v>296</v>
      </c>
      <c r="G9188" s="200" t="s">
        <v>1362</v>
      </c>
      <c r="H9188" s="200" t="s">
        <v>342</v>
      </c>
      <c r="I9188" s="200" t="s">
        <v>7061</v>
      </c>
    </row>
    <row r="9189" spans="1:9" ht="15" customHeight="1">
      <c r="A9189" s="199">
        <v>45798</v>
      </c>
      <c r="B9189" s="202" t="s">
        <v>7068</v>
      </c>
      <c r="C9189" s="200" t="s">
        <v>307</v>
      </c>
      <c r="D9189" s="204">
        <v>-20000</v>
      </c>
      <c r="E9189" s="201">
        <v>45778</v>
      </c>
      <c r="F9189" s="200" t="s">
        <v>296</v>
      </c>
      <c r="G9189" s="200" t="s">
        <v>1362</v>
      </c>
      <c r="H9189" s="200" t="s">
        <v>342</v>
      </c>
      <c r="I9189" s="200" t="s">
        <v>7061</v>
      </c>
    </row>
    <row r="9190" spans="1:9" ht="15" customHeight="1">
      <c r="A9190" s="199">
        <v>45798</v>
      </c>
      <c r="B9190" s="202" t="s">
        <v>7069</v>
      </c>
      <c r="C9190" s="200" t="s">
        <v>307</v>
      </c>
      <c r="D9190" s="204">
        <v>-20000</v>
      </c>
      <c r="E9190" s="201">
        <v>45778</v>
      </c>
      <c r="F9190" s="200" t="s">
        <v>296</v>
      </c>
      <c r="G9190" s="200" t="s">
        <v>1362</v>
      </c>
      <c r="H9190" s="200" t="s">
        <v>342</v>
      </c>
      <c r="I9190" s="200" t="s">
        <v>7061</v>
      </c>
    </row>
    <row r="9191" spans="1:9" ht="15" customHeight="1">
      <c r="A9191" s="199">
        <v>45798</v>
      </c>
      <c r="B9191" s="202" t="s">
        <v>7070</v>
      </c>
      <c r="C9191" s="200" t="s">
        <v>307</v>
      </c>
      <c r="D9191" s="204">
        <v>-37000</v>
      </c>
      <c r="E9191" s="201">
        <v>45778</v>
      </c>
      <c r="F9191" s="200" t="s">
        <v>296</v>
      </c>
      <c r="G9191" s="200" t="s">
        <v>1362</v>
      </c>
      <c r="H9191" s="200" t="s">
        <v>342</v>
      </c>
      <c r="I9191" s="200" t="s">
        <v>7061</v>
      </c>
    </row>
    <row r="9192" spans="1:9" ht="15" customHeight="1">
      <c r="A9192" s="199">
        <v>45798</v>
      </c>
      <c r="B9192" s="202" t="s">
        <v>7071</v>
      </c>
      <c r="C9192" s="200" t="s">
        <v>307</v>
      </c>
      <c r="D9192" s="204">
        <v>-68600</v>
      </c>
      <c r="E9192" s="201">
        <v>45778</v>
      </c>
      <c r="F9192" s="200" t="s">
        <v>296</v>
      </c>
      <c r="G9192" s="200" t="s">
        <v>1362</v>
      </c>
      <c r="H9192" s="200" t="s">
        <v>342</v>
      </c>
      <c r="I9192" s="200" t="s">
        <v>7061</v>
      </c>
    </row>
    <row r="9193" spans="1:9" ht="15" customHeight="1">
      <c r="A9193" s="199">
        <v>45798</v>
      </c>
      <c r="B9193" s="202" t="s">
        <v>1743</v>
      </c>
      <c r="C9193" s="200" t="s">
        <v>307</v>
      </c>
      <c r="D9193" s="204">
        <v>-31600</v>
      </c>
      <c r="E9193" s="201">
        <v>45778</v>
      </c>
      <c r="F9193" s="200" t="s">
        <v>296</v>
      </c>
      <c r="G9193" s="200" t="s">
        <v>1362</v>
      </c>
      <c r="H9193" s="200" t="s">
        <v>342</v>
      </c>
      <c r="I9193" s="200" t="s">
        <v>7061</v>
      </c>
    </row>
    <row r="9194" spans="1:9" ht="15" customHeight="1">
      <c r="A9194" s="199">
        <v>45798</v>
      </c>
      <c r="B9194" s="202" t="s">
        <v>7072</v>
      </c>
      <c r="C9194" s="200" t="s">
        <v>307</v>
      </c>
      <c r="D9194" s="204">
        <v>-15500</v>
      </c>
      <c r="E9194" s="201">
        <v>45778</v>
      </c>
      <c r="F9194" s="200" t="s">
        <v>296</v>
      </c>
      <c r="G9194" s="200" t="s">
        <v>1362</v>
      </c>
      <c r="H9194" s="200" t="s">
        <v>342</v>
      </c>
      <c r="I9194" s="200" t="s">
        <v>7061</v>
      </c>
    </row>
    <row r="9195" spans="1:9" ht="15" customHeight="1">
      <c r="A9195" s="199">
        <v>45799</v>
      </c>
      <c r="B9195" s="202" t="s">
        <v>7073</v>
      </c>
      <c r="C9195" s="200" t="s">
        <v>307</v>
      </c>
      <c r="D9195" s="204">
        <v>-20229</v>
      </c>
      <c r="E9195" s="201">
        <v>45778</v>
      </c>
      <c r="F9195" s="200" t="s">
        <v>296</v>
      </c>
      <c r="G9195" s="200" t="s">
        <v>1362</v>
      </c>
      <c r="H9195" s="200" t="s">
        <v>342</v>
      </c>
      <c r="I9195" s="200" t="s">
        <v>7061</v>
      </c>
    </row>
    <row r="9196" spans="1:9" ht="15" customHeight="1">
      <c r="A9196" s="199">
        <v>45799</v>
      </c>
      <c r="B9196" s="202" t="s">
        <v>7074</v>
      </c>
      <c r="C9196" s="200" t="s">
        <v>307</v>
      </c>
      <c r="D9196" s="204">
        <v>-19683</v>
      </c>
      <c r="E9196" s="201">
        <v>45778</v>
      </c>
      <c r="F9196" s="200" t="s">
        <v>296</v>
      </c>
      <c r="G9196" s="200" t="s">
        <v>1362</v>
      </c>
      <c r="H9196" s="200" t="s">
        <v>342</v>
      </c>
      <c r="I9196" s="200" t="s">
        <v>7061</v>
      </c>
    </row>
    <row r="9197" spans="1:9" ht="15" customHeight="1">
      <c r="A9197" s="199">
        <v>45799</v>
      </c>
      <c r="B9197" s="202" t="s">
        <v>1743</v>
      </c>
      <c r="C9197" s="200" t="s">
        <v>307</v>
      </c>
      <c r="D9197" s="204">
        <v>-41900</v>
      </c>
      <c r="E9197" s="201">
        <v>45778</v>
      </c>
      <c r="F9197" s="200" t="s">
        <v>296</v>
      </c>
      <c r="G9197" s="200" t="s">
        <v>1362</v>
      </c>
      <c r="H9197" s="200" t="s">
        <v>342</v>
      </c>
      <c r="I9197" s="200" t="s">
        <v>7061</v>
      </c>
    </row>
    <row r="9198" spans="1:9" ht="15" customHeight="1">
      <c r="A9198" s="199">
        <v>45800</v>
      </c>
      <c r="B9198" s="202" t="s">
        <v>1523</v>
      </c>
      <c r="C9198" s="200" t="s">
        <v>307</v>
      </c>
      <c r="D9198" s="204">
        <v>-12960</v>
      </c>
      <c r="E9198" s="201">
        <v>45778</v>
      </c>
      <c r="F9198" s="200" t="s">
        <v>296</v>
      </c>
      <c r="G9198" s="200" t="s">
        <v>1362</v>
      </c>
      <c r="H9198" s="200" t="s">
        <v>342</v>
      </c>
      <c r="I9198" s="200" t="s">
        <v>7061</v>
      </c>
    </row>
    <row r="9199" spans="1:9" ht="15" customHeight="1">
      <c r="A9199" s="199">
        <v>45800</v>
      </c>
      <c r="B9199" s="202" t="s">
        <v>7073</v>
      </c>
      <c r="C9199" s="200" t="s">
        <v>307</v>
      </c>
      <c r="D9199" s="204">
        <v>-13254</v>
      </c>
      <c r="E9199" s="201">
        <v>45778</v>
      </c>
      <c r="F9199" s="200" t="s">
        <v>296</v>
      </c>
      <c r="G9199" s="200" t="s">
        <v>1362</v>
      </c>
      <c r="H9199" s="200" t="s">
        <v>342</v>
      </c>
      <c r="I9199" s="200" t="s">
        <v>7061</v>
      </c>
    </row>
    <row r="9200" spans="1:9" ht="15" customHeight="1">
      <c r="A9200" s="199">
        <v>45800</v>
      </c>
      <c r="B9200" s="202" t="s">
        <v>7075</v>
      </c>
      <c r="C9200" s="200" t="s">
        <v>307</v>
      </c>
      <c r="D9200" s="204">
        <v>-13472</v>
      </c>
      <c r="E9200" s="201">
        <v>45778</v>
      </c>
      <c r="F9200" s="200" t="s">
        <v>296</v>
      </c>
      <c r="G9200" s="200" t="s">
        <v>1362</v>
      </c>
      <c r="H9200" s="200" t="s">
        <v>342</v>
      </c>
      <c r="I9200" s="200" t="s">
        <v>7061</v>
      </c>
    </row>
    <row r="9201" spans="1:9" ht="15" customHeight="1">
      <c r="A9201" s="199">
        <v>45800</v>
      </c>
      <c r="B9201" s="202" t="s">
        <v>7076</v>
      </c>
      <c r="C9201" s="200" t="s">
        <v>307</v>
      </c>
      <c r="D9201" s="204">
        <v>-13000</v>
      </c>
      <c r="E9201" s="201">
        <v>45778</v>
      </c>
      <c r="F9201" s="200" t="s">
        <v>296</v>
      </c>
      <c r="G9201" s="200" t="s">
        <v>1362</v>
      </c>
      <c r="H9201" s="200" t="s">
        <v>342</v>
      </c>
      <c r="I9201" s="200" t="s">
        <v>7061</v>
      </c>
    </row>
    <row r="9202" spans="1:9" ht="15" customHeight="1">
      <c r="A9202" s="199">
        <v>45800</v>
      </c>
      <c r="B9202" s="202" t="s">
        <v>1743</v>
      </c>
      <c r="C9202" s="200" t="s">
        <v>307</v>
      </c>
      <c r="D9202" s="204">
        <v>-44900</v>
      </c>
      <c r="E9202" s="201">
        <v>45778</v>
      </c>
      <c r="F9202" s="200" t="s">
        <v>296</v>
      </c>
      <c r="G9202" s="200" t="s">
        <v>1362</v>
      </c>
      <c r="H9202" s="200" t="s">
        <v>342</v>
      </c>
      <c r="I9202" s="200" t="s">
        <v>7061</v>
      </c>
    </row>
    <row r="9203" spans="1:9" ht="15" customHeight="1">
      <c r="A9203" s="199">
        <v>45800</v>
      </c>
      <c r="B9203" s="202" t="s">
        <v>4062</v>
      </c>
      <c r="C9203" s="200" t="s">
        <v>307</v>
      </c>
      <c r="D9203" s="204">
        <v>-29500</v>
      </c>
      <c r="E9203" s="201">
        <v>45778</v>
      </c>
      <c r="F9203" s="200" t="s">
        <v>296</v>
      </c>
      <c r="G9203" s="200" t="s">
        <v>1362</v>
      </c>
      <c r="H9203" s="200" t="s">
        <v>342</v>
      </c>
      <c r="I9203" s="200" t="s">
        <v>7061</v>
      </c>
    </row>
    <row r="9204" spans="1:9" ht="15" customHeight="1">
      <c r="A9204" s="199">
        <v>45800</v>
      </c>
      <c r="B9204" s="202" t="s">
        <v>4063</v>
      </c>
      <c r="C9204" s="200" t="s">
        <v>307</v>
      </c>
      <c r="D9204" s="204">
        <v>-37000</v>
      </c>
      <c r="E9204" s="201">
        <v>45778</v>
      </c>
      <c r="F9204" s="200" t="s">
        <v>296</v>
      </c>
      <c r="G9204" s="200" t="s">
        <v>1362</v>
      </c>
      <c r="H9204" s="200" t="s">
        <v>342</v>
      </c>
      <c r="I9204" s="648" t="s">
        <v>329</v>
      </c>
    </row>
    <row r="9205" spans="1:9" ht="15" customHeight="1">
      <c r="A9205" s="199">
        <v>45797</v>
      </c>
      <c r="B9205" s="202" t="s">
        <v>1419</v>
      </c>
      <c r="C9205" s="200" t="s">
        <v>307</v>
      </c>
      <c r="D9205" s="204">
        <v>-108000</v>
      </c>
      <c r="E9205" s="201">
        <v>45778</v>
      </c>
      <c r="F9205" s="200" t="s">
        <v>256</v>
      </c>
      <c r="G9205" s="200" t="s">
        <v>107</v>
      </c>
      <c r="H9205" s="200" t="s">
        <v>277</v>
      </c>
    </row>
    <row r="9206" spans="1:9" ht="15" customHeight="1">
      <c r="A9206" s="199">
        <v>45797</v>
      </c>
      <c r="B9206" s="202" t="s">
        <v>2805</v>
      </c>
      <c r="C9206" s="200" t="s">
        <v>307</v>
      </c>
      <c r="D9206" s="204">
        <v>-60000</v>
      </c>
      <c r="E9206" s="201">
        <v>45778</v>
      </c>
      <c r="F9206" s="200" t="s">
        <v>256</v>
      </c>
      <c r="G9206" s="200" t="s">
        <v>107</v>
      </c>
      <c r="H9206" s="200" t="s">
        <v>277</v>
      </c>
    </row>
    <row r="9207" spans="1:9" ht="15" customHeight="1">
      <c r="A9207" s="199">
        <v>45800</v>
      </c>
      <c r="B9207" s="202" t="s">
        <v>1744</v>
      </c>
      <c r="C9207" s="200" t="s">
        <v>307</v>
      </c>
      <c r="D9207" s="204">
        <v>-30000</v>
      </c>
      <c r="E9207" s="201">
        <v>45778</v>
      </c>
      <c r="F9207" s="200" t="s">
        <v>256</v>
      </c>
      <c r="G9207" s="200" t="s">
        <v>107</v>
      </c>
      <c r="H9207" s="200" t="s">
        <v>277</v>
      </c>
    </row>
    <row r="9208" spans="1:9" ht="15" customHeight="1">
      <c r="A9208" s="199">
        <v>45801</v>
      </c>
      <c r="B9208" s="202" t="s">
        <v>1419</v>
      </c>
      <c r="C9208" s="200" t="s">
        <v>307</v>
      </c>
      <c r="D9208" s="204">
        <v>-120000</v>
      </c>
      <c r="E9208" s="201">
        <v>45778</v>
      </c>
      <c r="F9208" s="200" t="s">
        <v>256</v>
      </c>
      <c r="G9208" s="200" t="s">
        <v>107</v>
      </c>
      <c r="H9208" s="200" t="s">
        <v>277</v>
      </c>
    </row>
    <row r="9209" spans="1:9" ht="15" customHeight="1">
      <c r="A9209" s="199">
        <v>45791</v>
      </c>
      <c r="B9209" s="202" t="s">
        <v>7077</v>
      </c>
      <c r="C9209" s="200" t="s">
        <v>398</v>
      </c>
      <c r="D9209" s="658">
        <v>-8997</v>
      </c>
      <c r="E9209" s="201">
        <v>45778</v>
      </c>
      <c r="F9209" s="200" t="s">
        <v>256</v>
      </c>
      <c r="G9209" s="200" t="s">
        <v>107</v>
      </c>
      <c r="H9209" s="200" t="s">
        <v>277</v>
      </c>
    </row>
    <row r="9210" spans="1:9" ht="15" customHeight="1">
      <c r="A9210" s="199">
        <v>45803</v>
      </c>
      <c r="B9210" s="202" t="s">
        <v>7078</v>
      </c>
      <c r="C9210" s="200" t="s">
        <v>398</v>
      </c>
      <c r="D9210" s="204">
        <v>-1050000</v>
      </c>
      <c r="E9210" s="201">
        <v>45778</v>
      </c>
      <c r="F9210" s="200" t="s">
        <v>395</v>
      </c>
      <c r="G9210" s="531" t="s">
        <v>395</v>
      </c>
      <c r="H9210" s="200" t="s">
        <v>342</v>
      </c>
    </row>
    <row r="9211" spans="1:9" ht="15" customHeight="1">
      <c r="A9211" s="199">
        <v>45806</v>
      </c>
      <c r="B9211" s="202" t="s">
        <v>7079</v>
      </c>
      <c r="C9211" s="200" t="s">
        <v>398</v>
      </c>
      <c r="D9211" s="204">
        <v>-103119.73</v>
      </c>
      <c r="E9211" s="201">
        <v>45778</v>
      </c>
      <c r="F9211" s="200" t="s">
        <v>256</v>
      </c>
      <c r="G9211" s="200" t="s">
        <v>107</v>
      </c>
      <c r="H9211" s="200" t="s">
        <v>777</v>
      </c>
    </row>
    <row r="9212" spans="1:9" ht="15" customHeight="1">
      <c r="A9212" s="199">
        <v>45807</v>
      </c>
      <c r="B9212" s="202" t="s">
        <v>7080</v>
      </c>
      <c r="C9212" s="200" t="s">
        <v>398</v>
      </c>
      <c r="D9212" s="204">
        <v>-45539</v>
      </c>
      <c r="E9212" s="201">
        <v>45778</v>
      </c>
      <c r="F9212" s="200" t="s">
        <v>256</v>
      </c>
      <c r="G9212" s="200" t="s">
        <v>256</v>
      </c>
      <c r="H9212" s="200" t="s">
        <v>261</v>
      </c>
    </row>
    <row r="9213" spans="1:9" ht="15" customHeight="1">
      <c r="A9213" s="199">
        <v>45807</v>
      </c>
      <c r="B9213" s="202" t="s">
        <v>7081</v>
      </c>
      <c r="C9213" s="200" t="s">
        <v>204</v>
      </c>
      <c r="D9213" s="649">
        <v>-11759289</v>
      </c>
      <c r="E9213" s="201">
        <v>45778</v>
      </c>
      <c r="F9213" s="200" t="s">
        <v>296</v>
      </c>
      <c r="G9213" s="200" t="s">
        <v>522</v>
      </c>
      <c r="H9213" s="200" t="s">
        <v>1854</v>
      </c>
    </row>
    <row r="9214" spans="1:9" ht="15" customHeight="1">
      <c r="A9214" s="199">
        <v>45807</v>
      </c>
      <c r="B9214" s="202" t="s">
        <v>7082</v>
      </c>
      <c r="C9214" s="200" t="s">
        <v>204</v>
      </c>
      <c r="D9214" s="649">
        <v>-21900</v>
      </c>
      <c r="E9214" s="201">
        <v>45778</v>
      </c>
      <c r="F9214" s="200" t="s">
        <v>296</v>
      </c>
      <c r="G9214" s="200" t="s">
        <v>57</v>
      </c>
      <c r="H9214" s="200" t="s">
        <v>98</v>
      </c>
    </row>
    <row r="9215" spans="1:9" ht="15" customHeight="1">
      <c r="A9215" s="199">
        <v>45807</v>
      </c>
      <c r="B9215" s="202" t="s">
        <v>7083</v>
      </c>
      <c r="C9215" s="200" t="s">
        <v>204</v>
      </c>
      <c r="D9215" s="649">
        <v>-21900</v>
      </c>
      <c r="E9215" s="201">
        <v>45778</v>
      </c>
      <c r="F9215" s="200" t="s">
        <v>296</v>
      </c>
      <c r="G9215" s="200" t="s">
        <v>57</v>
      </c>
      <c r="H9215" s="200" t="s">
        <v>98</v>
      </c>
    </row>
    <row r="9216" spans="1:9" ht="15" customHeight="1">
      <c r="A9216" s="199">
        <v>45807</v>
      </c>
      <c r="B9216" s="202" t="s">
        <v>7084</v>
      </c>
      <c r="C9216" s="200" t="s">
        <v>204</v>
      </c>
      <c r="D9216" s="649">
        <v>-21900</v>
      </c>
      <c r="E9216" s="201">
        <v>45778</v>
      </c>
      <c r="F9216" s="200" t="s">
        <v>296</v>
      </c>
      <c r="G9216" s="200" t="s">
        <v>57</v>
      </c>
      <c r="H9216" s="200" t="s">
        <v>98</v>
      </c>
    </row>
    <row r="9217" spans="1:9" ht="15" customHeight="1">
      <c r="A9217" s="199">
        <v>45807</v>
      </c>
      <c r="B9217" s="202" t="s">
        <v>7085</v>
      </c>
      <c r="C9217" s="200" t="s">
        <v>204</v>
      </c>
      <c r="D9217" s="649">
        <v>-21900</v>
      </c>
      <c r="E9217" s="201">
        <v>45778</v>
      </c>
      <c r="F9217" s="200" t="s">
        <v>296</v>
      </c>
      <c r="G9217" s="200" t="s">
        <v>57</v>
      </c>
      <c r="H9217" s="200" t="s">
        <v>98</v>
      </c>
    </row>
    <row r="9218" spans="1:9" ht="15" customHeight="1">
      <c r="A9218" s="199">
        <v>45807</v>
      </c>
      <c r="B9218" s="202" t="s">
        <v>7086</v>
      </c>
      <c r="C9218" s="200" t="s">
        <v>204</v>
      </c>
      <c r="D9218" s="649">
        <v>-21900</v>
      </c>
      <c r="E9218" s="201">
        <v>45778</v>
      </c>
      <c r="F9218" s="200" t="s">
        <v>296</v>
      </c>
      <c r="G9218" s="200" t="s">
        <v>57</v>
      </c>
      <c r="H9218" s="200" t="s">
        <v>98</v>
      </c>
    </row>
    <row r="9219" spans="1:9" ht="15" customHeight="1">
      <c r="A9219" s="199">
        <v>45807</v>
      </c>
      <c r="B9219" s="202" t="s">
        <v>7087</v>
      </c>
      <c r="C9219" s="200" t="s">
        <v>204</v>
      </c>
      <c r="D9219" s="649">
        <v>-117096</v>
      </c>
      <c r="E9219" s="201">
        <v>45778</v>
      </c>
      <c r="F9219" s="200" t="s">
        <v>256</v>
      </c>
      <c r="G9219" s="200" t="s">
        <v>256</v>
      </c>
      <c r="H9219" s="200" t="s">
        <v>267</v>
      </c>
    </row>
    <row r="9220" spans="1:9" ht="15" customHeight="1">
      <c r="A9220" s="199">
        <v>45807</v>
      </c>
      <c r="B9220" s="202" t="s">
        <v>7088</v>
      </c>
      <c r="C9220" s="200" t="s">
        <v>204</v>
      </c>
      <c r="D9220" s="649">
        <v>-1369381</v>
      </c>
      <c r="E9220" s="201">
        <v>45778</v>
      </c>
      <c r="F9220" s="200" t="s">
        <v>256</v>
      </c>
      <c r="G9220" s="200" t="s">
        <v>256</v>
      </c>
      <c r="H9220" s="200" t="s">
        <v>267</v>
      </c>
    </row>
    <row r="9221" spans="1:9" ht="15" customHeight="1">
      <c r="A9221" s="199">
        <v>45807</v>
      </c>
      <c r="B9221" s="202" t="s">
        <v>7089</v>
      </c>
      <c r="C9221" s="200" t="s">
        <v>204</v>
      </c>
      <c r="D9221" s="649">
        <v>-789338</v>
      </c>
      <c r="E9221" s="201">
        <v>45778</v>
      </c>
      <c r="F9221" s="200" t="s">
        <v>256</v>
      </c>
      <c r="G9221" s="200" t="s">
        <v>256</v>
      </c>
      <c r="H9221" s="200" t="s">
        <v>267</v>
      </c>
    </row>
    <row r="9222" spans="1:9" ht="15" customHeight="1">
      <c r="A9222" s="199">
        <v>45807</v>
      </c>
      <c r="B9222" s="202" t="s">
        <v>7090</v>
      </c>
      <c r="C9222" s="200" t="s">
        <v>204</v>
      </c>
      <c r="D9222" s="649">
        <v>-70000</v>
      </c>
      <c r="E9222" s="201">
        <v>45778</v>
      </c>
      <c r="F9222" s="200" t="s">
        <v>296</v>
      </c>
      <c r="G9222" s="200" t="s">
        <v>57</v>
      </c>
      <c r="H9222" s="200" t="s">
        <v>100</v>
      </c>
    </row>
    <row r="9223" spans="1:9" ht="15" customHeight="1">
      <c r="A9223" s="199">
        <v>45807</v>
      </c>
      <c r="B9223" s="202" t="s">
        <v>7091</v>
      </c>
      <c r="C9223" s="200" t="s">
        <v>204</v>
      </c>
      <c r="D9223" s="649">
        <v>-1918800</v>
      </c>
      <c r="E9223" s="201">
        <v>45778</v>
      </c>
      <c r="F9223" s="200" t="s">
        <v>296</v>
      </c>
      <c r="G9223" s="200" t="s">
        <v>1983</v>
      </c>
      <c r="H9223" s="200" t="s">
        <v>811</v>
      </c>
    </row>
    <row r="9224" spans="1:9" ht="15" customHeight="1">
      <c r="A9224" s="199">
        <v>45807</v>
      </c>
      <c r="B9224" s="202" t="s">
        <v>7092</v>
      </c>
      <c r="C9224" s="200" t="s">
        <v>204</v>
      </c>
      <c r="D9224" s="649">
        <v>-536280</v>
      </c>
      <c r="E9224" s="201">
        <v>45778</v>
      </c>
      <c r="F9224" s="200" t="s">
        <v>296</v>
      </c>
      <c r="G9224" s="200" t="s">
        <v>1825</v>
      </c>
      <c r="H9224" s="200" t="s">
        <v>811</v>
      </c>
      <c r="I9224" s="648" t="s">
        <v>329</v>
      </c>
    </row>
    <row r="9225" spans="1:9" ht="15" customHeight="1">
      <c r="A9225" s="199">
        <v>45807</v>
      </c>
      <c r="B9225" s="202" t="s">
        <v>7093</v>
      </c>
      <c r="C9225" s="200" t="s">
        <v>204</v>
      </c>
      <c r="D9225" s="649">
        <v>-6150000</v>
      </c>
      <c r="E9225" s="201">
        <v>45778</v>
      </c>
      <c r="F9225" s="200" t="s">
        <v>296</v>
      </c>
      <c r="G9225" s="200" t="s">
        <v>1983</v>
      </c>
      <c r="H9225" s="200" t="s">
        <v>811</v>
      </c>
      <c r="I9225" s="648" t="s">
        <v>329</v>
      </c>
    </row>
    <row r="9226" spans="1:9" ht="15" customHeight="1">
      <c r="A9226" s="199">
        <v>45807</v>
      </c>
      <c r="B9226" s="202" t="s">
        <v>7094</v>
      </c>
      <c r="C9226" s="200" t="s">
        <v>204</v>
      </c>
      <c r="D9226" s="649">
        <v>-2656800</v>
      </c>
      <c r="E9226" s="201">
        <v>45778</v>
      </c>
      <c r="F9226" s="200" t="s">
        <v>296</v>
      </c>
      <c r="G9226" s="200" t="s">
        <v>807</v>
      </c>
      <c r="H9226" s="200" t="s">
        <v>811</v>
      </c>
    </row>
    <row r="9227" spans="1:9" ht="15" customHeight="1">
      <c r="A9227" s="199">
        <v>45807</v>
      </c>
      <c r="B9227" s="202" t="s">
        <v>7095</v>
      </c>
      <c r="C9227" s="200" t="s">
        <v>204</v>
      </c>
      <c r="D9227" s="649">
        <v>-1856250</v>
      </c>
      <c r="E9227" s="201">
        <v>45778</v>
      </c>
      <c r="F9227" s="200" t="s">
        <v>296</v>
      </c>
      <c r="G9227" s="200" t="s">
        <v>522</v>
      </c>
      <c r="H9227" s="200" t="s">
        <v>811</v>
      </c>
      <c r="I9227" s="648" t="s">
        <v>329</v>
      </c>
    </row>
    <row r="9228" spans="1:9" ht="15" customHeight="1">
      <c r="A9228" s="199">
        <v>45807</v>
      </c>
      <c r="B9228" s="202" t="s">
        <v>7096</v>
      </c>
      <c r="C9228" s="200" t="s">
        <v>204</v>
      </c>
      <c r="D9228" s="649">
        <v>-1500000</v>
      </c>
      <c r="E9228" s="201">
        <v>45778</v>
      </c>
      <c r="F9228" s="200" t="s">
        <v>296</v>
      </c>
      <c r="G9228" s="200" t="s">
        <v>807</v>
      </c>
      <c r="H9228" s="200" t="s">
        <v>442</v>
      </c>
      <c r="I9228" s="648" t="s">
        <v>329</v>
      </c>
    </row>
    <row r="9229" spans="1:9" ht="15" customHeight="1">
      <c r="A9229" s="199">
        <v>45807</v>
      </c>
      <c r="B9229" s="202" t="s">
        <v>7097</v>
      </c>
      <c r="C9229" s="200" t="s">
        <v>204</v>
      </c>
      <c r="D9229" s="649">
        <v>-700000</v>
      </c>
      <c r="E9229" s="201">
        <v>45778</v>
      </c>
      <c r="F9229" s="200" t="s">
        <v>296</v>
      </c>
      <c r="G9229" s="200" t="s">
        <v>57</v>
      </c>
      <c r="H9229" s="200" t="s">
        <v>101</v>
      </c>
    </row>
    <row r="9230" spans="1:9" ht="15" customHeight="1">
      <c r="A9230" s="199">
        <v>45807</v>
      </c>
      <c r="B9230" s="202" t="s">
        <v>7098</v>
      </c>
      <c r="C9230" s="200" t="s">
        <v>204</v>
      </c>
      <c r="D9230" s="649">
        <v>-177000</v>
      </c>
      <c r="E9230" s="201">
        <v>45778</v>
      </c>
      <c r="F9230" s="200" t="s">
        <v>297</v>
      </c>
      <c r="G9230" s="200" t="s">
        <v>71</v>
      </c>
      <c r="H9230" s="200" t="s">
        <v>5376</v>
      </c>
    </row>
    <row r="9231" spans="1:9" ht="15" customHeight="1">
      <c r="A9231" s="199">
        <v>45807</v>
      </c>
      <c r="B9231" s="202" t="s">
        <v>7099</v>
      </c>
      <c r="C9231" s="200" t="s">
        <v>204</v>
      </c>
      <c r="D9231" s="649">
        <v>-245476</v>
      </c>
      <c r="E9231" s="201">
        <v>45778</v>
      </c>
      <c r="F9231" s="200" t="s">
        <v>297</v>
      </c>
      <c r="G9231" s="200" t="s">
        <v>71</v>
      </c>
      <c r="H9231" s="200" t="s">
        <v>5384</v>
      </c>
    </row>
    <row r="9232" spans="1:9" ht="15" customHeight="1">
      <c r="A9232" s="199">
        <v>45807</v>
      </c>
      <c r="B9232" s="202" t="s">
        <v>7100</v>
      </c>
      <c r="C9232" s="200" t="s">
        <v>372</v>
      </c>
      <c r="D9232" s="204">
        <v>-1244</v>
      </c>
      <c r="E9232" s="201">
        <v>45778</v>
      </c>
      <c r="F9232" s="200" t="s">
        <v>297</v>
      </c>
      <c r="G9232" s="200" t="s">
        <v>71</v>
      </c>
      <c r="H9232" s="200" t="s">
        <v>5384</v>
      </c>
    </row>
    <row r="9233" spans="1:9" ht="15" customHeight="1">
      <c r="A9233" s="199">
        <v>45807</v>
      </c>
      <c r="B9233" s="202" t="s">
        <v>7101</v>
      </c>
      <c r="C9233" s="200" t="s">
        <v>204</v>
      </c>
      <c r="D9233" s="649">
        <v>-249635</v>
      </c>
      <c r="E9233" s="201">
        <v>45778</v>
      </c>
      <c r="F9233" s="200" t="s">
        <v>297</v>
      </c>
      <c r="G9233" s="200" t="s">
        <v>71</v>
      </c>
      <c r="H9233" s="200" t="s">
        <v>5384</v>
      </c>
    </row>
    <row r="9234" spans="1:9" ht="15" customHeight="1">
      <c r="A9234" s="199">
        <v>45807</v>
      </c>
      <c r="B9234" s="202" t="s">
        <v>7102</v>
      </c>
      <c r="C9234" s="200" t="s">
        <v>372</v>
      </c>
      <c r="D9234" s="204">
        <v>-1265</v>
      </c>
      <c r="E9234" s="201">
        <v>45778</v>
      </c>
      <c r="F9234" s="200" t="s">
        <v>297</v>
      </c>
      <c r="G9234" s="200" t="s">
        <v>71</v>
      </c>
      <c r="H9234" s="200" t="s">
        <v>5384</v>
      </c>
    </row>
    <row r="9235" spans="1:9" ht="15" customHeight="1">
      <c r="A9235" s="199">
        <v>45807</v>
      </c>
      <c r="B9235" s="202" t="s">
        <v>7103</v>
      </c>
      <c r="C9235" s="200" t="s">
        <v>204</v>
      </c>
      <c r="D9235" s="649">
        <v>-26864</v>
      </c>
      <c r="E9235" s="201">
        <v>45778</v>
      </c>
      <c r="F9235" s="200" t="s">
        <v>297</v>
      </c>
      <c r="G9235" s="200" t="s">
        <v>71</v>
      </c>
      <c r="H9235" s="200" t="s">
        <v>5384</v>
      </c>
    </row>
    <row r="9236" spans="1:9" ht="15" customHeight="1">
      <c r="A9236" s="199">
        <v>45807</v>
      </c>
      <c r="B9236" s="202" t="s">
        <v>7104</v>
      </c>
      <c r="C9236" s="200" t="s">
        <v>372</v>
      </c>
      <c r="D9236" s="204">
        <v>-136</v>
      </c>
      <c r="E9236" s="201">
        <v>45778</v>
      </c>
      <c r="F9236" s="200" t="s">
        <v>297</v>
      </c>
      <c r="G9236" s="200" t="s">
        <v>71</v>
      </c>
      <c r="H9236" s="200" t="s">
        <v>5384</v>
      </c>
    </row>
    <row r="9237" spans="1:9" ht="15" customHeight="1">
      <c r="A9237" s="199">
        <v>45807</v>
      </c>
      <c r="B9237" s="202" t="s">
        <v>7105</v>
      </c>
      <c r="C9237" s="200" t="s">
        <v>204</v>
      </c>
      <c r="D9237" s="649">
        <v>-44176</v>
      </c>
      <c r="E9237" s="201">
        <v>45778</v>
      </c>
      <c r="F9237" s="200" t="s">
        <v>297</v>
      </c>
      <c r="G9237" s="200" t="s">
        <v>71</v>
      </c>
      <c r="H9237" s="200" t="s">
        <v>5384</v>
      </c>
    </row>
    <row r="9238" spans="1:9" ht="15" customHeight="1">
      <c r="A9238" s="199">
        <v>45807</v>
      </c>
      <c r="B9238" s="202" t="s">
        <v>7106</v>
      </c>
      <c r="C9238" s="200" t="s">
        <v>372</v>
      </c>
      <c r="D9238" s="204">
        <v>-224</v>
      </c>
      <c r="E9238" s="201">
        <v>45778</v>
      </c>
      <c r="F9238" s="200" t="s">
        <v>297</v>
      </c>
      <c r="G9238" s="200" t="s">
        <v>71</v>
      </c>
      <c r="H9238" s="200" t="s">
        <v>5384</v>
      </c>
    </row>
    <row r="9239" spans="1:9" ht="15" customHeight="1">
      <c r="A9239" s="199">
        <v>45807</v>
      </c>
      <c r="B9239" s="202" t="s">
        <v>7107</v>
      </c>
      <c r="C9239" s="200" t="s">
        <v>204</v>
      </c>
      <c r="D9239" s="649">
        <v>-10746</v>
      </c>
      <c r="E9239" s="201">
        <v>45778</v>
      </c>
      <c r="F9239" s="200" t="s">
        <v>296</v>
      </c>
      <c r="G9239" s="200" t="s">
        <v>44</v>
      </c>
      <c r="H9239" s="200" t="s">
        <v>322</v>
      </c>
    </row>
    <row r="9240" spans="1:9" ht="15" customHeight="1">
      <c r="A9240" s="199">
        <v>45807</v>
      </c>
      <c r="B9240" s="202" t="s">
        <v>7108</v>
      </c>
      <c r="C9240" s="200" t="s">
        <v>372</v>
      </c>
      <c r="D9240" s="204">
        <v>-54</v>
      </c>
      <c r="E9240" s="201">
        <v>45778</v>
      </c>
      <c r="F9240" s="200" t="s">
        <v>296</v>
      </c>
      <c r="G9240" s="200" t="s">
        <v>44</v>
      </c>
      <c r="H9240" s="200" t="s">
        <v>322</v>
      </c>
    </row>
    <row r="9241" spans="1:9" ht="15" customHeight="1">
      <c r="A9241" s="199">
        <v>45807</v>
      </c>
      <c r="B9241" s="202" t="s">
        <v>7109</v>
      </c>
      <c r="C9241" s="200" t="s">
        <v>204</v>
      </c>
      <c r="D9241" s="649">
        <v>-734030</v>
      </c>
      <c r="E9241" s="201">
        <v>45778</v>
      </c>
      <c r="F9241" s="200" t="s">
        <v>297</v>
      </c>
      <c r="G9241" s="200" t="s">
        <v>71</v>
      </c>
      <c r="H9241" s="200" t="s">
        <v>5384</v>
      </c>
    </row>
    <row r="9242" spans="1:9" ht="15" customHeight="1">
      <c r="A9242" s="199">
        <v>45807</v>
      </c>
      <c r="B9242" s="202" t="s">
        <v>7110</v>
      </c>
      <c r="C9242" s="200" t="s">
        <v>372</v>
      </c>
      <c r="D9242" s="204">
        <v>-3720</v>
      </c>
      <c r="E9242" s="201">
        <v>45778</v>
      </c>
      <c r="F9242" s="200" t="s">
        <v>297</v>
      </c>
      <c r="G9242" s="200" t="s">
        <v>71</v>
      </c>
      <c r="H9242" s="200" t="s">
        <v>5384</v>
      </c>
    </row>
    <row r="9243" spans="1:9" ht="15" customHeight="1">
      <c r="A9243" s="199">
        <v>45807</v>
      </c>
      <c r="B9243" s="202" t="s">
        <v>7111</v>
      </c>
      <c r="C9243" s="200" t="s">
        <v>136</v>
      </c>
      <c r="D9243" s="204">
        <v>-60000</v>
      </c>
      <c r="E9243" s="201">
        <v>45778</v>
      </c>
      <c r="F9243" s="200" t="s">
        <v>256</v>
      </c>
      <c r="G9243" s="200" t="s">
        <v>107</v>
      </c>
      <c r="H9243" s="200" t="s">
        <v>777</v>
      </c>
    </row>
    <row r="9244" spans="1:9" ht="15" customHeight="1">
      <c r="A9244" s="199">
        <v>45807</v>
      </c>
      <c r="B9244" s="202" t="s">
        <v>7112</v>
      </c>
      <c r="C9244" s="200" t="s">
        <v>136</v>
      </c>
      <c r="D9244" s="204">
        <v>-496951</v>
      </c>
      <c r="E9244" s="201">
        <v>45778</v>
      </c>
      <c r="F9244" s="200" t="s">
        <v>297</v>
      </c>
      <c r="G9244" s="200" t="s">
        <v>71</v>
      </c>
      <c r="H9244" s="200" t="s">
        <v>5384</v>
      </c>
    </row>
    <row r="9245" spans="1:9" ht="15" customHeight="1">
      <c r="A9245" s="199">
        <v>45807</v>
      </c>
      <c r="B9245" s="202" t="s">
        <v>7113</v>
      </c>
      <c r="C9245" s="200" t="s">
        <v>136</v>
      </c>
      <c r="D9245" s="204">
        <v>39600</v>
      </c>
      <c r="E9245" s="201">
        <v>45778</v>
      </c>
      <c r="F9245" s="200" t="s">
        <v>256</v>
      </c>
    </row>
    <row r="9246" spans="1:9" s="203" customFormat="1" ht="15" customHeight="1">
      <c r="A9246" s="661">
        <v>45807</v>
      </c>
      <c r="B9246" s="202" t="s">
        <v>4256</v>
      </c>
      <c r="C9246" s="202" t="s">
        <v>204</v>
      </c>
      <c r="D9246" s="204">
        <v>3122367</v>
      </c>
      <c r="E9246" s="662">
        <v>45778</v>
      </c>
      <c r="F9246" s="202" t="s">
        <v>295</v>
      </c>
      <c r="G9246" s="202"/>
      <c r="H9246" s="202"/>
      <c r="I9246" s="202"/>
    </row>
    <row r="9247" spans="1:9" s="807" customFormat="1" ht="15" customHeight="1">
      <c r="A9247" s="803">
        <v>45809</v>
      </c>
      <c r="B9247" s="804" t="s">
        <v>7114</v>
      </c>
      <c r="C9247" s="804" t="s">
        <v>204</v>
      </c>
      <c r="D9247" s="765">
        <v>-1500000</v>
      </c>
      <c r="E9247" s="806">
        <v>45809</v>
      </c>
      <c r="F9247" s="804" t="s">
        <v>296</v>
      </c>
      <c r="G9247" s="804" t="s">
        <v>3849</v>
      </c>
      <c r="H9247" s="804" t="s">
        <v>342</v>
      </c>
      <c r="I9247" s="804"/>
    </row>
    <row r="9248" spans="1:9" ht="15" customHeight="1">
      <c r="A9248" s="199">
        <v>45809</v>
      </c>
      <c r="B9248" s="202" t="s">
        <v>7115</v>
      </c>
      <c r="C9248" s="200" t="s">
        <v>204</v>
      </c>
      <c r="D9248" s="765">
        <v>-112080</v>
      </c>
      <c r="E9248" s="201">
        <v>45809</v>
      </c>
      <c r="F9248" s="200" t="s">
        <v>297</v>
      </c>
      <c r="G9248" s="200" t="s">
        <v>71</v>
      </c>
      <c r="H9248" s="200" t="s">
        <v>379</v>
      </c>
    </row>
    <row r="9249" spans="1:8" ht="15" customHeight="1">
      <c r="A9249" s="199">
        <v>45809</v>
      </c>
      <c r="B9249" s="202" t="s">
        <v>6355</v>
      </c>
      <c r="C9249" s="200" t="s">
        <v>372</v>
      </c>
      <c r="D9249" s="204">
        <v>-7200</v>
      </c>
      <c r="E9249" s="201">
        <v>45809</v>
      </c>
      <c r="F9249" s="200" t="s">
        <v>297</v>
      </c>
      <c r="G9249" s="200" t="s">
        <v>71</v>
      </c>
      <c r="H9249" s="200" t="s">
        <v>379</v>
      </c>
    </row>
    <row r="9250" spans="1:8" ht="15" customHeight="1">
      <c r="A9250" s="199">
        <v>45809</v>
      </c>
      <c r="B9250" s="202" t="s">
        <v>6356</v>
      </c>
      <c r="C9250" s="200" t="s">
        <v>372</v>
      </c>
      <c r="D9250" s="204">
        <v>-720</v>
      </c>
      <c r="E9250" s="201">
        <v>45809</v>
      </c>
      <c r="F9250" s="200" t="s">
        <v>297</v>
      </c>
      <c r="G9250" s="200" t="s">
        <v>71</v>
      </c>
      <c r="H9250" s="200" t="s">
        <v>379</v>
      </c>
    </row>
    <row r="9251" spans="1:8" ht="15" customHeight="1">
      <c r="A9251" s="199">
        <v>45811</v>
      </c>
      <c r="B9251" s="202" t="s">
        <v>7116</v>
      </c>
      <c r="C9251" s="200" t="s">
        <v>204</v>
      </c>
      <c r="D9251" s="765">
        <v>-4480000</v>
      </c>
      <c r="E9251" s="201">
        <v>45809</v>
      </c>
      <c r="F9251" s="200" t="s">
        <v>296</v>
      </c>
      <c r="G9251" s="200" t="s">
        <v>57</v>
      </c>
      <c r="H9251" s="200" t="s">
        <v>98</v>
      </c>
    </row>
    <row r="9252" spans="1:8" ht="15" customHeight="1">
      <c r="A9252" s="199">
        <v>45811</v>
      </c>
      <c r="B9252" s="202" t="s">
        <v>7116</v>
      </c>
      <c r="C9252" s="200" t="s">
        <v>204</v>
      </c>
      <c r="D9252" s="765">
        <v>-1920000</v>
      </c>
      <c r="E9252" s="201">
        <v>45809</v>
      </c>
      <c r="F9252" s="200" t="s">
        <v>256</v>
      </c>
      <c r="G9252" s="200" t="s">
        <v>256</v>
      </c>
      <c r="H9252" s="200" t="s">
        <v>258</v>
      </c>
    </row>
    <row r="9253" spans="1:8" ht="15" customHeight="1">
      <c r="A9253" s="199">
        <v>45811</v>
      </c>
      <c r="B9253" s="202" t="s">
        <v>5407</v>
      </c>
      <c r="C9253" s="200" t="s">
        <v>204</v>
      </c>
      <c r="D9253" s="765">
        <v>-1670000</v>
      </c>
      <c r="E9253" s="201">
        <v>45809</v>
      </c>
      <c r="F9253" s="200" t="s">
        <v>296</v>
      </c>
      <c r="G9253" s="200" t="s">
        <v>522</v>
      </c>
      <c r="H9253" s="200" t="s">
        <v>326</v>
      </c>
    </row>
    <row r="9254" spans="1:8" ht="15" customHeight="1">
      <c r="A9254" s="199">
        <v>45811</v>
      </c>
      <c r="B9254" s="202" t="s">
        <v>5408</v>
      </c>
      <c r="C9254" s="200" t="s">
        <v>372</v>
      </c>
      <c r="D9254" s="204">
        <v>-60570</v>
      </c>
      <c r="E9254" s="201">
        <v>45809</v>
      </c>
      <c r="F9254" s="200" t="s">
        <v>296</v>
      </c>
      <c r="G9254" s="200" t="s">
        <v>522</v>
      </c>
      <c r="H9254" s="200" t="s">
        <v>326</v>
      </c>
    </row>
    <row r="9255" spans="1:8" ht="15" customHeight="1">
      <c r="A9255" s="199">
        <v>45811</v>
      </c>
      <c r="B9255" s="202" t="s">
        <v>7117</v>
      </c>
      <c r="C9255" s="200" t="s">
        <v>204</v>
      </c>
      <c r="D9255" s="765">
        <v>-350000</v>
      </c>
      <c r="E9255" s="201">
        <v>45809</v>
      </c>
      <c r="F9255" s="200" t="s">
        <v>256</v>
      </c>
      <c r="G9255" s="200" t="s">
        <v>256</v>
      </c>
      <c r="H9255" s="200" t="s">
        <v>9</v>
      </c>
    </row>
    <row r="9256" spans="1:8" ht="15" customHeight="1">
      <c r="A9256" s="199">
        <v>45811</v>
      </c>
      <c r="B9256" s="202" t="s">
        <v>7118</v>
      </c>
      <c r="C9256" s="200" t="s">
        <v>204</v>
      </c>
      <c r="D9256" s="765">
        <v>-154400</v>
      </c>
      <c r="E9256" s="201">
        <v>45809</v>
      </c>
      <c r="F9256" s="200" t="s">
        <v>296</v>
      </c>
      <c r="G9256" s="200" t="s">
        <v>57</v>
      </c>
      <c r="H9256" s="200" t="s">
        <v>97</v>
      </c>
    </row>
    <row r="9257" spans="1:8" ht="15" customHeight="1">
      <c r="A9257" s="199">
        <v>45811</v>
      </c>
      <c r="B9257" s="202" t="s">
        <v>7119</v>
      </c>
      <c r="C9257" s="200" t="s">
        <v>204</v>
      </c>
      <c r="D9257" s="765">
        <v>-154400</v>
      </c>
      <c r="E9257" s="201">
        <v>45809</v>
      </c>
      <c r="F9257" s="200" t="s">
        <v>296</v>
      </c>
      <c r="G9257" s="200" t="s">
        <v>57</v>
      </c>
      <c r="H9257" s="200" t="s">
        <v>97</v>
      </c>
    </row>
    <row r="9258" spans="1:8" ht="15" customHeight="1">
      <c r="A9258" s="199">
        <v>45811</v>
      </c>
      <c r="B9258" s="202" t="s">
        <v>7120</v>
      </c>
      <c r="C9258" s="200" t="s">
        <v>204</v>
      </c>
      <c r="D9258" s="765">
        <v>-231600</v>
      </c>
      <c r="E9258" s="201">
        <v>45809</v>
      </c>
      <c r="F9258" s="200" t="s">
        <v>296</v>
      </c>
      <c r="G9258" s="200" t="s">
        <v>57</v>
      </c>
      <c r="H9258" s="200" t="s">
        <v>97</v>
      </c>
    </row>
    <row r="9259" spans="1:8" ht="15" customHeight="1">
      <c r="A9259" s="199">
        <v>45811</v>
      </c>
      <c r="B9259" s="202" t="s">
        <v>7121</v>
      </c>
      <c r="C9259" s="200" t="s">
        <v>204</v>
      </c>
      <c r="D9259" s="765">
        <v>-647834</v>
      </c>
      <c r="E9259" s="201">
        <v>45809</v>
      </c>
      <c r="F9259" s="200" t="s">
        <v>296</v>
      </c>
      <c r="G9259" s="200" t="s">
        <v>1980</v>
      </c>
      <c r="H9259" s="200" t="s">
        <v>326</v>
      </c>
    </row>
    <row r="9260" spans="1:8" ht="15" customHeight="1">
      <c r="A9260" s="199">
        <v>45811</v>
      </c>
      <c r="B9260" s="202" t="s">
        <v>7122</v>
      </c>
      <c r="C9260" s="200" t="s">
        <v>372</v>
      </c>
      <c r="D9260" s="204">
        <v>-23497</v>
      </c>
      <c r="E9260" s="201">
        <v>45809</v>
      </c>
      <c r="F9260" s="200" t="s">
        <v>296</v>
      </c>
      <c r="G9260" s="200" t="s">
        <v>1980</v>
      </c>
      <c r="H9260" s="200" t="s">
        <v>326</v>
      </c>
    </row>
    <row r="9261" spans="1:8" ht="15" customHeight="1">
      <c r="A9261" s="199">
        <v>45811</v>
      </c>
      <c r="B9261" s="202" t="s">
        <v>7123</v>
      </c>
      <c r="C9261" s="200" t="s">
        <v>204</v>
      </c>
      <c r="D9261" s="765">
        <v>-647833</v>
      </c>
      <c r="E9261" s="201">
        <v>45809</v>
      </c>
      <c r="F9261" s="200" t="s">
        <v>296</v>
      </c>
      <c r="G9261" s="200" t="s">
        <v>1983</v>
      </c>
      <c r="H9261" s="200" t="s">
        <v>326</v>
      </c>
    </row>
    <row r="9262" spans="1:8" ht="15" customHeight="1">
      <c r="A9262" s="199">
        <v>45811</v>
      </c>
      <c r="B9262" s="202" t="s">
        <v>7122</v>
      </c>
      <c r="C9262" s="200" t="s">
        <v>372</v>
      </c>
      <c r="D9262" s="204">
        <v>-23497</v>
      </c>
      <c r="E9262" s="201">
        <v>45809</v>
      </c>
      <c r="F9262" s="200" t="s">
        <v>296</v>
      </c>
      <c r="G9262" s="200" t="s">
        <v>1983</v>
      </c>
      <c r="H9262" s="200" t="s">
        <v>326</v>
      </c>
    </row>
    <row r="9263" spans="1:8" ht="15" customHeight="1">
      <c r="A9263" s="199">
        <v>45811</v>
      </c>
      <c r="B9263" s="202" t="s">
        <v>7124</v>
      </c>
      <c r="C9263" s="200" t="s">
        <v>204</v>
      </c>
      <c r="D9263" s="765">
        <v>-11600</v>
      </c>
      <c r="E9263" s="201">
        <v>45809</v>
      </c>
      <c r="F9263" s="200" t="s">
        <v>256</v>
      </c>
      <c r="G9263" s="200" t="s">
        <v>256</v>
      </c>
      <c r="H9263" s="200" t="s">
        <v>261</v>
      </c>
    </row>
    <row r="9264" spans="1:8" ht="15" customHeight="1">
      <c r="A9264" s="199">
        <v>45811</v>
      </c>
      <c r="B9264" s="202" t="s">
        <v>7125</v>
      </c>
      <c r="C9264" s="200" t="s">
        <v>204</v>
      </c>
      <c r="D9264" s="765">
        <v>-510000</v>
      </c>
      <c r="E9264" s="201">
        <v>45809</v>
      </c>
      <c r="F9264" s="200" t="s">
        <v>256</v>
      </c>
      <c r="G9264" s="200" t="s">
        <v>256</v>
      </c>
      <c r="H9264" s="200" t="s">
        <v>266</v>
      </c>
    </row>
    <row r="9265" spans="1:9" ht="15" customHeight="1">
      <c r="A9265" s="199">
        <v>45811</v>
      </c>
      <c r="B9265" s="202" t="s">
        <v>7126</v>
      </c>
      <c r="C9265" s="200" t="s">
        <v>204</v>
      </c>
      <c r="D9265" s="765">
        <v>-587395</v>
      </c>
      <c r="E9265" s="201">
        <v>45809</v>
      </c>
      <c r="F9265" s="200" t="s">
        <v>256</v>
      </c>
      <c r="G9265" s="200" t="s">
        <v>256</v>
      </c>
      <c r="H9265" s="200" t="s">
        <v>9</v>
      </c>
    </row>
    <row r="9266" spans="1:9" ht="15" customHeight="1">
      <c r="A9266" s="199">
        <v>45811</v>
      </c>
      <c r="B9266" s="202" t="s">
        <v>7127</v>
      </c>
      <c r="C9266" s="200" t="s">
        <v>372</v>
      </c>
      <c r="D9266" s="204">
        <v>-12605</v>
      </c>
      <c r="E9266" s="201">
        <v>45809</v>
      </c>
      <c r="F9266" s="200" t="s">
        <v>256</v>
      </c>
      <c r="G9266" s="200" t="s">
        <v>256</v>
      </c>
      <c r="H9266" s="200" t="s">
        <v>9</v>
      </c>
    </row>
    <row r="9267" spans="1:9" ht="15" customHeight="1">
      <c r="A9267" s="199">
        <v>45811</v>
      </c>
      <c r="B9267" s="202" t="s">
        <v>7128</v>
      </c>
      <c r="C9267" s="200" t="s">
        <v>204</v>
      </c>
      <c r="D9267" s="765">
        <v>-1577880</v>
      </c>
      <c r="E9267" s="201">
        <v>45809</v>
      </c>
      <c r="F9267" s="200" t="s">
        <v>296</v>
      </c>
      <c r="G9267" s="200" t="s">
        <v>522</v>
      </c>
      <c r="H9267" s="200" t="s">
        <v>421</v>
      </c>
    </row>
    <row r="9268" spans="1:9" ht="15" customHeight="1">
      <c r="A9268" s="199">
        <v>45811</v>
      </c>
      <c r="B9268" s="202" t="s">
        <v>7129</v>
      </c>
      <c r="C9268" s="200" t="s">
        <v>372</v>
      </c>
      <c r="D9268" s="204">
        <v>-32400</v>
      </c>
      <c r="E9268" s="201">
        <v>45809</v>
      </c>
      <c r="F9268" s="200" t="s">
        <v>296</v>
      </c>
      <c r="G9268" s="200" t="s">
        <v>522</v>
      </c>
      <c r="H9268" s="200" t="s">
        <v>421</v>
      </c>
    </row>
    <row r="9269" spans="1:9" ht="15" customHeight="1">
      <c r="A9269" s="199">
        <v>45811</v>
      </c>
      <c r="B9269" s="202" t="s">
        <v>7130</v>
      </c>
      <c r="C9269" s="200" t="s">
        <v>372</v>
      </c>
      <c r="D9269" s="204">
        <v>-9720</v>
      </c>
      <c r="E9269" s="201">
        <v>45809</v>
      </c>
      <c r="F9269" s="200" t="s">
        <v>296</v>
      </c>
      <c r="G9269" s="200" t="s">
        <v>522</v>
      </c>
      <c r="H9269" s="200" t="s">
        <v>421</v>
      </c>
    </row>
    <row r="9270" spans="1:9" ht="15" customHeight="1">
      <c r="A9270" s="199">
        <v>45811</v>
      </c>
      <c r="B9270" s="202" t="s">
        <v>7128</v>
      </c>
      <c r="C9270" s="200" t="s">
        <v>204</v>
      </c>
      <c r="D9270" s="765">
        <v>-1577880</v>
      </c>
      <c r="E9270" s="201">
        <v>45809</v>
      </c>
      <c r="F9270" s="200" t="s">
        <v>296</v>
      </c>
      <c r="G9270" s="200" t="s">
        <v>44</v>
      </c>
      <c r="H9270" s="200" t="s">
        <v>421</v>
      </c>
    </row>
    <row r="9271" spans="1:9" ht="15" customHeight="1">
      <c r="A9271" s="199">
        <v>45811</v>
      </c>
      <c r="B9271" s="202" t="s">
        <v>7129</v>
      </c>
      <c r="C9271" s="200" t="s">
        <v>372</v>
      </c>
      <c r="D9271" s="204">
        <v>-32400</v>
      </c>
      <c r="E9271" s="201">
        <v>45809</v>
      </c>
      <c r="F9271" s="200" t="s">
        <v>296</v>
      </c>
      <c r="G9271" s="200" t="s">
        <v>44</v>
      </c>
      <c r="H9271" s="200" t="s">
        <v>421</v>
      </c>
    </row>
    <row r="9272" spans="1:9" ht="15" customHeight="1">
      <c r="A9272" s="199">
        <v>45811</v>
      </c>
      <c r="B9272" s="202" t="s">
        <v>7130</v>
      </c>
      <c r="C9272" s="200" t="s">
        <v>372</v>
      </c>
      <c r="D9272" s="204">
        <v>-9720</v>
      </c>
      <c r="E9272" s="201">
        <v>45809</v>
      </c>
      <c r="F9272" s="200" t="s">
        <v>296</v>
      </c>
      <c r="G9272" s="200" t="s">
        <v>44</v>
      </c>
      <c r="H9272" s="200" t="s">
        <v>421</v>
      </c>
    </row>
    <row r="9273" spans="1:9" ht="15" customHeight="1">
      <c r="A9273" s="199">
        <v>45811</v>
      </c>
      <c r="B9273" s="202" t="s">
        <v>7131</v>
      </c>
      <c r="C9273" s="200" t="s">
        <v>204</v>
      </c>
      <c r="D9273" s="765">
        <v>-1869000</v>
      </c>
      <c r="E9273" s="201">
        <v>45809</v>
      </c>
      <c r="F9273" s="200" t="s">
        <v>296</v>
      </c>
      <c r="G9273" s="200" t="s">
        <v>1362</v>
      </c>
      <c r="H9273" s="200" t="s">
        <v>1066</v>
      </c>
    </row>
    <row r="9274" spans="1:9" ht="15" customHeight="1">
      <c r="A9274" s="199">
        <v>45811</v>
      </c>
      <c r="B9274" s="202" t="s">
        <v>7132</v>
      </c>
      <c r="C9274" s="200" t="s">
        <v>204</v>
      </c>
      <c r="D9274" s="765">
        <v>-94461</v>
      </c>
      <c r="E9274" s="201">
        <v>45809</v>
      </c>
      <c r="F9274" s="200" t="s">
        <v>296</v>
      </c>
      <c r="G9274" s="200" t="s">
        <v>57</v>
      </c>
      <c r="H9274" s="200" t="s">
        <v>97</v>
      </c>
    </row>
    <row r="9275" spans="1:9" ht="15" customHeight="1">
      <c r="A9275" s="199">
        <v>45811</v>
      </c>
      <c r="B9275" s="202" t="s">
        <v>7133</v>
      </c>
      <c r="C9275" s="200" t="s">
        <v>204</v>
      </c>
      <c r="D9275" s="765">
        <v>-29600</v>
      </c>
      <c r="E9275" s="201">
        <v>45809</v>
      </c>
      <c r="F9275" s="200" t="s">
        <v>296</v>
      </c>
      <c r="G9275" s="200" t="s">
        <v>57</v>
      </c>
      <c r="H9275" s="200" t="s">
        <v>97</v>
      </c>
    </row>
    <row r="9276" spans="1:9" ht="15" customHeight="1">
      <c r="A9276" s="199">
        <v>45807</v>
      </c>
      <c r="B9276" s="202" t="s">
        <v>7134</v>
      </c>
      <c r="C9276" s="200" t="s">
        <v>204</v>
      </c>
      <c r="D9276" s="765">
        <v>-509263</v>
      </c>
      <c r="E9276" s="201">
        <v>45809</v>
      </c>
      <c r="F9276" s="200" t="s">
        <v>296</v>
      </c>
      <c r="G9276" s="200" t="s">
        <v>522</v>
      </c>
      <c r="H9276" s="200" t="s">
        <v>366</v>
      </c>
      <c r="I9276" s="200" t="s">
        <v>5588</v>
      </c>
    </row>
    <row r="9277" spans="1:9" ht="15" customHeight="1">
      <c r="A9277" s="199">
        <v>45807</v>
      </c>
      <c r="B9277" s="202" t="s">
        <v>7135</v>
      </c>
      <c r="C9277" s="200" t="s">
        <v>204</v>
      </c>
      <c r="D9277" s="765">
        <v>-6600</v>
      </c>
      <c r="E9277" s="201">
        <v>45809</v>
      </c>
      <c r="F9277" s="200" t="s">
        <v>296</v>
      </c>
      <c r="G9277" s="200" t="s">
        <v>522</v>
      </c>
      <c r="H9277" s="200" t="s">
        <v>366</v>
      </c>
      <c r="I9277" s="200" t="s">
        <v>5588</v>
      </c>
    </row>
    <row r="9278" spans="1:9" ht="15" customHeight="1">
      <c r="A9278" s="199">
        <v>45807</v>
      </c>
      <c r="B9278" s="202" t="s">
        <v>7136</v>
      </c>
      <c r="C9278" s="200" t="s">
        <v>204</v>
      </c>
      <c r="D9278" s="765">
        <v>-31140</v>
      </c>
      <c r="E9278" s="201">
        <v>45809</v>
      </c>
      <c r="F9278" s="200" t="s">
        <v>296</v>
      </c>
      <c r="G9278" s="200" t="s">
        <v>522</v>
      </c>
      <c r="H9278" s="200" t="s">
        <v>366</v>
      </c>
      <c r="I9278" s="200" t="s">
        <v>5588</v>
      </c>
    </row>
    <row r="9279" spans="1:9" ht="15" customHeight="1">
      <c r="A9279" s="199">
        <v>45811</v>
      </c>
      <c r="B9279" s="202" t="s">
        <v>7137</v>
      </c>
      <c r="C9279" s="200" t="s">
        <v>204</v>
      </c>
      <c r="D9279" s="765">
        <v>-800000</v>
      </c>
      <c r="E9279" s="201">
        <v>45809</v>
      </c>
      <c r="F9279" s="200" t="s">
        <v>296</v>
      </c>
      <c r="G9279" s="200" t="s">
        <v>57</v>
      </c>
      <c r="H9279" s="200" t="s">
        <v>103</v>
      </c>
    </row>
    <row r="9280" spans="1:9" ht="15" customHeight="1">
      <c r="A9280" s="199">
        <v>45811</v>
      </c>
      <c r="B9280" s="202" t="s">
        <v>7138</v>
      </c>
      <c r="C9280" s="200" t="s">
        <v>204</v>
      </c>
      <c r="D9280" s="765">
        <v>-800000</v>
      </c>
      <c r="E9280" s="201">
        <v>45809</v>
      </c>
      <c r="F9280" s="200" t="s">
        <v>296</v>
      </c>
      <c r="G9280" s="200" t="s">
        <v>57</v>
      </c>
      <c r="H9280" s="200" t="s">
        <v>103</v>
      </c>
    </row>
    <row r="9281" spans="1:9" ht="15" customHeight="1">
      <c r="A9281" s="199">
        <v>45811</v>
      </c>
      <c r="B9281" s="202" t="s">
        <v>7139</v>
      </c>
      <c r="C9281" s="200" t="s">
        <v>204</v>
      </c>
      <c r="D9281" s="765">
        <v>-800000</v>
      </c>
      <c r="E9281" s="201">
        <v>45809</v>
      </c>
      <c r="F9281" s="200" t="s">
        <v>296</v>
      </c>
      <c r="G9281" s="200" t="s">
        <v>57</v>
      </c>
      <c r="H9281" s="200" t="s">
        <v>103</v>
      </c>
    </row>
    <row r="9282" spans="1:9" ht="15" customHeight="1">
      <c r="A9282" s="199">
        <v>45811</v>
      </c>
      <c r="B9282" s="202" t="s">
        <v>7140</v>
      </c>
      <c r="C9282" s="200" t="s">
        <v>204</v>
      </c>
      <c r="D9282" s="765">
        <v>-2092495.2381</v>
      </c>
      <c r="E9282" s="201">
        <v>45809</v>
      </c>
      <c r="F9282" s="200" t="s">
        <v>296</v>
      </c>
      <c r="G9282" s="200" t="s">
        <v>5466</v>
      </c>
      <c r="H9282" s="200" t="s">
        <v>346</v>
      </c>
    </row>
    <row r="9283" spans="1:9" ht="15" customHeight="1">
      <c r="A9283" s="199">
        <v>45811</v>
      </c>
      <c r="B9283" s="202" t="s">
        <v>7141</v>
      </c>
      <c r="C9283" s="200" t="s">
        <v>204</v>
      </c>
      <c r="D9283" s="765">
        <v>-104624.761904</v>
      </c>
      <c r="E9283" s="201">
        <v>45809</v>
      </c>
      <c r="F9283" s="200" t="s">
        <v>296</v>
      </c>
      <c r="G9283" s="200" t="s">
        <v>1735</v>
      </c>
      <c r="H9283" s="200" t="s">
        <v>346</v>
      </c>
      <c r="I9283" s="648" t="s">
        <v>329</v>
      </c>
    </row>
    <row r="9284" spans="1:9" ht="15" customHeight="1">
      <c r="A9284" s="199">
        <v>45812</v>
      </c>
      <c r="B9284" s="202" t="s">
        <v>7142</v>
      </c>
      <c r="C9284" s="200" t="s">
        <v>204</v>
      </c>
      <c r="D9284" s="765">
        <v>-1185989</v>
      </c>
      <c r="E9284" s="201">
        <v>45809</v>
      </c>
      <c r="F9284" s="200" t="s">
        <v>296</v>
      </c>
      <c r="G9284" s="200" t="s">
        <v>3849</v>
      </c>
      <c r="H9284" s="200" t="s">
        <v>386</v>
      </c>
    </row>
    <row r="9285" spans="1:9" ht="15" customHeight="1">
      <c r="A9285" s="199">
        <v>45812</v>
      </c>
      <c r="B9285" s="202" t="s">
        <v>7143</v>
      </c>
      <c r="C9285" s="200" t="s">
        <v>204</v>
      </c>
      <c r="D9285" s="765">
        <v>-100000</v>
      </c>
      <c r="E9285" s="201">
        <v>45809</v>
      </c>
      <c r="F9285" s="200" t="s">
        <v>296</v>
      </c>
      <c r="G9285" s="200" t="s">
        <v>3849</v>
      </c>
      <c r="H9285" s="200" t="s">
        <v>386</v>
      </c>
      <c r="I9285" s="648" t="s">
        <v>329</v>
      </c>
    </row>
    <row r="9286" spans="1:9" ht="15" customHeight="1">
      <c r="A9286" s="199">
        <v>45812</v>
      </c>
      <c r="B9286" s="202" t="s">
        <v>7144</v>
      </c>
      <c r="C9286" s="200" t="s">
        <v>204</v>
      </c>
      <c r="D9286" s="765">
        <v>-82830</v>
      </c>
      <c r="E9286" s="201">
        <v>45809</v>
      </c>
      <c r="F9286" s="200" t="s">
        <v>296</v>
      </c>
      <c r="G9286" s="200" t="s">
        <v>875</v>
      </c>
      <c r="H9286" s="200" t="s">
        <v>386</v>
      </c>
      <c r="I9286" s="648" t="s">
        <v>329</v>
      </c>
    </row>
    <row r="9287" spans="1:9" ht="15" customHeight="1">
      <c r="A9287" s="199">
        <v>45812</v>
      </c>
      <c r="B9287" s="202" t="s">
        <v>7145</v>
      </c>
      <c r="C9287" s="200" t="s">
        <v>204</v>
      </c>
      <c r="D9287" s="765">
        <v>-5382000</v>
      </c>
      <c r="E9287" s="201">
        <v>45809</v>
      </c>
      <c r="F9287" s="200" t="s">
        <v>256</v>
      </c>
      <c r="G9287" s="200" t="s">
        <v>256</v>
      </c>
      <c r="H9287" s="200" t="s">
        <v>257</v>
      </c>
    </row>
    <row r="9288" spans="1:9" ht="15" customHeight="1">
      <c r="A9288" s="199">
        <v>45812</v>
      </c>
      <c r="B9288" s="202" t="s">
        <v>7146</v>
      </c>
      <c r="C9288" s="200" t="s">
        <v>204</v>
      </c>
      <c r="D9288" s="765">
        <v>-5663028</v>
      </c>
      <c r="E9288" s="201">
        <v>45809</v>
      </c>
      <c r="F9288" s="200" t="s">
        <v>256</v>
      </c>
      <c r="G9288" s="200" t="s">
        <v>256</v>
      </c>
      <c r="H9288" s="200" t="s">
        <v>266</v>
      </c>
    </row>
    <row r="9289" spans="1:9" ht="15" customHeight="1">
      <c r="A9289" s="199">
        <v>45812</v>
      </c>
      <c r="B9289" s="202" t="s">
        <v>7147</v>
      </c>
      <c r="C9289" s="200" t="s">
        <v>204</v>
      </c>
      <c r="D9289" s="765">
        <v>-30674117</v>
      </c>
      <c r="E9289" s="201">
        <v>45809</v>
      </c>
      <c r="F9289" s="200" t="s">
        <v>296</v>
      </c>
      <c r="G9289" s="200" t="s">
        <v>44</v>
      </c>
      <c r="H9289" s="200" t="s">
        <v>421</v>
      </c>
    </row>
    <row r="9290" spans="1:9" ht="15" customHeight="1">
      <c r="A9290" s="199">
        <v>45812</v>
      </c>
      <c r="B9290" s="202" t="s">
        <v>7148</v>
      </c>
      <c r="C9290" s="200" t="s">
        <v>372</v>
      </c>
      <c r="D9290" s="204">
        <v>-658243</v>
      </c>
      <c r="E9290" s="201">
        <v>45809</v>
      </c>
      <c r="F9290" s="200" t="s">
        <v>296</v>
      </c>
      <c r="G9290" s="200" t="s">
        <v>44</v>
      </c>
      <c r="H9290" s="200" t="s">
        <v>421</v>
      </c>
    </row>
    <row r="9291" spans="1:9" ht="15" customHeight="1">
      <c r="A9291" s="199">
        <v>45812</v>
      </c>
      <c r="B9291" s="202" t="s">
        <v>7149</v>
      </c>
      <c r="C9291" s="200" t="s">
        <v>204</v>
      </c>
      <c r="D9291" s="765">
        <v>-18066765</v>
      </c>
      <c r="E9291" s="201">
        <v>45809</v>
      </c>
      <c r="F9291" s="200" t="s">
        <v>296</v>
      </c>
      <c r="G9291" s="200" t="s">
        <v>807</v>
      </c>
      <c r="H9291" s="200" t="s">
        <v>811</v>
      </c>
    </row>
    <row r="9292" spans="1:9" ht="15" customHeight="1">
      <c r="A9292" s="199">
        <v>45812</v>
      </c>
      <c r="B9292" s="202" t="s">
        <v>7150</v>
      </c>
      <c r="C9292" s="200" t="s">
        <v>372</v>
      </c>
      <c r="D9292" s="204">
        <v>-389706</v>
      </c>
      <c r="E9292" s="201">
        <v>45809</v>
      </c>
      <c r="F9292" s="200" t="s">
        <v>296</v>
      </c>
      <c r="G9292" s="200" t="s">
        <v>807</v>
      </c>
      <c r="H9292" s="200" t="s">
        <v>811</v>
      </c>
    </row>
    <row r="9293" spans="1:9" ht="15" customHeight="1">
      <c r="A9293" s="199">
        <v>45812</v>
      </c>
      <c r="B9293" s="202" t="s">
        <v>7151</v>
      </c>
      <c r="C9293" s="200" t="s">
        <v>372</v>
      </c>
      <c r="D9293" s="204">
        <v>-93529</v>
      </c>
      <c r="E9293" s="201">
        <v>45809</v>
      </c>
      <c r="F9293" s="200" t="s">
        <v>296</v>
      </c>
      <c r="G9293" s="200" t="s">
        <v>807</v>
      </c>
      <c r="H9293" s="200" t="s">
        <v>811</v>
      </c>
    </row>
    <row r="9294" spans="1:9" ht="15" customHeight="1">
      <c r="A9294" s="199">
        <v>45812</v>
      </c>
      <c r="B9294" s="202" t="s">
        <v>7149</v>
      </c>
      <c r="C9294" s="200" t="s">
        <v>204</v>
      </c>
      <c r="D9294" s="765">
        <v>-4132800</v>
      </c>
      <c r="E9294" s="201">
        <v>45809</v>
      </c>
      <c r="F9294" s="200" t="s">
        <v>296</v>
      </c>
      <c r="G9294" s="200" t="s">
        <v>807</v>
      </c>
      <c r="H9294" s="200" t="s">
        <v>811</v>
      </c>
    </row>
    <row r="9295" spans="1:9" ht="15" customHeight="1">
      <c r="A9295" s="199">
        <v>45812</v>
      </c>
      <c r="B9295" s="202" t="s">
        <v>7150</v>
      </c>
      <c r="C9295" s="200" t="s">
        <v>372</v>
      </c>
      <c r="D9295" s="204">
        <v>-42000</v>
      </c>
      <c r="E9295" s="201">
        <v>45809</v>
      </c>
      <c r="F9295" s="200" t="s">
        <v>296</v>
      </c>
      <c r="G9295" s="200" t="s">
        <v>807</v>
      </c>
      <c r="H9295" s="200" t="s">
        <v>811</v>
      </c>
    </row>
    <row r="9296" spans="1:9" ht="15" customHeight="1">
      <c r="A9296" s="199">
        <v>45812</v>
      </c>
      <c r="B9296" s="202" t="s">
        <v>7151</v>
      </c>
      <c r="C9296" s="200" t="s">
        <v>372</v>
      </c>
      <c r="D9296" s="204">
        <v>-25200</v>
      </c>
      <c r="E9296" s="201">
        <v>45809</v>
      </c>
      <c r="F9296" s="200" t="s">
        <v>296</v>
      </c>
      <c r="G9296" s="200" t="s">
        <v>807</v>
      </c>
      <c r="H9296" s="200" t="s">
        <v>811</v>
      </c>
    </row>
    <row r="9297" spans="1:9" ht="15" customHeight="1">
      <c r="A9297" s="199">
        <v>45812</v>
      </c>
      <c r="B9297" s="202" t="s">
        <v>7152</v>
      </c>
      <c r="C9297" s="200" t="s">
        <v>204</v>
      </c>
      <c r="D9297" s="765">
        <v>-2685000</v>
      </c>
      <c r="E9297" s="201">
        <v>45809</v>
      </c>
      <c r="F9297" s="200" t="s">
        <v>256</v>
      </c>
      <c r="G9297" s="200" t="s">
        <v>256</v>
      </c>
      <c r="H9297" s="200" t="s">
        <v>258</v>
      </c>
    </row>
    <row r="9298" spans="1:9" ht="15" customHeight="1">
      <c r="A9298" s="199">
        <v>45812</v>
      </c>
      <c r="B9298" s="202" t="s">
        <v>7153</v>
      </c>
      <c r="C9298" s="200" t="s">
        <v>372</v>
      </c>
      <c r="D9298" s="204">
        <v>-275000</v>
      </c>
      <c r="E9298" s="201">
        <v>45809</v>
      </c>
      <c r="F9298" s="200" t="s">
        <v>256</v>
      </c>
      <c r="G9298" s="200" t="s">
        <v>256</v>
      </c>
      <c r="H9298" s="200" t="s">
        <v>258</v>
      </c>
    </row>
    <row r="9299" spans="1:9" ht="15" customHeight="1">
      <c r="A9299" s="199">
        <v>45812</v>
      </c>
      <c r="B9299" s="202" t="s">
        <v>7154</v>
      </c>
      <c r="C9299" s="200" t="s">
        <v>372</v>
      </c>
      <c r="D9299" s="204">
        <v>-15000</v>
      </c>
      <c r="E9299" s="201">
        <v>45809</v>
      </c>
      <c r="F9299" s="200" t="s">
        <v>256</v>
      </c>
      <c r="G9299" s="200" t="s">
        <v>256</v>
      </c>
      <c r="H9299" s="200" t="s">
        <v>258</v>
      </c>
    </row>
    <row r="9300" spans="1:9" ht="15" customHeight="1">
      <c r="A9300" s="199">
        <v>45812</v>
      </c>
      <c r="B9300" s="202" t="s">
        <v>7155</v>
      </c>
      <c r="C9300" s="200" t="s">
        <v>204</v>
      </c>
      <c r="D9300" s="765">
        <v>-158452</v>
      </c>
      <c r="E9300" s="201">
        <v>45809</v>
      </c>
      <c r="F9300" s="200" t="s">
        <v>297</v>
      </c>
      <c r="G9300" s="200" t="s">
        <v>69</v>
      </c>
      <c r="H9300" s="200" t="s">
        <v>386</v>
      </c>
    </row>
    <row r="9301" spans="1:9" ht="15" customHeight="1">
      <c r="A9301" s="199">
        <v>45812</v>
      </c>
      <c r="B9301" s="202" t="s">
        <v>7156</v>
      </c>
      <c r="C9301" s="200" t="s">
        <v>204</v>
      </c>
      <c r="D9301" s="765">
        <v>-2288000</v>
      </c>
      <c r="E9301" s="201">
        <v>45809</v>
      </c>
      <c r="F9301" s="200" t="s">
        <v>256</v>
      </c>
      <c r="G9301" s="200" t="s">
        <v>107</v>
      </c>
      <c r="H9301" s="200" t="s">
        <v>777</v>
      </c>
    </row>
    <row r="9302" spans="1:9" ht="15" customHeight="1">
      <c r="A9302" s="199">
        <v>45812</v>
      </c>
      <c r="B9302" s="202" t="s">
        <v>7157</v>
      </c>
      <c r="C9302" s="200" t="s">
        <v>372</v>
      </c>
      <c r="D9302" s="204">
        <v>-80000</v>
      </c>
      <c r="E9302" s="201">
        <v>45809</v>
      </c>
      <c r="F9302" s="200" t="s">
        <v>256</v>
      </c>
      <c r="G9302" s="200" t="s">
        <v>107</v>
      </c>
      <c r="H9302" s="200" t="s">
        <v>777</v>
      </c>
    </row>
    <row r="9303" spans="1:9" ht="15" customHeight="1">
      <c r="A9303" s="199">
        <v>45812</v>
      </c>
      <c r="B9303" s="202" t="s">
        <v>7158</v>
      </c>
      <c r="C9303" s="200" t="s">
        <v>372</v>
      </c>
      <c r="D9303" s="204">
        <v>-12000</v>
      </c>
      <c r="E9303" s="201">
        <v>45809</v>
      </c>
      <c r="F9303" s="200" t="s">
        <v>256</v>
      </c>
      <c r="G9303" s="200" t="s">
        <v>107</v>
      </c>
      <c r="H9303" s="200" t="s">
        <v>777</v>
      </c>
    </row>
    <row r="9304" spans="1:9" ht="15" customHeight="1">
      <c r="A9304" s="199">
        <v>45812</v>
      </c>
      <c r="B9304" s="202" t="s">
        <v>7159</v>
      </c>
      <c r="C9304" s="200" t="s">
        <v>204</v>
      </c>
      <c r="D9304" s="765">
        <v>-120000</v>
      </c>
      <c r="E9304" s="201">
        <v>45809</v>
      </c>
      <c r="F9304" s="200" t="s">
        <v>296</v>
      </c>
      <c r="G9304" s="200" t="s">
        <v>57</v>
      </c>
      <c r="H9304" s="200" t="s">
        <v>97</v>
      </c>
    </row>
    <row r="9305" spans="1:9" ht="15" customHeight="1">
      <c r="A9305" s="199">
        <v>45812</v>
      </c>
      <c r="B9305" s="202" t="s">
        <v>7160</v>
      </c>
      <c r="C9305" s="200" t="s">
        <v>204</v>
      </c>
      <c r="D9305" s="765">
        <v>-400000</v>
      </c>
      <c r="E9305" s="201">
        <v>45809</v>
      </c>
      <c r="F9305" s="200" t="s">
        <v>296</v>
      </c>
      <c r="G9305" s="200" t="s">
        <v>57</v>
      </c>
      <c r="H9305" s="200" t="s">
        <v>100</v>
      </c>
    </row>
    <row r="9306" spans="1:9" ht="15" customHeight="1">
      <c r="A9306" s="199">
        <v>45812</v>
      </c>
      <c r="B9306" s="202" t="s">
        <v>6698</v>
      </c>
      <c r="C9306" s="200" t="s">
        <v>204</v>
      </c>
      <c r="D9306" s="765">
        <v>-3445038</v>
      </c>
      <c r="E9306" s="201">
        <v>45809</v>
      </c>
      <c r="F9306" s="200" t="s">
        <v>296</v>
      </c>
      <c r="G9306" s="200" t="s">
        <v>522</v>
      </c>
      <c r="H9306" s="200" t="s">
        <v>366</v>
      </c>
    </row>
    <row r="9307" spans="1:9" ht="15" customHeight="1">
      <c r="A9307" s="199">
        <v>45812</v>
      </c>
      <c r="B9307" s="202" t="s">
        <v>6699</v>
      </c>
      <c r="C9307" s="200" t="s">
        <v>372</v>
      </c>
      <c r="D9307" s="204">
        <v>-70740</v>
      </c>
      <c r="E9307" s="201">
        <v>45809</v>
      </c>
      <c r="F9307" s="200" t="s">
        <v>296</v>
      </c>
      <c r="G9307" s="200" t="s">
        <v>522</v>
      </c>
      <c r="H9307" s="200" t="s">
        <v>366</v>
      </c>
    </row>
    <row r="9308" spans="1:9" ht="15" customHeight="1">
      <c r="A9308" s="199">
        <v>45812</v>
      </c>
      <c r="B9308" s="202" t="s">
        <v>6700</v>
      </c>
      <c r="C9308" s="200" t="s">
        <v>372</v>
      </c>
      <c r="D9308" s="204">
        <v>-21222</v>
      </c>
      <c r="E9308" s="201">
        <v>45809</v>
      </c>
      <c r="F9308" s="200" t="s">
        <v>296</v>
      </c>
      <c r="G9308" s="200" t="s">
        <v>522</v>
      </c>
      <c r="H9308" s="200" t="s">
        <v>366</v>
      </c>
    </row>
    <row r="9309" spans="1:9" ht="15" customHeight="1">
      <c r="A9309" s="199">
        <v>45812</v>
      </c>
      <c r="B9309" s="202" t="s">
        <v>7161</v>
      </c>
      <c r="C9309" s="200" t="s">
        <v>204</v>
      </c>
      <c r="D9309" s="765">
        <v>-15220000</v>
      </c>
      <c r="E9309" s="201">
        <v>45809</v>
      </c>
      <c r="F9309" s="200" t="s">
        <v>296</v>
      </c>
      <c r="G9309" s="200" t="s">
        <v>807</v>
      </c>
      <c r="H9309" s="200" t="s">
        <v>366</v>
      </c>
    </row>
    <row r="9310" spans="1:9" ht="15" customHeight="1">
      <c r="A9310" s="199">
        <v>45812</v>
      </c>
      <c r="B9310" s="202" t="s">
        <v>7162</v>
      </c>
      <c r="C9310" s="200" t="s">
        <v>204</v>
      </c>
      <c r="D9310" s="765">
        <v>-1230000</v>
      </c>
      <c r="E9310" s="201">
        <v>45809</v>
      </c>
      <c r="F9310" s="200" t="s">
        <v>296</v>
      </c>
      <c r="G9310" s="200" t="s">
        <v>415</v>
      </c>
      <c r="H9310" s="200" t="s">
        <v>346</v>
      </c>
    </row>
    <row r="9311" spans="1:9" ht="15" customHeight="1">
      <c r="A9311" s="199">
        <v>45812</v>
      </c>
      <c r="B9311" s="202" t="s">
        <v>7163</v>
      </c>
      <c r="C9311" s="200" t="s">
        <v>372</v>
      </c>
      <c r="D9311" s="204">
        <v>-12500</v>
      </c>
      <c r="E9311" s="201">
        <v>45809</v>
      </c>
      <c r="F9311" s="200" t="s">
        <v>296</v>
      </c>
      <c r="G9311" s="200" t="s">
        <v>415</v>
      </c>
      <c r="H9311" s="200" t="s">
        <v>346</v>
      </c>
    </row>
    <row r="9312" spans="1:9" ht="15" customHeight="1">
      <c r="A9312" s="199">
        <v>45812</v>
      </c>
      <c r="B9312" s="202" t="s">
        <v>7164</v>
      </c>
      <c r="C9312" s="200" t="s">
        <v>372</v>
      </c>
      <c r="D9312" s="204">
        <v>-7500</v>
      </c>
      <c r="E9312" s="201">
        <v>45809</v>
      </c>
      <c r="F9312" s="200" t="s">
        <v>296</v>
      </c>
      <c r="G9312" s="200" t="s">
        <v>415</v>
      </c>
      <c r="H9312" s="200" t="s">
        <v>346</v>
      </c>
      <c r="I9312" s="648" t="s">
        <v>329</v>
      </c>
    </row>
    <row r="9313" spans="1:9" ht="15" customHeight="1">
      <c r="A9313" s="199">
        <v>45813</v>
      </c>
      <c r="B9313" s="202" t="s">
        <v>7165</v>
      </c>
      <c r="C9313" s="200" t="s">
        <v>204</v>
      </c>
      <c r="D9313" s="765">
        <v>-72025</v>
      </c>
      <c r="E9313" s="201">
        <v>45809</v>
      </c>
      <c r="F9313" s="200" t="s">
        <v>297</v>
      </c>
      <c r="G9313" s="200" t="s">
        <v>3892</v>
      </c>
      <c r="H9313" s="200" t="s">
        <v>5384</v>
      </c>
    </row>
    <row r="9314" spans="1:9" ht="15" customHeight="1">
      <c r="A9314" s="199">
        <v>45813</v>
      </c>
      <c r="B9314" s="202" t="s">
        <v>7166</v>
      </c>
      <c r="C9314" s="200" t="s">
        <v>204</v>
      </c>
      <c r="D9314" s="765">
        <v>-41650</v>
      </c>
      <c r="E9314" s="201">
        <v>45809</v>
      </c>
      <c r="F9314" s="200" t="s">
        <v>297</v>
      </c>
      <c r="G9314" s="200" t="s">
        <v>69</v>
      </c>
      <c r="H9314" s="200" t="s">
        <v>386</v>
      </c>
      <c r="I9314" s="648" t="s">
        <v>329</v>
      </c>
    </row>
    <row r="9315" spans="1:9" ht="15" customHeight="1">
      <c r="A9315" s="199">
        <v>45813</v>
      </c>
      <c r="B9315" s="202" t="s">
        <v>7167</v>
      </c>
      <c r="C9315" s="200" t="s">
        <v>204</v>
      </c>
      <c r="D9315" s="765">
        <v>-11527560</v>
      </c>
      <c r="E9315" s="201">
        <v>45809</v>
      </c>
      <c r="F9315" s="200" t="s">
        <v>296</v>
      </c>
      <c r="G9315" s="200" t="s">
        <v>1825</v>
      </c>
      <c r="H9315" s="200" t="s">
        <v>442</v>
      </c>
    </row>
    <row r="9316" spans="1:9" ht="15" customHeight="1">
      <c r="A9316" s="199">
        <v>45813</v>
      </c>
      <c r="B9316" s="202" t="s">
        <v>7167</v>
      </c>
      <c r="C9316" s="200" t="s">
        <v>204</v>
      </c>
      <c r="D9316" s="765">
        <v>-11527560</v>
      </c>
      <c r="E9316" s="201">
        <v>45809</v>
      </c>
      <c r="F9316" s="200" t="s">
        <v>296</v>
      </c>
      <c r="G9316" s="200" t="s">
        <v>1980</v>
      </c>
      <c r="H9316" s="200" t="s">
        <v>442</v>
      </c>
    </row>
    <row r="9317" spans="1:9" ht="15" customHeight="1">
      <c r="A9317" s="199">
        <v>45813</v>
      </c>
      <c r="B9317" s="202" t="s">
        <v>7167</v>
      </c>
      <c r="C9317" s="200" t="s">
        <v>204</v>
      </c>
      <c r="D9317" s="765">
        <v>-8034360</v>
      </c>
      <c r="E9317" s="201">
        <v>45809</v>
      </c>
      <c r="F9317" s="200" t="s">
        <v>296</v>
      </c>
      <c r="G9317" s="200" t="s">
        <v>1983</v>
      </c>
      <c r="H9317" s="200" t="s">
        <v>442</v>
      </c>
      <c r="I9317" s="648" t="s">
        <v>329</v>
      </c>
    </row>
    <row r="9318" spans="1:9" ht="15" customHeight="1">
      <c r="A9318" s="199">
        <v>45813</v>
      </c>
      <c r="B9318" s="202" t="s">
        <v>7167</v>
      </c>
      <c r="C9318" s="200" t="s">
        <v>204</v>
      </c>
      <c r="D9318" s="765">
        <v>-3842520</v>
      </c>
      <c r="E9318" s="201">
        <v>45809</v>
      </c>
      <c r="F9318" s="200" t="s">
        <v>296</v>
      </c>
      <c r="G9318" s="200" t="s">
        <v>807</v>
      </c>
      <c r="H9318" s="200" t="s">
        <v>442</v>
      </c>
      <c r="I9318" s="648" t="s">
        <v>329</v>
      </c>
    </row>
    <row r="9319" spans="1:9" ht="15" customHeight="1">
      <c r="A9319" s="199">
        <v>45813</v>
      </c>
      <c r="B9319" s="202" t="s">
        <v>7168</v>
      </c>
      <c r="C9319" s="200" t="s">
        <v>204</v>
      </c>
      <c r="D9319" s="765">
        <v>-14199010</v>
      </c>
      <c r="E9319" s="201">
        <v>45809</v>
      </c>
      <c r="F9319" s="200" t="s">
        <v>296</v>
      </c>
      <c r="G9319" s="200" t="s">
        <v>522</v>
      </c>
      <c r="H9319" s="200" t="s">
        <v>366</v>
      </c>
    </row>
    <row r="9320" spans="1:9" ht="15" customHeight="1">
      <c r="A9320" s="199">
        <v>45813</v>
      </c>
      <c r="B9320" s="202" t="s">
        <v>7169</v>
      </c>
      <c r="C9320" s="200" t="s">
        <v>372</v>
      </c>
      <c r="D9320" s="204">
        <v>-304700</v>
      </c>
      <c r="E9320" s="201">
        <v>45809</v>
      </c>
      <c r="F9320" s="200" t="s">
        <v>296</v>
      </c>
      <c r="G9320" s="200" t="s">
        <v>522</v>
      </c>
      <c r="H9320" s="200" t="s">
        <v>366</v>
      </c>
    </row>
    <row r="9321" spans="1:9" ht="15" customHeight="1">
      <c r="A9321" s="199">
        <v>45813</v>
      </c>
      <c r="B9321" s="202" t="s">
        <v>7168</v>
      </c>
      <c r="C9321" s="200" t="s">
        <v>204</v>
      </c>
      <c r="D9321" s="765">
        <v>-14199010</v>
      </c>
      <c r="E9321" s="201">
        <v>45809</v>
      </c>
      <c r="F9321" s="200" t="s">
        <v>296</v>
      </c>
      <c r="G9321" s="200" t="s">
        <v>1980</v>
      </c>
      <c r="H9321" s="200" t="s">
        <v>366</v>
      </c>
    </row>
    <row r="9322" spans="1:9" ht="15" customHeight="1">
      <c r="A9322" s="199">
        <v>45813</v>
      </c>
      <c r="B9322" s="202" t="s">
        <v>7169</v>
      </c>
      <c r="C9322" s="200" t="s">
        <v>372</v>
      </c>
      <c r="D9322" s="204">
        <v>-304700</v>
      </c>
      <c r="E9322" s="201">
        <v>45809</v>
      </c>
      <c r="F9322" s="200" t="s">
        <v>296</v>
      </c>
      <c r="G9322" s="200" t="s">
        <v>1980</v>
      </c>
      <c r="H9322" s="200" t="s">
        <v>366</v>
      </c>
    </row>
    <row r="9323" spans="1:9" ht="15" customHeight="1">
      <c r="A9323" s="199">
        <v>45813</v>
      </c>
      <c r="B9323" s="202" t="s">
        <v>7168</v>
      </c>
      <c r="C9323" s="200" t="s">
        <v>204</v>
      </c>
      <c r="D9323" s="765">
        <v>-14199010</v>
      </c>
      <c r="E9323" s="201">
        <v>45809</v>
      </c>
      <c r="F9323" s="200" t="s">
        <v>296</v>
      </c>
      <c r="G9323" s="200" t="s">
        <v>44</v>
      </c>
      <c r="H9323" s="200" t="s">
        <v>366</v>
      </c>
    </row>
    <row r="9324" spans="1:9" ht="15" customHeight="1">
      <c r="A9324" s="199">
        <v>45813</v>
      </c>
      <c r="B9324" s="202" t="s">
        <v>7169</v>
      </c>
      <c r="C9324" s="200" t="s">
        <v>372</v>
      </c>
      <c r="D9324" s="204">
        <v>-304700</v>
      </c>
      <c r="E9324" s="201">
        <v>45809</v>
      </c>
      <c r="F9324" s="200" t="s">
        <v>296</v>
      </c>
      <c r="G9324" s="200" t="s">
        <v>44</v>
      </c>
      <c r="H9324" s="200" t="s">
        <v>366</v>
      </c>
    </row>
    <row r="9325" spans="1:9" ht="15" customHeight="1">
      <c r="A9325" s="199">
        <v>45813</v>
      </c>
      <c r="B9325" s="202" t="s">
        <v>7170</v>
      </c>
      <c r="C9325" s="200" t="s">
        <v>204</v>
      </c>
      <c r="D9325" s="765">
        <v>-23400000</v>
      </c>
      <c r="E9325" s="201">
        <v>45809</v>
      </c>
      <c r="F9325" s="200" t="s">
        <v>256</v>
      </c>
      <c r="G9325" s="200" t="s">
        <v>256</v>
      </c>
      <c r="H9325" s="200" t="s">
        <v>260</v>
      </c>
    </row>
    <row r="9326" spans="1:9" ht="15" customHeight="1">
      <c r="A9326" s="199">
        <v>45813</v>
      </c>
      <c r="B9326" s="202" t="s">
        <v>7171</v>
      </c>
      <c r="C9326" s="200" t="s">
        <v>204</v>
      </c>
      <c r="D9326" s="765">
        <v>-961689</v>
      </c>
      <c r="E9326" s="201">
        <v>45809</v>
      </c>
      <c r="F9326" s="200" t="s">
        <v>296</v>
      </c>
      <c r="G9326" s="200" t="s">
        <v>522</v>
      </c>
      <c r="H9326" s="200" t="s">
        <v>2715</v>
      </c>
    </row>
    <row r="9327" spans="1:9" ht="15" customHeight="1">
      <c r="A9327" s="199">
        <v>45813</v>
      </c>
      <c r="B9327" s="202" t="s">
        <v>7172</v>
      </c>
      <c r="C9327" s="200" t="s">
        <v>204</v>
      </c>
      <c r="D9327" s="765">
        <v>-676744</v>
      </c>
      <c r="E9327" s="201">
        <v>45809</v>
      </c>
      <c r="F9327" s="200" t="s">
        <v>296</v>
      </c>
      <c r="G9327" s="200" t="s">
        <v>44</v>
      </c>
      <c r="H9327" s="200" t="s">
        <v>2715</v>
      </c>
    </row>
    <row r="9328" spans="1:9" ht="15" customHeight="1">
      <c r="A9328" s="199">
        <v>45813</v>
      </c>
      <c r="B9328" s="202" t="s">
        <v>7173</v>
      </c>
      <c r="C9328" s="200" t="s">
        <v>204</v>
      </c>
      <c r="D9328" s="765">
        <v>-961689</v>
      </c>
      <c r="E9328" s="201">
        <v>45809</v>
      </c>
      <c r="F9328" s="200" t="s">
        <v>2714</v>
      </c>
      <c r="G9328" s="200" t="s">
        <v>513</v>
      </c>
      <c r="H9328" s="200" t="s">
        <v>2715</v>
      </c>
    </row>
    <row r="9329" spans="1:9" ht="15" customHeight="1">
      <c r="A9329" s="199">
        <v>45813</v>
      </c>
      <c r="B9329" s="202" t="s">
        <v>7174</v>
      </c>
      <c r="C9329" s="200" t="s">
        <v>204</v>
      </c>
      <c r="D9329" s="765">
        <v>-801409</v>
      </c>
      <c r="E9329" s="201">
        <v>45809</v>
      </c>
      <c r="F9329" s="200" t="s">
        <v>296</v>
      </c>
      <c r="G9329" s="200" t="s">
        <v>1980</v>
      </c>
      <c r="H9329" s="200" t="s">
        <v>2715</v>
      </c>
    </row>
    <row r="9330" spans="1:9" ht="15" customHeight="1">
      <c r="A9330" s="199">
        <v>45813</v>
      </c>
      <c r="B9330" s="202" t="s">
        <v>7175</v>
      </c>
      <c r="C9330" s="200" t="s">
        <v>204</v>
      </c>
      <c r="D9330" s="765">
        <v>-9527097</v>
      </c>
      <c r="E9330" s="201">
        <v>45809</v>
      </c>
      <c r="F9330" s="200" t="s">
        <v>2714</v>
      </c>
      <c r="G9330" s="200" t="s">
        <v>513</v>
      </c>
      <c r="H9330" s="200" t="s">
        <v>2715</v>
      </c>
    </row>
    <row r="9331" spans="1:9" ht="15" customHeight="1">
      <c r="A9331" s="199">
        <v>45813</v>
      </c>
      <c r="B9331" s="202" t="s">
        <v>7176</v>
      </c>
      <c r="C9331" s="200" t="s">
        <v>204</v>
      </c>
      <c r="D9331" s="765">
        <v>-5517620</v>
      </c>
      <c r="E9331" s="201">
        <v>45809</v>
      </c>
      <c r="F9331" s="648" t="s">
        <v>296</v>
      </c>
      <c r="G9331" s="648" t="s">
        <v>44</v>
      </c>
      <c r="H9331" s="648" t="s">
        <v>2715</v>
      </c>
    </row>
    <row r="9332" spans="1:9" ht="15" customHeight="1">
      <c r="A9332" s="199">
        <v>45813</v>
      </c>
      <c r="B9332" s="202" t="s">
        <v>7176</v>
      </c>
      <c r="C9332" s="200" t="s">
        <v>204</v>
      </c>
      <c r="D9332" s="765">
        <v>-5517620</v>
      </c>
      <c r="E9332" s="201">
        <v>45809</v>
      </c>
      <c r="F9332" s="648" t="s">
        <v>296</v>
      </c>
      <c r="G9332" s="648" t="s">
        <v>1825</v>
      </c>
      <c r="H9332" s="648" t="s">
        <v>2715</v>
      </c>
    </row>
    <row r="9333" spans="1:9" ht="15" customHeight="1">
      <c r="A9333" s="199">
        <v>45813</v>
      </c>
      <c r="B9333" s="202" t="s">
        <v>7177</v>
      </c>
      <c r="C9333" s="200" t="s">
        <v>204</v>
      </c>
      <c r="D9333" s="765">
        <v>-5410828.5</v>
      </c>
      <c r="E9333" s="201">
        <v>45809</v>
      </c>
      <c r="F9333" s="648" t="s">
        <v>296</v>
      </c>
      <c r="G9333" s="648" t="s">
        <v>1980</v>
      </c>
      <c r="H9333" s="648" t="s">
        <v>2715</v>
      </c>
      <c r="I9333" s="648" t="s">
        <v>329</v>
      </c>
    </row>
    <row r="9334" spans="1:9" ht="15" customHeight="1">
      <c r="A9334" s="199">
        <v>45813</v>
      </c>
      <c r="B9334" s="202" t="s">
        <v>7177</v>
      </c>
      <c r="C9334" s="200" t="s">
        <v>204</v>
      </c>
      <c r="D9334" s="765">
        <v>-5410828.5</v>
      </c>
      <c r="E9334" s="201">
        <v>45809</v>
      </c>
      <c r="F9334" s="648" t="s">
        <v>296</v>
      </c>
      <c r="G9334" s="648" t="s">
        <v>1983</v>
      </c>
      <c r="H9334" s="648" t="s">
        <v>2715</v>
      </c>
      <c r="I9334" s="648"/>
    </row>
    <row r="9335" spans="1:9" ht="15" customHeight="1">
      <c r="A9335" s="199">
        <v>45813</v>
      </c>
      <c r="B9335" s="202" t="s">
        <v>7178</v>
      </c>
      <c r="C9335" s="200" t="s">
        <v>204</v>
      </c>
      <c r="D9335" s="765">
        <v>-4805671.5</v>
      </c>
      <c r="E9335" s="201">
        <v>45809</v>
      </c>
      <c r="F9335" s="648" t="s">
        <v>296</v>
      </c>
      <c r="G9335" s="648" t="s">
        <v>522</v>
      </c>
      <c r="H9335" s="648" t="s">
        <v>2715</v>
      </c>
    </row>
    <row r="9336" spans="1:9" ht="15" customHeight="1">
      <c r="A9336" s="199">
        <v>45813</v>
      </c>
      <c r="B9336" s="202" t="s">
        <v>7178</v>
      </c>
      <c r="C9336" s="200" t="s">
        <v>204</v>
      </c>
      <c r="D9336" s="765">
        <v>-4805671.5</v>
      </c>
      <c r="E9336" s="201">
        <v>45809</v>
      </c>
      <c r="F9336" s="200" t="s">
        <v>296</v>
      </c>
      <c r="G9336" s="200" t="s">
        <v>807</v>
      </c>
      <c r="H9336" s="200" t="s">
        <v>2715</v>
      </c>
      <c r="I9336" s="648" t="s">
        <v>329</v>
      </c>
    </row>
    <row r="9337" spans="1:9" ht="15" customHeight="1">
      <c r="A9337" s="199">
        <v>45813</v>
      </c>
      <c r="B9337" s="202" t="s">
        <v>7179</v>
      </c>
      <c r="C9337" s="200" t="s">
        <v>204</v>
      </c>
      <c r="D9337" s="765">
        <v>-27244177</v>
      </c>
      <c r="E9337" s="201">
        <v>45809</v>
      </c>
      <c r="F9337" s="200" t="s">
        <v>315</v>
      </c>
    </row>
    <row r="9338" spans="1:9" ht="15" customHeight="1">
      <c r="A9338" s="199">
        <v>45813</v>
      </c>
      <c r="B9338" s="202" t="s">
        <v>7180</v>
      </c>
      <c r="C9338" s="200" t="s">
        <v>204</v>
      </c>
      <c r="D9338" s="765">
        <v>-1475000</v>
      </c>
      <c r="E9338" s="201">
        <v>45809</v>
      </c>
      <c r="F9338" s="200" t="s">
        <v>256</v>
      </c>
      <c r="G9338" s="200" t="s">
        <v>107</v>
      </c>
      <c r="H9338" s="200" t="s">
        <v>777</v>
      </c>
    </row>
    <row r="9339" spans="1:9" ht="15" customHeight="1">
      <c r="A9339" s="199">
        <v>45813</v>
      </c>
      <c r="B9339" s="202" t="s">
        <v>7181</v>
      </c>
      <c r="C9339" s="200" t="s">
        <v>204</v>
      </c>
      <c r="D9339" s="765">
        <v>-7243769</v>
      </c>
      <c r="E9339" s="201">
        <v>45809</v>
      </c>
      <c r="F9339" s="200" t="s">
        <v>296</v>
      </c>
      <c r="G9339" s="200" t="s">
        <v>3360</v>
      </c>
      <c r="H9339" s="200" t="s">
        <v>5376</v>
      </c>
    </row>
    <row r="9340" spans="1:9" ht="15" customHeight="1">
      <c r="A9340" s="199">
        <v>45813</v>
      </c>
      <c r="B9340" s="202" t="s">
        <v>7182</v>
      </c>
      <c r="C9340" s="200" t="s">
        <v>204</v>
      </c>
      <c r="D9340" s="765">
        <v>-979608</v>
      </c>
      <c r="E9340" s="201">
        <v>45809</v>
      </c>
      <c r="F9340" s="200" t="s">
        <v>297</v>
      </c>
      <c r="G9340" s="200" t="s">
        <v>3892</v>
      </c>
      <c r="H9340" s="200" t="s">
        <v>5376</v>
      </c>
    </row>
    <row r="9341" spans="1:9" ht="15" customHeight="1">
      <c r="A9341" s="199">
        <v>45813</v>
      </c>
      <c r="B9341" s="202" t="s">
        <v>7183</v>
      </c>
      <c r="C9341" s="200" t="s">
        <v>204</v>
      </c>
      <c r="D9341" s="765">
        <v>-146160</v>
      </c>
      <c r="E9341" s="201">
        <v>45809</v>
      </c>
      <c r="F9341" s="200" t="s">
        <v>296</v>
      </c>
      <c r="G9341" s="200" t="s">
        <v>522</v>
      </c>
      <c r="H9341" s="200" t="s">
        <v>366</v>
      </c>
    </row>
    <row r="9342" spans="1:9" ht="15" customHeight="1">
      <c r="A9342" s="199">
        <v>45813</v>
      </c>
      <c r="B9342" s="202" t="s">
        <v>7184</v>
      </c>
      <c r="C9342" s="200" t="s">
        <v>204</v>
      </c>
      <c r="D9342" s="765">
        <v>-116280</v>
      </c>
      <c r="E9342" s="201">
        <v>45809</v>
      </c>
      <c r="F9342" s="200" t="s">
        <v>296</v>
      </c>
      <c r="G9342" s="200" t="s">
        <v>44</v>
      </c>
      <c r="H9342" s="200" t="s">
        <v>366</v>
      </c>
      <c r="I9342" s="648" t="s">
        <v>329</v>
      </c>
    </row>
    <row r="9343" spans="1:9" ht="15" customHeight="1">
      <c r="A9343" s="199">
        <v>45813</v>
      </c>
      <c r="B9343" s="202" t="s">
        <v>7185</v>
      </c>
      <c r="C9343" s="200" t="s">
        <v>204</v>
      </c>
      <c r="D9343" s="765">
        <v>-3456000</v>
      </c>
      <c r="E9343" s="201">
        <v>45809</v>
      </c>
      <c r="F9343" s="200" t="s">
        <v>296</v>
      </c>
      <c r="G9343" s="200" t="s">
        <v>57</v>
      </c>
      <c r="H9343" s="200" t="s">
        <v>96</v>
      </c>
    </row>
    <row r="9344" spans="1:9" ht="15" customHeight="1">
      <c r="A9344" s="199">
        <v>45813</v>
      </c>
      <c r="B9344" s="202" t="s">
        <v>7186</v>
      </c>
      <c r="C9344" s="200" t="s">
        <v>204</v>
      </c>
      <c r="D9344" s="765">
        <v>-2700000</v>
      </c>
      <c r="E9344" s="201">
        <v>45809</v>
      </c>
      <c r="F9344" s="200" t="s">
        <v>296</v>
      </c>
      <c r="G9344" s="200" t="s">
        <v>57</v>
      </c>
      <c r="H9344" s="200" t="s">
        <v>96</v>
      </c>
    </row>
    <row r="9345" spans="1:9" ht="15" customHeight="1">
      <c r="A9345" s="199">
        <v>45813</v>
      </c>
      <c r="B9345" s="202" t="s">
        <v>7187</v>
      </c>
      <c r="C9345" s="200" t="s">
        <v>204</v>
      </c>
      <c r="D9345" s="765">
        <v>-3370200</v>
      </c>
      <c r="E9345" s="201">
        <v>45809</v>
      </c>
      <c r="F9345" s="200" t="s">
        <v>296</v>
      </c>
      <c r="G9345" s="200" t="s">
        <v>1825</v>
      </c>
      <c r="H9345" s="200" t="s">
        <v>811</v>
      </c>
      <c r="I9345" s="648" t="s">
        <v>329</v>
      </c>
    </row>
    <row r="9346" spans="1:9" ht="15" customHeight="1">
      <c r="A9346" s="199">
        <v>45781</v>
      </c>
      <c r="B9346" s="202" t="s">
        <v>7188</v>
      </c>
      <c r="C9346" s="200" t="s">
        <v>204</v>
      </c>
      <c r="D9346" s="765">
        <v>-120000</v>
      </c>
      <c r="E9346" s="201">
        <v>45809</v>
      </c>
      <c r="F9346" s="200" t="s">
        <v>296</v>
      </c>
      <c r="G9346" s="200" t="s">
        <v>522</v>
      </c>
      <c r="H9346" s="200" t="s">
        <v>326</v>
      </c>
      <c r="I9346" s="200" t="s">
        <v>7189</v>
      </c>
    </row>
    <row r="9347" spans="1:9" ht="15" customHeight="1">
      <c r="A9347" s="199">
        <v>45786</v>
      </c>
      <c r="B9347" s="202" t="s">
        <v>7190</v>
      </c>
      <c r="C9347" s="200" t="s">
        <v>204</v>
      </c>
      <c r="D9347" s="765">
        <v>-120000</v>
      </c>
      <c r="E9347" s="201">
        <v>45809</v>
      </c>
      <c r="F9347" s="200" t="s">
        <v>296</v>
      </c>
      <c r="G9347" s="200" t="s">
        <v>522</v>
      </c>
      <c r="H9347" s="200" t="s">
        <v>326</v>
      </c>
      <c r="I9347" s="200" t="s">
        <v>7189</v>
      </c>
    </row>
    <row r="9348" spans="1:9" ht="15" customHeight="1">
      <c r="A9348" s="199">
        <v>45788</v>
      </c>
      <c r="B9348" s="202" t="s">
        <v>7191</v>
      </c>
      <c r="C9348" s="200" t="s">
        <v>204</v>
      </c>
      <c r="D9348" s="765">
        <v>-100000</v>
      </c>
      <c r="E9348" s="201">
        <v>45809</v>
      </c>
      <c r="F9348" s="200" t="s">
        <v>296</v>
      </c>
      <c r="G9348" s="200" t="s">
        <v>522</v>
      </c>
      <c r="H9348" s="200" t="s">
        <v>326</v>
      </c>
      <c r="I9348" s="200" t="s">
        <v>7189</v>
      </c>
    </row>
    <row r="9349" spans="1:9" ht="15" customHeight="1">
      <c r="A9349" s="199">
        <v>45793</v>
      </c>
      <c r="B9349" s="202" t="s">
        <v>7192</v>
      </c>
      <c r="C9349" s="200" t="s">
        <v>204</v>
      </c>
      <c r="D9349" s="765">
        <v>-100000</v>
      </c>
      <c r="E9349" s="201">
        <v>45809</v>
      </c>
      <c r="F9349" s="200" t="s">
        <v>296</v>
      </c>
      <c r="G9349" s="200" t="s">
        <v>522</v>
      </c>
      <c r="H9349" s="200" t="s">
        <v>326</v>
      </c>
      <c r="I9349" s="200" t="s">
        <v>7189</v>
      </c>
    </row>
    <row r="9350" spans="1:9" ht="15" customHeight="1">
      <c r="A9350" s="199">
        <v>45795</v>
      </c>
      <c r="B9350" s="202" t="s">
        <v>7193</v>
      </c>
      <c r="C9350" s="200" t="s">
        <v>204</v>
      </c>
      <c r="D9350" s="765">
        <v>-100000</v>
      </c>
      <c r="E9350" s="201">
        <v>45809</v>
      </c>
      <c r="F9350" s="200" t="s">
        <v>296</v>
      </c>
      <c r="G9350" s="200" t="s">
        <v>522</v>
      </c>
      <c r="H9350" s="200" t="s">
        <v>326</v>
      </c>
      <c r="I9350" s="200" t="s">
        <v>7189</v>
      </c>
    </row>
    <row r="9351" spans="1:9" ht="15" customHeight="1">
      <c r="A9351" s="199">
        <v>45800</v>
      </c>
      <c r="B9351" s="202" t="s">
        <v>7194</v>
      </c>
      <c r="C9351" s="200" t="s">
        <v>204</v>
      </c>
      <c r="D9351" s="765">
        <v>-100000</v>
      </c>
      <c r="E9351" s="201">
        <v>45809</v>
      </c>
      <c r="F9351" s="200" t="s">
        <v>296</v>
      </c>
      <c r="G9351" s="200" t="s">
        <v>522</v>
      </c>
      <c r="H9351" s="200" t="s">
        <v>326</v>
      </c>
      <c r="I9351" s="200" t="s">
        <v>7189</v>
      </c>
    </row>
    <row r="9352" spans="1:9" ht="15" customHeight="1">
      <c r="A9352" s="199">
        <v>45802</v>
      </c>
      <c r="B9352" s="202" t="s">
        <v>7193</v>
      </c>
      <c r="C9352" s="200" t="s">
        <v>204</v>
      </c>
      <c r="D9352" s="765">
        <v>-100000</v>
      </c>
      <c r="E9352" s="201">
        <v>45809</v>
      </c>
      <c r="F9352" s="200" t="s">
        <v>296</v>
      </c>
      <c r="G9352" s="200" t="s">
        <v>522</v>
      </c>
      <c r="H9352" s="200" t="s">
        <v>326</v>
      </c>
      <c r="I9352" s="200" t="s">
        <v>7189</v>
      </c>
    </row>
    <row r="9353" spans="1:9" ht="15" customHeight="1">
      <c r="A9353" s="199">
        <v>45808</v>
      </c>
      <c r="B9353" s="202" t="s">
        <v>7194</v>
      </c>
      <c r="C9353" s="200" t="s">
        <v>204</v>
      </c>
      <c r="D9353" s="765">
        <v>-100000</v>
      </c>
      <c r="E9353" s="201">
        <v>45809</v>
      </c>
      <c r="F9353" s="200" t="s">
        <v>296</v>
      </c>
      <c r="G9353" s="200" t="s">
        <v>522</v>
      </c>
      <c r="H9353" s="200" t="s">
        <v>326</v>
      </c>
      <c r="I9353" s="200" t="s">
        <v>7189</v>
      </c>
    </row>
    <row r="9354" spans="1:9" ht="15" customHeight="1">
      <c r="A9354" s="199">
        <v>45809</v>
      </c>
      <c r="B9354" s="202" t="s">
        <v>7195</v>
      </c>
      <c r="C9354" s="200" t="s">
        <v>204</v>
      </c>
      <c r="D9354" s="765">
        <v>-80000</v>
      </c>
      <c r="E9354" s="201">
        <v>45809</v>
      </c>
      <c r="F9354" s="200" t="s">
        <v>296</v>
      </c>
      <c r="G9354" s="200" t="s">
        <v>522</v>
      </c>
      <c r="H9354" s="200" t="s">
        <v>326</v>
      </c>
      <c r="I9354" s="200" t="s">
        <v>7189</v>
      </c>
    </row>
    <row r="9355" spans="1:9" ht="15" customHeight="1">
      <c r="A9355" s="199">
        <v>45812</v>
      </c>
      <c r="B9355" s="202" t="s">
        <v>7196</v>
      </c>
      <c r="C9355" s="200" t="s">
        <v>204</v>
      </c>
      <c r="D9355" s="765">
        <v>-80000</v>
      </c>
      <c r="E9355" s="201">
        <v>45809</v>
      </c>
      <c r="F9355" s="200" t="s">
        <v>296</v>
      </c>
      <c r="G9355" s="200" t="s">
        <v>522</v>
      </c>
      <c r="H9355" s="200" t="s">
        <v>326</v>
      </c>
      <c r="I9355" s="200" t="s">
        <v>7189</v>
      </c>
    </row>
    <row r="9356" spans="1:9" ht="15" customHeight="1">
      <c r="A9356" s="199">
        <v>45811</v>
      </c>
      <c r="B9356" s="202" t="s">
        <v>7197</v>
      </c>
      <c r="C9356" s="200" t="s">
        <v>136</v>
      </c>
      <c r="D9356" s="658">
        <v>-230020</v>
      </c>
      <c r="E9356" s="201">
        <v>45809</v>
      </c>
      <c r="F9356" s="200" t="s">
        <v>256</v>
      </c>
      <c r="G9356" s="200" t="s">
        <v>256</v>
      </c>
      <c r="H9356" s="200" t="s">
        <v>269</v>
      </c>
    </row>
    <row r="9357" spans="1:9" ht="15" customHeight="1">
      <c r="A9357" s="199">
        <v>45811</v>
      </c>
      <c r="B9357" s="202" t="s">
        <v>7197</v>
      </c>
      <c r="C9357" s="200" t="s">
        <v>136</v>
      </c>
      <c r="D9357" s="658">
        <v>-285320</v>
      </c>
      <c r="E9357" s="201">
        <v>45809</v>
      </c>
      <c r="F9357" s="200" t="s">
        <v>256</v>
      </c>
      <c r="G9357" s="200" t="s">
        <v>256</v>
      </c>
      <c r="H9357" s="200" t="s">
        <v>269</v>
      </c>
    </row>
    <row r="9358" spans="1:9" ht="15" customHeight="1">
      <c r="A9358" s="199">
        <v>45811</v>
      </c>
      <c r="B9358" s="202" t="s">
        <v>7198</v>
      </c>
      <c r="C9358" s="200" t="s">
        <v>136</v>
      </c>
      <c r="D9358" s="658">
        <v>-360680</v>
      </c>
      <c r="E9358" s="201">
        <v>45809</v>
      </c>
      <c r="F9358" s="200" t="s">
        <v>296</v>
      </c>
      <c r="G9358" s="200" t="s">
        <v>57</v>
      </c>
      <c r="H9358" s="200" t="s">
        <v>97</v>
      </c>
    </row>
    <row r="9359" spans="1:9" ht="15" customHeight="1">
      <c r="A9359" s="199">
        <v>45811</v>
      </c>
      <c r="B9359" s="202" t="s">
        <v>7199</v>
      </c>
      <c r="C9359" s="200" t="s">
        <v>136</v>
      </c>
      <c r="D9359" s="658">
        <v>-262523</v>
      </c>
      <c r="E9359" s="201">
        <v>45809</v>
      </c>
      <c r="F9359" s="200" t="s">
        <v>296</v>
      </c>
      <c r="G9359" s="200" t="s">
        <v>57</v>
      </c>
      <c r="H9359" s="200" t="s">
        <v>97</v>
      </c>
    </row>
    <row r="9360" spans="1:9" ht="15" customHeight="1">
      <c r="A9360" s="199">
        <v>45811</v>
      </c>
      <c r="B9360" s="202" t="s">
        <v>7198</v>
      </c>
      <c r="C9360" s="200" t="s">
        <v>136</v>
      </c>
      <c r="D9360" s="658">
        <v>-343690</v>
      </c>
      <c r="E9360" s="201">
        <v>45809</v>
      </c>
      <c r="F9360" s="200" t="s">
        <v>296</v>
      </c>
      <c r="G9360" s="200" t="s">
        <v>57</v>
      </c>
      <c r="H9360" s="200" t="s">
        <v>97</v>
      </c>
    </row>
    <row r="9361" spans="1:9" ht="15" customHeight="1">
      <c r="A9361" s="199">
        <v>45805</v>
      </c>
      <c r="B9361" s="202" t="s">
        <v>4776</v>
      </c>
      <c r="C9361" s="200" t="s">
        <v>307</v>
      </c>
      <c r="D9361" s="204">
        <v>-20000</v>
      </c>
      <c r="E9361" s="201">
        <v>45809</v>
      </c>
      <c r="F9361" s="200" t="s">
        <v>296</v>
      </c>
      <c r="G9361" s="200" t="s">
        <v>1362</v>
      </c>
      <c r="H9361" s="200" t="s">
        <v>268</v>
      </c>
      <c r="I9361" s="200" t="s">
        <v>3272</v>
      </c>
    </row>
    <row r="9362" spans="1:9" ht="15" customHeight="1">
      <c r="A9362" s="199">
        <v>45805</v>
      </c>
      <c r="B9362" s="202" t="s">
        <v>3088</v>
      </c>
      <c r="C9362" s="200" t="s">
        <v>307</v>
      </c>
      <c r="D9362" s="204">
        <v>-20000</v>
      </c>
      <c r="E9362" s="201">
        <v>45809</v>
      </c>
      <c r="F9362" s="200" t="s">
        <v>296</v>
      </c>
      <c r="G9362" s="200" t="s">
        <v>1362</v>
      </c>
      <c r="H9362" s="200" t="s">
        <v>268</v>
      </c>
      <c r="I9362" s="200" t="s">
        <v>3272</v>
      </c>
    </row>
    <row r="9363" spans="1:9" ht="15" customHeight="1">
      <c r="A9363" s="199">
        <v>45805</v>
      </c>
      <c r="B9363" s="202" t="s">
        <v>1523</v>
      </c>
      <c r="C9363" s="200" t="s">
        <v>307</v>
      </c>
      <c r="D9363" s="204">
        <v>-9000</v>
      </c>
      <c r="E9363" s="201">
        <v>45809</v>
      </c>
      <c r="F9363" s="200" t="s">
        <v>296</v>
      </c>
      <c r="G9363" s="200" t="s">
        <v>1362</v>
      </c>
      <c r="H9363" s="200" t="s">
        <v>342</v>
      </c>
      <c r="I9363" s="200" t="s">
        <v>3272</v>
      </c>
    </row>
    <row r="9364" spans="1:9" ht="15" customHeight="1">
      <c r="A9364" s="199">
        <v>45805</v>
      </c>
      <c r="B9364" s="202" t="s">
        <v>498</v>
      </c>
      <c r="C9364" s="200" t="s">
        <v>307</v>
      </c>
      <c r="D9364" s="204">
        <v>-5850</v>
      </c>
      <c r="E9364" s="201">
        <v>45809</v>
      </c>
      <c r="F9364" s="200" t="s">
        <v>296</v>
      </c>
      <c r="G9364" s="200" t="s">
        <v>1362</v>
      </c>
      <c r="H9364" s="200" t="s">
        <v>342</v>
      </c>
      <c r="I9364" s="200" t="s">
        <v>3272</v>
      </c>
    </row>
    <row r="9365" spans="1:9" ht="15" customHeight="1">
      <c r="A9365" s="199">
        <v>45805</v>
      </c>
      <c r="B9365" s="202" t="s">
        <v>7200</v>
      </c>
      <c r="C9365" s="200" t="s">
        <v>307</v>
      </c>
      <c r="D9365" s="204">
        <v>-5000</v>
      </c>
      <c r="E9365" s="201">
        <v>45809</v>
      </c>
      <c r="F9365" s="200" t="s">
        <v>296</v>
      </c>
      <c r="G9365" s="200" t="s">
        <v>1362</v>
      </c>
      <c r="H9365" s="200" t="s">
        <v>5384</v>
      </c>
      <c r="I9365" s="200" t="s">
        <v>3272</v>
      </c>
    </row>
    <row r="9366" spans="1:9" ht="15" customHeight="1">
      <c r="A9366" s="199">
        <v>45805</v>
      </c>
      <c r="B9366" s="202" t="s">
        <v>4691</v>
      </c>
      <c r="C9366" s="200" t="s">
        <v>307</v>
      </c>
      <c r="D9366" s="204">
        <v>-20000</v>
      </c>
      <c r="E9366" s="201">
        <v>45809</v>
      </c>
      <c r="F9366" s="200" t="s">
        <v>296</v>
      </c>
      <c r="G9366" s="200" t="s">
        <v>1362</v>
      </c>
      <c r="H9366" s="200" t="s">
        <v>268</v>
      </c>
      <c r="I9366" s="200" t="s">
        <v>3272</v>
      </c>
    </row>
    <row r="9367" spans="1:9" ht="15" customHeight="1">
      <c r="A9367" s="199">
        <v>45805</v>
      </c>
      <c r="B9367" s="202" t="s">
        <v>4693</v>
      </c>
      <c r="C9367" s="200" t="s">
        <v>307</v>
      </c>
      <c r="D9367" s="204">
        <v>-8000</v>
      </c>
      <c r="E9367" s="201">
        <v>45809</v>
      </c>
      <c r="F9367" s="200" t="s">
        <v>296</v>
      </c>
      <c r="G9367" s="200" t="s">
        <v>1362</v>
      </c>
      <c r="H9367" s="200" t="s">
        <v>268</v>
      </c>
      <c r="I9367" s="200" t="s">
        <v>3272</v>
      </c>
    </row>
    <row r="9368" spans="1:9" ht="15" customHeight="1">
      <c r="A9368" s="199">
        <v>45805</v>
      </c>
      <c r="B9368" s="202" t="s">
        <v>4692</v>
      </c>
      <c r="C9368" s="200" t="s">
        <v>307</v>
      </c>
      <c r="D9368" s="204">
        <v>-8000</v>
      </c>
      <c r="E9368" s="201">
        <v>45809</v>
      </c>
      <c r="F9368" s="200" t="s">
        <v>296</v>
      </c>
      <c r="G9368" s="200" t="s">
        <v>1362</v>
      </c>
      <c r="H9368" s="200" t="s">
        <v>268</v>
      </c>
      <c r="I9368" s="200" t="s">
        <v>3272</v>
      </c>
    </row>
    <row r="9369" spans="1:9" ht="15" customHeight="1">
      <c r="A9369" s="199">
        <v>45806</v>
      </c>
      <c r="B9369" s="202" t="s">
        <v>7201</v>
      </c>
      <c r="C9369" s="200" t="s">
        <v>307</v>
      </c>
      <c r="D9369" s="204">
        <v>-32000</v>
      </c>
      <c r="E9369" s="201">
        <v>45809</v>
      </c>
      <c r="F9369" s="200" t="s">
        <v>296</v>
      </c>
      <c r="G9369" s="200" t="s">
        <v>1362</v>
      </c>
      <c r="H9369" s="200" t="s">
        <v>268</v>
      </c>
      <c r="I9369" s="200" t="s">
        <v>3272</v>
      </c>
    </row>
    <row r="9370" spans="1:9" ht="15" customHeight="1">
      <c r="A9370" s="199">
        <v>45807</v>
      </c>
      <c r="B9370" s="202" t="s">
        <v>7201</v>
      </c>
      <c r="C9370" s="200" t="s">
        <v>307</v>
      </c>
      <c r="D9370" s="204">
        <v>-12004</v>
      </c>
      <c r="E9370" s="201">
        <v>45809</v>
      </c>
      <c r="F9370" s="200" t="s">
        <v>296</v>
      </c>
      <c r="G9370" s="200" t="s">
        <v>1362</v>
      </c>
      <c r="H9370" s="200" t="s">
        <v>268</v>
      </c>
      <c r="I9370" s="200" t="s">
        <v>3272</v>
      </c>
    </row>
    <row r="9371" spans="1:9" ht="15" customHeight="1">
      <c r="A9371" s="199">
        <v>45807</v>
      </c>
      <c r="B9371" s="202" t="s">
        <v>498</v>
      </c>
      <c r="C9371" s="200" t="s">
        <v>307</v>
      </c>
      <c r="D9371" s="204">
        <v>-3550</v>
      </c>
      <c r="E9371" s="201">
        <v>45809</v>
      </c>
      <c r="F9371" s="200" t="s">
        <v>296</v>
      </c>
      <c r="G9371" s="200" t="s">
        <v>1362</v>
      </c>
      <c r="H9371" s="200" t="s">
        <v>342</v>
      </c>
      <c r="I9371" s="200" t="s">
        <v>3272</v>
      </c>
    </row>
    <row r="9372" spans="1:9" ht="15" customHeight="1">
      <c r="A9372" s="199">
        <v>45807</v>
      </c>
      <c r="B9372" s="202" t="s">
        <v>4691</v>
      </c>
      <c r="C9372" s="200" t="s">
        <v>307</v>
      </c>
      <c r="D9372" s="204">
        <v>-20000</v>
      </c>
      <c r="E9372" s="201">
        <v>45809</v>
      </c>
      <c r="F9372" s="200" t="s">
        <v>296</v>
      </c>
      <c r="G9372" s="200" t="s">
        <v>1362</v>
      </c>
      <c r="H9372" s="200" t="s">
        <v>268</v>
      </c>
      <c r="I9372" s="200" t="s">
        <v>3272</v>
      </c>
    </row>
    <row r="9373" spans="1:9" ht="15" customHeight="1">
      <c r="A9373" s="199">
        <v>45807</v>
      </c>
      <c r="B9373" s="202" t="s">
        <v>7201</v>
      </c>
      <c r="C9373" s="200" t="s">
        <v>307</v>
      </c>
      <c r="D9373" s="204">
        <v>-45000</v>
      </c>
      <c r="E9373" s="201">
        <v>45809</v>
      </c>
      <c r="F9373" s="200" t="s">
        <v>296</v>
      </c>
      <c r="G9373" s="200" t="s">
        <v>1362</v>
      </c>
      <c r="H9373" s="200" t="s">
        <v>268</v>
      </c>
      <c r="I9373" s="200" t="s">
        <v>3272</v>
      </c>
    </row>
    <row r="9374" spans="1:9" ht="15" customHeight="1">
      <c r="A9374" s="199">
        <v>45783</v>
      </c>
      <c r="B9374" s="202" t="s">
        <v>7202</v>
      </c>
      <c r="C9374" s="200" t="s">
        <v>307</v>
      </c>
      <c r="D9374" s="204">
        <v>-14965</v>
      </c>
      <c r="E9374" s="201">
        <v>45809</v>
      </c>
      <c r="F9374" s="200" t="s">
        <v>296</v>
      </c>
      <c r="G9374" s="200" t="s">
        <v>5466</v>
      </c>
      <c r="H9374" s="200" t="s">
        <v>342</v>
      </c>
      <c r="I9374" s="200" t="s">
        <v>3272</v>
      </c>
    </row>
    <row r="9375" spans="1:9" ht="15" customHeight="1">
      <c r="A9375" s="199">
        <v>45783</v>
      </c>
      <c r="B9375" s="202" t="s">
        <v>7203</v>
      </c>
      <c r="C9375" s="200" t="s">
        <v>307</v>
      </c>
      <c r="D9375" s="204">
        <v>-41900</v>
      </c>
      <c r="E9375" s="201">
        <v>45809</v>
      </c>
      <c r="F9375" s="200" t="s">
        <v>296</v>
      </c>
      <c r="G9375" s="200" t="s">
        <v>5466</v>
      </c>
      <c r="H9375" s="200" t="s">
        <v>342</v>
      </c>
      <c r="I9375" s="200" t="s">
        <v>3272</v>
      </c>
    </row>
    <row r="9376" spans="1:9" ht="15" customHeight="1">
      <c r="A9376" s="199">
        <v>45783</v>
      </c>
      <c r="B9376" s="202" t="s">
        <v>7204</v>
      </c>
      <c r="C9376" s="200" t="s">
        <v>307</v>
      </c>
      <c r="D9376" s="204">
        <v>-7600</v>
      </c>
      <c r="E9376" s="201">
        <v>45809</v>
      </c>
      <c r="F9376" s="200" t="s">
        <v>296</v>
      </c>
      <c r="G9376" s="200" t="s">
        <v>5466</v>
      </c>
      <c r="H9376" s="200" t="s">
        <v>268</v>
      </c>
      <c r="I9376" s="200" t="s">
        <v>3272</v>
      </c>
    </row>
    <row r="9377" spans="1:9" ht="15" customHeight="1">
      <c r="A9377" s="199">
        <v>45783</v>
      </c>
      <c r="B9377" s="202" t="s">
        <v>7205</v>
      </c>
      <c r="C9377" s="200" t="s">
        <v>307</v>
      </c>
      <c r="D9377" s="204">
        <v>-7200</v>
      </c>
      <c r="E9377" s="201">
        <v>45809</v>
      </c>
      <c r="F9377" s="200" t="s">
        <v>296</v>
      </c>
      <c r="G9377" s="200" t="s">
        <v>5466</v>
      </c>
      <c r="H9377" s="200" t="s">
        <v>268</v>
      </c>
      <c r="I9377" s="200" t="s">
        <v>3272</v>
      </c>
    </row>
    <row r="9378" spans="1:9" ht="15" customHeight="1">
      <c r="A9378" s="199">
        <v>45783</v>
      </c>
      <c r="B9378" s="202" t="s">
        <v>7206</v>
      </c>
      <c r="C9378" s="200" t="s">
        <v>307</v>
      </c>
      <c r="D9378" s="204">
        <v>-60000</v>
      </c>
      <c r="E9378" s="201">
        <v>45809</v>
      </c>
      <c r="F9378" s="200" t="s">
        <v>296</v>
      </c>
      <c r="G9378" s="200" t="s">
        <v>5466</v>
      </c>
      <c r="H9378" s="200" t="s">
        <v>268</v>
      </c>
      <c r="I9378" s="200" t="s">
        <v>3272</v>
      </c>
    </row>
    <row r="9379" spans="1:9" ht="15" customHeight="1">
      <c r="A9379" s="199">
        <v>45783</v>
      </c>
      <c r="B9379" s="202" t="s">
        <v>7206</v>
      </c>
      <c r="C9379" s="200" t="s">
        <v>307</v>
      </c>
      <c r="D9379" s="204">
        <v>-30000</v>
      </c>
      <c r="E9379" s="201">
        <v>45809</v>
      </c>
      <c r="F9379" s="200" t="s">
        <v>296</v>
      </c>
      <c r="G9379" s="200" t="s">
        <v>5466</v>
      </c>
      <c r="H9379" s="200" t="s">
        <v>268</v>
      </c>
      <c r="I9379" s="200" t="s">
        <v>3272</v>
      </c>
    </row>
    <row r="9380" spans="1:9" ht="15" customHeight="1">
      <c r="A9380" s="199">
        <v>45783</v>
      </c>
      <c r="B9380" s="202" t="s">
        <v>7207</v>
      </c>
      <c r="C9380" s="200" t="s">
        <v>307</v>
      </c>
      <c r="D9380" s="204">
        <v>-15000</v>
      </c>
      <c r="E9380" s="201">
        <v>45809</v>
      </c>
      <c r="F9380" s="200" t="s">
        <v>296</v>
      </c>
      <c r="G9380" s="200" t="s">
        <v>5466</v>
      </c>
      <c r="H9380" s="200" t="s">
        <v>268</v>
      </c>
      <c r="I9380" s="200" t="s">
        <v>3272</v>
      </c>
    </row>
    <row r="9381" spans="1:9" ht="15" customHeight="1">
      <c r="A9381" s="199">
        <v>45783</v>
      </c>
      <c r="B9381" s="202" t="s">
        <v>7201</v>
      </c>
      <c r="C9381" s="200" t="s">
        <v>307</v>
      </c>
      <c r="D9381" s="204">
        <v>-8000</v>
      </c>
      <c r="E9381" s="201">
        <v>45809</v>
      </c>
      <c r="F9381" s="200" t="s">
        <v>296</v>
      </c>
      <c r="G9381" s="200" t="s">
        <v>5466</v>
      </c>
      <c r="H9381" s="200" t="s">
        <v>268</v>
      </c>
      <c r="I9381" s="200" t="s">
        <v>3272</v>
      </c>
    </row>
    <row r="9382" spans="1:9" ht="15" customHeight="1">
      <c r="A9382" s="199">
        <v>45783</v>
      </c>
      <c r="B9382" s="202" t="s">
        <v>7201</v>
      </c>
      <c r="C9382" s="200" t="s">
        <v>307</v>
      </c>
      <c r="D9382" s="204">
        <v>-27000</v>
      </c>
      <c r="E9382" s="201">
        <v>45809</v>
      </c>
      <c r="F9382" s="200" t="s">
        <v>296</v>
      </c>
      <c r="G9382" s="200" t="s">
        <v>5466</v>
      </c>
      <c r="H9382" s="200" t="s">
        <v>268</v>
      </c>
      <c r="I9382" s="200" t="s">
        <v>3272</v>
      </c>
    </row>
    <row r="9383" spans="1:9" ht="15" customHeight="1">
      <c r="A9383" s="199">
        <v>45783</v>
      </c>
      <c r="B9383" s="202" t="s">
        <v>7201</v>
      </c>
      <c r="C9383" s="200" t="s">
        <v>307</v>
      </c>
      <c r="D9383" s="204">
        <v>-12988</v>
      </c>
      <c r="E9383" s="201">
        <v>45809</v>
      </c>
      <c r="F9383" s="200" t="s">
        <v>296</v>
      </c>
      <c r="G9383" s="200" t="s">
        <v>5466</v>
      </c>
      <c r="H9383" s="200" t="s">
        <v>268</v>
      </c>
      <c r="I9383" s="200" t="s">
        <v>3272</v>
      </c>
    </row>
    <row r="9384" spans="1:9" ht="15" customHeight="1">
      <c r="A9384" s="199">
        <v>45783</v>
      </c>
      <c r="B9384" s="202" t="s">
        <v>7208</v>
      </c>
      <c r="C9384" s="200" t="s">
        <v>307</v>
      </c>
      <c r="D9384" s="204">
        <v>-40000</v>
      </c>
      <c r="E9384" s="201">
        <v>45809</v>
      </c>
      <c r="F9384" s="200" t="s">
        <v>296</v>
      </c>
      <c r="G9384" s="200" t="s">
        <v>5466</v>
      </c>
      <c r="H9384" s="200" t="s">
        <v>268</v>
      </c>
      <c r="I9384" s="200" t="s">
        <v>3272</v>
      </c>
    </row>
    <row r="9385" spans="1:9" ht="15" customHeight="1">
      <c r="A9385" s="199">
        <v>45784</v>
      </c>
      <c r="B9385" s="202" t="s">
        <v>7209</v>
      </c>
      <c r="C9385" s="200" t="s">
        <v>307</v>
      </c>
      <c r="D9385" s="204">
        <v>-40000</v>
      </c>
      <c r="E9385" s="201">
        <v>45809</v>
      </c>
      <c r="F9385" s="200" t="s">
        <v>296</v>
      </c>
      <c r="G9385" s="200" t="s">
        <v>5466</v>
      </c>
      <c r="H9385" s="200" t="s">
        <v>268</v>
      </c>
      <c r="I9385" s="648" t="s">
        <v>329</v>
      </c>
    </row>
    <row r="9386" spans="1:9" ht="15" customHeight="1">
      <c r="A9386" s="199">
        <v>45784</v>
      </c>
      <c r="B9386" s="202" t="s">
        <v>7210</v>
      </c>
      <c r="C9386" s="200" t="s">
        <v>307</v>
      </c>
      <c r="D9386" s="204">
        <v>-20000</v>
      </c>
      <c r="E9386" s="201">
        <v>45809</v>
      </c>
      <c r="F9386" s="200" t="s">
        <v>296</v>
      </c>
      <c r="G9386" s="200" t="s">
        <v>1362</v>
      </c>
      <c r="H9386" s="200" t="s">
        <v>268</v>
      </c>
      <c r="I9386" s="200" t="s">
        <v>3272</v>
      </c>
    </row>
    <row r="9387" spans="1:9" ht="15" customHeight="1">
      <c r="A9387" s="199">
        <v>45784</v>
      </c>
      <c r="B9387" s="202" t="s">
        <v>7211</v>
      </c>
      <c r="C9387" s="200" t="s">
        <v>307</v>
      </c>
      <c r="D9387" s="204">
        <v>-10500</v>
      </c>
      <c r="E9387" s="201">
        <v>45809</v>
      </c>
      <c r="F9387" s="200" t="s">
        <v>296</v>
      </c>
      <c r="G9387" s="200" t="s">
        <v>1362</v>
      </c>
      <c r="H9387" s="200" t="s">
        <v>5384</v>
      </c>
      <c r="I9387" s="200" t="s">
        <v>3272</v>
      </c>
    </row>
    <row r="9388" spans="1:9" ht="15" customHeight="1">
      <c r="A9388" s="199">
        <v>45784</v>
      </c>
      <c r="B9388" s="202" t="s">
        <v>7212</v>
      </c>
      <c r="C9388" s="200" t="s">
        <v>307</v>
      </c>
      <c r="D9388" s="204">
        <v>-16500</v>
      </c>
      <c r="E9388" s="201">
        <v>45809</v>
      </c>
      <c r="F9388" s="200" t="s">
        <v>296</v>
      </c>
      <c r="G9388" s="200" t="s">
        <v>1362</v>
      </c>
      <c r="H9388" s="200" t="s">
        <v>5384</v>
      </c>
      <c r="I9388" s="200" t="s">
        <v>3272</v>
      </c>
    </row>
    <row r="9389" spans="1:9" ht="15" customHeight="1">
      <c r="A9389" s="199">
        <v>45784</v>
      </c>
      <c r="B9389" s="202" t="s">
        <v>7213</v>
      </c>
      <c r="C9389" s="200" t="s">
        <v>307</v>
      </c>
      <c r="D9389" s="204">
        <v>-48800</v>
      </c>
      <c r="E9389" s="201">
        <v>45809</v>
      </c>
      <c r="F9389" s="200" t="s">
        <v>296</v>
      </c>
      <c r="G9389" s="200" t="s">
        <v>1362</v>
      </c>
      <c r="H9389" s="200" t="s">
        <v>5384</v>
      </c>
      <c r="I9389" s="200" t="s">
        <v>3272</v>
      </c>
    </row>
    <row r="9390" spans="1:9" ht="15" customHeight="1">
      <c r="A9390" s="199">
        <v>45784</v>
      </c>
      <c r="B9390" s="202" t="s">
        <v>7214</v>
      </c>
      <c r="C9390" s="200" t="s">
        <v>307</v>
      </c>
      <c r="D9390" s="204">
        <v>-12000</v>
      </c>
      <c r="E9390" s="201">
        <v>45809</v>
      </c>
      <c r="F9390" s="200" t="s">
        <v>296</v>
      </c>
      <c r="G9390" s="200" t="s">
        <v>1362</v>
      </c>
      <c r="H9390" s="200" t="s">
        <v>5384</v>
      </c>
      <c r="I9390" s="200" t="s">
        <v>3272</v>
      </c>
    </row>
    <row r="9391" spans="1:9" ht="15" customHeight="1">
      <c r="A9391" s="199">
        <v>45785</v>
      </c>
      <c r="B9391" s="202" t="s">
        <v>7215</v>
      </c>
      <c r="C9391" s="200" t="s">
        <v>307</v>
      </c>
      <c r="D9391" s="204">
        <v>-9000</v>
      </c>
      <c r="E9391" s="201">
        <v>45809</v>
      </c>
      <c r="F9391" s="200" t="s">
        <v>296</v>
      </c>
      <c r="G9391" s="200" t="s">
        <v>1362</v>
      </c>
      <c r="H9391" s="200" t="s">
        <v>5384</v>
      </c>
      <c r="I9391" s="200" t="s">
        <v>3272</v>
      </c>
    </row>
    <row r="9392" spans="1:9" ht="15" customHeight="1">
      <c r="A9392" s="199">
        <v>45785</v>
      </c>
      <c r="B9392" s="202" t="s">
        <v>7216</v>
      </c>
      <c r="C9392" s="200" t="s">
        <v>307</v>
      </c>
      <c r="D9392" s="204">
        <v>-5000</v>
      </c>
      <c r="E9392" s="201">
        <v>45809</v>
      </c>
      <c r="F9392" s="200" t="s">
        <v>296</v>
      </c>
      <c r="G9392" s="200" t="s">
        <v>1362</v>
      </c>
      <c r="H9392" s="200" t="s">
        <v>5384</v>
      </c>
      <c r="I9392" s="200" t="s">
        <v>3272</v>
      </c>
    </row>
    <row r="9393" spans="1:9" ht="15" customHeight="1">
      <c r="A9393" s="199">
        <v>45785</v>
      </c>
      <c r="B9393" s="202" t="s">
        <v>7217</v>
      </c>
      <c r="C9393" s="200" t="s">
        <v>307</v>
      </c>
      <c r="D9393" s="204">
        <v>-30000</v>
      </c>
      <c r="E9393" s="201">
        <v>45809</v>
      </c>
      <c r="F9393" s="200" t="s">
        <v>296</v>
      </c>
      <c r="G9393" s="200" t="s">
        <v>1362</v>
      </c>
      <c r="H9393" s="200" t="s">
        <v>5384</v>
      </c>
      <c r="I9393" s="200" t="s">
        <v>3272</v>
      </c>
    </row>
    <row r="9394" spans="1:9" ht="15" customHeight="1">
      <c r="A9394" s="199">
        <v>45786</v>
      </c>
      <c r="B9394" s="202" t="s">
        <v>7218</v>
      </c>
      <c r="C9394" s="200" t="s">
        <v>307</v>
      </c>
      <c r="D9394" s="204">
        <v>-30000</v>
      </c>
      <c r="E9394" s="201">
        <v>45809</v>
      </c>
      <c r="F9394" s="200" t="s">
        <v>296</v>
      </c>
      <c r="G9394" s="200" t="s">
        <v>1362</v>
      </c>
      <c r="H9394" s="200" t="s">
        <v>268</v>
      </c>
      <c r="I9394" s="200" t="s">
        <v>3272</v>
      </c>
    </row>
    <row r="9395" spans="1:9" ht="15" customHeight="1">
      <c r="A9395" s="199">
        <v>45786</v>
      </c>
      <c r="B9395" s="202" t="s">
        <v>7201</v>
      </c>
      <c r="C9395" s="200" t="s">
        <v>307</v>
      </c>
      <c r="D9395" s="204">
        <v>-13000</v>
      </c>
      <c r="E9395" s="201">
        <v>45809</v>
      </c>
      <c r="F9395" s="200" t="s">
        <v>296</v>
      </c>
      <c r="G9395" s="200" t="s">
        <v>1362</v>
      </c>
      <c r="H9395" s="200" t="s">
        <v>268</v>
      </c>
      <c r="I9395" s="200" t="s">
        <v>3272</v>
      </c>
    </row>
    <row r="9396" spans="1:9" ht="15" customHeight="1">
      <c r="A9396" s="199">
        <v>45786</v>
      </c>
      <c r="B9396" s="202" t="s">
        <v>7201</v>
      </c>
      <c r="C9396" s="200" t="s">
        <v>307</v>
      </c>
      <c r="D9396" s="204">
        <v>-35000</v>
      </c>
      <c r="E9396" s="201">
        <v>45809</v>
      </c>
      <c r="F9396" s="200" t="s">
        <v>296</v>
      </c>
      <c r="G9396" s="200" t="s">
        <v>1362</v>
      </c>
      <c r="H9396" s="200" t="s">
        <v>268</v>
      </c>
      <c r="I9396" s="200" t="s">
        <v>3272</v>
      </c>
    </row>
    <row r="9397" spans="1:9" ht="15" customHeight="1">
      <c r="A9397" s="199">
        <v>45786</v>
      </c>
      <c r="B9397" s="202" t="s">
        <v>7219</v>
      </c>
      <c r="C9397" s="200" t="s">
        <v>307</v>
      </c>
      <c r="D9397" s="204">
        <v>-14000</v>
      </c>
      <c r="E9397" s="201">
        <v>45809</v>
      </c>
      <c r="F9397" s="200" t="s">
        <v>296</v>
      </c>
      <c r="G9397" s="200" t="s">
        <v>1362</v>
      </c>
      <c r="H9397" s="200" t="s">
        <v>268</v>
      </c>
      <c r="I9397" s="200" t="s">
        <v>3272</v>
      </c>
    </row>
    <row r="9398" spans="1:9" ht="15" customHeight="1">
      <c r="A9398" s="199">
        <v>45789</v>
      </c>
      <c r="B9398" s="202" t="s">
        <v>7219</v>
      </c>
      <c r="C9398" s="200" t="s">
        <v>307</v>
      </c>
      <c r="D9398" s="204">
        <v>-34004</v>
      </c>
      <c r="E9398" s="201">
        <v>45809</v>
      </c>
      <c r="F9398" s="200" t="s">
        <v>296</v>
      </c>
      <c r="G9398" s="200" t="s">
        <v>1362</v>
      </c>
      <c r="H9398" s="200" t="s">
        <v>268</v>
      </c>
      <c r="I9398" s="200" t="s">
        <v>3272</v>
      </c>
    </row>
    <row r="9399" spans="1:9" ht="15" customHeight="1">
      <c r="A9399" s="199">
        <v>45796</v>
      </c>
      <c r="B9399" s="202" t="s">
        <v>7220</v>
      </c>
      <c r="C9399" s="200" t="s">
        <v>307</v>
      </c>
      <c r="D9399" s="204">
        <v>-45000</v>
      </c>
      <c r="E9399" s="201">
        <v>45809</v>
      </c>
      <c r="F9399" s="200" t="s">
        <v>296</v>
      </c>
      <c r="G9399" s="200" t="s">
        <v>1362</v>
      </c>
      <c r="H9399" s="200" t="s">
        <v>268</v>
      </c>
      <c r="I9399" s="200" t="s">
        <v>3272</v>
      </c>
    </row>
    <row r="9400" spans="1:9" ht="15" customHeight="1">
      <c r="A9400" s="199">
        <v>45797</v>
      </c>
      <c r="B9400" s="202" t="s">
        <v>7221</v>
      </c>
      <c r="C9400" s="200" t="s">
        <v>307</v>
      </c>
      <c r="D9400" s="204">
        <v>-10000</v>
      </c>
      <c r="E9400" s="201">
        <v>45809</v>
      </c>
      <c r="F9400" s="200" t="s">
        <v>296</v>
      </c>
      <c r="G9400" s="200" t="s">
        <v>1362</v>
      </c>
      <c r="H9400" s="200" t="s">
        <v>268</v>
      </c>
      <c r="I9400" s="200" t="s">
        <v>3272</v>
      </c>
    </row>
    <row r="9401" spans="1:9" ht="15" customHeight="1">
      <c r="A9401" s="199">
        <v>45797</v>
      </c>
      <c r="B9401" s="202" t="s">
        <v>7222</v>
      </c>
      <c r="C9401" s="200" t="s">
        <v>307</v>
      </c>
      <c r="D9401" s="204">
        <v>-6000</v>
      </c>
      <c r="E9401" s="201">
        <v>45809</v>
      </c>
      <c r="F9401" s="200" t="s">
        <v>296</v>
      </c>
      <c r="G9401" s="200" t="s">
        <v>1362</v>
      </c>
      <c r="H9401" s="200" t="s">
        <v>5384</v>
      </c>
      <c r="I9401" s="200" t="s">
        <v>3272</v>
      </c>
    </row>
    <row r="9402" spans="1:9" ht="15" customHeight="1">
      <c r="A9402" s="199">
        <v>45797</v>
      </c>
      <c r="B9402" s="202" t="s">
        <v>7223</v>
      </c>
      <c r="C9402" s="200" t="s">
        <v>307</v>
      </c>
      <c r="D9402" s="204">
        <v>-119400</v>
      </c>
      <c r="E9402" s="201">
        <v>45809</v>
      </c>
      <c r="F9402" s="200" t="s">
        <v>296</v>
      </c>
      <c r="G9402" s="200" t="s">
        <v>1362</v>
      </c>
      <c r="H9402" s="200" t="s">
        <v>5384</v>
      </c>
      <c r="I9402" s="200" t="s">
        <v>3272</v>
      </c>
    </row>
    <row r="9403" spans="1:9" ht="15" customHeight="1">
      <c r="A9403" s="199">
        <v>45797</v>
      </c>
      <c r="B9403" s="202" t="s">
        <v>498</v>
      </c>
      <c r="C9403" s="200" t="s">
        <v>307</v>
      </c>
      <c r="D9403" s="204">
        <v>-8790</v>
      </c>
      <c r="E9403" s="201">
        <v>45809</v>
      </c>
      <c r="F9403" s="200" t="s">
        <v>296</v>
      </c>
      <c r="G9403" s="200" t="s">
        <v>1362</v>
      </c>
      <c r="H9403" s="200" t="s">
        <v>342</v>
      </c>
      <c r="I9403" s="200" t="s">
        <v>3272</v>
      </c>
    </row>
    <row r="9404" spans="1:9" ht="15" customHeight="1">
      <c r="A9404" s="199">
        <v>45798</v>
      </c>
      <c r="B9404" s="202" t="s">
        <v>7224</v>
      </c>
      <c r="C9404" s="200" t="s">
        <v>307</v>
      </c>
      <c r="D9404" s="204">
        <v>-114900</v>
      </c>
      <c r="E9404" s="201">
        <v>45809</v>
      </c>
      <c r="F9404" s="200" t="s">
        <v>296</v>
      </c>
      <c r="G9404" s="200" t="s">
        <v>1362</v>
      </c>
      <c r="H9404" s="200" t="s">
        <v>5384</v>
      </c>
      <c r="I9404" s="200" t="s">
        <v>3272</v>
      </c>
    </row>
    <row r="9405" spans="1:9" ht="15" customHeight="1">
      <c r="A9405" s="199">
        <v>45798</v>
      </c>
      <c r="B9405" s="202" t="s">
        <v>6160</v>
      </c>
      <c r="C9405" s="200" t="s">
        <v>307</v>
      </c>
      <c r="D9405" s="204">
        <v>-30000</v>
      </c>
      <c r="E9405" s="201">
        <v>45809</v>
      </c>
      <c r="F9405" s="200" t="s">
        <v>296</v>
      </c>
      <c r="G9405" s="200" t="s">
        <v>1362</v>
      </c>
      <c r="H9405" s="200" t="s">
        <v>268</v>
      </c>
      <c r="I9405" s="200" t="s">
        <v>3272</v>
      </c>
    </row>
    <row r="9406" spans="1:9" ht="15" customHeight="1">
      <c r="A9406" s="199">
        <v>45800</v>
      </c>
      <c r="B9406" s="202" t="s">
        <v>3088</v>
      </c>
      <c r="C9406" s="200" t="s">
        <v>307</v>
      </c>
      <c r="D9406" s="204">
        <v>-20000</v>
      </c>
      <c r="E9406" s="201">
        <v>45809</v>
      </c>
      <c r="F9406" s="200" t="s">
        <v>296</v>
      </c>
      <c r="G9406" s="200" t="s">
        <v>1362</v>
      </c>
      <c r="H9406" s="200" t="s">
        <v>268</v>
      </c>
      <c r="I9406" s="200" t="s">
        <v>3272</v>
      </c>
    </row>
    <row r="9407" spans="1:9" ht="15" customHeight="1">
      <c r="A9407" s="199">
        <v>45800</v>
      </c>
      <c r="B9407" s="202" t="s">
        <v>4691</v>
      </c>
      <c r="C9407" s="200" t="s">
        <v>307</v>
      </c>
      <c r="D9407" s="204">
        <v>-20000</v>
      </c>
      <c r="E9407" s="201">
        <v>45809</v>
      </c>
      <c r="F9407" s="200" t="s">
        <v>296</v>
      </c>
      <c r="G9407" s="200" t="s">
        <v>1362</v>
      </c>
      <c r="H9407" s="200" t="s">
        <v>268</v>
      </c>
      <c r="I9407" s="200" t="s">
        <v>3272</v>
      </c>
    </row>
    <row r="9408" spans="1:9" ht="15" customHeight="1">
      <c r="A9408" s="199">
        <v>45800</v>
      </c>
      <c r="B9408" s="202" t="s">
        <v>7225</v>
      </c>
      <c r="C9408" s="200" t="s">
        <v>307</v>
      </c>
      <c r="D9408" s="204">
        <v>-20000</v>
      </c>
      <c r="E9408" s="201">
        <v>45809</v>
      </c>
      <c r="F9408" s="200" t="s">
        <v>296</v>
      </c>
      <c r="G9408" s="200" t="s">
        <v>1362</v>
      </c>
      <c r="H9408" s="200" t="s">
        <v>268</v>
      </c>
      <c r="I9408" s="200" t="s">
        <v>3272</v>
      </c>
    </row>
    <row r="9409" spans="1:9" ht="15" customHeight="1">
      <c r="A9409" s="199">
        <v>45800</v>
      </c>
      <c r="B9409" s="202" t="s">
        <v>7226</v>
      </c>
      <c r="C9409" s="200" t="s">
        <v>307</v>
      </c>
      <c r="D9409" s="204">
        <v>-10000</v>
      </c>
      <c r="E9409" s="201">
        <v>45809</v>
      </c>
      <c r="F9409" s="200" t="s">
        <v>296</v>
      </c>
      <c r="G9409" s="200" t="s">
        <v>1362</v>
      </c>
      <c r="H9409" s="200" t="s">
        <v>268</v>
      </c>
      <c r="I9409" s="200" t="s">
        <v>3272</v>
      </c>
    </row>
    <row r="9410" spans="1:9" ht="15" customHeight="1">
      <c r="A9410" s="199">
        <v>45800</v>
      </c>
      <c r="B9410" s="202" t="s">
        <v>729</v>
      </c>
      <c r="C9410" s="200" t="s">
        <v>307</v>
      </c>
      <c r="D9410" s="204">
        <v>-5000</v>
      </c>
      <c r="E9410" s="201">
        <v>45809</v>
      </c>
      <c r="F9410" s="200" t="s">
        <v>296</v>
      </c>
      <c r="G9410" s="200" t="s">
        <v>1362</v>
      </c>
      <c r="H9410" s="200" t="s">
        <v>342</v>
      </c>
      <c r="I9410" s="200" t="s">
        <v>3272</v>
      </c>
    </row>
    <row r="9411" spans="1:9" ht="15" customHeight="1">
      <c r="A9411" s="199">
        <v>45800</v>
      </c>
      <c r="B9411" s="202" t="s">
        <v>7227</v>
      </c>
      <c r="C9411" s="200" t="s">
        <v>307</v>
      </c>
      <c r="D9411" s="204">
        <v>-8000</v>
      </c>
      <c r="E9411" s="201">
        <v>45809</v>
      </c>
      <c r="F9411" s="200" t="s">
        <v>296</v>
      </c>
      <c r="G9411" s="200" t="s">
        <v>1362</v>
      </c>
      <c r="H9411" s="200" t="s">
        <v>268</v>
      </c>
      <c r="I9411" s="200" t="s">
        <v>3272</v>
      </c>
    </row>
    <row r="9412" spans="1:9" ht="15" customHeight="1">
      <c r="A9412" s="199">
        <v>45800</v>
      </c>
      <c r="B9412" s="202" t="s">
        <v>7228</v>
      </c>
      <c r="C9412" s="200" t="s">
        <v>307</v>
      </c>
      <c r="D9412" s="204">
        <v>-40000</v>
      </c>
      <c r="E9412" s="201">
        <v>45809</v>
      </c>
      <c r="F9412" s="200" t="s">
        <v>296</v>
      </c>
      <c r="G9412" s="200" t="s">
        <v>1362</v>
      </c>
      <c r="H9412" s="200" t="s">
        <v>268</v>
      </c>
      <c r="I9412" s="200" t="s">
        <v>3272</v>
      </c>
    </row>
    <row r="9413" spans="1:9" ht="15" customHeight="1">
      <c r="A9413" s="199">
        <v>45800</v>
      </c>
      <c r="B9413" s="202" t="s">
        <v>4472</v>
      </c>
      <c r="C9413" s="200" t="s">
        <v>307</v>
      </c>
      <c r="D9413" s="204">
        <v>-100000</v>
      </c>
      <c r="E9413" s="201">
        <v>45809</v>
      </c>
      <c r="F9413" s="200" t="s">
        <v>296</v>
      </c>
      <c r="G9413" s="200" t="s">
        <v>1362</v>
      </c>
      <c r="H9413" s="200" t="s">
        <v>379</v>
      </c>
      <c r="I9413" s="200" t="s">
        <v>3272</v>
      </c>
    </row>
    <row r="9414" spans="1:9" ht="15" customHeight="1">
      <c r="A9414" s="199">
        <v>45803</v>
      </c>
      <c r="B9414" s="202" t="s">
        <v>7220</v>
      </c>
      <c r="C9414" s="200" t="s">
        <v>307</v>
      </c>
      <c r="D9414" s="204">
        <v>-13000</v>
      </c>
      <c r="E9414" s="201">
        <v>45809</v>
      </c>
      <c r="F9414" s="200" t="s">
        <v>296</v>
      </c>
      <c r="G9414" s="200" t="s">
        <v>1362</v>
      </c>
      <c r="H9414" s="200" t="s">
        <v>268</v>
      </c>
      <c r="I9414" s="200" t="s">
        <v>3272</v>
      </c>
    </row>
    <row r="9415" spans="1:9" ht="15" customHeight="1">
      <c r="A9415" s="199">
        <v>45803</v>
      </c>
      <c r="B9415" s="202" t="s">
        <v>7220</v>
      </c>
      <c r="C9415" s="200" t="s">
        <v>307</v>
      </c>
      <c r="D9415" s="204">
        <v>-32000</v>
      </c>
      <c r="E9415" s="201">
        <v>45809</v>
      </c>
      <c r="F9415" s="200" t="s">
        <v>296</v>
      </c>
      <c r="G9415" s="200" t="s">
        <v>1362</v>
      </c>
      <c r="H9415" s="200" t="s">
        <v>268</v>
      </c>
      <c r="I9415" s="648" t="s">
        <v>329</v>
      </c>
    </row>
    <row r="9416" spans="1:9" ht="15" customHeight="1">
      <c r="A9416" s="199">
        <v>45798</v>
      </c>
      <c r="B9416" s="202" t="s">
        <v>7229</v>
      </c>
      <c r="C9416" s="200" t="s">
        <v>307</v>
      </c>
      <c r="D9416" s="204">
        <v>-14000</v>
      </c>
      <c r="E9416" s="201">
        <v>45809</v>
      </c>
      <c r="F9416" s="200" t="s">
        <v>296</v>
      </c>
      <c r="G9416" s="200" t="s">
        <v>2994</v>
      </c>
      <c r="H9416" s="200" t="s">
        <v>5389</v>
      </c>
      <c r="I9416" s="648" t="s">
        <v>329</v>
      </c>
    </row>
    <row r="9417" spans="1:9" ht="15" customHeight="1">
      <c r="A9417" s="199">
        <v>45799</v>
      </c>
      <c r="B9417" s="202" t="s">
        <v>7230</v>
      </c>
      <c r="C9417" s="200" t="s">
        <v>307</v>
      </c>
      <c r="D9417" s="204">
        <v>-15000</v>
      </c>
      <c r="E9417" s="201">
        <v>45809</v>
      </c>
      <c r="F9417" s="200" t="s">
        <v>256</v>
      </c>
      <c r="G9417" s="200" t="s">
        <v>256</v>
      </c>
      <c r="H9417" s="200" t="s">
        <v>263</v>
      </c>
      <c r="I9417" s="200" t="s">
        <v>5293</v>
      </c>
    </row>
    <row r="9418" spans="1:9" ht="15" customHeight="1">
      <c r="A9418" s="199">
        <v>45803</v>
      </c>
      <c r="B9418" s="202" t="s">
        <v>431</v>
      </c>
      <c r="C9418" s="200" t="s">
        <v>307</v>
      </c>
      <c r="D9418" s="204">
        <v>-15200</v>
      </c>
      <c r="E9418" s="201">
        <v>45809</v>
      </c>
      <c r="F9418" s="200" t="s">
        <v>256</v>
      </c>
      <c r="G9418" s="200" t="s">
        <v>256</v>
      </c>
      <c r="H9418" s="200" t="s">
        <v>263</v>
      </c>
      <c r="I9418" s="200" t="s">
        <v>5293</v>
      </c>
    </row>
    <row r="9419" spans="1:9" ht="15" customHeight="1">
      <c r="A9419" s="199">
        <v>45805</v>
      </c>
      <c r="B9419" s="202" t="s">
        <v>7231</v>
      </c>
      <c r="C9419" s="200" t="s">
        <v>307</v>
      </c>
      <c r="D9419" s="204">
        <v>-19019</v>
      </c>
      <c r="E9419" s="201">
        <v>45809</v>
      </c>
      <c r="F9419" s="200" t="s">
        <v>297</v>
      </c>
      <c r="G9419" s="200" t="s">
        <v>71</v>
      </c>
      <c r="H9419" s="200" t="s">
        <v>5384</v>
      </c>
      <c r="I9419" s="200" t="s">
        <v>5293</v>
      </c>
    </row>
    <row r="9420" spans="1:9" ht="15" customHeight="1">
      <c r="A9420" s="199">
        <v>45806</v>
      </c>
      <c r="B9420" s="202" t="s">
        <v>7232</v>
      </c>
      <c r="C9420" s="200" t="s">
        <v>307</v>
      </c>
      <c r="D9420" s="204">
        <v>-96600</v>
      </c>
      <c r="E9420" s="201">
        <v>45809</v>
      </c>
      <c r="F9420" s="200" t="s">
        <v>297</v>
      </c>
      <c r="G9420" s="200" t="s">
        <v>71</v>
      </c>
      <c r="H9420" s="200" t="s">
        <v>5384</v>
      </c>
      <c r="I9420" s="200" t="s">
        <v>5293</v>
      </c>
    </row>
    <row r="9421" spans="1:9" ht="15" customHeight="1">
      <c r="A9421" s="199">
        <v>45807</v>
      </c>
      <c r="B9421" s="202" t="s">
        <v>7233</v>
      </c>
      <c r="C9421" s="200" t="s">
        <v>307</v>
      </c>
      <c r="D9421" s="204">
        <v>-195000</v>
      </c>
      <c r="E9421" s="201">
        <v>45809</v>
      </c>
      <c r="F9421" s="200" t="s">
        <v>256</v>
      </c>
      <c r="G9421" s="200" t="s">
        <v>256</v>
      </c>
      <c r="H9421" s="200" t="s">
        <v>267</v>
      </c>
      <c r="I9421" s="200" t="s">
        <v>5293</v>
      </c>
    </row>
    <row r="9422" spans="1:9" ht="15" customHeight="1">
      <c r="A9422" s="199">
        <v>45812</v>
      </c>
      <c r="B9422" s="202" t="s">
        <v>7234</v>
      </c>
      <c r="C9422" s="200" t="s">
        <v>307</v>
      </c>
      <c r="D9422" s="204">
        <v>-111000</v>
      </c>
      <c r="E9422" s="201">
        <v>45809</v>
      </c>
      <c r="F9422" s="200" t="s">
        <v>256</v>
      </c>
      <c r="G9422" s="200" t="s">
        <v>107</v>
      </c>
      <c r="H9422" s="200" t="s">
        <v>9</v>
      </c>
    </row>
    <row r="9423" spans="1:9" ht="15" customHeight="1">
      <c r="A9423" s="199">
        <v>45813</v>
      </c>
      <c r="B9423" s="202" t="s">
        <v>7235</v>
      </c>
      <c r="C9423" s="200" t="s">
        <v>307</v>
      </c>
      <c r="D9423" s="204">
        <v>-10000</v>
      </c>
      <c r="E9423" s="201">
        <v>45809</v>
      </c>
      <c r="F9423" s="200" t="s">
        <v>256</v>
      </c>
      <c r="G9423" s="200" t="s">
        <v>256</v>
      </c>
      <c r="H9423" s="200" t="s">
        <v>263</v>
      </c>
    </row>
    <row r="9424" spans="1:9" ht="15" customHeight="1">
      <c r="A9424" s="199">
        <v>45813</v>
      </c>
      <c r="B9424" s="202" t="s">
        <v>7236</v>
      </c>
      <c r="C9424" s="200" t="s">
        <v>307</v>
      </c>
      <c r="D9424" s="204">
        <v>-320000</v>
      </c>
      <c r="E9424" s="201">
        <v>45809</v>
      </c>
      <c r="F9424" s="200" t="s">
        <v>256</v>
      </c>
      <c r="G9424" s="200" t="s">
        <v>256</v>
      </c>
      <c r="H9424" s="200" t="s">
        <v>263</v>
      </c>
    </row>
    <row r="9425" spans="1:9" ht="15" customHeight="1">
      <c r="A9425" s="199">
        <v>45812</v>
      </c>
      <c r="B9425" s="202" t="s">
        <v>7237</v>
      </c>
      <c r="C9425" s="200" t="s">
        <v>307</v>
      </c>
      <c r="D9425" s="204">
        <v>-10000</v>
      </c>
      <c r="E9425" s="201">
        <v>45809</v>
      </c>
      <c r="F9425" s="200" t="s">
        <v>256</v>
      </c>
      <c r="G9425" s="200" t="s">
        <v>107</v>
      </c>
      <c r="H9425" s="200" t="s">
        <v>9</v>
      </c>
    </row>
    <row r="9426" spans="1:9" ht="15" customHeight="1">
      <c r="A9426" s="199">
        <v>45811</v>
      </c>
      <c r="B9426" s="202" t="s">
        <v>4394</v>
      </c>
      <c r="C9426" s="200" t="s">
        <v>307</v>
      </c>
      <c r="D9426" s="204">
        <v>-26208</v>
      </c>
      <c r="E9426" s="201">
        <v>45809</v>
      </c>
      <c r="F9426" s="200" t="s">
        <v>256</v>
      </c>
      <c r="G9426" s="200" t="s">
        <v>256</v>
      </c>
      <c r="H9426" s="200" t="s">
        <v>268</v>
      </c>
    </row>
    <row r="9427" spans="1:9" ht="15" customHeight="1">
      <c r="A9427" s="199">
        <v>45811</v>
      </c>
      <c r="B9427" s="202" t="s">
        <v>4394</v>
      </c>
      <c r="C9427" s="200" t="s">
        <v>307</v>
      </c>
      <c r="D9427" s="204">
        <v>-7000</v>
      </c>
      <c r="E9427" s="201">
        <v>45809</v>
      </c>
      <c r="F9427" s="200" t="s">
        <v>297</v>
      </c>
      <c r="G9427" s="200" t="s">
        <v>3892</v>
      </c>
      <c r="H9427" s="200" t="s">
        <v>268</v>
      </c>
    </row>
    <row r="9428" spans="1:9" ht="15" customHeight="1">
      <c r="A9428" s="199">
        <v>45811</v>
      </c>
      <c r="B9428" s="202" t="s">
        <v>4394</v>
      </c>
      <c r="C9428" s="200" t="s">
        <v>307</v>
      </c>
      <c r="D9428" s="204">
        <v>-49000</v>
      </c>
      <c r="E9428" s="201">
        <v>45809</v>
      </c>
      <c r="F9428" s="200" t="s">
        <v>297</v>
      </c>
      <c r="G9428" s="200" t="s">
        <v>71</v>
      </c>
      <c r="H9428" s="200" t="s">
        <v>268</v>
      </c>
    </row>
    <row r="9429" spans="1:9" ht="15" customHeight="1">
      <c r="A9429" s="199">
        <v>45811</v>
      </c>
      <c r="B9429" s="202" t="s">
        <v>4394</v>
      </c>
      <c r="C9429" s="200" t="s">
        <v>307</v>
      </c>
      <c r="D9429" s="204">
        <v>-28000</v>
      </c>
      <c r="E9429" s="201">
        <v>45809</v>
      </c>
      <c r="F9429" s="200" t="s">
        <v>296</v>
      </c>
      <c r="G9429" s="200" t="s">
        <v>522</v>
      </c>
      <c r="H9429" s="200" t="s">
        <v>326</v>
      </c>
      <c r="I9429" s="648" t="s">
        <v>329</v>
      </c>
    </row>
    <row r="9430" spans="1:9" ht="15" customHeight="1">
      <c r="A9430" s="199">
        <v>45811</v>
      </c>
      <c r="B9430" s="202" t="s">
        <v>4395</v>
      </c>
      <c r="C9430" s="200" t="s">
        <v>372</v>
      </c>
      <c r="D9430" s="204">
        <v>-1120</v>
      </c>
      <c r="E9430" s="201">
        <v>45809</v>
      </c>
      <c r="F9430" s="200" t="s">
        <v>256</v>
      </c>
      <c r="G9430" s="200" t="s">
        <v>256</v>
      </c>
      <c r="H9430" s="200" t="s">
        <v>268</v>
      </c>
    </row>
    <row r="9431" spans="1:9" ht="15" customHeight="1">
      <c r="A9431" s="199">
        <v>45811</v>
      </c>
      <c r="B9431" s="202" t="s">
        <v>4396</v>
      </c>
      <c r="C9431" s="200" t="s">
        <v>372</v>
      </c>
      <c r="D9431" s="204">
        <v>-672</v>
      </c>
      <c r="E9431" s="201">
        <v>45809</v>
      </c>
      <c r="F9431" s="200" t="s">
        <v>256</v>
      </c>
      <c r="G9431" s="200" t="s">
        <v>256</v>
      </c>
      <c r="H9431" s="200" t="s">
        <v>268</v>
      </c>
    </row>
    <row r="9432" spans="1:9" ht="15" customHeight="1">
      <c r="A9432" s="199">
        <v>45814</v>
      </c>
      <c r="B9432" s="202" t="s">
        <v>7238</v>
      </c>
      <c r="C9432" s="200" t="s">
        <v>307</v>
      </c>
      <c r="D9432" s="204">
        <v>-14000</v>
      </c>
      <c r="E9432" s="201">
        <v>45809</v>
      </c>
      <c r="F9432" s="200" t="s">
        <v>297</v>
      </c>
      <c r="G9432" s="200" t="s">
        <v>71</v>
      </c>
      <c r="H9432" s="200" t="s">
        <v>268</v>
      </c>
      <c r="I9432" s="648" t="s">
        <v>329</v>
      </c>
    </row>
    <row r="9433" spans="1:9" ht="15" customHeight="1">
      <c r="A9433" s="199">
        <v>45811</v>
      </c>
      <c r="B9433" s="202" t="s">
        <v>7239</v>
      </c>
      <c r="C9433" s="200" t="s">
        <v>204</v>
      </c>
      <c r="D9433" s="765">
        <v>-3773783</v>
      </c>
      <c r="E9433" s="201">
        <v>45809</v>
      </c>
      <c r="F9433" s="759" t="s">
        <v>298</v>
      </c>
    </row>
    <row r="9434" spans="1:9" ht="15" customHeight="1">
      <c r="A9434" s="199">
        <v>45811</v>
      </c>
      <c r="B9434" s="202" t="s">
        <v>7239</v>
      </c>
      <c r="C9434" s="200" t="s">
        <v>204</v>
      </c>
      <c r="D9434" s="765">
        <v>-1221014</v>
      </c>
      <c r="E9434" s="201">
        <v>45809</v>
      </c>
      <c r="F9434" s="759" t="s">
        <v>315</v>
      </c>
    </row>
    <row r="9435" spans="1:9" ht="15" customHeight="1">
      <c r="A9435" s="199">
        <v>45813</v>
      </c>
      <c r="B9435" s="202" t="s">
        <v>7240</v>
      </c>
      <c r="C9435" s="200" t="s">
        <v>204</v>
      </c>
      <c r="D9435" s="204">
        <v>200000000</v>
      </c>
      <c r="E9435" s="201">
        <v>45809</v>
      </c>
      <c r="F9435" s="200" t="s">
        <v>652</v>
      </c>
      <c r="G9435" s="200" t="s">
        <v>337</v>
      </c>
    </row>
    <row r="9436" spans="1:9" ht="15" customHeight="1">
      <c r="A9436" s="199">
        <v>45797</v>
      </c>
      <c r="B9436" s="202" t="s">
        <v>7241</v>
      </c>
      <c r="C9436" s="200" t="s">
        <v>307</v>
      </c>
      <c r="D9436" s="204">
        <v>-49000</v>
      </c>
      <c r="E9436" s="201">
        <v>45809</v>
      </c>
      <c r="F9436" s="200" t="s">
        <v>297</v>
      </c>
      <c r="G9436" s="200" t="s">
        <v>3892</v>
      </c>
      <c r="H9436" s="200" t="s">
        <v>268</v>
      </c>
      <c r="I9436" s="200" t="s">
        <v>4979</v>
      </c>
    </row>
    <row r="9437" spans="1:9" ht="15" customHeight="1">
      <c r="A9437" s="199">
        <v>45803</v>
      </c>
      <c r="B9437" s="202" t="s">
        <v>3026</v>
      </c>
      <c r="C9437" s="200" t="s">
        <v>307</v>
      </c>
      <c r="D9437" s="204">
        <v>-20000</v>
      </c>
      <c r="E9437" s="201">
        <v>45809</v>
      </c>
      <c r="F9437" s="200" t="s">
        <v>296</v>
      </c>
      <c r="G9437" s="200" t="s">
        <v>3360</v>
      </c>
      <c r="H9437" s="200" t="s">
        <v>268</v>
      </c>
      <c r="I9437" s="200" t="s">
        <v>4979</v>
      </c>
    </row>
    <row r="9438" spans="1:9" ht="15" customHeight="1">
      <c r="A9438" s="199">
        <v>45803</v>
      </c>
      <c r="B9438" s="202" t="s">
        <v>7242</v>
      </c>
      <c r="C9438" s="200" t="s">
        <v>307</v>
      </c>
      <c r="D9438" s="204">
        <v>-20000</v>
      </c>
      <c r="E9438" s="201">
        <v>45809</v>
      </c>
      <c r="F9438" s="200" t="s">
        <v>296</v>
      </c>
      <c r="G9438" s="200" t="s">
        <v>3360</v>
      </c>
      <c r="H9438" s="200" t="s">
        <v>268</v>
      </c>
      <c r="I9438" s="200" t="s">
        <v>4979</v>
      </c>
    </row>
    <row r="9439" spans="1:9" ht="15" customHeight="1">
      <c r="A9439" s="199">
        <v>45803</v>
      </c>
      <c r="B9439" s="202" t="s">
        <v>7243</v>
      </c>
      <c r="C9439" s="200" t="s">
        <v>307</v>
      </c>
      <c r="D9439" s="204">
        <v>-18660</v>
      </c>
      <c r="E9439" s="201">
        <v>45809</v>
      </c>
      <c r="F9439" s="200" t="s">
        <v>296</v>
      </c>
      <c r="G9439" s="200" t="s">
        <v>3360</v>
      </c>
      <c r="H9439" s="200" t="s">
        <v>5384</v>
      </c>
      <c r="I9439" s="200" t="s">
        <v>4979</v>
      </c>
    </row>
    <row r="9440" spans="1:9" ht="15" customHeight="1">
      <c r="A9440" s="199">
        <v>45803</v>
      </c>
      <c r="B9440" s="202" t="s">
        <v>7243</v>
      </c>
      <c r="C9440" s="200" t="s">
        <v>307</v>
      </c>
      <c r="D9440" s="204">
        <v>-99538</v>
      </c>
      <c r="E9440" s="201">
        <v>45809</v>
      </c>
      <c r="F9440" s="200" t="s">
        <v>296</v>
      </c>
      <c r="G9440" s="200" t="s">
        <v>3360</v>
      </c>
      <c r="H9440" s="200" t="s">
        <v>5384</v>
      </c>
      <c r="I9440" s="200" t="s">
        <v>4979</v>
      </c>
    </row>
    <row r="9441" spans="1:9" ht="15" customHeight="1">
      <c r="A9441" s="199">
        <v>45803</v>
      </c>
      <c r="B9441" s="202" t="s">
        <v>7244</v>
      </c>
      <c r="C9441" s="200" t="s">
        <v>307</v>
      </c>
      <c r="D9441" s="204">
        <v>-12000</v>
      </c>
      <c r="E9441" s="201">
        <v>45809</v>
      </c>
      <c r="F9441" s="200" t="s">
        <v>297</v>
      </c>
      <c r="G9441" s="200" t="s">
        <v>3892</v>
      </c>
      <c r="H9441" s="200" t="s">
        <v>5384</v>
      </c>
      <c r="I9441" s="200" t="s">
        <v>4979</v>
      </c>
    </row>
    <row r="9442" spans="1:9" ht="15" customHeight="1">
      <c r="A9442" s="199">
        <v>45803</v>
      </c>
      <c r="B9442" s="202" t="s">
        <v>7244</v>
      </c>
      <c r="C9442" s="200" t="s">
        <v>307</v>
      </c>
      <c r="D9442" s="204">
        <v>-12000</v>
      </c>
      <c r="E9442" s="201">
        <v>45809</v>
      </c>
      <c r="F9442" s="200" t="s">
        <v>297</v>
      </c>
      <c r="G9442" s="200" t="s">
        <v>3892</v>
      </c>
      <c r="H9442" s="200" t="s">
        <v>5384</v>
      </c>
      <c r="I9442" s="200" t="s">
        <v>4979</v>
      </c>
    </row>
    <row r="9443" spans="1:9" ht="15" customHeight="1">
      <c r="A9443" s="199">
        <v>45803</v>
      </c>
      <c r="B9443" s="202" t="s">
        <v>1745</v>
      </c>
      <c r="C9443" s="200" t="s">
        <v>307</v>
      </c>
      <c r="D9443" s="204">
        <v>-15000</v>
      </c>
      <c r="E9443" s="201">
        <v>45809</v>
      </c>
      <c r="F9443" s="200" t="s">
        <v>296</v>
      </c>
      <c r="G9443" s="200" t="s">
        <v>3360</v>
      </c>
      <c r="H9443" s="200" t="s">
        <v>342</v>
      </c>
      <c r="I9443" s="200" t="s">
        <v>4979</v>
      </c>
    </row>
    <row r="9444" spans="1:9" ht="15" customHeight="1">
      <c r="A9444" s="199">
        <v>45803</v>
      </c>
      <c r="B9444" s="202" t="s">
        <v>7245</v>
      </c>
      <c r="C9444" s="200" t="s">
        <v>307</v>
      </c>
      <c r="D9444" s="204">
        <v>-20000</v>
      </c>
      <c r="E9444" s="201">
        <v>45809</v>
      </c>
      <c r="F9444" s="200" t="s">
        <v>296</v>
      </c>
      <c r="G9444" s="200" t="s">
        <v>3360</v>
      </c>
      <c r="H9444" s="200" t="s">
        <v>268</v>
      </c>
      <c r="I9444" s="200" t="s">
        <v>4979</v>
      </c>
    </row>
    <row r="9445" spans="1:9" ht="15" customHeight="1">
      <c r="A9445" s="199">
        <v>45803</v>
      </c>
      <c r="B9445" s="202" t="s">
        <v>7246</v>
      </c>
      <c r="C9445" s="200" t="s">
        <v>307</v>
      </c>
      <c r="D9445" s="204">
        <v>-20000</v>
      </c>
      <c r="E9445" s="201">
        <v>45809</v>
      </c>
      <c r="F9445" s="200" t="s">
        <v>296</v>
      </c>
      <c r="G9445" s="200" t="s">
        <v>3360</v>
      </c>
      <c r="H9445" s="200" t="s">
        <v>268</v>
      </c>
      <c r="I9445" s="200" t="s">
        <v>4979</v>
      </c>
    </row>
    <row r="9446" spans="1:9" ht="15" customHeight="1">
      <c r="A9446" s="199">
        <v>45803</v>
      </c>
      <c r="B9446" s="202" t="s">
        <v>6128</v>
      </c>
      <c r="C9446" s="200" t="s">
        <v>307</v>
      </c>
      <c r="D9446" s="204">
        <v>-20000</v>
      </c>
      <c r="E9446" s="201">
        <v>45809</v>
      </c>
      <c r="F9446" s="200" t="s">
        <v>296</v>
      </c>
      <c r="G9446" s="200" t="s">
        <v>3360</v>
      </c>
      <c r="H9446" s="200" t="s">
        <v>268</v>
      </c>
      <c r="I9446" s="200" t="s">
        <v>4979</v>
      </c>
    </row>
    <row r="9447" spans="1:9" ht="15" customHeight="1">
      <c r="A9447" s="199">
        <v>45803</v>
      </c>
      <c r="B9447" s="202" t="s">
        <v>7247</v>
      </c>
      <c r="C9447" s="200" t="s">
        <v>307</v>
      </c>
      <c r="D9447" s="204">
        <v>-32000</v>
      </c>
      <c r="E9447" s="201">
        <v>45809</v>
      </c>
      <c r="F9447" s="200" t="s">
        <v>297</v>
      </c>
      <c r="G9447" s="200" t="s">
        <v>3892</v>
      </c>
      <c r="H9447" s="200" t="s">
        <v>268</v>
      </c>
      <c r="I9447" s="200" t="s">
        <v>4979</v>
      </c>
    </row>
    <row r="9448" spans="1:9" ht="15" customHeight="1">
      <c r="A9448" s="199">
        <v>45803</v>
      </c>
      <c r="B9448" s="202" t="s">
        <v>7248</v>
      </c>
      <c r="C9448" s="200" t="s">
        <v>307</v>
      </c>
      <c r="D9448" s="204">
        <v>-30000</v>
      </c>
      <c r="E9448" s="201">
        <v>45809</v>
      </c>
      <c r="F9448" s="200" t="s">
        <v>297</v>
      </c>
      <c r="G9448" s="200" t="s">
        <v>3892</v>
      </c>
      <c r="H9448" s="200" t="s">
        <v>268</v>
      </c>
      <c r="I9448" s="200" t="s">
        <v>4979</v>
      </c>
    </row>
    <row r="9449" spans="1:9" ht="15" customHeight="1">
      <c r="A9449" s="199">
        <v>45803</v>
      </c>
      <c r="B9449" s="202" t="s">
        <v>6143</v>
      </c>
      <c r="C9449" s="200" t="s">
        <v>307</v>
      </c>
      <c r="D9449" s="204">
        <v>-20000</v>
      </c>
      <c r="E9449" s="201">
        <v>45809</v>
      </c>
      <c r="F9449" s="200" t="s">
        <v>296</v>
      </c>
      <c r="G9449" s="200" t="s">
        <v>3360</v>
      </c>
      <c r="H9449" s="200" t="s">
        <v>268</v>
      </c>
      <c r="I9449" s="648" t="s">
        <v>329</v>
      </c>
    </row>
    <row r="9450" spans="1:9" ht="15" customHeight="1">
      <c r="A9450" s="199">
        <v>45804</v>
      </c>
      <c r="B9450" s="202" t="s">
        <v>6126</v>
      </c>
      <c r="C9450" s="200" t="s">
        <v>307</v>
      </c>
      <c r="D9450" s="204">
        <v>-20000</v>
      </c>
      <c r="E9450" s="201">
        <v>45809</v>
      </c>
      <c r="F9450" s="200" t="s">
        <v>297</v>
      </c>
      <c r="G9450" s="200" t="s">
        <v>3892</v>
      </c>
      <c r="H9450" s="200" t="s">
        <v>268</v>
      </c>
      <c r="I9450" s="200" t="s">
        <v>4979</v>
      </c>
    </row>
    <row r="9451" spans="1:9" ht="15" customHeight="1">
      <c r="A9451" s="199">
        <v>45804</v>
      </c>
      <c r="B9451" s="202" t="s">
        <v>7249</v>
      </c>
      <c r="C9451" s="200" t="s">
        <v>307</v>
      </c>
      <c r="D9451" s="204">
        <v>-30000</v>
      </c>
      <c r="E9451" s="201">
        <v>45809</v>
      </c>
      <c r="F9451" s="200" t="s">
        <v>256</v>
      </c>
      <c r="G9451" s="200" t="s">
        <v>107</v>
      </c>
      <c r="H9451" s="200" t="s">
        <v>275</v>
      </c>
      <c r="I9451" s="200" t="s">
        <v>4979</v>
      </c>
    </row>
    <row r="9452" spans="1:9" ht="15" customHeight="1">
      <c r="A9452" s="199">
        <v>45804</v>
      </c>
      <c r="B9452" s="202" t="s">
        <v>498</v>
      </c>
      <c r="C9452" s="200" t="s">
        <v>307</v>
      </c>
      <c r="D9452" s="204">
        <v>-30400</v>
      </c>
      <c r="E9452" s="201">
        <v>45809</v>
      </c>
      <c r="F9452" s="200" t="s">
        <v>297</v>
      </c>
      <c r="G9452" s="200" t="s">
        <v>3892</v>
      </c>
      <c r="H9452" s="200" t="s">
        <v>342</v>
      </c>
      <c r="I9452" s="200" t="s">
        <v>4979</v>
      </c>
    </row>
    <row r="9453" spans="1:9" ht="15" customHeight="1">
      <c r="A9453" s="199">
        <v>45804</v>
      </c>
      <c r="B9453" s="202" t="s">
        <v>7250</v>
      </c>
      <c r="C9453" s="200" t="s">
        <v>307</v>
      </c>
      <c r="D9453" s="204">
        <v>-12000</v>
      </c>
      <c r="E9453" s="201">
        <v>45809</v>
      </c>
      <c r="F9453" s="200" t="s">
        <v>297</v>
      </c>
      <c r="G9453" s="200" t="s">
        <v>3892</v>
      </c>
      <c r="H9453" s="200" t="s">
        <v>268</v>
      </c>
      <c r="I9453" s="200" t="s">
        <v>4979</v>
      </c>
    </row>
    <row r="9454" spans="1:9" ht="15" customHeight="1">
      <c r="A9454" s="199">
        <v>45804</v>
      </c>
      <c r="B9454" s="202" t="s">
        <v>7250</v>
      </c>
      <c r="C9454" s="200" t="s">
        <v>307</v>
      </c>
      <c r="D9454" s="204">
        <v>-10000</v>
      </c>
      <c r="E9454" s="201">
        <v>45809</v>
      </c>
      <c r="F9454" s="200" t="s">
        <v>297</v>
      </c>
      <c r="G9454" s="200" t="s">
        <v>3892</v>
      </c>
      <c r="H9454" s="200" t="s">
        <v>268</v>
      </c>
      <c r="I9454" s="200" t="s">
        <v>4979</v>
      </c>
    </row>
    <row r="9455" spans="1:9" ht="15" customHeight="1">
      <c r="A9455" s="199">
        <v>45804</v>
      </c>
      <c r="B9455" s="202" t="s">
        <v>6126</v>
      </c>
      <c r="C9455" s="200" t="s">
        <v>307</v>
      </c>
      <c r="D9455" s="204">
        <v>-20000</v>
      </c>
      <c r="E9455" s="201">
        <v>45809</v>
      </c>
      <c r="F9455" s="200" t="s">
        <v>297</v>
      </c>
      <c r="G9455" s="200" t="s">
        <v>3892</v>
      </c>
      <c r="H9455" s="200" t="s">
        <v>268</v>
      </c>
      <c r="I9455" s="200" t="s">
        <v>4979</v>
      </c>
    </row>
    <row r="9456" spans="1:9" ht="15" customHeight="1">
      <c r="A9456" s="199">
        <v>45805</v>
      </c>
      <c r="B9456" s="202" t="s">
        <v>6126</v>
      </c>
      <c r="C9456" s="200" t="s">
        <v>307</v>
      </c>
      <c r="D9456" s="204">
        <v>-15000</v>
      </c>
      <c r="E9456" s="201">
        <v>45809</v>
      </c>
      <c r="F9456" s="200" t="s">
        <v>297</v>
      </c>
      <c r="G9456" s="200" t="s">
        <v>3892</v>
      </c>
      <c r="H9456" s="200" t="s">
        <v>268</v>
      </c>
      <c r="I9456" s="200" t="s">
        <v>4979</v>
      </c>
    </row>
    <row r="9457" spans="1:9" ht="15" customHeight="1">
      <c r="A9457" s="199">
        <v>45805</v>
      </c>
      <c r="B9457" s="202" t="s">
        <v>7251</v>
      </c>
      <c r="C9457" s="200" t="s">
        <v>307</v>
      </c>
      <c r="D9457" s="204">
        <v>-32220</v>
      </c>
      <c r="E9457" s="201">
        <v>45809</v>
      </c>
      <c r="F9457" s="200" t="s">
        <v>297</v>
      </c>
      <c r="G9457" s="200" t="s">
        <v>3892</v>
      </c>
      <c r="H9457" s="200" t="s">
        <v>268</v>
      </c>
      <c r="I9457" s="200" t="s">
        <v>4979</v>
      </c>
    </row>
    <row r="9458" spans="1:9" ht="15" customHeight="1">
      <c r="A9458" s="199">
        <v>45805</v>
      </c>
      <c r="B9458" s="202" t="s">
        <v>7251</v>
      </c>
      <c r="C9458" s="200" t="s">
        <v>307</v>
      </c>
      <c r="D9458" s="204">
        <v>-31700</v>
      </c>
      <c r="E9458" s="201">
        <v>45809</v>
      </c>
      <c r="F9458" s="200" t="s">
        <v>297</v>
      </c>
      <c r="G9458" s="200" t="s">
        <v>3892</v>
      </c>
      <c r="H9458" s="200" t="s">
        <v>268</v>
      </c>
      <c r="I9458" s="200" t="s">
        <v>4979</v>
      </c>
    </row>
    <row r="9459" spans="1:9" ht="15" customHeight="1">
      <c r="A9459" s="199">
        <v>45805</v>
      </c>
      <c r="B9459" s="202" t="s">
        <v>7252</v>
      </c>
      <c r="C9459" s="200" t="s">
        <v>307</v>
      </c>
      <c r="D9459" s="204">
        <v>-91400</v>
      </c>
      <c r="E9459" s="201">
        <v>45809</v>
      </c>
      <c r="F9459" s="200" t="s">
        <v>297</v>
      </c>
      <c r="G9459" s="200" t="s">
        <v>3892</v>
      </c>
      <c r="H9459" s="200" t="s">
        <v>268</v>
      </c>
      <c r="I9459" s="200" t="s">
        <v>4979</v>
      </c>
    </row>
    <row r="9460" spans="1:9" ht="15" customHeight="1">
      <c r="A9460" s="199">
        <v>45805</v>
      </c>
      <c r="B9460" s="202" t="s">
        <v>7019</v>
      </c>
      <c r="C9460" s="200" t="s">
        <v>307</v>
      </c>
      <c r="D9460" s="204">
        <v>-10000</v>
      </c>
      <c r="E9460" s="201">
        <v>45809</v>
      </c>
      <c r="F9460" s="200" t="s">
        <v>297</v>
      </c>
      <c r="G9460" s="200" t="s">
        <v>3892</v>
      </c>
      <c r="H9460" s="200" t="s">
        <v>268</v>
      </c>
      <c r="I9460" s="200" t="s">
        <v>4979</v>
      </c>
    </row>
    <row r="9461" spans="1:9" ht="15" customHeight="1">
      <c r="A9461" s="199">
        <v>45806</v>
      </c>
      <c r="B9461" s="202" t="s">
        <v>6126</v>
      </c>
      <c r="C9461" s="200" t="s">
        <v>307</v>
      </c>
      <c r="D9461" s="204">
        <v>-20000</v>
      </c>
      <c r="E9461" s="201">
        <v>45809</v>
      </c>
      <c r="F9461" s="200" t="s">
        <v>297</v>
      </c>
      <c r="G9461" s="200" t="s">
        <v>3892</v>
      </c>
      <c r="H9461" s="200" t="s">
        <v>268</v>
      </c>
      <c r="I9461" s="200" t="s">
        <v>4979</v>
      </c>
    </row>
    <row r="9462" spans="1:9" ht="15" customHeight="1">
      <c r="A9462" s="199">
        <v>45806</v>
      </c>
      <c r="B9462" s="202" t="s">
        <v>7253</v>
      </c>
      <c r="C9462" s="200" t="s">
        <v>307</v>
      </c>
      <c r="D9462" s="204">
        <v>-32220</v>
      </c>
      <c r="E9462" s="201">
        <v>45809</v>
      </c>
      <c r="F9462" s="200" t="s">
        <v>297</v>
      </c>
      <c r="G9462" s="200" t="s">
        <v>3892</v>
      </c>
      <c r="H9462" s="200" t="s">
        <v>268</v>
      </c>
      <c r="I9462" s="200" t="s">
        <v>4979</v>
      </c>
    </row>
    <row r="9463" spans="1:9" ht="15" customHeight="1">
      <c r="A9463" s="199">
        <v>45806</v>
      </c>
      <c r="B9463" s="202" t="s">
        <v>7254</v>
      </c>
      <c r="C9463" s="200" t="s">
        <v>307</v>
      </c>
      <c r="D9463" s="204">
        <v>-8000</v>
      </c>
      <c r="E9463" s="201">
        <v>45809</v>
      </c>
      <c r="F9463" s="200" t="s">
        <v>297</v>
      </c>
      <c r="G9463" s="200" t="s">
        <v>3892</v>
      </c>
      <c r="H9463" s="200" t="s">
        <v>5384</v>
      </c>
      <c r="I9463" s="200" t="s">
        <v>4979</v>
      </c>
    </row>
    <row r="9464" spans="1:9" ht="15" customHeight="1">
      <c r="A9464" s="199">
        <v>45806</v>
      </c>
      <c r="B9464" s="202" t="s">
        <v>498</v>
      </c>
      <c r="C9464" s="200" t="s">
        <v>307</v>
      </c>
      <c r="D9464" s="204">
        <v>-67150</v>
      </c>
      <c r="E9464" s="201">
        <v>45809</v>
      </c>
      <c r="F9464" s="200" t="s">
        <v>297</v>
      </c>
      <c r="G9464" s="200" t="s">
        <v>3892</v>
      </c>
      <c r="H9464" s="200" t="s">
        <v>342</v>
      </c>
      <c r="I9464" s="200" t="s">
        <v>4979</v>
      </c>
    </row>
    <row r="9465" spans="1:9" ht="15" customHeight="1">
      <c r="A9465" s="199">
        <v>45807</v>
      </c>
      <c r="B9465" s="202" t="s">
        <v>7255</v>
      </c>
      <c r="C9465" s="200" t="s">
        <v>307</v>
      </c>
      <c r="D9465" s="204">
        <v>-20000</v>
      </c>
      <c r="E9465" s="201">
        <v>45809</v>
      </c>
      <c r="F9465" s="200" t="s">
        <v>297</v>
      </c>
      <c r="G9465" s="200" t="s">
        <v>3892</v>
      </c>
      <c r="H9465" s="200" t="s">
        <v>268</v>
      </c>
      <c r="I9465" s="200" t="s">
        <v>4979</v>
      </c>
    </row>
    <row r="9466" spans="1:9" ht="15" customHeight="1">
      <c r="A9466" s="199">
        <v>45807</v>
      </c>
      <c r="B9466" s="202" t="s">
        <v>6143</v>
      </c>
      <c r="C9466" s="200" t="s">
        <v>307</v>
      </c>
      <c r="D9466" s="204">
        <v>-20000</v>
      </c>
      <c r="E9466" s="201">
        <v>45809</v>
      </c>
      <c r="F9466" s="200" t="s">
        <v>297</v>
      </c>
      <c r="G9466" s="200" t="s">
        <v>3892</v>
      </c>
      <c r="H9466" s="200" t="s">
        <v>268</v>
      </c>
      <c r="I9466" s="648" t="s">
        <v>329</v>
      </c>
    </row>
    <row r="9467" spans="1:9" ht="15" customHeight="1">
      <c r="A9467" s="199">
        <v>45812</v>
      </c>
      <c r="B9467" s="202" t="s">
        <v>7256</v>
      </c>
      <c r="C9467" s="200" t="s">
        <v>314</v>
      </c>
      <c r="D9467" s="765">
        <v>-11111111</v>
      </c>
      <c r="E9467" s="201">
        <v>45809</v>
      </c>
      <c r="F9467" s="200" t="s">
        <v>298</v>
      </c>
    </row>
    <row r="9468" spans="1:9" ht="15" customHeight="1">
      <c r="A9468" s="199">
        <v>45812</v>
      </c>
      <c r="B9468" s="202" t="s">
        <v>7256</v>
      </c>
      <c r="C9468" s="200" t="s">
        <v>314</v>
      </c>
      <c r="D9468" s="765">
        <f>-2735938.92-3631.08</f>
        <v>-2739570</v>
      </c>
      <c r="E9468" s="201">
        <v>45809</v>
      </c>
      <c r="F9468" s="200" t="s">
        <v>315</v>
      </c>
    </row>
    <row r="9469" spans="1:9" ht="15" customHeight="1">
      <c r="A9469" s="199">
        <v>45812</v>
      </c>
      <c r="B9469" s="202" t="s">
        <v>7257</v>
      </c>
      <c r="C9469" s="200" t="s">
        <v>398</v>
      </c>
      <c r="D9469" s="658">
        <v>-10200</v>
      </c>
      <c r="E9469" s="201">
        <v>45809</v>
      </c>
      <c r="F9469" s="200" t="s">
        <v>256</v>
      </c>
      <c r="G9469" s="200" t="s">
        <v>107</v>
      </c>
      <c r="H9469" s="200" t="s">
        <v>277</v>
      </c>
    </row>
    <row r="9470" spans="1:9" ht="15" customHeight="1">
      <c r="A9470" s="199">
        <v>45813</v>
      </c>
      <c r="B9470" s="202" t="s">
        <v>7258</v>
      </c>
      <c r="C9470" s="200" t="s">
        <v>398</v>
      </c>
      <c r="D9470" s="658">
        <v>-73425</v>
      </c>
      <c r="E9470" s="201">
        <v>45809</v>
      </c>
      <c r="F9470" s="200" t="s">
        <v>256</v>
      </c>
      <c r="G9470" s="200" t="s">
        <v>107</v>
      </c>
      <c r="H9470" s="200" t="s">
        <v>277</v>
      </c>
    </row>
    <row r="9471" spans="1:9" ht="15" customHeight="1">
      <c r="A9471" s="199">
        <v>45813</v>
      </c>
      <c r="B9471" s="202" t="s">
        <v>7259</v>
      </c>
      <c r="C9471" s="200" t="s">
        <v>398</v>
      </c>
      <c r="D9471" s="658">
        <v>-220275</v>
      </c>
      <c r="E9471" s="201">
        <v>45809</v>
      </c>
      <c r="F9471" s="200" t="s">
        <v>256</v>
      </c>
      <c r="G9471" s="200" t="s">
        <v>256</v>
      </c>
      <c r="H9471" s="200" t="s">
        <v>269</v>
      </c>
      <c r="I9471" s="648" t="s">
        <v>329</v>
      </c>
    </row>
    <row r="9472" spans="1:9" ht="15" customHeight="1">
      <c r="A9472" s="199">
        <v>45814</v>
      </c>
      <c r="B9472" s="202" t="s">
        <v>7260</v>
      </c>
      <c r="C9472" s="200" t="s">
        <v>398</v>
      </c>
      <c r="D9472" s="658">
        <v>-80000</v>
      </c>
      <c r="E9472" s="201">
        <v>45809</v>
      </c>
      <c r="F9472" s="200" t="s">
        <v>256</v>
      </c>
      <c r="G9472" s="200" t="s">
        <v>107</v>
      </c>
      <c r="H9472" s="200" t="s">
        <v>277</v>
      </c>
    </row>
    <row r="9473" spans="1:9" s="842" customFormat="1" ht="15" customHeight="1">
      <c r="A9473" s="840">
        <v>45814</v>
      </c>
      <c r="B9473" s="841" t="s">
        <v>7261</v>
      </c>
      <c r="C9473" s="841" t="s">
        <v>204</v>
      </c>
      <c r="D9473" s="765">
        <v>-1991615</v>
      </c>
      <c r="E9473" s="843">
        <v>45809</v>
      </c>
      <c r="F9473" s="841" t="s">
        <v>296</v>
      </c>
      <c r="G9473" s="841" t="s">
        <v>44</v>
      </c>
      <c r="H9473" s="841" t="s">
        <v>421</v>
      </c>
      <c r="I9473" s="841"/>
    </row>
    <row r="9474" spans="1:9" ht="15" customHeight="1">
      <c r="A9474" s="661">
        <v>45814</v>
      </c>
      <c r="B9474" s="202" t="s">
        <v>7261</v>
      </c>
      <c r="C9474" s="202" t="s">
        <v>204</v>
      </c>
      <c r="D9474" s="765">
        <v>-1991615</v>
      </c>
      <c r="E9474" s="201">
        <v>45809</v>
      </c>
      <c r="F9474" s="200" t="s">
        <v>296</v>
      </c>
      <c r="G9474" s="200" t="s">
        <v>1825</v>
      </c>
      <c r="H9474" s="200" t="s">
        <v>421</v>
      </c>
    </row>
    <row r="9475" spans="1:9" ht="15" customHeight="1">
      <c r="A9475" s="199">
        <v>45814</v>
      </c>
      <c r="B9475" s="202" t="s">
        <v>7262</v>
      </c>
      <c r="C9475" s="202" t="s">
        <v>204</v>
      </c>
      <c r="D9475" s="765">
        <v>-5683799</v>
      </c>
      <c r="E9475" s="201">
        <v>45809</v>
      </c>
      <c r="F9475" s="200" t="s">
        <v>296</v>
      </c>
      <c r="G9475" s="200" t="s">
        <v>44</v>
      </c>
      <c r="H9475" s="200" t="s">
        <v>366</v>
      </c>
    </row>
    <row r="9476" spans="1:9" ht="15" customHeight="1">
      <c r="A9476" s="199">
        <v>45814</v>
      </c>
      <c r="B9476" s="202" t="s">
        <v>7263</v>
      </c>
      <c r="C9476" s="202" t="s">
        <v>204</v>
      </c>
      <c r="D9476" s="765">
        <v>-6677820</v>
      </c>
      <c r="E9476" s="201">
        <v>45809</v>
      </c>
      <c r="F9476" s="200" t="s">
        <v>296</v>
      </c>
      <c r="G9476" s="200" t="s">
        <v>2418</v>
      </c>
      <c r="H9476" s="200" t="s">
        <v>5376</v>
      </c>
    </row>
    <row r="9477" spans="1:9" ht="15" customHeight="1">
      <c r="A9477" s="199">
        <v>45814</v>
      </c>
      <c r="B9477" s="202" t="s">
        <v>7264</v>
      </c>
      <c r="C9477" s="202" t="s">
        <v>204</v>
      </c>
      <c r="D9477" s="765">
        <v>-14608202</v>
      </c>
      <c r="E9477" s="201">
        <v>45809</v>
      </c>
      <c r="F9477" s="200" t="s">
        <v>297</v>
      </c>
      <c r="G9477" s="200" t="s">
        <v>5404</v>
      </c>
      <c r="H9477" s="200" t="s">
        <v>375</v>
      </c>
    </row>
    <row r="9478" spans="1:9" ht="15" customHeight="1">
      <c r="A9478" s="199">
        <v>45814</v>
      </c>
      <c r="B9478" s="202" t="s">
        <v>1925</v>
      </c>
      <c r="C9478" s="202" t="s">
        <v>204</v>
      </c>
      <c r="D9478" s="765">
        <v>-122000</v>
      </c>
      <c r="E9478" s="201">
        <v>45809</v>
      </c>
      <c r="F9478" s="200" t="s">
        <v>297</v>
      </c>
      <c r="G9478" s="200" t="s">
        <v>71</v>
      </c>
      <c r="H9478" s="200" t="s">
        <v>268</v>
      </c>
    </row>
    <row r="9479" spans="1:9" ht="15" customHeight="1">
      <c r="A9479" s="199">
        <v>45814</v>
      </c>
      <c r="B9479" s="202" t="s">
        <v>1925</v>
      </c>
      <c r="C9479" s="202" t="s">
        <v>204</v>
      </c>
      <c r="D9479" s="765">
        <v>-38000</v>
      </c>
      <c r="E9479" s="201">
        <v>45809</v>
      </c>
      <c r="F9479" s="200" t="s">
        <v>296</v>
      </c>
      <c r="G9479" s="200" t="s">
        <v>1980</v>
      </c>
      <c r="H9479" s="200" t="s">
        <v>326</v>
      </c>
    </row>
    <row r="9480" spans="1:9" ht="15" customHeight="1">
      <c r="A9480" s="199">
        <v>45814</v>
      </c>
      <c r="B9480" s="202" t="s">
        <v>1925</v>
      </c>
      <c r="C9480" s="202" t="s">
        <v>204</v>
      </c>
      <c r="D9480" s="765">
        <v>-648104</v>
      </c>
      <c r="E9480" s="201">
        <v>45809</v>
      </c>
      <c r="F9480" s="200" t="s">
        <v>296</v>
      </c>
      <c r="G9480" s="200" t="s">
        <v>522</v>
      </c>
      <c r="H9480" s="200" t="s">
        <v>326</v>
      </c>
    </row>
    <row r="9481" spans="1:9" ht="15" customHeight="1">
      <c r="A9481" s="199">
        <v>45814</v>
      </c>
      <c r="B9481" s="202" t="s">
        <v>1925</v>
      </c>
      <c r="C9481" s="202" t="s">
        <v>204</v>
      </c>
      <c r="D9481" s="765">
        <v>-165000</v>
      </c>
      <c r="E9481" s="201">
        <v>45809</v>
      </c>
      <c r="F9481" s="200" t="s">
        <v>296</v>
      </c>
      <c r="G9481" s="200" t="s">
        <v>807</v>
      </c>
      <c r="H9481" s="200" t="s">
        <v>326</v>
      </c>
    </row>
    <row r="9482" spans="1:9" ht="15" customHeight="1">
      <c r="A9482" s="199">
        <v>45814</v>
      </c>
      <c r="B9482" s="202" t="s">
        <v>1925</v>
      </c>
      <c r="C9482" s="202" t="s">
        <v>204</v>
      </c>
      <c r="D9482" s="765">
        <v>-20000</v>
      </c>
      <c r="E9482" s="201">
        <v>45809</v>
      </c>
      <c r="F9482" s="200" t="s">
        <v>256</v>
      </c>
      <c r="G9482" s="200" t="s">
        <v>256</v>
      </c>
      <c r="H9482" s="200" t="s">
        <v>268</v>
      </c>
    </row>
    <row r="9483" spans="1:9" ht="15" customHeight="1">
      <c r="A9483" s="199">
        <v>45814</v>
      </c>
      <c r="B9483" s="202" t="s">
        <v>1925</v>
      </c>
      <c r="C9483" s="202" t="s">
        <v>204</v>
      </c>
      <c r="D9483" s="765">
        <v>-18000</v>
      </c>
      <c r="E9483" s="201">
        <v>45809</v>
      </c>
      <c r="F9483" s="200" t="s">
        <v>395</v>
      </c>
      <c r="G9483" s="531" t="s">
        <v>395</v>
      </c>
      <c r="H9483" s="200" t="s">
        <v>268</v>
      </c>
    </row>
    <row r="9484" spans="1:9" ht="15" customHeight="1">
      <c r="A9484" s="199">
        <v>45814</v>
      </c>
      <c r="B9484" s="202" t="s">
        <v>1925</v>
      </c>
      <c r="C9484" s="202" t="s">
        <v>204</v>
      </c>
      <c r="D9484" s="765">
        <v>-28000</v>
      </c>
      <c r="E9484" s="201">
        <v>45809</v>
      </c>
      <c r="F9484" s="200" t="s">
        <v>296</v>
      </c>
      <c r="G9484" s="200" t="s">
        <v>44</v>
      </c>
      <c r="H9484" s="200" t="s">
        <v>326</v>
      </c>
    </row>
    <row r="9485" spans="1:9" ht="15" customHeight="1">
      <c r="A9485" s="199">
        <v>45814</v>
      </c>
      <c r="B9485" s="202" t="s">
        <v>1926</v>
      </c>
      <c r="C9485" s="200" t="s">
        <v>372</v>
      </c>
      <c r="D9485" s="204">
        <v>-10560</v>
      </c>
      <c r="E9485" s="201">
        <v>45809</v>
      </c>
      <c r="F9485" s="200" t="s">
        <v>296</v>
      </c>
      <c r="G9485" s="200" t="s">
        <v>522</v>
      </c>
      <c r="H9485" s="200" t="s">
        <v>326</v>
      </c>
    </row>
    <row r="9486" spans="1:9" ht="15" customHeight="1">
      <c r="A9486" s="199">
        <v>45814</v>
      </c>
      <c r="B9486" s="202" t="s">
        <v>1927</v>
      </c>
      <c r="C9486" s="200" t="s">
        <v>372</v>
      </c>
      <c r="D9486" s="204">
        <v>-6336</v>
      </c>
      <c r="E9486" s="201">
        <v>45809</v>
      </c>
      <c r="F9486" s="200" t="s">
        <v>296</v>
      </c>
      <c r="G9486" s="200" t="s">
        <v>522</v>
      </c>
      <c r="H9486" s="200" t="s">
        <v>326</v>
      </c>
    </row>
    <row r="9487" spans="1:9" ht="15" customHeight="1">
      <c r="A9487" s="199">
        <v>45814</v>
      </c>
      <c r="B9487" s="202" t="s">
        <v>7265</v>
      </c>
      <c r="C9487" s="200" t="s">
        <v>204</v>
      </c>
      <c r="D9487" s="765">
        <v>-776627.4</v>
      </c>
      <c r="E9487" s="201">
        <v>45809</v>
      </c>
      <c r="F9487" s="200" t="s">
        <v>296</v>
      </c>
      <c r="G9487" s="200" t="s">
        <v>1825</v>
      </c>
      <c r="H9487" s="200" t="s">
        <v>488</v>
      </c>
    </row>
    <row r="9488" spans="1:9" ht="15" customHeight="1">
      <c r="A9488" s="199">
        <v>45814</v>
      </c>
      <c r="B9488" s="202" t="s">
        <v>7266</v>
      </c>
      <c r="C9488" s="200" t="s">
        <v>372</v>
      </c>
      <c r="D9488" s="204">
        <v>-16752</v>
      </c>
      <c r="E9488" s="201">
        <v>45809</v>
      </c>
      <c r="F9488" s="200" t="s">
        <v>296</v>
      </c>
      <c r="G9488" s="200" t="s">
        <v>1825</v>
      </c>
      <c r="H9488" s="200" t="s">
        <v>488</v>
      </c>
    </row>
    <row r="9489" spans="1:8" ht="15" customHeight="1">
      <c r="A9489" s="199">
        <v>45814</v>
      </c>
      <c r="B9489" s="202" t="s">
        <v>7267</v>
      </c>
      <c r="C9489" s="200" t="s">
        <v>372</v>
      </c>
      <c r="D9489" s="204">
        <v>-4021</v>
      </c>
      <c r="E9489" s="201">
        <v>45809</v>
      </c>
      <c r="F9489" s="200" t="s">
        <v>296</v>
      </c>
      <c r="G9489" s="200" t="s">
        <v>1825</v>
      </c>
      <c r="H9489" s="200" t="s">
        <v>488</v>
      </c>
    </row>
    <row r="9490" spans="1:8" ht="15" customHeight="1">
      <c r="A9490" s="199">
        <v>45814</v>
      </c>
      <c r="B9490" s="202" t="s">
        <v>7268</v>
      </c>
      <c r="C9490" s="200" t="s">
        <v>204</v>
      </c>
      <c r="D9490" s="765">
        <v>-8181.4</v>
      </c>
      <c r="E9490" s="201">
        <v>45809</v>
      </c>
      <c r="F9490" s="200" t="s">
        <v>296</v>
      </c>
      <c r="G9490" s="200" t="s">
        <v>807</v>
      </c>
      <c r="H9490" s="200" t="s">
        <v>488</v>
      </c>
    </row>
    <row r="9491" spans="1:8" ht="15" customHeight="1">
      <c r="A9491" s="199">
        <v>45814</v>
      </c>
      <c r="B9491" s="202" t="s">
        <v>7269</v>
      </c>
      <c r="C9491" s="200" t="s">
        <v>372</v>
      </c>
      <c r="D9491" s="204">
        <v>-176</v>
      </c>
      <c r="E9491" s="201">
        <v>45809</v>
      </c>
      <c r="F9491" s="200" t="s">
        <v>296</v>
      </c>
      <c r="G9491" s="200" t="s">
        <v>807</v>
      </c>
      <c r="H9491" s="200" t="s">
        <v>488</v>
      </c>
    </row>
    <row r="9492" spans="1:8" ht="15" customHeight="1">
      <c r="A9492" s="199">
        <v>45814</v>
      </c>
      <c r="B9492" s="202" t="s">
        <v>7270</v>
      </c>
      <c r="C9492" s="200" t="s">
        <v>372</v>
      </c>
      <c r="D9492" s="204">
        <v>-42</v>
      </c>
      <c r="E9492" s="201">
        <v>45809</v>
      </c>
      <c r="F9492" s="200" t="s">
        <v>296</v>
      </c>
      <c r="G9492" s="200" t="s">
        <v>807</v>
      </c>
      <c r="H9492" s="200" t="s">
        <v>488</v>
      </c>
    </row>
    <row r="9493" spans="1:8" ht="15" customHeight="1">
      <c r="A9493" s="199">
        <v>45814</v>
      </c>
      <c r="B9493" s="202" t="s">
        <v>7271</v>
      </c>
      <c r="C9493" s="200" t="s">
        <v>204</v>
      </c>
      <c r="D9493" s="765">
        <v>-792795.4</v>
      </c>
      <c r="E9493" s="201">
        <v>45809</v>
      </c>
      <c r="F9493" s="200" t="s">
        <v>296</v>
      </c>
      <c r="G9493" s="200" t="s">
        <v>1980</v>
      </c>
      <c r="H9493" s="200" t="s">
        <v>488</v>
      </c>
    </row>
    <row r="9494" spans="1:8" ht="15" customHeight="1">
      <c r="A9494" s="199">
        <v>45814</v>
      </c>
      <c r="B9494" s="202" t="s">
        <v>7272</v>
      </c>
      <c r="C9494" s="200" t="s">
        <v>372</v>
      </c>
      <c r="D9494" s="204">
        <v>-17101</v>
      </c>
      <c r="E9494" s="201">
        <v>45809</v>
      </c>
      <c r="F9494" s="200" t="s">
        <v>296</v>
      </c>
      <c r="G9494" s="200" t="s">
        <v>1980</v>
      </c>
      <c r="H9494" s="200" t="s">
        <v>488</v>
      </c>
    </row>
    <row r="9495" spans="1:8" ht="15" customHeight="1">
      <c r="A9495" s="199">
        <v>45814</v>
      </c>
      <c r="B9495" s="202" t="s">
        <v>7273</v>
      </c>
      <c r="C9495" s="200" t="s">
        <v>372</v>
      </c>
      <c r="D9495" s="204">
        <v>-4104</v>
      </c>
      <c r="E9495" s="201">
        <v>45809</v>
      </c>
      <c r="F9495" s="200" t="s">
        <v>296</v>
      </c>
      <c r="G9495" s="200" t="s">
        <v>1980</v>
      </c>
      <c r="H9495" s="200" t="s">
        <v>488</v>
      </c>
    </row>
    <row r="9496" spans="1:8" ht="15" customHeight="1">
      <c r="A9496" s="199">
        <v>45814</v>
      </c>
      <c r="B9496" s="202" t="s">
        <v>7274</v>
      </c>
      <c r="C9496" s="200" t="s">
        <v>204</v>
      </c>
      <c r="D9496" s="765">
        <v>-670749.19999999995</v>
      </c>
      <c r="E9496" s="201">
        <v>45809</v>
      </c>
      <c r="F9496" s="200" t="s">
        <v>296</v>
      </c>
      <c r="G9496" s="200" t="s">
        <v>807</v>
      </c>
      <c r="H9496" s="200" t="s">
        <v>488</v>
      </c>
    </row>
    <row r="9497" spans="1:8" ht="15" customHeight="1">
      <c r="A9497" s="199">
        <v>45814</v>
      </c>
      <c r="B9497" s="202" t="s">
        <v>7275</v>
      </c>
      <c r="C9497" s="200" t="s">
        <v>372</v>
      </c>
      <c r="D9497" s="204">
        <v>-14468</v>
      </c>
      <c r="E9497" s="201">
        <v>45809</v>
      </c>
      <c r="F9497" s="200" t="s">
        <v>296</v>
      </c>
      <c r="G9497" s="200" t="s">
        <v>807</v>
      </c>
      <c r="H9497" s="200" t="s">
        <v>488</v>
      </c>
    </row>
    <row r="9498" spans="1:8" ht="15" customHeight="1">
      <c r="A9498" s="199">
        <v>45814</v>
      </c>
      <c r="B9498" s="202" t="s">
        <v>7276</v>
      </c>
      <c r="C9498" s="200" t="s">
        <v>372</v>
      </c>
      <c r="D9498" s="204">
        <v>-3472</v>
      </c>
      <c r="E9498" s="201">
        <v>45809</v>
      </c>
      <c r="F9498" s="200" t="s">
        <v>296</v>
      </c>
      <c r="G9498" s="200" t="s">
        <v>807</v>
      </c>
      <c r="H9498" s="200" t="s">
        <v>488</v>
      </c>
    </row>
    <row r="9499" spans="1:8" ht="15" customHeight="1">
      <c r="A9499" s="199">
        <v>45814</v>
      </c>
      <c r="B9499" s="202" t="s">
        <v>7277</v>
      </c>
      <c r="C9499" s="200" t="s">
        <v>204</v>
      </c>
      <c r="D9499" s="765">
        <v>-1141507.3999999999</v>
      </c>
      <c r="E9499" s="201">
        <v>45809</v>
      </c>
      <c r="F9499" s="200" t="s">
        <v>296</v>
      </c>
      <c r="G9499" s="200" t="s">
        <v>807</v>
      </c>
      <c r="H9499" s="200" t="s">
        <v>488</v>
      </c>
    </row>
    <row r="9500" spans="1:8" ht="15" customHeight="1">
      <c r="A9500" s="199">
        <v>45814</v>
      </c>
      <c r="B9500" s="202" t="s">
        <v>7278</v>
      </c>
      <c r="C9500" s="200" t="s">
        <v>372</v>
      </c>
      <c r="D9500" s="204">
        <v>-24623</v>
      </c>
      <c r="E9500" s="201">
        <v>45809</v>
      </c>
      <c r="F9500" s="200" t="s">
        <v>296</v>
      </c>
      <c r="G9500" s="200" t="s">
        <v>807</v>
      </c>
      <c r="H9500" s="200" t="s">
        <v>488</v>
      </c>
    </row>
    <row r="9501" spans="1:8" ht="15" customHeight="1">
      <c r="A9501" s="199">
        <v>45814</v>
      </c>
      <c r="B9501" s="202" t="s">
        <v>7279</v>
      </c>
      <c r="C9501" s="200" t="s">
        <v>372</v>
      </c>
      <c r="D9501" s="204">
        <v>-5909</v>
      </c>
      <c r="E9501" s="201">
        <v>45809</v>
      </c>
      <c r="F9501" s="200" t="s">
        <v>296</v>
      </c>
      <c r="G9501" s="200" t="s">
        <v>807</v>
      </c>
      <c r="H9501" s="200" t="s">
        <v>488</v>
      </c>
    </row>
    <row r="9502" spans="1:8" ht="15" customHeight="1">
      <c r="A9502" s="199">
        <v>45814</v>
      </c>
      <c r="B9502" s="202" t="s">
        <v>7280</v>
      </c>
      <c r="C9502" s="200" t="s">
        <v>204</v>
      </c>
      <c r="D9502" s="765">
        <v>-44996</v>
      </c>
      <c r="E9502" s="201">
        <v>45809</v>
      </c>
      <c r="F9502" s="200" t="s">
        <v>395</v>
      </c>
      <c r="G9502" s="531" t="s">
        <v>395</v>
      </c>
      <c r="H9502" s="200" t="s">
        <v>5384</v>
      </c>
    </row>
    <row r="9503" spans="1:8" ht="15" customHeight="1">
      <c r="A9503" s="199">
        <v>45814</v>
      </c>
      <c r="B9503" s="202" t="s">
        <v>7281</v>
      </c>
      <c r="C9503" s="200" t="s">
        <v>372</v>
      </c>
      <c r="D9503" s="204">
        <v>-971</v>
      </c>
      <c r="E9503" s="201">
        <v>45809</v>
      </c>
      <c r="F9503" s="200" t="s">
        <v>297</v>
      </c>
      <c r="G9503" s="200" t="s">
        <v>1313</v>
      </c>
      <c r="H9503" s="200" t="s">
        <v>5384</v>
      </c>
    </row>
    <row r="9504" spans="1:8" ht="15" customHeight="1">
      <c r="A9504" s="199">
        <v>45814</v>
      </c>
      <c r="B9504" s="202" t="s">
        <v>7282</v>
      </c>
      <c r="C9504" s="200" t="s">
        <v>372</v>
      </c>
      <c r="D9504" s="204">
        <v>-233</v>
      </c>
      <c r="E9504" s="201">
        <v>45809</v>
      </c>
      <c r="F9504" s="200" t="s">
        <v>297</v>
      </c>
      <c r="G9504" s="200" t="s">
        <v>1313</v>
      </c>
      <c r="H9504" s="200" t="s">
        <v>5384</v>
      </c>
    </row>
    <row r="9505" spans="1:8" ht="15" customHeight="1">
      <c r="A9505" s="199">
        <v>45814</v>
      </c>
      <c r="B9505" s="202" t="s">
        <v>7283</v>
      </c>
      <c r="C9505" s="200" t="s">
        <v>204</v>
      </c>
      <c r="D9505" s="765">
        <v>-70124.100000000006</v>
      </c>
      <c r="E9505" s="201">
        <v>45809</v>
      </c>
      <c r="F9505" s="200" t="s">
        <v>256</v>
      </c>
      <c r="G9505" s="200" t="s">
        <v>256</v>
      </c>
      <c r="H9505" s="200" t="s">
        <v>263</v>
      </c>
    </row>
    <row r="9506" spans="1:8" ht="15" customHeight="1">
      <c r="A9506" s="199">
        <v>45814</v>
      </c>
      <c r="B9506" s="202" t="s">
        <v>7284</v>
      </c>
      <c r="C9506" s="200" t="s">
        <v>372</v>
      </c>
      <c r="D9506" s="204">
        <v>-1513</v>
      </c>
      <c r="E9506" s="201">
        <v>45809</v>
      </c>
      <c r="F9506" s="200" t="s">
        <v>256</v>
      </c>
      <c r="G9506" s="200" t="s">
        <v>256</v>
      </c>
      <c r="H9506" s="200" t="s">
        <v>263</v>
      </c>
    </row>
    <row r="9507" spans="1:8" ht="15" customHeight="1">
      <c r="A9507" s="199">
        <v>45814</v>
      </c>
      <c r="B9507" s="202" t="s">
        <v>7285</v>
      </c>
      <c r="C9507" s="200" t="s">
        <v>372</v>
      </c>
      <c r="D9507" s="204">
        <v>-363</v>
      </c>
      <c r="E9507" s="201">
        <v>45809</v>
      </c>
      <c r="F9507" s="200" t="s">
        <v>256</v>
      </c>
      <c r="G9507" s="200" t="s">
        <v>256</v>
      </c>
      <c r="H9507" s="200" t="s">
        <v>263</v>
      </c>
    </row>
    <row r="9508" spans="1:8" ht="15" customHeight="1">
      <c r="A9508" s="199">
        <v>45814</v>
      </c>
      <c r="B9508" s="202" t="s">
        <v>7286</v>
      </c>
      <c r="C9508" s="200" t="s">
        <v>204</v>
      </c>
      <c r="D9508" s="765">
        <v>-195647.5</v>
      </c>
      <c r="E9508" s="201">
        <v>45809</v>
      </c>
      <c r="F9508" s="200" t="s">
        <v>296</v>
      </c>
      <c r="G9508" s="200" t="s">
        <v>1980</v>
      </c>
      <c r="H9508" s="200" t="s">
        <v>488</v>
      </c>
    </row>
    <row r="9509" spans="1:8" ht="15" customHeight="1">
      <c r="A9509" s="199">
        <v>45814</v>
      </c>
      <c r="B9509" s="202" t="s">
        <v>7287</v>
      </c>
      <c r="C9509" s="200" t="s">
        <v>372</v>
      </c>
      <c r="D9509" s="204">
        <v>-4220</v>
      </c>
      <c r="E9509" s="201">
        <v>45809</v>
      </c>
      <c r="F9509" s="200" t="s">
        <v>296</v>
      </c>
      <c r="G9509" s="200" t="s">
        <v>1980</v>
      </c>
      <c r="H9509" s="200" t="s">
        <v>488</v>
      </c>
    </row>
    <row r="9510" spans="1:8" ht="15" customHeight="1">
      <c r="A9510" s="199">
        <v>45814</v>
      </c>
      <c r="B9510" s="202" t="s">
        <v>7288</v>
      </c>
      <c r="C9510" s="200" t="s">
        <v>372</v>
      </c>
      <c r="D9510" s="204">
        <v>-1013</v>
      </c>
      <c r="E9510" s="201">
        <v>45809</v>
      </c>
      <c r="F9510" s="200" t="s">
        <v>296</v>
      </c>
      <c r="G9510" s="200" t="s">
        <v>1980</v>
      </c>
      <c r="H9510" s="200" t="s">
        <v>488</v>
      </c>
    </row>
    <row r="9511" spans="1:8" ht="15" customHeight="1">
      <c r="A9511" s="199">
        <v>45814</v>
      </c>
      <c r="B9511" s="202" t="s">
        <v>7289</v>
      </c>
      <c r="C9511" s="200" t="s">
        <v>204</v>
      </c>
      <c r="D9511" s="765">
        <v>-31673.3</v>
      </c>
      <c r="E9511" s="201">
        <v>45809</v>
      </c>
      <c r="F9511" s="200" t="s">
        <v>297</v>
      </c>
      <c r="G9511" s="200" t="s">
        <v>71</v>
      </c>
      <c r="H9511" s="200" t="s">
        <v>5384</v>
      </c>
    </row>
    <row r="9512" spans="1:8" ht="15" customHeight="1">
      <c r="A9512" s="199">
        <v>45814</v>
      </c>
      <c r="B9512" s="202" t="s">
        <v>7290</v>
      </c>
      <c r="C9512" s="200" t="s">
        <v>372</v>
      </c>
      <c r="D9512" s="204">
        <v>-683</v>
      </c>
      <c r="E9512" s="201">
        <v>45809</v>
      </c>
      <c r="F9512" s="200" t="s">
        <v>297</v>
      </c>
      <c r="G9512" s="200" t="s">
        <v>71</v>
      </c>
      <c r="H9512" s="200" t="s">
        <v>5384</v>
      </c>
    </row>
    <row r="9513" spans="1:8" ht="15" customHeight="1">
      <c r="A9513" s="199">
        <v>45814</v>
      </c>
      <c r="B9513" s="202" t="s">
        <v>7291</v>
      </c>
      <c r="C9513" s="200" t="s">
        <v>372</v>
      </c>
      <c r="D9513" s="204">
        <v>-164</v>
      </c>
      <c r="E9513" s="201">
        <v>45809</v>
      </c>
      <c r="F9513" s="200" t="s">
        <v>297</v>
      </c>
      <c r="G9513" s="200" t="s">
        <v>71</v>
      </c>
      <c r="H9513" s="200" t="s">
        <v>5384</v>
      </c>
    </row>
    <row r="9514" spans="1:8" ht="15" customHeight="1">
      <c r="A9514" s="199">
        <v>45814</v>
      </c>
      <c r="B9514" s="202" t="s">
        <v>7292</v>
      </c>
      <c r="C9514" s="200" t="s">
        <v>204</v>
      </c>
      <c r="D9514" s="765">
        <v>-253382.9</v>
      </c>
      <c r="E9514" s="201">
        <v>45809</v>
      </c>
      <c r="F9514" s="200" t="s">
        <v>297</v>
      </c>
      <c r="G9514" s="200" t="s">
        <v>71</v>
      </c>
      <c r="H9514" s="200" t="s">
        <v>5384</v>
      </c>
    </row>
    <row r="9515" spans="1:8" ht="15" customHeight="1">
      <c r="A9515" s="199">
        <v>45814</v>
      </c>
      <c r="B9515" s="202" t="s">
        <v>7293</v>
      </c>
      <c r="C9515" s="200" t="s">
        <v>372</v>
      </c>
      <c r="D9515" s="204">
        <v>-5466</v>
      </c>
      <c r="E9515" s="201">
        <v>45809</v>
      </c>
      <c r="F9515" s="200" t="s">
        <v>297</v>
      </c>
      <c r="G9515" s="200" t="s">
        <v>71</v>
      </c>
      <c r="H9515" s="200" t="s">
        <v>5384</v>
      </c>
    </row>
    <row r="9516" spans="1:8" ht="15" customHeight="1">
      <c r="A9516" s="199">
        <v>45814</v>
      </c>
      <c r="B9516" s="202" t="s">
        <v>7294</v>
      </c>
      <c r="C9516" s="200" t="s">
        <v>372</v>
      </c>
      <c r="D9516" s="204">
        <v>-1312</v>
      </c>
      <c r="E9516" s="201">
        <v>45809</v>
      </c>
      <c r="F9516" s="200" t="s">
        <v>297</v>
      </c>
      <c r="G9516" s="200" t="s">
        <v>71</v>
      </c>
      <c r="H9516" s="200" t="s">
        <v>5384</v>
      </c>
    </row>
    <row r="9517" spans="1:8" ht="15" customHeight="1">
      <c r="A9517" s="199">
        <v>45814</v>
      </c>
      <c r="B9517" s="202" t="s">
        <v>7295</v>
      </c>
      <c r="C9517" s="200" t="s">
        <v>204</v>
      </c>
      <c r="D9517" s="765">
        <v>-384164.5</v>
      </c>
      <c r="E9517" s="201">
        <v>45809</v>
      </c>
      <c r="F9517" s="200" t="s">
        <v>297</v>
      </c>
      <c r="G9517" s="200" t="s">
        <v>71</v>
      </c>
      <c r="H9517" s="200" t="s">
        <v>5384</v>
      </c>
    </row>
    <row r="9518" spans="1:8" ht="15" customHeight="1">
      <c r="A9518" s="199">
        <v>45814</v>
      </c>
      <c r="B9518" s="202" t="s">
        <v>7296</v>
      </c>
      <c r="C9518" s="200" t="s">
        <v>372</v>
      </c>
      <c r="D9518" s="204">
        <v>-8287</v>
      </c>
      <c r="E9518" s="201">
        <v>45809</v>
      </c>
      <c r="F9518" s="200" t="s">
        <v>297</v>
      </c>
      <c r="G9518" s="200" t="s">
        <v>71</v>
      </c>
      <c r="H9518" s="200" t="s">
        <v>5384</v>
      </c>
    </row>
    <row r="9519" spans="1:8" ht="15" customHeight="1">
      <c r="A9519" s="199">
        <v>45814</v>
      </c>
      <c r="B9519" s="202" t="s">
        <v>7297</v>
      </c>
      <c r="C9519" s="200" t="s">
        <v>372</v>
      </c>
      <c r="D9519" s="204">
        <v>-1989</v>
      </c>
      <c r="E9519" s="201">
        <v>45809</v>
      </c>
      <c r="F9519" s="200" t="s">
        <v>297</v>
      </c>
      <c r="G9519" s="200" t="s">
        <v>71</v>
      </c>
      <c r="H9519" s="200" t="s">
        <v>5384</v>
      </c>
    </row>
    <row r="9520" spans="1:8" ht="15" customHeight="1">
      <c r="A9520" s="199">
        <v>45814</v>
      </c>
      <c r="B9520" s="202" t="s">
        <v>7298</v>
      </c>
      <c r="C9520" s="200" t="s">
        <v>204</v>
      </c>
      <c r="D9520" s="765">
        <v>-213745</v>
      </c>
      <c r="E9520" s="201">
        <v>45809</v>
      </c>
      <c r="F9520" s="200" t="s">
        <v>297</v>
      </c>
      <c r="G9520" s="200" t="s">
        <v>71</v>
      </c>
      <c r="H9520" s="200" t="s">
        <v>5384</v>
      </c>
    </row>
    <row r="9521" spans="1:8" ht="15" customHeight="1">
      <c r="A9521" s="199">
        <v>45814</v>
      </c>
      <c r="B9521" s="202" t="s">
        <v>7299</v>
      </c>
      <c r="C9521" s="200" t="s">
        <v>204</v>
      </c>
      <c r="D9521" s="765">
        <v>-3791673.9</v>
      </c>
      <c r="E9521" s="201">
        <v>45809</v>
      </c>
      <c r="F9521" s="200" t="s">
        <v>296</v>
      </c>
      <c r="G9521" s="200" t="s">
        <v>1825</v>
      </c>
      <c r="H9521" s="200" t="s">
        <v>848</v>
      </c>
    </row>
    <row r="9522" spans="1:8" ht="15" customHeight="1">
      <c r="A9522" s="199">
        <v>45814</v>
      </c>
      <c r="B9522" s="202" t="s">
        <v>7300</v>
      </c>
      <c r="C9522" s="200" t="s">
        <v>372</v>
      </c>
      <c r="D9522" s="204">
        <v>-249452.2</v>
      </c>
      <c r="E9522" s="201">
        <v>45809</v>
      </c>
      <c r="F9522" s="200" t="s">
        <v>296</v>
      </c>
      <c r="G9522" s="200" t="s">
        <v>1825</v>
      </c>
      <c r="H9522" s="200" t="s">
        <v>848</v>
      </c>
    </row>
    <row r="9523" spans="1:8" ht="15" customHeight="1">
      <c r="A9523" s="199">
        <v>45814</v>
      </c>
      <c r="B9523" s="202" t="s">
        <v>7299</v>
      </c>
      <c r="C9523" s="200" t="s">
        <v>204</v>
      </c>
      <c r="D9523" s="765">
        <v>-3791673.9</v>
      </c>
      <c r="E9523" s="201">
        <v>45809</v>
      </c>
      <c r="F9523" s="200" t="s">
        <v>296</v>
      </c>
      <c r="G9523" s="200" t="s">
        <v>522</v>
      </c>
      <c r="H9523" s="200" t="s">
        <v>848</v>
      </c>
    </row>
    <row r="9524" spans="1:8" ht="15" customHeight="1">
      <c r="A9524" s="199">
        <v>45814</v>
      </c>
      <c r="B9524" s="202" t="s">
        <v>7300</v>
      </c>
      <c r="C9524" s="200" t="s">
        <v>372</v>
      </c>
      <c r="D9524" s="204">
        <v>-249452.2</v>
      </c>
      <c r="E9524" s="201">
        <v>45809</v>
      </c>
      <c r="F9524" s="200" t="s">
        <v>296</v>
      </c>
      <c r="G9524" s="200" t="s">
        <v>522</v>
      </c>
      <c r="H9524" s="200" t="s">
        <v>848</v>
      </c>
    </row>
    <row r="9525" spans="1:8" ht="15" customHeight="1">
      <c r="A9525" s="199">
        <v>45814</v>
      </c>
      <c r="B9525" s="202" t="s">
        <v>7299</v>
      </c>
      <c r="C9525" s="200" t="s">
        <v>204</v>
      </c>
      <c r="D9525" s="765">
        <v>-3791673.9</v>
      </c>
      <c r="E9525" s="201">
        <v>45809</v>
      </c>
      <c r="F9525" s="200" t="s">
        <v>296</v>
      </c>
      <c r="G9525" s="200" t="s">
        <v>807</v>
      </c>
      <c r="H9525" s="200" t="s">
        <v>848</v>
      </c>
    </row>
    <row r="9526" spans="1:8" ht="15" customHeight="1">
      <c r="A9526" s="199">
        <v>45814</v>
      </c>
      <c r="B9526" s="202" t="s">
        <v>7300</v>
      </c>
      <c r="C9526" s="200" t="s">
        <v>372</v>
      </c>
      <c r="D9526" s="204">
        <v>-249452.2</v>
      </c>
      <c r="E9526" s="201">
        <v>45809</v>
      </c>
      <c r="F9526" s="200" t="s">
        <v>296</v>
      </c>
      <c r="G9526" s="200" t="s">
        <v>807</v>
      </c>
      <c r="H9526" s="200" t="s">
        <v>848</v>
      </c>
    </row>
    <row r="9527" spans="1:8" ht="15" customHeight="1">
      <c r="A9527" s="199">
        <v>45814</v>
      </c>
      <c r="B9527" s="202" t="s">
        <v>7299</v>
      </c>
      <c r="C9527" s="200" t="s">
        <v>204</v>
      </c>
      <c r="D9527" s="765">
        <v>-3791673.9</v>
      </c>
      <c r="E9527" s="201">
        <v>45809</v>
      </c>
      <c r="F9527" s="200" t="s">
        <v>296</v>
      </c>
      <c r="G9527" s="200" t="s">
        <v>1980</v>
      </c>
      <c r="H9527" s="200" t="s">
        <v>848</v>
      </c>
    </row>
    <row r="9528" spans="1:8" ht="15" customHeight="1">
      <c r="A9528" s="199">
        <v>45814</v>
      </c>
      <c r="B9528" s="202" t="s">
        <v>7300</v>
      </c>
      <c r="C9528" s="200" t="s">
        <v>372</v>
      </c>
      <c r="D9528" s="204">
        <v>-249452.2</v>
      </c>
      <c r="E9528" s="201">
        <v>45809</v>
      </c>
      <c r="F9528" s="200" t="s">
        <v>296</v>
      </c>
      <c r="G9528" s="200" t="s">
        <v>1980</v>
      </c>
      <c r="H9528" s="200" t="s">
        <v>848</v>
      </c>
    </row>
    <row r="9529" spans="1:8" ht="15" customHeight="1">
      <c r="A9529" s="199">
        <v>45814</v>
      </c>
      <c r="B9529" s="202" t="s">
        <v>7299</v>
      </c>
      <c r="C9529" s="200" t="s">
        <v>204</v>
      </c>
      <c r="D9529" s="765">
        <v>-3791673.9</v>
      </c>
      <c r="E9529" s="201">
        <v>45809</v>
      </c>
      <c r="F9529" s="200" t="s">
        <v>296</v>
      </c>
      <c r="G9529" s="200" t="s">
        <v>1983</v>
      </c>
      <c r="H9529" s="200" t="s">
        <v>848</v>
      </c>
    </row>
    <row r="9530" spans="1:8" ht="15" customHeight="1">
      <c r="A9530" s="199">
        <v>45814</v>
      </c>
      <c r="B9530" s="202" t="s">
        <v>7300</v>
      </c>
      <c r="C9530" s="200" t="s">
        <v>372</v>
      </c>
      <c r="D9530" s="204">
        <v>-249452.2</v>
      </c>
      <c r="E9530" s="201">
        <v>45809</v>
      </c>
      <c r="F9530" s="200" t="s">
        <v>296</v>
      </c>
      <c r="G9530" s="200" t="s">
        <v>1983</v>
      </c>
      <c r="H9530" s="200" t="s">
        <v>848</v>
      </c>
    </row>
    <row r="9531" spans="1:8" ht="15" customHeight="1">
      <c r="A9531" s="199">
        <v>45814</v>
      </c>
      <c r="B9531" s="202" t="s">
        <v>7301</v>
      </c>
      <c r="C9531" s="200" t="s">
        <v>204</v>
      </c>
      <c r="D9531" s="765">
        <v>-22717500</v>
      </c>
      <c r="E9531" s="201">
        <v>45809</v>
      </c>
      <c r="F9531" s="200" t="s">
        <v>297</v>
      </c>
      <c r="G9531" s="200" t="s">
        <v>69</v>
      </c>
      <c r="H9531" s="200" t="s">
        <v>5376</v>
      </c>
    </row>
    <row r="9532" spans="1:8" ht="15" customHeight="1">
      <c r="A9532" s="199">
        <v>45814</v>
      </c>
      <c r="B9532" s="202" t="s">
        <v>7302</v>
      </c>
      <c r="C9532" s="200" t="s">
        <v>372</v>
      </c>
      <c r="D9532" s="204">
        <v>-487500</v>
      </c>
      <c r="E9532" s="201">
        <v>45809</v>
      </c>
      <c r="F9532" s="200" t="s">
        <v>297</v>
      </c>
      <c r="G9532" s="200" t="s">
        <v>69</v>
      </c>
      <c r="H9532" s="200" t="s">
        <v>5376</v>
      </c>
    </row>
    <row r="9533" spans="1:8" ht="15" customHeight="1">
      <c r="A9533" s="199">
        <v>45814</v>
      </c>
      <c r="B9533" s="202" t="s">
        <v>7303</v>
      </c>
      <c r="C9533" s="200" t="s">
        <v>204</v>
      </c>
      <c r="D9533" s="765">
        <v>-2750000</v>
      </c>
      <c r="E9533" s="201">
        <v>45809</v>
      </c>
      <c r="F9533" s="200" t="s">
        <v>296</v>
      </c>
      <c r="G9533" s="200" t="s">
        <v>57</v>
      </c>
      <c r="H9533" s="200" t="s">
        <v>96</v>
      </c>
    </row>
    <row r="9534" spans="1:8" ht="15" customHeight="1">
      <c r="A9534" s="199">
        <v>45814</v>
      </c>
      <c r="B9534" s="202" t="s">
        <v>7304</v>
      </c>
      <c r="C9534" s="200" t="s">
        <v>204</v>
      </c>
      <c r="D9534" s="765">
        <v>-113161</v>
      </c>
      <c r="E9534" s="201">
        <v>45809</v>
      </c>
      <c r="F9534" s="200" t="s">
        <v>296</v>
      </c>
      <c r="G9534" s="200" t="s">
        <v>1362</v>
      </c>
      <c r="H9534" s="200" t="s">
        <v>5384</v>
      </c>
    </row>
    <row r="9535" spans="1:8" ht="15" customHeight="1">
      <c r="A9535" s="199">
        <v>45814</v>
      </c>
      <c r="B9535" s="202" t="s">
        <v>7305</v>
      </c>
      <c r="C9535" s="200" t="s">
        <v>204</v>
      </c>
      <c r="D9535" s="765">
        <v>-850000</v>
      </c>
      <c r="E9535" s="201">
        <v>45809</v>
      </c>
      <c r="F9535" s="200" t="s">
        <v>296</v>
      </c>
      <c r="G9535" s="200" t="s">
        <v>1980</v>
      </c>
      <c r="H9535" s="200" t="s">
        <v>1560</v>
      </c>
    </row>
    <row r="9536" spans="1:8" ht="15" customHeight="1">
      <c r="A9536" s="199">
        <v>45814</v>
      </c>
      <c r="B9536" s="202" t="s">
        <v>7305</v>
      </c>
      <c r="C9536" s="200" t="s">
        <v>204</v>
      </c>
      <c r="D9536" s="765">
        <v>-850000</v>
      </c>
      <c r="E9536" s="201">
        <v>45809</v>
      </c>
      <c r="F9536" s="200" t="s">
        <v>296</v>
      </c>
      <c r="G9536" s="200" t="s">
        <v>1983</v>
      </c>
      <c r="H9536" s="200" t="s">
        <v>1560</v>
      </c>
    </row>
    <row r="9537" spans="1:8" ht="15" customHeight="1">
      <c r="A9537" s="199">
        <v>45817</v>
      </c>
      <c r="B9537" s="202" t="s">
        <v>7306</v>
      </c>
      <c r="C9537" s="200" t="s">
        <v>204</v>
      </c>
      <c r="D9537" s="765">
        <v>-11600</v>
      </c>
      <c r="E9537" s="201">
        <v>45809</v>
      </c>
      <c r="F9537" s="200" t="s">
        <v>2714</v>
      </c>
      <c r="G9537" s="200" t="s">
        <v>513</v>
      </c>
    </row>
    <row r="9538" spans="1:8" ht="15" customHeight="1">
      <c r="A9538" s="199">
        <v>45817</v>
      </c>
      <c r="B9538" s="202" t="s">
        <v>7306</v>
      </c>
      <c r="C9538" s="200" t="s">
        <v>204</v>
      </c>
      <c r="D9538" s="765">
        <v>-11600</v>
      </c>
      <c r="E9538" s="201">
        <v>45809</v>
      </c>
      <c r="F9538" s="200" t="s">
        <v>296</v>
      </c>
      <c r="G9538" s="200" t="s">
        <v>522</v>
      </c>
      <c r="H9538" s="200" t="s">
        <v>322</v>
      </c>
    </row>
    <row r="9539" spans="1:8" ht="15" customHeight="1">
      <c r="A9539" s="199">
        <v>45817</v>
      </c>
      <c r="B9539" s="202" t="s">
        <v>7307</v>
      </c>
      <c r="C9539" s="200" t="s">
        <v>204</v>
      </c>
      <c r="D9539" s="765">
        <v>-11600</v>
      </c>
      <c r="E9539" s="201">
        <v>45809</v>
      </c>
      <c r="F9539" s="200" t="s">
        <v>296</v>
      </c>
      <c r="G9539" s="200" t="s">
        <v>44</v>
      </c>
      <c r="H9539" s="200" t="s">
        <v>322</v>
      </c>
    </row>
    <row r="9540" spans="1:8" ht="15" customHeight="1">
      <c r="A9540" s="199">
        <v>45817</v>
      </c>
      <c r="B9540" s="202" t="s">
        <v>7308</v>
      </c>
      <c r="C9540" s="200" t="s">
        <v>204</v>
      </c>
      <c r="D9540" s="765">
        <v>-10623771</v>
      </c>
      <c r="E9540" s="201">
        <v>45809</v>
      </c>
      <c r="F9540" s="200" t="s">
        <v>256</v>
      </c>
      <c r="G9540" s="200" t="s">
        <v>256</v>
      </c>
      <c r="H9540" s="200" t="s">
        <v>259</v>
      </c>
    </row>
    <row r="9541" spans="1:8" ht="15" customHeight="1">
      <c r="A9541" s="199">
        <v>45817</v>
      </c>
      <c r="B9541" s="202" t="s">
        <v>7309</v>
      </c>
      <c r="C9541" s="200" t="s">
        <v>204</v>
      </c>
      <c r="D9541" s="765">
        <v>-1801900</v>
      </c>
      <c r="E9541" s="201">
        <v>45809</v>
      </c>
      <c r="F9541" s="200" t="s">
        <v>297</v>
      </c>
      <c r="G9541" s="200" t="s">
        <v>71</v>
      </c>
      <c r="H9541" s="200" t="s">
        <v>342</v>
      </c>
    </row>
    <row r="9542" spans="1:8" ht="15" customHeight="1">
      <c r="A9542" s="199">
        <v>45817</v>
      </c>
      <c r="B9542" s="202" t="s">
        <v>6699</v>
      </c>
      <c r="C9542" s="200" t="s">
        <v>372</v>
      </c>
      <c r="D9542" s="204">
        <v>-37000</v>
      </c>
      <c r="E9542" s="201">
        <v>45809</v>
      </c>
      <c r="F9542" s="200" t="s">
        <v>297</v>
      </c>
      <c r="G9542" s="200" t="s">
        <v>71</v>
      </c>
      <c r="H9542" s="200" t="s">
        <v>342</v>
      </c>
    </row>
    <row r="9543" spans="1:8" ht="15" customHeight="1">
      <c r="A9543" s="199">
        <v>45817</v>
      </c>
      <c r="B9543" s="202" t="s">
        <v>6700</v>
      </c>
      <c r="C9543" s="200" t="s">
        <v>372</v>
      </c>
      <c r="D9543" s="204">
        <v>-11100</v>
      </c>
      <c r="E9543" s="201">
        <v>45809</v>
      </c>
      <c r="F9543" s="200" t="s">
        <v>297</v>
      </c>
      <c r="G9543" s="200" t="s">
        <v>71</v>
      </c>
      <c r="H9543" s="200" t="s">
        <v>342</v>
      </c>
    </row>
    <row r="9544" spans="1:8" ht="15" customHeight="1">
      <c r="A9544" s="199">
        <v>45817</v>
      </c>
      <c r="B9544" s="202" t="s">
        <v>6037</v>
      </c>
      <c r="C9544" s="200" t="s">
        <v>204</v>
      </c>
      <c r="D9544" s="765">
        <v>-135360</v>
      </c>
      <c r="E9544" s="201">
        <v>45809</v>
      </c>
      <c r="F9544" s="200" t="s">
        <v>256</v>
      </c>
      <c r="G9544" s="200" t="s">
        <v>107</v>
      </c>
      <c r="H9544" s="200" t="s">
        <v>115</v>
      </c>
    </row>
    <row r="9545" spans="1:8" ht="15" customHeight="1">
      <c r="A9545" s="199">
        <v>45817</v>
      </c>
      <c r="B9545" s="202" t="s">
        <v>7310</v>
      </c>
      <c r="C9545" s="200" t="s">
        <v>204</v>
      </c>
      <c r="D9545" s="765">
        <v>-239250</v>
      </c>
      <c r="E9545" s="201">
        <v>45809</v>
      </c>
      <c r="F9545" s="200" t="s">
        <v>256</v>
      </c>
      <c r="G9545" s="200" t="s">
        <v>256</v>
      </c>
      <c r="H9545" s="200" t="s">
        <v>265</v>
      </c>
    </row>
    <row r="9546" spans="1:8" ht="15" customHeight="1">
      <c r="A9546" s="199">
        <v>45817</v>
      </c>
      <c r="B9546" s="202" t="s">
        <v>7311</v>
      </c>
      <c r="C9546" s="200" t="s">
        <v>204</v>
      </c>
      <c r="D9546" s="765">
        <v>-1094776</v>
      </c>
      <c r="E9546" s="201">
        <v>45809</v>
      </c>
      <c r="F9546" s="200" t="s">
        <v>256</v>
      </c>
      <c r="G9546" s="200" t="s">
        <v>256</v>
      </c>
      <c r="H9546" s="200" t="s">
        <v>267</v>
      </c>
    </row>
    <row r="9547" spans="1:8" ht="15" customHeight="1">
      <c r="A9547" s="199">
        <v>45817</v>
      </c>
      <c r="B9547" s="202" t="s">
        <v>7312</v>
      </c>
      <c r="C9547" s="200" t="s">
        <v>372</v>
      </c>
      <c r="D9547" s="204">
        <v>-22480</v>
      </c>
      <c r="E9547" s="201">
        <v>45809</v>
      </c>
      <c r="F9547" s="200" t="s">
        <v>256</v>
      </c>
      <c r="G9547" s="200" t="s">
        <v>256</v>
      </c>
      <c r="H9547" s="200" t="s">
        <v>267</v>
      </c>
    </row>
    <row r="9548" spans="1:8" ht="15" customHeight="1">
      <c r="A9548" s="199">
        <v>45817</v>
      </c>
      <c r="B9548" s="202" t="s">
        <v>7313</v>
      </c>
      <c r="C9548" s="200" t="s">
        <v>372</v>
      </c>
      <c r="D9548" s="204">
        <v>-6744</v>
      </c>
      <c r="E9548" s="201">
        <v>45809</v>
      </c>
      <c r="F9548" s="200" t="s">
        <v>256</v>
      </c>
      <c r="G9548" s="200" t="s">
        <v>256</v>
      </c>
      <c r="H9548" s="200" t="s">
        <v>267</v>
      </c>
    </row>
    <row r="9549" spans="1:8" ht="15" customHeight="1">
      <c r="A9549" s="199">
        <v>45817</v>
      </c>
      <c r="B9549" s="202" t="s">
        <v>7314</v>
      </c>
      <c r="C9549" s="200" t="s">
        <v>204</v>
      </c>
      <c r="D9549" s="765">
        <v>-7968307</v>
      </c>
      <c r="E9549" s="201">
        <v>45809</v>
      </c>
      <c r="F9549" s="200" t="s">
        <v>296</v>
      </c>
      <c r="G9549" s="200" t="s">
        <v>5466</v>
      </c>
      <c r="H9549" s="200" t="s">
        <v>5389</v>
      </c>
    </row>
    <row r="9550" spans="1:8" ht="15" customHeight="1">
      <c r="A9550" s="199">
        <v>45817</v>
      </c>
      <c r="B9550" s="202" t="s">
        <v>7315</v>
      </c>
      <c r="C9550" s="200" t="s">
        <v>372</v>
      </c>
      <c r="D9550" s="204">
        <v>-299560</v>
      </c>
      <c r="E9550" s="201">
        <v>45809</v>
      </c>
      <c r="F9550" s="200" t="s">
        <v>296</v>
      </c>
      <c r="G9550" s="200" t="s">
        <v>5466</v>
      </c>
      <c r="H9550" s="200" t="s">
        <v>5389</v>
      </c>
    </row>
    <row r="9551" spans="1:8" ht="15" customHeight="1">
      <c r="A9551" s="199">
        <v>45817</v>
      </c>
      <c r="B9551" s="202" t="s">
        <v>7316</v>
      </c>
      <c r="C9551" s="200" t="s">
        <v>204</v>
      </c>
      <c r="D9551" s="765">
        <v>-65700</v>
      </c>
      <c r="E9551" s="201">
        <v>45809</v>
      </c>
      <c r="F9551" s="200" t="s">
        <v>296</v>
      </c>
      <c r="G9551" s="200" t="s">
        <v>57</v>
      </c>
      <c r="H9551" s="200" t="s">
        <v>98</v>
      </c>
    </row>
    <row r="9552" spans="1:8" ht="15" customHeight="1">
      <c r="A9552" s="199">
        <v>45818</v>
      </c>
      <c r="B9552" s="202" t="s">
        <v>7317</v>
      </c>
      <c r="C9552" s="200" t="s">
        <v>204</v>
      </c>
      <c r="D9552" s="765">
        <v>-944000</v>
      </c>
      <c r="E9552" s="201">
        <v>45809</v>
      </c>
      <c r="F9552" s="200" t="s">
        <v>296</v>
      </c>
      <c r="G9552" s="200" t="s">
        <v>5466</v>
      </c>
      <c r="H9552" s="200" t="s">
        <v>346</v>
      </c>
    </row>
    <row r="9553" spans="1:9" ht="15" customHeight="1">
      <c r="A9553" s="199">
        <v>45818</v>
      </c>
      <c r="B9553" s="202" t="s">
        <v>7318</v>
      </c>
      <c r="C9553" s="200" t="s">
        <v>372</v>
      </c>
      <c r="D9553" s="204">
        <v>-8000</v>
      </c>
      <c r="E9553" s="201">
        <v>45809</v>
      </c>
      <c r="F9553" s="200" t="s">
        <v>296</v>
      </c>
      <c r="G9553" s="200" t="s">
        <v>5466</v>
      </c>
      <c r="H9553" s="200" t="s">
        <v>346</v>
      </c>
    </row>
    <row r="9554" spans="1:9" ht="15" customHeight="1">
      <c r="A9554" s="199">
        <v>45818</v>
      </c>
      <c r="B9554" s="202" t="s">
        <v>5766</v>
      </c>
      <c r="C9554" s="200" t="s">
        <v>204</v>
      </c>
      <c r="D9554" s="765">
        <v>-6030000</v>
      </c>
      <c r="E9554" s="201">
        <v>45809</v>
      </c>
      <c r="F9554" s="200" t="s">
        <v>296</v>
      </c>
      <c r="G9554" s="200" t="s">
        <v>807</v>
      </c>
      <c r="H9554" s="200" t="s">
        <v>4504</v>
      </c>
    </row>
    <row r="9555" spans="1:9" ht="15" customHeight="1">
      <c r="A9555" s="199">
        <v>45818</v>
      </c>
      <c r="B9555" s="202" t="s">
        <v>7319</v>
      </c>
      <c r="C9555" s="200" t="s">
        <v>204</v>
      </c>
      <c r="D9555" s="765">
        <v>-21900</v>
      </c>
      <c r="E9555" s="201">
        <v>45809</v>
      </c>
      <c r="F9555" s="200" t="s">
        <v>296</v>
      </c>
      <c r="G9555" s="200" t="s">
        <v>57</v>
      </c>
      <c r="H9555" s="200" t="s">
        <v>98</v>
      </c>
    </row>
    <row r="9556" spans="1:9" ht="15" customHeight="1">
      <c r="A9556" s="199">
        <v>45818</v>
      </c>
      <c r="B9556" s="202" t="s">
        <v>7320</v>
      </c>
      <c r="C9556" s="200" t="s">
        <v>204</v>
      </c>
      <c r="D9556" s="765">
        <v>-21900</v>
      </c>
      <c r="E9556" s="201">
        <v>45809</v>
      </c>
      <c r="F9556" s="200" t="s">
        <v>296</v>
      </c>
      <c r="G9556" s="200" t="s">
        <v>57</v>
      </c>
      <c r="H9556" s="200" t="s">
        <v>98</v>
      </c>
    </row>
    <row r="9557" spans="1:9" ht="15" customHeight="1">
      <c r="A9557" s="199">
        <v>45818</v>
      </c>
      <c r="B9557" s="202" t="s">
        <v>7321</v>
      </c>
      <c r="C9557" s="200" t="s">
        <v>204</v>
      </c>
      <c r="D9557" s="765">
        <v>-21900</v>
      </c>
      <c r="E9557" s="201">
        <v>45809</v>
      </c>
      <c r="F9557" s="200" t="s">
        <v>296</v>
      </c>
      <c r="G9557" s="200" t="s">
        <v>57</v>
      </c>
      <c r="H9557" s="200" t="s">
        <v>98</v>
      </c>
    </row>
    <row r="9558" spans="1:9" ht="15" customHeight="1">
      <c r="A9558" s="199">
        <v>45818</v>
      </c>
      <c r="B9558" s="202" t="s">
        <v>7322</v>
      </c>
      <c r="C9558" s="200" t="s">
        <v>204</v>
      </c>
      <c r="D9558" s="765">
        <v>-21900</v>
      </c>
      <c r="E9558" s="201">
        <v>45809</v>
      </c>
      <c r="F9558" s="200" t="s">
        <v>296</v>
      </c>
      <c r="G9558" s="200" t="s">
        <v>57</v>
      </c>
      <c r="H9558" s="200" t="s">
        <v>98</v>
      </c>
    </row>
    <row r="9559" spans="1:9" ht="15" customHeight="1">
      <c r="A9559" s="199">
        <v>45818</v>
      </c>
      <c r="B9559" s="202" t="s">
        <v>7323</v>
      </c>
      <c r="C9559" s="200" t="s">
        <v>204</v>
      </c>
      <c r="D9559" s="765">
        <v>-1260000</v>
      </c>
      <c r="E9559" s="201">
        <v>45809</v>
      </c>
      <c r="F9559" s="200" t="s">
        <v>296</v>
      </c>
      <c r="G9559" s="200" t="s">
        <v>522</v>
      </c>
      <c r="H9559" s="200" t="s">
        <v>326</v>
      </c>
    </row>
    <row r="9560" spans="1:9" ht="15" customHeight="1">
      <c r="A9560" s="199">
        <v>45818</v>
      </c>
      <c r="B9560" s="202" t="s">
        <v>7324</v>
      </c>
      <c r="C9560" s="200" t="s">
        <v>372</v>
      </c>
      <c r="D9560" s="204">
        <v>-45699</v>
      </c>
      <c r="E9560" s="201">
        <v>45809</v>
      </c>
      <c r="F9560" s="200" t="s">
        <v>296</v>
      </c>
      <c r="G9560" s="200" t="s">
        <v>522</v>
      </c>
      <c r="H9560" s="200" t="s">
        <v>326</v>
      </c>
    </row>
    <row r="9561" spans="1:9" ht="15" customHeight="1">
      <c r="A9561" s="199">
        <v>45818</v>
      </c>
      <c r="B9561" s="202" t="s">
        <v>7325</v>
      </c>
      <c r="C9561" s="200" t="s">
        <v>204</v>
      </c>
      <c r="D9561" s="765">
        <v>-69915</v>
      </c>
      <c r="E9561" s="201">
        <v>45809</v>
      </c>
      <c r="F9561" s="200" t="s">
        <v>296</v>
      </c>
      <c r="G9561" s="200" t="s">
        <v>341</v>
      </c>
      <c r="H9561" s="200" t="s">
        <v>386</v>
      </c>
      <c r="I9561" s="648" t="s">
        <v>329</v>
      </c>
    </row>
    <row r="9562" spans="1:9" ht="15" customHeight="1">
      <c r="A9562" s="199">
        <v>45818</v>
      </c>
      <c r="B9562" s="202" t="s">
        <v>7326</v>
      </c>
      <c r="C9562" s="200" t="s">
        <v>204</v>
      </c>
      <c r="D9562" s="765">
        <v>-606900</v>
      </c>
      <c r="E9562" s="201">
        <v>45809</v>
      </c>
      <c r="F9562" s="200" t="s">
        <v>296</v>
      </c>
      <c r="G9562" s="200" t="s">
        <v>415</v>
      </c>
      <c r="H9562" s="200" t="s">
        <v>386</v>
      </c>
    </row>
    <row r="9563" spans="1:9" ht="15" customHeight="1">
      <c r="A9563" s="199">
        <v>45804</v>
      </c>
      <c r="B9563" s="202" t="s">
        <v>7327</v>
      </c>
      <c r="C9563" s="200" t="s">
        <v>204</v>
      </c>
      <c r="D9563" s="765">
        <v>-10900</v>
      </c>
      <c r="E9563" s="201">
        <v>45809</v>
      </c>
      <c r="F9563" s="200" t="s">
        <v>296</v>
      </c>
      <c r="G9563" s="200" t="s">
        <v>57</v>
      </c>
      <c r="H9563" s="200" t="s">
        <v>97</v>
      </c>
      <c r="I9563" s="200" t="s">
        <v>5357</v>
      </c>
    </row>
    <row r="9564" spans="1:9" ht="15" customHeight="1">
      <c r="A9564" s="199">
        <v>45804</v>
      </c>
      <c r="B9564" s="202" t="s">
        <v>7328</v>
      </c>
      <c r="C9564" s="200" t="s">
        <v>204</v>
      </c>
      <c r="D9564" s="765">
        <v>-12000</v>
      </c>
      <c r="E9564" s="201">
        <v>45809</v>
      </c>
      <c r="F9564" s="200" t="s">
        <v>296</v>
      </c>
      <c r="G9564" s="200" t="s">
        <v>57</v>
      </c>
      <c r="H9564" s="200" t="s">
        <v>97</v>
      </c>
      <c r="I9564" s="200" t="s">
        <v>5357</v>
      </c>
    </row>
    <row r="9565" spans="1:9" ht="15" customHeight="1">
      <c r="A9565" s="199">
        <v>45804</v>
      </c>
      <c r="B9565" s="202" t="s">
        <v>7329</v>
      </c>
      <c r="C9565" s="200" t="s">
        <v>204</v>
      </c>
      <c r="D9565" s="765">
        <v>-27000</v>
      </c>
      <c r="E9565" s="201">
        <v>45809</v>
      </c>
      <c r="F9565" s="200" t="s">
        <v>296</v>
      </c>
      <c r="G9565" s="200" t="s">
        <v>57</v>
      </c>
      <c r="H9565" s="200" t="s">
        <v>97</v>
      </c>
      <c r="I9565" s="200" t="s">
        <v>5357</v>
      </c>
    </row>
    <row r="9566" spans="1:9" ht="15" customHeight="1">
      <c r="A9566" s="199">
        <v>45804</v>
      </c>
      <c r="B9566" s="202" t="s">
        <v>7330</v>
      </c>
      <c r="C9566" s="200" t="s">
        <v>204</v>
      </c>
      <c r="D9566" s="765">
        <v>-27000</v>
      </c>
      <c r="E9566" s="201">
        <v>45809</v>
      </c>
      <c r="F9566" s="200" t="s">
        <v>296</v>
      </c>
      <c r="G9566" s="200" t="s">
        <v>57</v>
      </c>
      <c r="H9566" s="200" t="s">
        <v>97</v>
      </c>
      <c r="I9566" s="200" t="s">
        <v>5357</v>
      </c>
    </row>
    <row r="9567" spans="1:9" ht="15" customHeight="1">
      <c r="A9567" s="199">
        <v>45805</v>
      </c>
      <c r="B9567" s="202" t="s">
        <v>7329</v>
      </c>
      <c r="C9567" s="200" t="s">
        <v>204</v>
      </c>
      <c r="D9567" s="765">
        <v>-30000</v>
      </c>
      <c r="E9567" s="201">
        <v>45809</v>
      </c>
      <c r="F9567" s="200" t="s">
        <v>296</v>
      </c>
      <c r="G9567" s="200" t="s">
        <v>57</v>
      </c>
      <c r="H9567" s="200" t="s">
        <v>97</v>
      </c>
      <c r="I9567" s="200" t="s">
        <v>5357</v>
      </c>
    </row>
    <row r="9568" spans="1:9" ht="15" customHeight="1">
      <c r="A9568" s="199">
        <v>45805</v>
      </c>
      <c r="B9568" s="202" t="s">
        <v>7331</v>
      </c>
      <c r="C9568" s="200" t="s">
        <v>204</v>
      </c>
      <c r="D9568" s="765">
        <v>-30000</v>
      </c>
      <c r="E9568" s="201">
        <v>45809</v>
      </c>
      <c r="F9568" s="200" t="s">
        <v>296</v>
      </c>
      <c r="G9568" s="200" t="s">
        <v>57</v>
      </c>
      <c r="H9568" s="200" t="s">
        <v>97</v>
      </c>
      <c r="I9568" s="200" t="s">
        <v>5357</v>
      </c>
    </row>
    <row r="9569" spans="1:9" ht="15" customHeight="1">
      <c r="A9569" s="199">
        <v>45806</v>
      </c>
      <c r="B9569" s="202" t="s">
        <v>7332</v>
      </c>
      <c r="C9569" s="200" t="s">
        <v>204</v>
      </c>
      <c r="D9569" s="765">
        <v>-5000</v>
      </c>
      <c r="E9569" s="201">
        <v>45809</v>
      </c>
      <c r="F9569" s="200" t="s">
        <v>296</v>
      </c>
      <c r="G9569" s="200" t="s">
        <v>57</v>
      </c>
      <c r="H9569" s="200" t="s">
        <v>97</v>
      </c>
      <c r="I9569" s="200" t="s">
        <v>5357</v>
      </c>
    </row>
    <row r="9570" spans="1:9" ht="15" customHeight="1">
      <c r="A9570" s="199">
        <v>45806</v>
      </c>
      <c r="B9570" s="202" t="s">
        <v>7333</v>
      </c>
      <c r="C9570" s="200" t="s">
        <v>204</v>
      </c>
      <c r="D9570" s="765">
        <v>-50000</v>
      </c>
      <c r="E9570" s="201">
        <v>45809</v>
      </c>
      <c r="F9570" s="200" t="s">
        <v>296</v>
      </c>
      <c r="G9570" s="200" t="s">
        <v>57</v>
      </c>
      <c r="H9570" s="200" t="s">
        <v>97</v>
      </c>
      <c r="I9570" s="200" t="s">
        <v>5357</v>
      </c>
    </row>
    <row r="9571" spans="1:9" ht="15" customHeight="1">
      <c r="A9571" s="199">
        <v>45807</v>
      </c>
      <c r="B9571" s="202" t="s">
        <v>7333</v>
      </c>
      <c r="C9571" s="200" t="s">
        <v>204</v>
      </c>
      <c r="D9571" s="765">
        <v>-50000</v>
      </c>
      <c r="E9571" s="201">
        <v>45809</v>
      </c>
      <c r="F9571" s="200" t="s">
        <v>296</v>
      </c>
      <c r="G9571" s="200" t="s">
        <v>57</v>
      </c>
      <c r="H9571" s="200" t="s">
        <v>97</v>
      </c>
      <c r="I9571" s="200" t="s">
        <v>5357</v>
      </c>
    </row>
    <row r="9572" spans="1:9" ht="15" customHeight="1">
      <c r="A9572" s="199">
        <v>45807</v>
      </c>
      <c r="B9572" s="202" t="s">
        <v>7334</v>
      </c>
      <c r="C9572" s="200" t="s">
        <v>204</v>
      </c>
      <c r="D9572" s="765">
        <v>-5000</v>
      </c>
      <c r="E9572" s="201">
        <v>45809</v>
      </c>
      <c r="F9572" s="200" t="s">
        <v>296</v>
      </c>
      <c r="G9572" s="200" t="s">
        <v>57</v>
      </c>
      <c r="H9572" s="200" t="s">
        <v>97</v>
      </c>
      <c r="I9572" s="200" t="s">
        <v>5357</v>
      </c>
    </row>
    <row r="9573" spans="1:9" ht="15" customHeight="1">
      <c r="A9573" s="199">
        <v>45808</v>
      </c>
      <c r="B9573" s="202" t="s">
        <v>7335</v>
      </c>
      <c r="C9573" s="200" t="s">
        <v>204</v>
      </c>
      <c r="D9573" s="765">
        <v>-66000</v>
      </c>
      <c r="E9573" s="201">
        <v>45809</v>
      </c>
      <c r="F9573" s="200" t="s">
        <v>296</v>
      </c>
      <c r="G9573" s="200" t="s">
        <v>57</v>
      </c>
      <c r="H9573" s="200" t="s">
        <v>97</v>
      </c>
      <c r="I9573" s="200" t="s">
        <v>5357</v>
      </c>
    </row>
    <row r="9574" spans="1:9" ht="15" customHeight="1">
      <c r="A9574" s="199">
        <v>45808</v>
      </c>
      <c r="B9574" s="202" t="s">
        <v>7336</v>
      </c>
      <c r="C9574" s="200" t="s">
        <v>204</v>
      </c>
      <c r="D9574" s="765">
        <v>-45000</v>
      </c>
      <c r="E9574" s="201">
        <v>45809</v>
      </c>
      <c r="F9574" s="200" t="s">
        <v>296</v>
      </c>
      <c r="G9574" s="200" t="s">
        <v>57</v>
      </c>
      <c r="H9574" s="200" t="s">
        <v>97</v>
      </c>
      <c r="I9574" s="200" t="s">
        <v>5357</v>
      </c>
    </row>
    <row r="9575" spans="1:9" ht="15" customHeight="1">
      <c r="A9575" s="199">
        <v>45809</v>
      </c>
      <c r="B9575" s="202" t="s">
        <v>7337</v>
      </c>
      <c r="C9575" s="200" t="s">
        <v>204</v>
      </c>
      <c r="D9575" s="765">
        <v>-12800</v>
      </c>
      <c r="E9575" s="201">
        <v>45809</v>
      </c>
      <c r="F9575" s="200" t="s">
        <v>296</v>
      </c>
      <c r="G9575" s="200" t="s">
        <v>57</v>
      </c>
      <c r="H9575" s="200" t="s">
        <v>97</v>
      </c>
      <c r="I9575" s="200" t="s">
        <v>5357</v>
      </c>
    </row>
    <row r="9576" spans="1:9" ht="15" customHeight="1">
      <c r="A9576" s="199">
        <v>45809</v>
      </c>
      <c r="B9576" s="202" t="s">
        <v>7329</v>
      </c>
      <c r="C9576" s="200" t="s">
        <v>204</v>
      </c>
      <c r="D9576" s="765">
        <v>-22200</v>
      </c>
      <c r="E9576" s="201">
        <v>45809</v>
      </c>
      <c r="F9576" s="200" t="s">
        <v>296</v>
      </c>
      <c r="G9576" s="200" t="s">
        <v>57</v>
      </c>
      <c r="H9576" s="200" t="s">
        <v>97</v>
      </c>
      <c r="I9576" s="200" t="s">
        <v>5357</v>
      </c>
    </row>
    <row r="9577" spans="1:9" ht="15" customHeight="1">
      <c r="A9577" s="199">
        <v>45809</v>
      </c>
      <c r="B9577" s="202" t="s">
        <v>7338</v>
      </c>
      <c r="C9577" s="200" t="s">
        <v>204</v>
      </c>
      <c r="D9577" s="765">
        <v>-20000</v>
      </c>
      <c r="E9577" s="201">
        <v>45809</v>
      </c>
      <c r="F9577" s="200" t="s">
        <v>296</v>
      </c>
      <c r="G9577" s="200" t="s">
        <v>57</v>
      </c>
      <c r="H9577" s="200" t="s">
        <v>97</v>
      </c>
      <c r="I9577" s="200" t="s">
        <v>5357</v>
      </c>
    </row>
    <row r="9578" spans="1:9" ht="15" customHeight="1">
      <c r="A9578" s="199">
        <v>45810</v>
      </c>
      <c r="B9578" s="202" t="s">
        <v>7337</v>
      </c>
      <c r="C9578" s="200" t="s">
        <v>204</v>
      </c>
      <c r="D9578" s="765">
        <v>-16100</v>
      </c>
      <c r="E9578" s="201">
        <v>45809</v>
      </c>
      <c r="F9578" s="200" t="s">
        <v>296</v>
      </c>
      <c r="G9578" s="200" t="s">
        <v>57</v>
      </c>
      <c r="H9578" s="200" t="s">
        <v>97</v>
      </c>
      <c r="I9578" s="200" t="s">
        <v>5357</v>
      </c>
    </row>
    <row r="9579" spans="1:9" ht="15" customHeight="1">
      <c r="A9579" s="199">
        <v>45810</v>
      </c>
      <c r="B9579" s="202" t="s">
        <v>7329</v>
      </c>
      <c r="C9579" s="200" t="s">
        <v>204</v>
      </c>
      <c r="D9579" s="765">
        <v>-27000</v>
      </c>
      <c r="E9579" s="201">
        <v>45809</v>
      </c>
      <c r="F9579" s="200" t="s">
        <v>296</v>
      </c>
      <c r="G9579" s="200" t="s">
        <v>57</v>
      </c>
      <c r="H9579" s="200" t="s">
        <v>97</v>
      </c>
      <c r="I9579" s="200" t="s">
        <v>5357</v>
      </c>
    </row>
    <row r="9580" spans="1:9" ht="15" customHeight="1">
      <c r="A9580" s="199">
        <v>45810</v>
      </c>
      <c r="B9580" s="202" t="s">
        <v>7338</v>
      </c>
      <c r="C9580" s="200" t="s">
        <v>204</v>
      </c>
      <c r="D9580" s="765">
        <v>-20000</v>
      </c>
      <c r="E9580" s="201">
        <v>45809</v>
      </c>
      <c r="F9580" s="200" t="s">
        <v>296</v>
      </c>
      <c r="G9580" s="200" t="s">
        <v>57</v>
      </c>
      <c r="H9580" s="200" t="s">
        <v>97</v>
      </c>
      <c r="I9580" s="200" t="s">
        <v>5357</v>
      </c>
    </row>
    <row r="9581" spans="1:9" ht="15" customHeight="1">
      <c r="A9581" s="199">
        <v>45811</v>
      </c>
      <c r="B9581" s="202" t="s">
        <v>7339</v>
      </c>
      <c r="C9581" s="200" t="s">
        <v>204</v>
      </c>
      <c r="D9581" s="765">
        <v>-37000</v>
      </c>
      <c r="E9581" s="201">
        <v>45809</v>
      </c>
      <c r="F9581" s="200" t="s">
        <v>296</v>
      </c>
      <c r="G9581" s="200" t="s">
        <v>57</v>
      </c>
      <c r="H9581" s="200" t="s">
        <v>97</v>
      </c>
      <c r="I9581" s="200" t="s">
        <v>5357</v>
      </c>
    </row>
    <row r="9582" spans="1:9" ht="15" customHeight="1">
      <c r="A9582" s="199">
        <v>45811</v>
      </c>
      <c r="B9582" s="202" t="s">
        <v>7340</v>
      </c>
      <c r="C9582" s="200" t="s">
        <v>204</v>
      </c>
      <c r="D9582" s="765">
        <v>-178500</v>
      </c>
      <c r="E9582" s="201">
        <v>45809</v>
      </c>
      <c r="F9582" s="200" t="s">
        <v>296</v>
      </c>
      <c r="G9582" s="200" t="s">
        <v>57</v>
      </c>
      <c r="H9582" s="200" t="s">
        <v>97</v>
      </c>
      <c r="I9582" s="200" t="s">
        <v>5357</v>
      </c>
    </row>
    <row r="9583" spans="1:9" ht="15" customHeight="1">
      <c r="A9583" s="199">
        <v>45811</v>
      </c>
      <c r="B9583" s="202" t="s">
        <v>7331</v>
      </c>
      <c r="C9583" s="200" t="s">
        <v>204</v>
      </c>
      <c r="D9583" s="765">
        <v>-27000</v>
      </c>
      <c r="E9583" s="201">
        <v>45809</v>
      </c>
      <c r="F9583" s="200" t="s">
        <v>296</v>
      </c>
      <c r="G9583" s="200" t="s">
        <v>57</v>
      </c>
      <c r="H9583" s="200" t="s">
        <v>97</v>
      </c>
      <c r="I9583" s="200" t="s">
        <v>5357</v>
      </c>
    </row>
    <row r="9584" spans="1:9" ht="15" customHeight="1">
      <c r="A9584" s="199">
        <v>45812</v>
      </c>
      <c r="B9584" s="202" t="s">
        <v>7341</v>
      </c>
      <c r="C9584" s="200" t="s">
        <v>204</v>
      </c>
      <c r="D9584" s="765">
        <v>-10000</v>
      </c>
      <c r="E9584" s="201">
        <v>45809</v>
      </c>
      <c r="F9584" s="200" t="s">
        <v>296</v>
      </c>
      <c r="G9584" s="200" t="s">
        <v>57</v>
      </c>
      <c r="H9584" s="200" t="s">
        <v>97</v>
      </c>
      <c r="I9584" s="200" t="s">
        <v>5357</v>
      </c>
    </row>
    <row r="9585" spans="1:9" ht="15" customHeight="1">
      <c r="A9585" s="199">
        <v>45812</v>
      </c>
      <c r="B9585" s="202" t="s">
        <v>7331</v>
      </c>
      <c r="C9585" s="200" t="s">
        <v>204</v>
      </c>
      <c r="D9585" s="765">
        <v>-27000</v>
      </c>
      <c r="E9585" s="201">
        <v>45809</v>
      </c>
      <c r="F9585" s="200" t="s">
        <v>296</v>
      </c>
      <c r="G9585" s="200" t="s">
        <v>57</v>
      </c>
      <c r="H9585" s="200" t="s">
        <v>97</v>
      </c>
      <c r="I9585" s="200" t="s">
        <v>5357</v>
      </c>
    </row>
    <row r="9586" spans="1:9" ht="15" customHeight="1">
      <c r="A9586" s="199">
        <v>45813</v>
      </c>
      <c r="B9586" s="202" t="s">
        <v>7342</v>
      </c>
      <c r="C9586" s="200" t="s">
        <v>204</v>
      </c>
      <c r="D9586" s="765">
        <v>-37000</v>
      </c>
      <c r="E9586" s="201">
        <v>45809</v>
      </c>
      <c r="F9586" s="200" t="s">
        <v>296</v>
      </c>
      <c r="G9586" s="200" t="s">
        <v>57</v>
      </c>
      <c r="H9586" s="200" t="s">
        <v>97</v>
      </c>
      <c r="I9586" s="200" t="s">
        <v>5357</v>
      </c>
    </row>
    <row r="9587" spans="1:9" ht="15" customHeight="1">
      <c r="A9587" s="199">
        <v>45813</v>
      </c>
      <c r="B9587" s="202" t="s">
        <v>7343</v>
      </c>
      <c r="C9587" s="200" t="s">
        <v>204</v>
      </c>
      <c r="D9587" s="765">
        <v>-92775</v>
      </c>
      <c r="E9587" s="201">
        <v>45809</v>
      </c>
      <c r="F9587" s="200" t="s">
        <v>296</v>
      </c>
      <c r="G9587" s="200" t="s">
        <v>57</v>
      </c>
      <c r="H9587" s="200" t="s">
        <v>97</v>
      </c>
      <c r="I9587" s="200" t="s">
        <v>5357</v>
      </c>
    </row>
    <row r="9588" spans="1:9" ht="15" customHeight="1">
      <c r="A9588" s="199">
        <v>45813</v>
      </c>
      <c r="B9588" s="202" t="s">
        <v>7327</v>
      </c>
      <c r="C9588" s="200" t="s">
        <v>204</v>
      </c>
      <c r="D9588" s="765">
        <v>-10900</v>
      </c>
      <c r="E9588" s="201">
        <v>45809</v>
      </c>
      <c r="F9588" s="200" t="s">
        <v>296</v>
      </c>
      <c r="G9588" s="200" t="s">
        <v>57</v>
      </c>
      <c r="H9588" s="200" t="s">
        <v>97</v>
      </c>
      <c r="I9588" s="200" t="s">
        <v>5357</v>
      </c>
    </row>
    <row r="9589" spans="1:9" ht="15" customHeight="1">
      <c r="A9589" s="199">
        <v>45804</v>
      </c>
      <c r="B9589" s="202" t="s">
        <v>3126</v>
      </c>
      <c r="C9589" s="200" t="s">
        <v>204</v>
      </c>
      <c r="D9589" s="765">
        <v>-25000</v>
      </c>
      <c r="E9589" s="201">
        <v>45809</v>
      </c>
      <c r="F9589" s="200" t="s">
        <v>296</v>
      </c>
      <c r="G9589" s="200" t="s">
        <v>57</v>
      </c>
      <c r="H9589" s="200" t="s">
        <v>97</v>
      </c>
      <c r="I9589" s="200" t="s">
        <v>4525</v>
      </c>
    </row>
    <row r="9590" spans="1:9" ht="15" customHeight="1">
      <c r="A9590" s="199">
        <v>45804</v>
      </c>
      <c r="B9590" s="202" t="s">
        <v>3141</v>
      </c>
      <c r="C9590" s="200" t="s">
        <v>204</v>
      </c>
      <c r="D9590" s="765">
        <v>-25000</v>
      </c>
      <c r="E9590" s="201">
        <v>45809</v>
      </c>
      <c r="F9590" s="200" t="s">
        <v>296</v>
      </c>
      <c r="G9590" s="200" t="s">
        <v>57</v>
      </c>
      <c r="H9590" s="200" t="s">
        <v>97</v>
      </c>
      <c r="I9590" s="200" t="s">
        <v>4525</v>
      </c>
    </row>
    <row r="9591" spans="1:9" ht="15" customHeight="1">
      <c r="A9591" s="199">
        <v>45804</v>
      </c>
      <c r="B9591" s="202" t="s">
        <v>7344</v>
      </c>
      <c r="C9591" s="200" t="s">
        <v>204</v>
      </c>
      <c r="D9591" s="765">
        <v>-15000</v>
      </c>
      <c r="E9591" s="201">
        <v>45809</v>
      </c>
      <c r="F9591" s="200" t="s">
        <v>296</v>
      </c>
      <c r="G9591" s="200" t="s">
        <v>57</v>
      </c>
      <c r="H9591" s="200" t="s">
        <v>97</v>
      </c>
      <c r="I9591" s="200" t="s">
        <v>4525</v>
      </c>
    </row>
    <row r="9592" spans="1:9" ht="15" customHeight="1">
      <c r="A9592" s="199">
        <v>45804</v>
      </c>
      <c r="B9592" s="202" t="s">
        <v>7345</v>
      </c>
      <c r="C9592" s="200" t="s">
        <v>204</v>
      </c>
      <c r="D9592" s="765">
        <v>-59192</v>
      </c>
      <c r="E9592" s="201">
        <v>45809</v>
      </c>
      <c r="F9592" s="200" t="s">
        <v>296</v>
      </c>
      <c r="G9592" s="200" t="s">
        <v>57</v>
      </c>
      <c r="H9592" s="200" t="s">
        <v>97</v>
      </c>
      <c r="I9592" s="200" t="s">
        <v>4525</v>
      </c>
    </row>
    <row r="9593" spans="1:9" ht="15" customHeight="1">
      <c r="A9593" s="199">
        <v>45804</v>
      </c>
      <c r="B9593" s="202" t="s">
        <v>1745</v>
      </c>
      <c r="C9593" s="200" t="s">
        <v>204</v>
      </c>
      <c r="D9593" s="765">
        <v>-27000</v>
      </c>
      <c r="E9593" s="201">
        <v>45809</v>
      </c>
      <c r="F9593" s="200" t="s">
        <v>296</v>
      </c>
      <c r="G9593" s="200" t="s">
        <v>57</v>
      </c>
      <c r="H9593" s="200" t="s">
        <v>97</v>
      </c>
      <c r="I9593" s="200" t="s">
        <v>4525</v>
      </c>
    </row>
    <row r="9594" spans="1:9" ht="15" customHeight="1">
      <c r="A9594" s="199">
        <v>45804</v>
      </c>
      <c r="B9594" s="202" t="s">
        <v>7346</v>
      </c>
      <c r="C9594" s="200" t="s">
        <v>204</v>
      </c>
      <c r="D9594" s="765">
        <v>-27000</v>
      </c>
      <c r="E9594" s="201">
        <v>45809</v>
      </c>
      <c r="F9594" s="200" t="s">
        <v>296</v>
      </c>
      <c r="G9594" s="200" t="s">
        <v>57</v>
      </c>
      <c r="H9594" s="200" t="s">
        <v>97</v>
      </c>
      <c r="I9594" s="200" t="s">
        <v>4525</v>
      </c>
    </row>
    <row r="9595" spans="1:9" ht="15" customHeight="1">
      <c r="A9595" s="199">
        <v>45805</v>
      </c>
      <c r="B9595" s="202" t="s">
        <v>1523</v>
      </c>
      <c r="C9595" s="200" t="s">
        <v>204</v>
      </c>
      <c r="D9595" s="765">
        <v>-15000</v>
      </c>
      <c r="E9595" s="201">
        <v>45809</v>
      </c>
      <c r="F9595" s="200" t="s">
        <v>296</v>
      </c>
      <c r="G9595" s="200" t="s">
        <v>57</v>
      </c>
      <c r="H9595" s="200" t="s">
        <v>97</v>
      </c>
      <c r="I9595" s="200" t="s">
        <v>4525</v>
      </c>
    </row>
    <row r="9596" spans="1:9" ht="15" customHeight="1">
      <c r="A9596" s="199">
        <v>45805</v>
      </c>
      <c r="B9596" s="202" t="s">
        <v>1745</v>
      </c>
      <c r="C9596" s="200" t="s">
        <v>204</v>
      </c>
      <c r="D9596" s="765">
        <v>-30000</v>
      </c>
      <c r="E9596" s="201">
        <v>45809</v>
      </c>
      <c r="F9596" s="200" t="s">
        <v>296</v>
      </c>
      <c r="G9596" s="200" t="s">
        <v>57</v>
      </c>
      <c r="H9596" s="200" t="s">
        <v>97</v>
      </c>
      <c r="I9596" s="200" t="s">
        <v>4525</v>
      </c>
    </row>
    <row r="9597" spans="1:9" ht="15" customHeight="1">
      <c r="A9597" s="199">
        <v>45805</v>
      </c>
      <c r="B9597" s="202" t="s">
        <v>1743</v>
      </c>
      <c r="C9597" s="200" t="s">
        <v>204</v>
      </c>
      <c r="D9597" s="765">
        <v>-30000</v>
      </c>
      <c r="E9597" s="201">
        <v>45809</v>
      </c>
      <c r="F9597" s="200" t="s">
        <v>296</v>
      </c>
      <c r="G9597" s="200" t="s">
        <v>57</v>
      </c>
      <c r="H9597" s="200" t="s">
        <v>97</v>
      </c>
      <c r="I9597" s="200" t="s">
        <v>4525</v>
      </c>
    </row>
    <row r="9598" spans="1:9" ht="15" customHeight="1">
      <c r="A9598" s="199">
        <v>45806</v>
      </c>
      <c r="B9598" s="202" t="s">
        <v>1523</v>
      </c>
      <c r="C9598" s="200" t="s">
        <v>204</v>
      </c>
      <c r="D9598" s="765">
        <v>-8300</v>
      </c>
      <c r="E9598" s="201">
        <v>45809</v>
      </c>
      <c r="F9598" s="200" t="s">
        <v>296</v>
      </c>
      <c r="G9598" s="200" t="s">
        <v>57</v>
      </c>
      <c r="H9598" s="200" t="s">
        <v>97</v>
      </c>
      <c r="I9598" s="200" t="s">
        <v>4525</v>
      </c>
    </row>
    <row r="9599" spans="1:9" ht="15" customHeight="1">
      <c r="A9599" s="199">
        <v>45806</v>
      </c>
      <c r="B9599" s="202" t="s">
        <v>7347</v>
      </c>
      <c r="C9599" s="200" t="s">
        <v>204</v>
      </c>
      <c r="D9599" s="765">
        <v>-9000</v>
      </c>
      <c r="E9599" s="201">
        <v>45809</v>
      </c>
      <c r="F9599" s="200" t="s">
        <v>296</v>
      </c>
      <c r="G9599" s="200" t="s">
        <v>57</v>
      </c>
      <c r="H9599" s="200" t="s">
        <v>97</v>
      </c>
      <c r="I9599" s="200" t="s">
        <v>4525</v>
      </c>
    </row>
    <row r="9600" spans="1:9" ht="15" customHeight="1">
      <c r="A9600" s="199">
        <v>45806</v>
      </c>
      <c r="B9600" s="202" t="s">
        <v>7348</v>
      </c>
      <c r="C9600" s="200" t="s">
        <v>204</v>
      </c>
      <c r="D9600" s="765">
        <v>-30000</v>
      </c>
      <c r="E9600" s="201">
        <v>45809</v>
      </c>
      <c r="F9600" s="200" t="s">
        <v>296</v>
      </c>
      <c r="G9600" s="200" t="s">
        <v>57</v>
      </c>
      <c r="H9600" s="200" t="s">
        <v>97</v>
      </c>
      <c r="I9600" s="200" t="s">
        <v>4525</v>
      </c>
    </row>
    <row r="9601" spans="1:9" ht="15" customHeight="1">
      <c r="A9601" s="199">
        <v>45807</v>
      </c>
      <c r="B9601" s="202" t="s">
        <v>5756</v>
      </c>
      <c r="C9601" s="200" t="s">
        <v>204</v>
      </c>
      <c r="D9601" s="765">
        <v>-50000</v>
      </c>
      <c r="E9601" s="201">
        <v>45809</v>
      </c>
      <c r="F9601" s="200" t="s">
        <v>296</v>
      </c>
      <c r="G9601" s="200" t="s">
        <v>57</v>
      </c>
      <c r="H9601" s="200" t="s">
        <v>97</v>
      </c>
      <c r="I9601" s="200" t="s">
        <v>4525</v>
      </c>
    </row>
    <row r="9602" spans="1:9" ht="15" customHeight="1">
      <c r="A9602" s="199">
        <v>45807</v>
      </c>
      <c r="B9602" s="202" t="s">
        <v>7349</v>
      </c>
      <c r="C9602" s="200" t="s">
        <v>204</v>
      </c>
      <c r="D9602" s="765">
        <v>-30000</v>
      </c>
      <c r="E9602" s="201">
        <v>45809</v>
      </c>
      <c r="F9602" s="200" t="s">
        <v>296</v>
      </c>
      <c r="G9602" s="200" t="s">
        <v>57</v>
      </c>
      <c r="H9602" s="200" t="s">
        <v>97</v>
      </c>
      <c r="I9602" s="200" t="s">
        <v>4525</v>
      </c>
    </row>
    <row r="9603" spans="1:9" ht="15" customHeight="1">
      <c r="A9603" s="199">
        <v>45807</v>
      </c>
      <c r="B9603" s="202" t="s">
        <v>4533</v>
      </c>
      <c r="C9603" s="200" t="s">
        <v>204</v>
      </c>
      <c r="D9603" s="765">
        <v>-35000</v>
      </c>
      <c r="E9603" s="201">
        <v>45809</v>
      </c>
      <c r="F9603" s="200" t="s">
        <v>296</v>
      </c>
      <c r="G9603" s="200" t="s">
        <v>57</v>
      </c>
      <c r="H9603" s="200" t="s">
        <v>97</v>
      </c>
      <c r="I9603" s="200" t="s">
        <v>4525</v>
      </c>
    </row>
    <row r="9604" spans="1:9" ht="15" customHeight="1">
      <c r="A9604" s="199">
        <v>45807</v>
      </c>
      <c r="B9604" s="202" t="s">
        <v>7350</v>
      </c>
      <c r="C9604" s="200" t="s">
        <v>204</v>
      </c>
      <c r="D9604" s="765">
        <v>-61000</v>
      </c>
      <c r="E9604" s="201">
        <v>45809</v>
      </c>
      <c r="F9604" s="200" t="s">
        <v>296</v>
      </c>
      <c r="G9604" s="200" t="s">
        <v>57</v>
      </c>
      <c r="H9604" s="200" t="s">
        <v>97</v>
      </c>
      <c r="I9604" s="200" t="s">
        <v>4525</v>
      </c>
    </row>
    <row r="9605" spans="1:9" ht="15" customHeight="1">
      <c r="A9605" s="199">
        <v>45808</v>
      </c>
      <c r="B9605" s="202" t="s">
        <v>5756</v>
      </c>
      <c r="C9605" s="200" t="s">
        <v>204</v>
      </c>
      <c r="D9605" s="765">
        <v>-65000</v>
      </c>
      <c r="E9605" s="201">
        <v>45809</v>
      </c>
      <c r="F9605" s="200" t="s">
        <v>296</v>
      </c>
      <c r="G9605" s="200" t="s">
        <v>57</v>
      </c>
      <c r="H9605" s="200" t="s">
        <v>97</v>
      </c>
      <c r="I9605" s="200" t="s">
        <v>4525</v>
      </c>
    </row>
    <row r="9606" spans="1:9" ht="15" customHeight="1">
      <c r="A9606" s="199">
        <v>45808</v>
      </c>
      <c r="B9606" s="202" t="s">
        <v>7351</v>
      </c>
      <c r="C9606" s="200" t="s">
        <v>204</v>
      </c>
      <c r="D9606" s="765">
        <v>-14800</v>
      </c>
      <c r="E9606" s="201">
        <v>45809</v>
      </c>
      <c r="F9606" s="200" t="s">
        <v>296</v>
      </c>
      <c r="G9606" s="200" t="s">
        <v>57</v>
      </c>
      <c r="H9606" s="200" t="s">
        <v>97</v>
      </c>
      <c r="I9606" s="200" t="s">
        <v>4525</v>
      </c>
    </row>
    <row r="9607" spans="1:9" ht="15" customHeight="1">
      <c r="A9607" s="199">
        <v>45808</v>
      </c>
      <c r="B9607" s="202" t="s">
        <v>3144</v>
      </c>
      <c r="C9607" s="200" t="s">
        <v>204</v>
      </c>
      <c r="D9607" s="765">
        <v>-9400</v>
      </c>
      <c r="E9607" s="201">
        <v>45809</v>
      </c>
      <c r="F9607" s="200" t="s">
        <v>296</v>
      </c>
      <c r="G9607" s="200" t="s">
        <v>57</v>
      </c>
      <c r="H9607" s="200" t="s">
        <v>97</v>
      </c>
      <c r="I9607" s="200" t="s">
        <v>4525</v>
      </c>
    </row>
    <row r="9608" spans="1:9" ht="15" customHeight="1">
      <c r="A9608" s="199">
        <v>45808</v>
      </c>
      <c r="B9608" s="202" t="s">
        <v>4533</v>
      </c>
      <c r="C9608" s="200" t="s">
        <v>204</v>
      </c>
      <c r="D9608" s="765">
        <v>-71024</v>
      </c>
      <c r="E9608" s="201">
        <v>45809</v>
      </c>
      <c r="F9608" s="200" t="s">
        <v>296</v>
      </c>
      <c r="G9608" s="200" t="s">
        <v>57</v>
      </c>
      <c r="H9608" s="200" t="s">
        <v>97</v>
      </c>
      <c r="I9608" s="200" t="s">
        <v>4525</v>
      </c>
    </row>
    <row r="9609" spans="1:9" ht="15" customHeight="1">
      <c r="A9609" s="199">
        <v>45808</v>
      </c>
      <c r="B9609" s="202" t="s">
        <v>1743</v>
      </c>
      <c r="C9609" s="200" t="s">
        <v>204</v>
      </c>
      <c r="D9609" s="765">
        <v>-30800</v>
      </c>
      <c r="E9609" s="201">
        <v>45809</v>
      </c>
      <c r="F9609" s="200" t="s">
        <v>296</v>
      </c>
      <c r="G9609" s="200" t="s">
        <v>57</v>
      </c>
      <c r="H9609" s="200" t="s">
        <v>97</v>
      </c>
      <c r="I9609" s="200" t="s">
        <v>4525</v>
      </c>
    </row>
    <row r="9610" spans="1:9" ht="15" customHeight="1">
      <c r="A9610" s="199">
        <v>45818</v>
      </c>
      <c r="B9610" s="202" t="s">
        <v>7352</v>
      </c>
      <c r="C9610" s="200" t="s">
        <v>204</v>
      </c>
      <c r="D9610" s="765">
        <v>-448800</v>
      </c>
      <c r="E9610" s="201">
        <v>45809</v>
      </c>
      <c r="F9610" s="200" t="s">
        <v>296</v>
      </c>
      <c r="G9610" s="200" t="s">
        <v>1980</v>
      </c>
      <c r="H9610" s="200" t="s">
        <v>322</v>
      </c>
    </row>
    <row r="9611" spans="1:9" ht="15" customHeight="1">
      <c r="A9611" s="199">
        <v>45818</v>
      </c>
      <c r="B9611" s="202" t="s">
        <v>7353</v>
      </c>
      <c r="C9611" s="200" t="s">
        <v>204</v>
      </c>
      <c r="D9611" s="765">
        <v>-1258400</v>
      </c>
      <c r="E9611" s="201">
        <v>45809</v>
      </c>
      <c r="F9611" s="200" t="s">
        <v>296</v>
      </c>
      <c r="G9611" s="200" t="s">
        <v>522</v>
      </c>
      <c r="H9611" s="200" t="s">
        <v>429</v>
      </c>
    </row>
    <row r="9612" spans="1:9" ht="15" customHeight="1">
      <c r="A9612" s="199">
        <v>45818</v>
      </c>
      <c r="B9612" s="202" t="s">
        <v>7354</v>
      </c>
      <c r="C9612" s="200" t="s">
        <v>372</v>
      </c>
      <c r="D9612" s="204">
        <v>-44000</v>
      </c>
      <c r="E9612" s="201">
        <v>45809</v>
      </c>
      <c r="F9612" s="200" t="s">
        <v>296</v>
      </c>
      <c r="G9612" s="200" t="s">
        <v>522</v>
      </c>
      <c r="H9612" s="200" t="s">
        <v>429</v>
      </c>
    </row>
    <row r="9613" spans="1:9" ht="15" customHeight="1">
      <c r="A9613" s="199">
        <v>45818</v>
      </c>
      <c r="B9613" s="202" t="s">
        <v>7355</v>
      </c>
      <c r="C9613" s="200" t="s">
        <v>372</v>
      </c>
      <c r="D9613" s="204">
        <v>-6600</v>
      </c>
      <c r="E9613" s="201">
        <v>45809</v>
      </c>
      <c r="F9613" s="200" t="s">
        <v>296</v>
      </c>
      <c r="G9613" s="200" t="s">
        <v>522</v>
      </c>
      <c r="H9613" s="200" t="s">
        <v>429</v>
      </c>
    </row>
    <row r="9614" spans="1:9" ht="15" customHeight="1">
      <c r="A9614" s="199">
        <v>45818</v>
      </c>
      <c r="B9614" s="202" t="s">
        <v>7353</v>
      </c>
      <c r="C9614" s="200" t="s">
        <v>204</v>
      </c>
      <c r="D9614" s="765">
        <v>-509217</v>
      </c>
      <c r="E9614" s="201">
        <v>45809</v>
      </c>
      <c r="F9614" s="200" t="s">
        <v>296</v>
      </c>
      <c r="G9614" s="200" t="s">
        <v>807</v>
      </c>
      <c r="H9614" s="200" t="s">
        <v>429</v>
      </c>
    </row>
    <row r="9615" spans="1:9" ht="15" customHeight="1">
      <c r="A9615" s="199">
        <v>45818</v>
      </c>
      <c r="B9615" s="202" t="s">
        <v>7354</v>
      </c>
      <c r="C9615" s="200" t="s">
        <v>372</v>
      </c>
      <c r="D9615" s="204">
        <v>-17805</v>
      </c>
      <c r="E9615" s="201">
        <v>45809</v>
      </c>
      <c r="F9615" s="200" t="s">
        <v>296</v>
      </c>
      <c r="G9615" s="200" t="s">
        <v>807</v>
      </c>
      <c r="H9615" s="200" t="s">
        <v>429</v>
      </c>
    </row>
    <row r="9616" spans="1:9" ht="15" customHeight="1">
      <c r="A9616" s="199">
        <v>45818</v>
      </c>
      <c r="B9616" s="202" t="s">
        <v>7355</v>
      </c>
      <c r="C9616" s="200" t="s">
        <v>372</v>
      </c>
      <c r="D9616" s="204">
        <v>-2671</v>
      </c>
      <c r="E9616" s="201">
        <v>45809</v>
      </c>
      <c r="F9616" s="200" t="s">
        <v>296</v>
      </c>
      <c r="G9616" s="200" t="s">
        <v>807</v>
      </c>
      <c r="H9616" s="200" t="s">
        <v>429</v>
      </c>
    </row>
    <row r="9617" spans="1:8" ht="15" customHeight="1">
      <c r="A9617" s="199">
        <v>45818</v>
      </c>
      <c r="B9617" s="202" t="s">
        <v>7356</v>
      </c>
      <c r="C9617" s="200" t="s">
        <v>204</v>
      </c>
      <c r="D9617" s="765">
        <v>-6188472</v>
      </c>
      <c r="E9617" s="201">
        <v>45809</v>
      </c>
      <c r="F9617" s="200" t="s">
        <v>296</v>
      </c>
      <c r="G9617" s="200" t="s">
        <v>57</v>
      </c>
      <c r="H9617" s="200" t="s">
        <v>95</v>
      </c>
    </row>
    <row r="9618" spans="1:8" ht="15" customHeight="1">
      <c r="A9618" s="199">
        <v>45818</v>
      </c>
      <c r="B9618" s="202" t="s">
        <v>7357</v>
      </c>
      <c r="C9618" s="200" t="s">
        <v>372</v>
      </c>
      <c r="D9618" s="204">
        <v>-151848</v>
      </c>
      <c r="E9618" s="201">
        <v>45809</v>
      </c>
      <c r="F9618" s="200" t="s">
        <v>296</v>
      </c>
      <c r="G9618" s="200" t="s">
        <v>57</v>
      </c>
      <c r="H9618" s="200" t="s">
        <v>95</v>
      </c>
    </row>
    <row r="9619" spans="1:8" ht="15" customHeight="1">
      <c r="A9619" s="199">
        <v>45818</v>
      </c>
      <c r="B9619" s="202" t="s">
        <v>7358</v>
      </c>
      <c r="C9619" s="200" t="s">
        <v>204</v>
      </c>
      <c r="D9619" s="765">
        <v>-1233565</v>
      </c>
      <c r="E9619" s="201">
        <v>45809</v>
      </c>
      <c r="F9619" s="200" t="s">
        <v>296</v>
      </c>
      <c r="G9619" s="200" t="s">
        <v>57</v>
      </c>
      <c r="H9619" s="200" t="s">
        <v>95</v>
      </c>
    </row>
    <row r="9620" spans="1:8" ht="15" customHeight="1">
      <c r="A9620" s="199">
        <v>45818</v>
      </c>
      <c r="B9620" s="202" t="s">
        <v>7357</v>
      </c>
      <c r="C9620" s="200" t="s">
        <v>372</v>
      </c>
      <c r="D9620" s="204">
        <v>-53147</v>
      </c>
      <c r="E9620" s="201">
        <v>45809</v>
      </c>
      <c r="F9620" s="200" t="s">
        <v>296</v>
      </c>
      <c r="G9620" s="200" t="s">
        <v>57</v>
      </c>
      <c r="H9620" s="200" t="s">
        <v>95</v>
      </c>
    </row>
    <row r="9621" spans="1:8" ht="15" customHeight="1">
      <c r="A9621" s="199">
        <v>45818</v>
      </c>
      <c r="B9621" s="202" t="s">
        <v>7359</v>
      </c>
      <c r="C9621" s="200" t="s">
        <v>204</v>
      </c>
      <c r="D9621" s="765">
        <v>-1835663</v>
      </c>
      <c r="E9621" s="201">
        <v>45809</v>
      </c>
      <c r="F9621" s="200" t="s">
        <v>296</v>
      </c>
      <c r="G9621" s="200" t="s">
        <v>44</v>
      </c>
      <c r="H9621" s="200" t="s">
        <v>4312</v>
      </c>
    </row>
    <row r="9622" spans="1:8" ht="15" customHeight="1">
      <c r="A9622" s="199">
        <v>45818</v>
      </c>
      <c r="B9622" s="202" t="s">
        <v>7357</v>
      </c>
      <c r="C9622" s="200" t="s">
        <v>372</v>
      </c>
      <c r="D9622" s="204">
        <v>-79088</v>
      </c>
      <c r="E9622" s="201">
        <v>45809</v>
      </c>
      <c r="F9622" s="200" t="s">
        <v>296</v>
      </c>
      <c r="G9622" s="200" t="s">
        <v>44</v>
      </c>
      <c r="H9622" s="200" t="s">
        <v>4312</v>
      </c>
    </row>
    <row r="9623" spans="1:8" ht="15" customHeight="1">
      <c r="A9623" s="199">
        <v>45818</v>
      </c>
      <c r="B9623" s="202" t="s">
        <v>7359</v>
      </c>
      <c r="C9623" s="200" t="s">
        <v>204</v>
      </c>
      <c r="D9623" s="765">
        <v>-1653477</v>
      </c>
      <c r="E9623" s="201">
        <v>45809</v>
      </c>
      <c r="F9623" s="200" t="s">
        <v>296</v>
      </c>
      <c r="G9623" s="200" t="s">
        <v>57</v>
      </c>
      <c r="H9623" s="200" t="s">
        <v>95</v>
      </c>
    </row>
    <row r="9624" spans="1:8" ht="15" customHeight="1">
      <c r="A9624" s="199">
        <v>45818</v>
      </c>
      <c r="B9624" s="202" t="s">
        <v>7357</v>
      </c>
      <c r="C9624" s="200" t="s">
        <v>372</v>
      </c>
      <c r="D9624" s="204">
        <v>-40572</v>
      </c>
      <c r="E9624" s="201">
        <v>45809</v>
      </c>
      <c r="F9624" s="200" t="s">
        <v>296</v>
      </c>
      <c r="G9624" s="200" t="s">
        <v>57</v>
      </c>
      <c r="H9624" s="200" t="s">
        <v>95</v>
      </c>
    </row>
    <row r="9625" spans="1:8" ht="15" customHeight="1">
      <c r="A9625" s="199">
        <v>45818</v>
      </c>
      <c r="B9625" s="202" t="s">
        <v>7360</v>
      </c>
      <c r="C9625" s="200" t="s">
        <v>204</v>
      </c>
      <c r="D9625" s="765">
        <v>-5260781</v>
      </c>
      <c r="E9625" s="201">
        <v>45809</v>
      </c>
      <c r="F9625" s="200" t="s">
        <v>296</v>
      </c>
      <c r="G9625" s="200" t="s">
        <v>57</v>
      </c>
      <c r="H9625" s="200" t="s">
        <v>95</v>
      </c>
    </row>
    <row r="9626" spans="1:8" ht="15" customHeight="1">
      <c r="A9626" s="199">
        <v>45818</v>
      </c>
      <c r="B9626" s="202" t="s">
        <v>7357</v>
      </c>
      <c r="C9626" s="200" t="s">
        <v>372</v>
      </c>
      <c r="D9626" s="204">
        <v>-129085</v>
      </c>
      <c r="E9626" s="201">
        <v>45809</v>
      </c>
      <c r="F9626" s="200" t="s">
        <v>296</v>
      </c>
      <c r="G9626" s="200" t="s">
        <v>57</v>
      </c>
      <c r="H9626" s="200" t="s">
        <v>95</v>
      </c>
    </row>
    <row r="9627" spans="1:8" ht="15" customHeight="1">
      <c r="A9627" s="199">
        <v>45818</v>
      </c>
      <c r="B9627" s="202" t="s">
        <v>7361</v>
      </c>
      <c r="C9627" s="200" t="s">
        <v>204</v>
      </c>
      <c r="D9627" s="765">
        <v>-7303686</v>
      </c>
      <c r="E9627" s="201">
        <v>45809</v>
      </c>
      <c r="F9627" s="200" t="s">
        <v>296</v>
      </c>
      <c r="G9627" s="200" t="s">
        <v>57</v>
      </c>
      <c r="H9627" s="200" t="s">
        <v>95</v>
      </c>
    </row>
    <row r="9628" spans="1:8" ht="15" customHeight="1">
      <c r="A9628" s="199">
        <v>45818</v>
      </c>
      <c r="B9628" s="202" t="s">
        <v>7357</v>
      </c>
      <c r="C9628" s="200" t="s">
        <v>372</v>
      </c>
      <c r="D9628" s="204">
        <v>-179085</v>
      </c>
      <c r="E9628" s="201">
        <v>45809</v>
      </c>
      <c r="F9628" s="200" t="s">
        <v>296</v>
      </c>
      <c r="G9628" s="200" t="s">
        <v>57</v>
      </c>
      <c r="H9628" s="200" t="s">
        <v>95</v>
      </c>
    </row>
    <row r="9629" spans="1:8" ht="15" customHeight="1">
      <c r="A9629" s="199">
        <v>45818</v>
      </c>
      <c r="B9629" s="202" t="s">
        <v>7359</v>
      </c>
      <c r="C9629" s="200" t="s">
        <v>204</v>
      </c>
      <c r="D9629" s="765">
        <v>-13965072</v>
      </c>
      <c r="E9629" s="201">
        <v>45809</v>
      </c>
      <c r="F9629" s="200" t="s">
        <v>296</v>
      </c>
      <c r="G9629" s="200" t="s">
        <v>57</v>
      </c>
      <c r="H9629" s="200" t="s">
        <v>95</v>
      </c>
    </row>
    <row r="9630" spans="1:8" ht="15" customHeight="1">
      <c r="A9630" s="199">
        <v>45818</v>
      </c>
      <c r="B9630" s="202" t="s">
        <v>7357</v>
      </c>
      <c r="C9630" s="200" t="s">
        <v>372</v>
      </c>
      <c r="D9630" s="204">
        <v>-599483</v>
      </c>
      <c r="E9630" s="201">
        <v>45809</v>
      </c>
      <c r="F9630" s="200" t="s">
        <v>296</v>
      </c>
      <c r="G9630" s="200" t="s">
        <v>57</v>
      </c>
      <c r="H9630" s="200" t="s">
        <v>95</v>
      </c>
    </row>
    <row r="9631" spans="1:8" ht="15" customHeight="1">
      <c r="A9631" s="199">
        <v>45818</v>
      </c>
      <c r="B9631" s="202" t="s">
        <v>7362</v>
      </c>
      <c r="C9631" s="200" t="s">
        <v>204</v>
      </c>
      <c r="D9631" s="765">
        <v>-1389408</v>
      </c>
      <c r="E9631" s="201">
        <v>45809</v>
      </c>
      <c r="F9631" s="200" t="s">
        <v>296</v>
      </c>
      <c r="G9631" s="200" t="s">
        <v>57</v>
      </c>
      <c r="H9631" s="200" t="s">
        <v>100</v>
      </c>
    </row>
    <row r="9632" spans="1:8" ht="15" customHeight="1">
      <c r="A9632" s="199">
        <v>45818</v>
      </c>
      <c r="B9632" s="202" t="s">
        <v>7363</v>
      </c>
      <c r="C9632" s="200" t="s">
        <v>204</v>
      </c>
      <c r="D9632" s="765">
        <v>-105000</v>
      </c>
      <c r="E9632" s="201">
        <v>45809</v>
      </c>
      <c r="F9632" s="200" t="s">
        <v>296</v>
      </c>
      <c r="G9632" s="200" t="s">
        <v>1980</v>
      </c>
      <c r="H9632" s="200" t="s">
        <v>322</v>
      </c>
    </row>
    <row r="9633" spans="1:8" ht="15" customHeight="1">
      <c r="A9633" s="199">
        <v>45818</v>
      </c>
      <c r="B9633" s="202" t="s">
        <v>5766</v>
      </c>
      <c r="C9633" s="200" t="s">
        <v>204</v>
      </c>
      <c r="D9633" s="765">
        <v>-13500000</v>
      </c>
      <c r="E9633" s="201">
        <v>45809</v>
      </c>
      <c r="F9633" s="200" t="s">
        <v>296</v>
      </c>
      <c r="G9633" s="200" t="s">
        <v>807</v>
      </c>
      <c r="H9633" s="200" t="s">
        <v>442</v>
      </c>
    </row>
    <row r="9634" spans="1:8" ht="15" customHeight="1">
      <c r="A9634" s="199">
        <v>45818</v>
      </c>
      <c r="B9634" s="202" t="s">
        <v>7364</v>
      </c>
      <c r="C9634" s="200" t="s">
        <v>204</v>
      </c>
      <c r="D9634" s="765">
        <v>-1279000</v>
      </c>
      <c r="E9634" s="201">
        <v>45809</v>
      </c>
      <c r="F9634" s="200" t="s">
        <v>256</v>
      </c>
      <c r="G9634" s="200" t="s">
        <v>256</v>
      </c>
      <c r="H9634" s="200" t="s">
        <v>267</v>
      </c>
    </row>
    <row r="9635" spans="1:8" ht="15" customHeight="1">
      <c r="A9635" s="199">
        <v>45818</v>
      </c>
      <c r="B9635" s="202" t="s">
        <v>7365</v>
      </c>
      <c r="C9635" s="200" t="s">
        <v>372</v>
      </c>
      <c r="D9635" s="204">
        <v>-46389</v>
      </c>
      <c r="E9635" s="201">
        <v>45809</v>
      </c>
      <c r="F9635" s="200" t="s">
        <v>256</v>
      </c>
      <c r="G9635" s="200" t="s">
        <v>256</v>
      </c>
      <c r="H9635" s="200" t="s">
        <v>267</v>
      </c>
    </row>
    <row r="9636" spans="1:8" ht="15" customHeight="1">
      <c r="A9636" s="199">
        <v>45818</v>
      </c>
      <c r="B9636" s="202" t="s">
        <v>7366</v>
      </c>
      <c r="C9636" s="200" t="s">
        <v>204</v>
      </c>
      <c r="D9636" s="765">
        <v>-18750027</v>
      </c>
      <c r="E9636" s="201">
        <v>45809</v>
      </c>
      <c r="F9636" s="200" t="s">
        <v>296</v>
      </c>
      <c r="G9636" s="200" t="s">
        <v>415</v>
      </c>
      <c r="H9636" s="200" t="s">
        <v>857</v>
      </c>
    </row>
    <row r="9637" spans="1:8" ht="15" customHeight="1">
      <c r="A9637" s="199">
        <v>45818</v>
      </c>
      <c r="B9637" s="202" t="s">
        <v>7367</v>
      </c>
      <c r="C9637" s="200" t="s">
        <v>204</v>
      </c>
      <c r="D9637" s="765">
        <v>-1330000</v>
      </c>
      <c r="E9637" s="201">
        <v>45809</v>
      </c>
      <c r="F9637" s="200" t="s">
        <v>296</v>
      </c>
      <c r="G9637" s="200" t="s">
        <v>1980</v>
      </c>
      <c r="H9637" s="200" t="s">
        <v>322</v>
      </c>
    </row>
    <row r="9638" spans="1:8" ht="15" customHeight="1">
      <c r="A9638" s="199">
        <v>45818</v>
      </c>
      <c r="B9638" s="202" t="s">
        <v>7368</v>
      </c>
      <c r="C9638" s="200" t="s">
        <v>372</v>
      </c>
      <c r="D9638" s="204">
        <v>-34103</v>
      </c>
      <c r="E9638" s="201">
        <v>45809</v>
      </c>
      <c r="F9638" s="200" t="s">
        <v>296</v>
      </c>
      <c r="G9638" s="200" t="s">
        <v>1980</v>
      </c>
      <c r="H9638" s="200" t="s">
        <v>322</v>
      </c>
    </row>
    <row r="9639" spans="1:8" ht="15" customHeight="1">
      <c r="A9639" s="199">
        <v>45818</v>
      </c>
      <c r="B9639" s="202" t="s">
        <v>7369</v>
      </c>
      <c r="C9639" s="200" t="s">
        <v>204</v>
      </c>
      <c r="D9639" s="765">
        <v>-489496</v>
      </c>
      <c r="E9639" s="201">
        <v>45809</v>
      </c>
      <c r="F9639" s="200" t="s">
        <v>297</v>
      </c>
      <c r="G9639" s="200" t="s">
        <v>3848</v>
      </c>
      <c r="H9639" s="200" t="s">
        <v>5376</v>
      </c>
    </row>
    <row r="9640" spans="1:8" ht="15" customHeight="1">
      <c r="A9640" s="199">
        <v>45818</v>
      </c>
      <c r="B9640" s="202" t="s">
        <v>7370</v>
      </c>
      <c r="C9640" s="200" t="s">
        <v>372</v>
      </c>
      <c r="D9640" s="204">
        <v>-10504</v>
      </c>
      <c r="E9640" s="201">
        <v>45809</v>
      </c>
      <c r="F9640" s="200" t="s">
        <v>297</v>
      </c>
      <c r="G9640" s="200" t="s">
        <v>3848</v>
      </c>
      <c r="H9640" s="200" t="s">
        <v>5376</v>
      </c>
    </row>
    <row r="9641" spans="1:8" ht="15" customHeight="1">
      <c r="A9641" s="199">
        <v>45818</v>
      </c>
      <c r="B9641" s="202" t="s">
        <v>7371</v>
      </c>
      <c r="C9641" s="200" t="s">
        <v>204</v>
      </c>
      <c r="D9641" s="765">
        <v>-489496</v>
      </c>
      <c r="E9641" s="201">
        <v>45809</v>
      </c>
      <c r="F9641" s="200" t="s">
        <v>297</v>
      </c>
      <c r="G9641" s="200" t="s">
        <v>71</v>
      </c>
      <c r="H9641" s="200" t="s">
        <v>5376</v>
      </c>
    </row>
    <row r="9642" spans="1:8" ht="15" customHeight="1">
      <c r="A9642" s="199">
        <v>45818</v>
      </c>
      <c r="B9642" s="202" t="s">
        <v>7372</v>
      </c>
      <c r="C9642" s="200" t="s">
        <v>372</v>
      </c>
      <c r="D9642" s="204">
        <v>-10504</v>
      </c>
      <c r="E9642" s="201">
        <v>45809</v>
      </c>
      <c r="F9642" s="200" t="s">
        <v>297</v>
      </c>
      <c r="G9642" s="200" t="s">
        <v>71</v>
      </c>
      <c r="H9642" s="200" t="s">
        <v>5376</v>
      </c>
    </row>
    <row r="9643" spans="1:8" ht="15" customHeight="1">
      <c r="A9643" s="199">
        <v>45818</v>
      </c>
      <c r="B9643" s="202" t="s">
        <v>7373</v>
      </c>
      <c r="C9643" s="200" t="s">
        <v>204</v>
      </c>
      <c r="D9643" s="765">
        <v>-489496</v>
      </c>
      <c r="E9643" s="201">
        <v>45809</v>
      </c>
      <c r="F9643" s="200" t="s">
        <v>297</v>
      </c>
      <c r="G9643" s="200" t="s">
        <v>5404</v>
      </c>
      <c r="H9643" s="200" t="s">
        <v>5376</v>
      </c>
    </row>
    <row r="9644" spans="1:8" ht="15" customHeight="1">
      <c r="A9644" s="199">
        <v>45818</v>
      </c>
      <c r="B9644" s="202" t="s">
        <v>7374</v>
      </c>
      <c r="C9644" s="200" t="s">
        <v>372</v>
      </c>
      <c r="D9644" s="204">
        <v>-10504</v>
      </c>
      <c r="E9644" s="201">
        <v>45809</v>
      </c>
      <c r="F9644" s="200" t="s">
        <v>297</v>
      </c>
      <c r="G9644" s="200" t="s">
        <v>5404</v>
      </c>
      <c r="H9644" s="200" t="s">
        <v>5376</v>
      </c>
    </row>
    <row r="9645" spans="1:8" ht="15" customHeight="1">
      <c r="A9645" s="199">
        <v>45819</v>
      </c>
      <c r="B9645" s="202" t="s">
        <v>7375</v>
      </c>
      <c r="C9645" s="200" t="s">
        <v>204</v>
      </c>
      <c r="D9645" s="765">
        <v>-3456000</v>
      </c>
      <c r="E9645" s="201">
        <v>45809</v>
      </c>
      <c r="F9645" s="200" t="s">
        <v>297</v>
      </c>
      <c r="G9645" s="200" t="s">
        <v>3892</v>
      </c>
      <c r="H9645" s="200" t="s">
        <v>342</v>
      </c>
    </row>
    <row r="9646" spans="1:8" ht="15" customHeight="1">
      <c r="A9646" s="199">
        <v>45819</v>
      </c>
      <c r="B9646" s="202" t="s">
        <v>7376</v>
      </c>
      <c r="C9646" s="200" t="s">
        <v>372</v>
      </c>
      <c r="D9646" s="204">
        <v>-352000</v>
      </c>
      <c r="E9646" s="201">
        <v>45809</v>
      </c>
      <c r="F9646" s="200" t="s">
        <v>297</v>
      </c>
      <c r="G9646" s="200" t="s">
        <v>3892</v>
      </c>
      <c r="H9646" s="200" t="s">
        <v>342</v>
      </c>
    </row>
    <row r="9647" spans="1:8" ht="15" customHeight="1">
      <c r="A9647" s="199">
        <v>45820</v>
      </c>
      <c r="B9647" s="202" t="s">
        <v>7377</v>
      </c>
      <c r="C9647" s="200" t="s">
        <v>204</v>
      </c>
      <c r="D9647" s="765">
        <v>-9432930</v>
      </c>
      <c r="E9647" s="201">
        <v>45809</v>
      </c>
      <c r="F9647" s="200" t="s">
        <v>296</v>
      </c>
      <c r="G9647" s="200" t="s">
        <v>1980</v>
      </c>
      <c r="H9647" s="200" t="s">
        <v>488</v>
      </c>
    </row>
    <row r="9648" spans="1:8" ht="15" customHeight="1">
      <c r="A9648" s="199">
        <v>45820</v>
      </c>
      <c r="B9648" s="202" t="s">
        <v>7378</v>
      </c>
      <c r="C9648" s="200" t="s">
        <v>372</v>
      </c>
      <c r="D9648" s="204">
        <v>-241870</v>
      </c>
      <c r="E9648" s="201">
        <v>45809</v>
      </c>
      <c r="F9648" s="200" t="s">
        <v>296</v>
      </c>
      <c r="G9648" s="200" t="s">
        <v>1980</v>
      </c>
      <c r="H9648" s="200" t="s">
        <v>488</v>
      </c>
    </row>
    <row r="9649" spans="1:8" ht="15" customHeight="1">
      <c r="A9649" s="199">
        <v>45820</v>
      </c>
      <c r="B9649" s="202" t="s">
        <v>7377</v>
      </c>
      <c r="C9649" s="200" t="s">
        <v>204</v>
      </c>
      <c r="D9649" s="765">
        <v>-475800</v>
      </c>
      <c r="E9649" s="201">
        <v>45809</v>
      </c>
      <c r="F9649" s="200" t="s">
        <v>296</v>
      </c>
      <c r="G9649" s="200" t="s">
        <v>1980</v>
      </c>
      <c r="H9649" s="200" t="s">
        <v>490</v>
      </c>
    </row>
    <row r="9650" spans="1:8" ht="15" customHeight="1">
      <c r="A9650" s="199">
        <v>45820</v>
      </c>
      <c r="B9650" s="202" t="s">
        <v>7378</v>
      </c>
      <c r="C9650" s="200" t="s">
        <v>372</v>
      </c>
      <c r="D9650" s="204">
        <v>-12200</v>
      </c>
      <c r="E9650" s="201">
        <v>45809</v>
      </c>
      <c r="F9650" s="200" t="s">
        <v>296</v>
      </c>
      <c r="G9650" s="200" t="s">
        <v>1980</v>
      </c>
      <c r="H9650" s="200" t="s">
        <v>490</v>
      </c>
    </row>
    <row r="9651" spans="1:8" ht="15" customHeight="1">
      <c r="A9651" s="199">
        <v>45820</v>
      </c>
      <c r="B9651" s="202" t="s">
        <v>7377</v>
      </c>
      <c r="C9651" s="200" t="s">
        <v>204</v>
      </c>
      <c r="D9651" s="765">
        <v>-219375</v>
      </c>
      <c r="E9651" s="201">
        <v>45809</v>
      </c>
      <c r="F9651" s="200" t="s">
        <v>296</v>
      </c>
      <c r="G9651" s="200" t="s">
        <v>1980</v>
      </c>
      <c r="H9651" s="200" t="s">
        <v>429</v>
      </c>
    </row>
    <row r="9652" spans="1:8" ht="15" customHeight="1">
      <c r="A9652" s="199">
        <v>45820</v>
      </c>
      <c r="B9652" s="202" t="s">
        <v>7378</v>
      </c>
      <c r="C9652" s="200" t="s">
        <v>372</v>
      </c>
      <c r="D9652" s="204">
        <v>-5625</v>
      </c>
      <c r="E9652" s="201">
        <v>45809</v>
      </c>
      <c r="F9652" s="200" t="s">
        <v>296</v>
      </c>
      <c r="G9652" s="200" t="s">
        <v>1980</v>
      </c>
      <c r="H9652" s="200" t="s">
        <v>429</v>
      </c>
    </row>
    <row r="9653" spans="1:8" ht="15" customHeight="1">
      <c r="A9653" s="199">
        <v>45820</v>
      </c>
      <c r="B9653" s="202" t="s">
        <v>7379</v>
      </c>
      <c r="C9653" s="200" t="s">
        <v>204</v>
      </c>
      <c r="D9653" s="765">
        <v>-432900</v>
      </c>
      <c r="E9653" s="201">
        <v>45809</v>
      </c>
      <c r="F9653" s="200" t="s">
        <v>296</v>
      </c>
      <c r="G9653" s="200" t="s">
        <v>1980</v>
      </c>
      <c r="H9653" s="200" t="s">
        <v>322</v>
      </c>
    </row>
    <row r="9654" spans="1:8" ht="15" customHeight="1">
      <c r="A9654" s="199">
        <v>45820</v>
      </c>
      <c r="B9654" s="202" t="s">
        <v>7380</v>
      </c>
      <c r="C9654" s="200" t="s">
        <v>372</v>
      </c>
      <c r="D9654" s="204">
        <v>-11100</v>
      </c>
      <c r="E9654" s="201">
        <v>45809</v>
      </c>
      <c r="F9654" s="200" t="s">
        <v>296</v>
      </c>
      <c r="G9654" s="200" t="s">
        <v>1980</v>
      </c>
      <c r="H9654" s="200" t="s">
        <v>322</v>
      </c>
    </row>
    <row r="9655" spans="1:8" ht="15" customHeight="1">
      <c r="A9655" s="199">
        <v>45820</v>
      </c>
      <c r="B9655" s="202" t="s">
        <v>7379</v>
      </c>
      <c r="C9655" s="200" t="s">
        <v>204</v>
      </c>
      <c r="D9655" s="765">
        <v>-9437903</v>
      </c>
      <c r="E9655" s="201">
        <v>45809</v>
      </c>
      <c r="F9655" s="200" t="s">
        <v>296</v>
      </c>
      <c r="G9655" s="200" t="s">
        <v>1983</v>
      </c>
      <c r="H9655" s="200" t="s">
        <v>488</v>
      </c>
    </row>
    <row r="9656" spans="1:8" ht="15" customHeight="1">
      <c r="A9656" s="199">
        <v>45820</v>
      </c>
      <c r="B9656" s="202" t="s">
        <v>7380</v>
      </c>
      <c r="C9656" s="200" t="s">
        <v>372</v>
      </c>
      <c r="D9656" s="204">
        <v>-241998</v>
      </c>
      <c r="E9656" s="201">
        <v>45809</v>
      </c>
      <c r="F9656" s="200" t="s">
        <v>296</v>
      </c>
      <c r="G9656" s="200" t="s">
        <v>1983</v>
      </c>
      <c r="H9656" s="200" t="s">
        <v>488</v>
      </c>
    </row>
    <row r="9657" spans="1:8" ht="15" customHeight="1">
      <c r="A9657" s="199">
        <v>45820</v>
      </c>
      <c r="B9657" s="202" t="s">
        <v>7379</v>
      </c>
      <c r="C9657" s="200" t="s">
        <v>204</v>
      </c>
      <c r="D9657" s="765">
        <v>-432900</v>
      </c>
      <c r="E9657" s="201">
        <v>45809</v>
      </c>
      <c r="F9657" s="200" t="s">
        <v>296</v>
      </c>
      <c r="G9657" s="200" t="s">
        <v>1983</v>
      </c>
      <c r="H9657" s="200" t="s">
        <v>322</v>
      </c>
    </row>
    <row r="9658" spans="1:8" ht="15" customHeight="1">
      <c r="A9658" s="199">
        <v>45820</v>
      </c>
      <c r="B9658" s="202" t="s">
        <v>7380</v>
      </c>
      <c r="C9658" s="200" t="s">
        <v>372</v>
      </c>
      <c r="D9658" s="204">
        <v>-11100</v>
      </c>
      <c r="E9658" s="201">
        <v>45809</v>
      </c>
      <c r="F9658" s="200" t="s">
        <v>296</v>
      </c>
      <c r="G9658" s="200" t="s">
        <v>1983</v>
      </c>
      <c r="H9658" s="200" t="s">
        <v>322</v>
      </c>
    </row>
    <row r="9659" spans="1:8" ht="15" customHeight="1">
      <c r="A9659" s="199">
        <v>45820</v>
      </c>
      <c r="B9659" s="202" t="s">
        <v>7379</v>
      </c>
      <c r="C9659" s="200" t="s">
        <v>204</v>
      </c>
      <c r="D9659" s="765">
        <v>-475800</v>
      </c>
      <c r="E9659" s="201">
        <v>45809</v>
      </c>
      <c r="F9659" s="200" t="s">
        <v>296</v>
      </c>
      <c r="G9659" s="200" t="s">
        <v>1983</v>
      </c>
      <c r="H9659" s="200" t="s">
        <v>490</v>
      </c>
    </row>
    <row r="9660" spans="1:8" ht="15" customHeight="1">
      <c r="A9660" s="199">
        <v>45820</v>
      </c>
      <c r="B9660" s="202" t="s">
        <v>7380</v>
      </c>
      <c r="C9660" s="200" t="s">
        <v>372</v>
      </c>
      <c r="D9660" s="204">
        <v>-12200</v>
      </c>
      <c r="E9660" s="201">
        <v>45809</v>
      </c>
      <c r="F9660" s="200" t="s">
        <v>296</v>
      </c>
      <c r="G9660" s="200" t="s">
        <v>1983</v>
      </c>
      <c r="H9660" s="200" t="s">
        <v>490</v>
      </c>
    </row>
    <row r="9661" spans="1:8" ht="15" customHeight="1">
      <c r="A9661" s="199">
        <v>45820</v>
      </c>
      <c r="B9661" s="202" t="s">
        <v>7379</v>
      </c>
      <c r="C9661" s="200" t="s">
        <v>204</v>
      </c>
      <c r="D9661" s="765">
        <v>-219375</v>
      </c>
      <c r="E9661" s="201">
        <v>45809</v>
      </c>
      <c r="F9661" s="200" t="s">
        <v>296</v>
      </c>
      <c r="G9661" s="200" t="s">
        <v>1983</v>
      </c>
      <c r="H9661" s="200" t="s">
        <v>429</v>
      </c>
    </row>
    <row r="9662" spans="1:8" ht="15" customHeight="1">
      <c r="A9662" s="199">
        <v>45820</v>
      </c>
      <c r="B9662" s="202" t="s">
        <v>7380</v>
      </c>
      <c r="C9662" s="200" t="s">
        <v>372</v>
      </c>
      <c r="D9662" s="204">
        <v>-5625</v>
      </c>
      <c r="E9662" s="201">
        <v>45809</v>
      </c>
      <c r="F9662" s="200" t="s">
        <v>296</v>
      </c>
      <c r="G9662" s="200" t="s">
        <v>1983</v>
      </c>
      <c r="H9662" s="200" t="s">
        <v>429</v>
      </c>
    </row>
    <row r="9663" spans="1:8" ht="15" customHeight="1">
      <c r="A9663" s="199">
        <v>45820</v>
      </c>
      <c r="B9663" s="202" t="s">
        <v>7379</v>
      </c>
      <c r="C9663" s="200" t="s">
        <v>204</v>
      </c>
      <c r="D9663" s="765">
        <v>-195000</v>
      </c>
      <c r="E9663" s="201">
        <v>45809</v>
      </c>
      <c r="F9663" s="200" t="s">
        <v>296</v>
      </c>
      <c r="G9663" s="200" t="s">
        <v>1983</v>
      </c>
      <c r="H9663" s="200" t="s">
        <v>322</v>
      </c>
    </row>
    <row r="9664" spans="1:8" ht="15" customHeight="1">
      <c r="A9664" s="199">
        <v>45820</v>
      </c>
      <c r="B9664" s="202" t="s">
        <v>7380</v>
      </c>
      <c r="C9664" s="200" t="s">
        <v>372</v>
      </c>
      <c r="D9664" s="204">
        <v>-5000</v>
      </c>
      <c r="E9664" s="201">
        <v>45809</v>
      </c>
      <c r="F9664" s="200" t="s">
        <v>296</v>
      </c>
      <c r="G9664" s="200" t="s">
        <v>1983</v>
      </c>
      <c r="H9664" s="200" t="s">
        <v>322</v>
      </c>
    </row>
    <row r="9665" spans="1:8" ht="15" customHeight="1">
      <c r="A9665" s="199">
        <v>45820</v>
      </c>
      <c r="B9665" s="202" t="s">
        <v>7381</v>
      </c>
      <c r="C9665" s="200" t="s">
        <v>204</v>
      </c>
      <c r="D9665" s="765">
        <v>-8220000</v>
      </c>
      <c r="E9665" s="201">
        <v>45809</v>
      </c>
      <c r="F9665" s="200" t="s">
        <v>296</v>
      </c>
      <c r="G9665" s="200" t="s">
        <v>1825</v>
      </c>
      <c r="H9665" s="200" t="s">
        <v>421</v>
      </c>
    </row>
    <row r="9666" spans="1:8" ht="15" customHeight="1">
      <c r="A9666" s="199">
        <v>45820</v>
      </c>
      <c r="B9666" s="202" t="s">
        <v>7382</v>
      </c>
      <c r="C9666" s="200" t="s">
        <v>204</v>
      </c>
      <c r="D9666" s="765">
        <v>-793920</v>
      </c>
      <c r="E9666" s="201">
        <v>45809</v>
      </c>
      <c r="F9666" s="200" t="s">
        <v>297</v>
      </c>
      <c r="G9666" s="200" t="s">
        <v>3892</v>
      </c>
      <c r="H9666" s="200" t="s">
        <v>342</v>
      </c>
    </row>
    <row r="9667" spans="1:8" ht="15" customHeight="1">
      <c r="A9667" s="199">
        <v>45820</v>
      </c>
      <c r="B9667" s="202" t="s">
        <v>7383</v>
      </c>
      <c r="C9667" s="200" t="s">
        <v>372</v>
      </c>
      <c r="D9667" s="204">
        <v>-33080</v>
      </c>
      <c r="E9667" s="201">
        <v>45809</v>
      </c>
      <c r="F9667" s="200" t="s">
        <v>297</v>
      </c>
      <c r="G9667" s="200" t="s">
        <v>3892</v>
      </c>
      <c r="H9667" s="200" t="s">
        <v>342</v>
      </c>
    </row>
    <row r="9668" spans="1:8" ht="15" customHeight="1">
      <c r="A9668" s="199">
        <v>45820</v>
      </c>
      <c r="B9668" s="202" t="s">
        <v>7384</v>
      </c>
      <c r="C9668" s="200" t="s">
        <v>204</v>
      </c>
      <c r="D9668" s="765">
        <v>-1205422</v>
      </c>
      <c r="E9668" s="201">
        <v>45809</v>
      </c>
      <c r="F9668" s="200" t="s">
        <v>296</v>
      </c>
      <c r="G9668" s="200" t="s">
        <v>57</v>
      </c>
      <c r="H9668" s="200" t="s">
        <v>100</v>
      </c>
    </row>
    <row r="9669" spans="1:8" ht="15" customHeight="1">
      <c r="A9669" s="199">
        <v>45820</v>
      </c>
      <c r="B9669" s="202" t="s">
        <v>7385</v>
      </c>
      <c r="C9669" s="200" t="s">
        <v>204</v>
      </c>
      <c r="D9669" s="765">
        <v>-9746</v>
      </c>
      <c r="E9669" s="201">
        <v>45809</v>
      </c>
      <c r="F9669" s="200" t="s">
        <v>296</v>
      </c>
      <c r="G9669" s="200" t="s">
        <v>44</v>
      </c>
      <c r="H9669" s="200" t="s">
        <v>366</v>
      </c>
    </row>
    <row r="9670" spans="1:8" ht="15" customHeight="1">
      <c r="A9670" s="199">
        <v>45820</v>
      </c>
      <c r="B9670" s="202" t="s">
        <v>7386</v>
      </c>
      <c r="C9670" s="200" t="s">
        <v>204</v>
      </c>
      <c r="D9670" s="765">
        <v>-664020</v>
      </c>
      <c r="E9670" s="201">
        <v>45809</v>
      </c>
      <c r="F9670" s="200" t="s">
        <v>256</v>
      </c>
      <c r="G9670" s="200" t="s">
        <v>256</v>
      </c>
      <c r="H9670" s="200" t="s">
        <v>267</v>
      </c>
    </row>
    <row r="9671" spans="1:8" ht="15" customHeight="1">
      <c r="A9671" s="199">
        <v>45820</v>
      </c>
      <c r="B9671" s="202" t="s">
        <v>7387</v>
      </c>
      <c r="C9671" s="200" t="s">
        <v>204</v>
      </c>
      <c r="D9671" s="765">
        <v>-378420</v>
      </c>
      <c r="E9671" s="201">
        <v>45809</v>
      </c>
      <c r="F9671" s="200" t="s">
        <v>256</v>
      </c>
      <c r="G9671" s="200" t="s">
        <v>256</v>
      </c>
      <c r="H9671" s="200" t="s">
        <v>267</v>
      </c>
    </row>
    <row r="9672" spans="1:8" ht="15" customHeight="1">
      <c r="A9672" s="199">
        <v>45820</v>
      </c>
      <c r="B9672" s="202" t="s">
        <v>7388</v>
      </c>
      <c r="C9672" s="200" t="s">
        <v>204</v>
      </c>
      <c r="D9672" s="765">
        <v>-2476550</v>
      </c>
      <c r="E9672" s="201">
        <v>45809</v>
      </c>
      <c r="F9672" s="200" t="s">
        <v>256</v>
      </c>
      <c r="G9672" s="200" t="s">
        <v>256</v>
      </c>
      <c r="H9672" s="200" t="s">
        <v>267</v>
      </c>
    </row>
    <row r="9673" spans="1:8" ht="15" customHeight="1">
      <c r="A9673" s="199">
        <v>45820</v>
      </c>
      <c r="B9673" s="202" t="s">
        <v>7389</v>
      </c>
      <c r="C9673" s="200" t="s">
        <v>204</v>
      </c>
      <c r="D9673" s="765">
        <v>-207060</v>
      </c>
      <c r="E9673" s="201">
        <v>45809</v>
      </c>
      <c r="F9673" s="200" t="s">
        <v>256</v>
      </c>
      <c r="G9673" s="200" t="s">
        <v>256</v>
      </c>
      <c r="H9673" s="200" t="s">
        <v>267</v>
      </c>
    </row>
    <row r="9674" spans="1:8" ht="15" customHeight="1">
      <c r="A9674" s="199">
        <v>45820</v>
      </c>
      <c r="B9674" s="202" t="s">
        <v>7390</v>
      </c>
      <c r="C9674" s="200" t="s">
        <v>204</v>
      </c>
      <c r="D9674" s="765">
        <v>-991520</v>
      </c>
      <c r="E9674" s="201">
        <v>45809</v>
      </c>
      <c r="F9674" s="200" t="s">
        <v>256</v>
      </c>
      <c r="G9674" s="200" t="s">
        <v>256</v>
      </c>
      <c r="H9674" s="200" t="s">
        <v>267</v>
      </c>
    </row>
    <row r="9675" spans="1:8" ht="15" customHeight="1">
      <c r="A9675" s="199">
        <v>45820</v>
      </c>
      <c r="B9675" s="202" t="s">
        <v>7391</v>
      </c>
      <c r="C9675" s="200" t="s">
        <v>372</v>
      </c>
      <c r="D9675" s="204">
        <v>-52000</v>
      </c>
      <c r="E9675" s="201">
        <v>45809</v>
      </c>
      <c r="F9675" s="200" t="s">
        <v>256</v>
      </c>
      <c r="G9675" s="200" t="s">
        <v>256</v>
      </c>
      <c r="H9675" s="200" t="s">
        <v>267</v>
      </c>
    </row>
    <row r="9676" spans="1:8" ht="15" customHeight="1">
      <c r="A9676" s="199">
        <v>45820</v>
      </c>
      <c r="B9676" s="202" t="s">
        <v>7392</v>
      </c>
      <c r="C9676" s="200" t="s">
        <v>372</v>
      </c>
      <c r="D9676" s="204">
        <v>-12480</v>
      </c>
      <c r="E9676" s="201">
        <v>45809</v>
      </c>
      <c r="F9676" s="200" t="s">
        <v>256</v>
      </c>
      <c r="G9676" s="200" t="s">
        <v>256</v>
      </c>
      <c r="H9676" s="200" t="s">
        <v>267</v>
      </c>
    </row>
    <row r="9677" spans="1:8" ht="15" customHeight="1">
      <c r="A9677" s="199">
        <v>45820</v>
      </c>
      <c r="B9677" s="202" t="s">
        <v>7393</v>
      </c>
      <c r="C9677" s="200" t="s">
        <v>204</v>
      </c>
      <c r="D9677" s="765">
        <v>-1291703</v>
      </c>
      <c r="E9677" s="201">
        <v>45809</v>
      </c>
      <c r="F9677" s="200" t="s">
        <v>296</v>
      </c>
      <c r="G9677" s="200" t="s">
        <v>44</v>
      </c>
      <c r="H9677" s="200" t="s">
        <v>322</v>
      </c>
    </row>
    <row r="9678" spans="1:8" ht="15" customHeight="1">
      <c r="A9678" s="199">
        <v>45820</v>
      </c>
      <c r="B9678" s="202" t="s">
        <v>7394</v>
      </c>
      <c r="C9678" s="200" t="s">
        <v>204</v>
      </c>
      <c r="D9678" s="765">
        <v>-1192319</v>
      </c>
      <c r="E9678" s="201">
        <v>45809</v>
      </c>
      <c r="F9678" s="200" t="s">
        <v>296</v>
      </c>
      <c r="G9678" s="200" t="s">
        <v>522</v>
      </c>
      <c r="H9678" s="200" t="s">
        <v>322</v>
      </c>
    </row>
    <row r="9679" spans="1:8" ht="15" customHeight="1">
      <c r="A9679" s="199">
        <v>45820</v>
      </c>
      <c r="B9679" s="202" t="s">
        <v>7395</v>
      </c>
      <c r="C9679" s="200" t="s">
        <v>204</v>
      </c>
      <c r="D9679" s="765">
        <v>-492624</v>
      </c>
      <c r="E9679" s="201">
        <v>45809</v>
      </c>
      <c r="F9679" s="200" t="s">
        <v>395</v>
      </c>
      <c r="G9679" s="531" t="s">
        <v>395</v>
      </c>
      <c r="H9679" s="200" t="s">
        <v>5384</v>
      </c>
    </row>
    <row r="9680" spans="1:8" ht="15" customHeight="1">
      <c r="A9680" s="199">
        <v>45820</v>
      </c>
      <c r="B9680" s="202" t="s">
        <v>7396</v>
      </c>
      <c r="C9680" s="200" t="s">
        <v>372</v>
      </c>
      <c r="D9680" s="204">
        <v>-10626</v>
      </c>
      <c r="E9680" s="201">
        <v>45809</v>
      </c>
      <c r="F9680" s="200" t="s">
        <v>297</v>
      </c>
      <c r="G9680" s="200" t="s">
        <v>1313</v>
      </c>
      <c r="H9680" s="200" t="s">
        <v>5384</v>
      </c>
    </row>
    <row r="9681" spans="1:8" ht="15" customHeight="1">
      <c r="A9681" s="199">
        <v>45820</v>
      </c>
      <c r="B9681" s="202" t="s">
        <v>7397</v>
      </c>
      <c r="C9681" s="200" t="s">
        <v>372</v>
      </c>
      <c r="D9681" s="204">
        <v>-2550</v>
      </c>
      <c r="E9681" s="201">
        <v>45809</v>
      </c>
      <c r="F9681" s="200" t="s">
        <v>297</v>
      </c>
      <c r="G9681" s="200" t="s">
        <v>1313</v>
      </c>
      <c r="H9681" s="200" t="s">
        <v>5384</v>
      </c>
    </row>
    <row r="9682" spans="1:8" ht="15" customHeight="1">
      <c r="A9682" s="199">
        <v>45820</v>
      </c>
      <c r="B9682" s="202" t="s">
        <v>7398</v>
      </c>
      <c r="C9682" s="200" t="s">
        <v>204</v>
      </c>
      <c r="D9682" s="765">
        <v>-53995</v>
      </c>
      <c r="E9682" s="201">
        <v>45809</v>
      </c>
      <c r="F9682" s="200" t="s">
        <v>296</v>
      </c>
      <c r="G9682" s="200" t="s">
        <v>1980</v>
      </c>
      <c r="H9682" s="200" t="s">
        <v>488</v>
      </c>
    </row>
    <row r="9683" spans="1:8" ht="15" customHeight="1">
      <c r="A9683" s="199">
        <v>45820</v>
      </c>
      <c r="B9683" s="202" t="s">
        <v>7399</v>
      </c>
      <c r="C9683" s="200" t="s">
        <v>372</v>
      </c>
      <c r="D9683" s="204">
        <v>-1165</v>
      </c>
      <c r="E9683" s="201">
        <v>45809</v>
      </c>
      <c r="F9683" s="200" t="s">
        <v>296</v>
      </c>
      <c r="G9683" s="200" t="s">
        <v>1980</v>
      </c>
      <c r="H9683" s="200" t="s">
        <v>488</v>
      </c>
    </row>
    <row r="9684" spans="1:8" ht="15" customHeight="1">
      <c r="A9684" s="199">
        <v>45820</v>
      </c>
      <c r="B9684" s="202" t="s">
        <v>7400</v>
      </c>
      <c r="C9684" s="200" t="s">
        <v>372</v>
      </c>
      <c r="D9684" s="204">
        <v>-280</v>
      </c>
      <c r="E9684" s="201">
        <v>45809</v>
      </c>
      <c r="F9684" s="200" t="s">
        <v>296</v>
      </c>
      <c r="G9684" s="200" t="s">
        <v>1980</v>
      </c>
      <c r="H9684" s="200" t="s">
        <v>488</v>
      </c>
    </row>
    <row r="9685" spans="1:8" ht="15" customHeight="1">
      <c r="A9685" s="199">
        <v>45820</v>
      </c>
      <c r="B9685" s="202" t="s">
        <v>7401</v>
      </c>
      <c r="C9685" s="200" t="s">
        <v>204</v>
      </c>
      <c r="D9685" s="765">
        <v>-53995</v>
      </c>
      <c r="E9685" s="201">
        <v>45809</v>
      </c>
      <c r="F9685" s="200" t="s">
        <v>296</v>
      </c>
      <c r="G9685" s="200" t="s">
        <v>1983</v>
      </c>
      <c r="H9685" s="200" t="s">
        <v>488</v>
      </c>
    </row>
    <row r="9686" spans="1:8" ht="15" customHeight="1">
      <c r="A9686" s="199">
        <v>45820</v>
      </c>
      <c r="B9686" s="202" t="s">
        <v>7402</v>
      </c>
      <c r="C9686" s="200" t="s">
        <v>372</v>
      </c>
      <c r="D9686" s="204">
        <v>-1165</v>
      </c>
      <c r="E9686" s="201">
        <v>45809</v>
      </c>
      <c r="F9686" s="200" t="s">
        <v>296</v>
      </c>
      <c r="G9686" s="200" t="s">
        <v>1983</v>
      </c>
      <c r="H9686" s="200" t="s">
        <v>488</v>
      </c>
    </row>
    <row r="9687" spans="1:8" ht="15" customHeight="1">
      <c r="A9687" s="199">
        <v>45820</v>
      </c>
      <c r="B9687" s="202" t="s">
        <v>7403</v>
      </c>
      <c r="C9687" s="200" t="s">
        <v>372</v>
      </c>
      <c r="D9687" s="204">
        <v>-280</v>
      </c>
      <c r="E9687" s="201">
        <v>45809</v>
      </c>
      <c r="F9687" s="200" t="s">
        <v>296</v>
      </c>
      <c r="G9687" s="200" t="s">
        <v>1983</v>
      </c>
      <c r="H9687" s="200" t="s">
        <v>488</v>
      </c>
    </row>
    <row r="9688" spans="1:8" ht="15" customHeight="1">
      <c r="A9688" s="199">
        <v>45820</v>
      </c>
      <c r="B9688" s="202" t="s">
        <v>7404</v>
      </c>
      <c r="C9688" s="200" t="s">
        <v>204</v>
      </c>
      <c r="D9688" s="765">
        <v>-102045</v>
      </c>
      <c r="E9688" s="201">
        <v>45809</v>
      </c>
      <c r="F9688" s="200" t="s">
        <v>296</v>
      </c>
      <c r="G9688" s="200" t="s">
        <v>2418</v>
      </c>
      <c r="H9688" s="200" t="s">
        <v>5384</v>
      </c>
    </row>
    <row r="9689" spans="1:8" ht="15" customHeight="1">
      <c r="A9689" s="199">
        <v>45820</v>
      </c>
      <c r="B9689" s="202" t="s">
        <v>7405</v>
      </c>
      <c r="C9689" s="200" t="s">
        <v>372</v>
      </c>
      <c r="D9689" s="204">
        <v>-2201</v>
      </c>
      <c r="E9689" s="201">
        <v>45809</v>
      </c>
      <c r="F9689" s="200" t="s">
        <v>296</v>
      </c>
      <c r="G9689" s="200" t="s">
        <v>2418</v>
      </c>
      <c r="H9689" s="200" t="s">
        <v>5384</v>
      </c>
    </row>
    <row r="9690" spans="1:8" ht="15" customHeight="1">
      <c r="A9690" s="199">
        <v>45820</v>
      </c>
      <c r="B9690" s="202" t="s">
        <v>7406</v>
      </c>
      <c r="C9690" s="200" t="s">
        <v>372</v>
      </c>
      <c r="D9690" s="204">
        <v>-528</v>
      </c>
      <c r="E9690" s="201">
        <v>45809</v>
      </c>
      <c r="F9690" s="200" t="s">
        <v>296</v>
      </c>
      <c r="G9690" s="200" t="s">
        <v>2418</v>
      </c>
      <c r="H9690" s="200" t="s">
        <v>5384</v>
      </c>
    </row>
    <row r="9691" spans="1:8" ht="15" customHeight="1">
      <c r="A9691" s="199">
        <v>45820</v>
      </c>
      <c r="B9691" s="202" t="s">
        <v>7407</v>
      </c>
      <c r="C9691" s="200" t="s">
        <v>204</v>
      </c>
      <c r="D9691" s="765">
        <v>-34244</v>
      </c>
      <c r="E9691" s="201">
        <v>45809</v>
      </c>
      <c r="F9691" s="200" t="s">
        <v>296</v>
      </c>
      <c r="G9691" s="200" t="s">
        <v>2418</v>
      </c>
      <c r="H9691" s="200" t="s">
        <v>5384</v>
      </c>
    </row>
    <row r="9692" spans="1:8" ht="15" customHeight="1">
      <c r="A9692" s="199">
        <v>45820</v>
      </c>
      <c r="B9692" s="202" t="s">
        <v>7408</v>
      </c>
      <c r="C9692" s="200" t="s">
        <v>372</v>
      </c>
      <c r="D9692" s="204">
        <v>-739</v>
      </c>
      <c r="E9692" s="201">
        <v>45809</v>
      </c>
      <c r="F9692" s="200" t="s">
        <v>296</v>
      </c>
      <c r="G9692" s="200" t="s">
        <v>2418</v>
      </c>
      <c r="H9692" s="200" t="s">
        <v>5384</v>
      </c>
    </row>
    <row r="9693" spans="1:8" ht="15" customHeight="1">
      <c r="A9693" s="199">
        <v>45820</v>
      </c>
      <c r="B9693" s="202" t="s">
        <v>7409</v>
      </c>
      <c r="C9693" s="200" t="s">
        <v>372</v>
      </c>
      <c r="D9693" s="204">
        <v>-177</v>
      </c>
      <c r="E9693" s="201">
        <v>45809</v>
      </c>
      <c r="F9693" s="200" t="s">
        <v>296</v>
      </c>
      <c r="G9693" s="200" t="s">
        <v>2418</v>
      </c>
      <c r="H9693" s="200" t="s">
        <v>5384</v>
      </c>
    </row>
    <row r="9694" spans="1:8" ht="15" customHeight="1">
      <c r="A9694" s="199">
        <v>45820</v>
      </c>
      <c r="B9694" s="202" t="s">
        <v>7410</v>
      </c>
      <c r="C9694" s="200" t="s">
        <v>204</v>
      </c>
      <c r="D9694" s="765">
        <v>-1205422</v>
      </c>
      <c r="E9694" s="201">
        <v>45809</v>
      </c>
      <c r="F9694" s="200" t="s">
        <v>296</v>
      </c>
      <c r="G9694" s="200" t="s">
        <v>1983</v>
      </c>
      <c r="H9694" s="200" t="s">
        <v>322</v>
      </c>
    </row>
    <row r="9695" spans="1:8" ht="15" customHeight="1">
      <c r="A9695" s="199">
        <v>45820</v>
      </c>
      <c r="B9695" s="202" t="s">
        <v>7411</v>
      </c>
      <c r="C9695" s="200" t="s">
        <v>372</v>
      </c>
      <c r="D9695" s="204">
        <v>-29578</v>
      </c>
      <c r="E9695" s="201">
        <v>45809</v>
      </c>
      <c r="F9695" s="200" t="s">
        <v>296</v>
      </c>
      <c r="G9695" s="200" t="s">
        <v>1983</v>
      </c>
      <c r="H9695" s="200" t="s">
        <v>322</v>
      </c>
    </row>
    <row r="9696" spans="1:8" ht="15" customHeight="1">
      <c r="A9696" s="199">
        <v>45820</v>
      </c>
      <c r="B9696" s="202" t="s">
        <v>7412</v>
      </c>
      <c r="C9696" s="200" t="s">
        <v>204</v>
      </c>
      <c r="D9696" s="765">
        <v>-7663911</v>
      </c>
      <c r="E9696" s="201">
        <v>45809</v>
      </c>
      <c r="F9696" s="200" t="s">
        <v>296</v>
      </c>
      <c r="G9696" s="200" t="s">
        <v>1980</v>
      </c>
      <c r="H9696" s="200" t="s">
        <v>811</v>
      </c>
    </row>
    <row r="9697" spans="1:9" ht="15" customHeight="1">
      <c r="A9697" s="199">
        <v>45820</v>
      </c>
      <c r="B9697" s="202" t="s">
        <v>7413</v>
      </c>
      <c r="C9697" s="200" t="s">
        <v>372</v>
      </c>
      <c r="D9697" s="204">
        <v>-78000</v>
      </c>
      <c r="E9697" s="201">
        <v>45809</v>
      </c>
      <c r="F9697" s="200" t="s">
        <v>296</v>
      </c>
      <c r="G9697" s="200" t="s">
        <v>1980</v>
      </c>
      <c r="H9697" s="200" t="s">
        <v>811</v>
      </c>
    </row>
    <row r="9698" spans="1:9" ht="15" customHeight="1">
      <c r="A9698" s="199">
        <v>45820</v>
      </c>
      <c r="B9698" s="202" t="s">
        <v>7414</v>
      </c>
      <c r="C9698" s="200" t="s">
        <v>372</v>
      </c>
      <c r="D9698" s="204">
        <v>-46800</v>
      </c>
      <c r="E9698" s="201">
        <v>45809</v>
      </c>
      <c r="F9698" s="200" t="s">
        <v>296</v>
      </c>
      <c r="G9698" s="200" t="s">
        <v>1980</v>
      </c>
      <c r="H9698" s="200" t="s">
        <v>811</v>
      </c>
    </row>
    <row r="9699" spans="1:9" ht="15" customHeight="1">
      <c r="A9699" s="199">
        <v>45820</v>
      </c>
      <c r="B9699" s="202" t="s">
        <v>7415</v>
      </c>
      <c r="C9699" s="200" t="s">
        <v>204</v>
      </c>
      <c r="D9699" s="765">
        <v>-1815480</v>
      </c>
      <c r="E9699" s="201">
        <v>45809</v>
      </c>
      <c r="F9699" s="200" t="s">
        <v>296</v>
      </c>
      <c r="G9699" s="200" t="s">
        <v>1980</v>
      </c>
      <c r="H9699" s="200" t="s">
        <v>811</v>
      </c>
    </row>
    <row r="9700" spans="1:9" ht="15" customHeight="1">
      <c r="A9700" s="199">
        <v>45820</v>
      </c>
      <c r="B9700" s="202" t="s">
        <v>7416</v>
      </c>
      <c r="C9700" s="200" t="s">
        <v>204</v>
      </c>
      <c r="D9700" s="765">
        <v>-2656800</v>
      </c>
      <c r="E9700" s="201">
        <v>45809</v>
      </c>
      <c r="F9700" s="200" t="s">
        <v>296</v>
      </c>
      <c r="G9700" s="200" t="s">
        <v>807</v>
      </c>
      <c r="H9700" s="200" t="s">
        <v>811</v>
      </c>
    </row>
    <row r="9701" spans="1:9" ht="15" customHeight="1">
      <c r="A9701" s="199">
        <v>45820</v>
      </c>
      <c r="B9701" s="202" t="s">
        <v>7417</v>
      </c>
      <c r="C9701" s="200" t="s">
        <v>204</v>
      </c>
      <c r="D9701" s="765">
        <v>-77295063</v>
      </c>
      <c r="E9701" s="201">
        <v>45809</v>
      </c>
      <c r="F9701" s="200" t="s">
        <v>296</v>
      </c>
      <c r="G9701" s="200" t="s">
        <v>1983</v>
      </c>
      <c r="H9701" s="200" t="s">
        <v>1104</v>
      </c>
    </row>
    <row r="9702" spans="1:9" ht="15" customHeight="1">
      <c r="A9702" s="199">
        <v>45820</v>
      </c>
      <c r="B9702" s="202" t="s">
        <v>7418</v>
      </c>
      <c r="C9702" s="200" t="s">
        <v>204</v>
      </c>
      <c r="D9702" s="765">
        <v>-59768000</v>
      </c>
      <c r="E9702" s="201">
        <v>45809</v>
      </c>
      <c r="F9702" s="200" t="s">
        <v>525</v>
      </c>
    </row>
    <row r="9703" spans="1:9" ht="15" customHeight="1">
      <c r="A9703" s="199">
        <v>45820</v>
      </c>
      <c r="B9703" s="202" t="s">
        <v>7419</v>
      </c>
      <c r="C9703" s="200" t="s">
        <v>204</v>
      </c>
      <c r="D9703" s="765">
        <v>-549000</v>
      </c>
      <c r="E9703" s="201">
        <v>45809</v>
      </c>
      <c r="F9703" s="200" t="s">
        <v>525</v>
      </c>
    </row>
    <row r="9704" spans="1:9" ht="15" customHeight="1">
      <c r="A9704" s="199">
        <v>45820</v>
      </c>
      <c r="B9704" s="202" t="s">
        <v>7420</v>
      </c>
      <c r="C9704" s="200" t="s">
        <v>204</v>
      </c>
      <c r="D9704" s="765">
        <v>-2113440</v>
      </c>
      <c r="E9704" s="201">
        <v>45809</v>
      </c>
      <c r="F9704" s="200" t="s">
        <v>296</v>
      </c>
      <c r="G9704" s="200" t="s">
        <v>328</v>
      </c>
      <c r="H9704" s="200" t="s">
        <v>375</v>
      </c>
    </row>
    <row r="9705" spans="1:9" ht="15" customHeight="1">
      <c r="A9705" s="199">
        <v>45820</v>
      </c>
      <c r="B9705" s="202" t="s">
        <v>7421</v>
      </c>
      <c r="C9705" s="200" t="s">
        <v>204</v>
      </c>
      <c r="D9705" s="765">
        <v>-143213</v>
      </c>
      <c r="E9705" s="201">
        <v>45809</v>
      </c>
      <c r="F9705" s="200" t="s">
        <v>296</v>
      </c>
      <c r="G9705" s="200" t="s">
        <v>328</v>
      </c>
      <c r="H9705" s="200" t="s">
        <v>375</v>
      </c>
      <c r="I9705" s="648" t="s">
        <v>329</v>
      </c>
    </row>
    <row r="9706" spans="1:9" ht="15" customHeight="1">
      <c r="A9706" s="199">
        <v>45820</v>
      </c>
      <c r="B9706" s="202" t="s">
        <v>7422</v>
      </c>
      <c r="C9706" s="200" t="s">
        <v>204</v>
      </c>
      <c r="D9706" s="765">
        <v>-6002880</v>
      </c>
      <c r="E9706" s="201">
        <v>45809</v>
      </c>
      <c r="F9706" s="200" t="s">
        <v>296</v>
      </c>
      <c r="G9706" s="200" t="s">
        <v>415</v>
      </c>
      <c r="H9706" s="200" t="s">
        <v>375</v>
      </c>
    </row>
    <row r="9707" spans="1:9" ht="15" customHeight="1">
      <c r="A9707" s="199">
        <v>45820</v>
      </c>
      <c r="B9707" s="202" t="s">
        <v>7423</v>
      </c>
      <c r="C9707" s="200" t="s">
        <v>204</v>
      </c>
      <c r="D9707" s="765">
        <v>-12787621</v>
      </c>
      <c r="E9707" s="201">
        <v>45809</v>
      </c>
      <c r="F9707" s="200" t="s">
        <v>296</v>
      </c>
      <c r="G9707" s="200" t="s">
        <v>3360</v>
      </c>
      <c r="H9707" s="200" t="s">
        <v>375</v>
      </c>
    </row>
    <row r="9708" spans="1:9" ht="15" customHeight="1">
      <c r="A9708" s="199">
        <v>45820</v>
      </c>
      <c r="B9708" s="202" t="s">
        <v>7423</v>
      </c>
      <c r="C9708" s="200" t="s">
        <v>204</v>
      </c>
      <c r="D9708" s="765">
        <v>-1096680</v>
      </c>
      <c r="E9708" s="201">
        <v>45809</v>
      </c>
      <c r="F9708" s="200" t="s">
        <v>296</v>
      </c>
      <c r="G9708" s="200" t="s">
        <v>1735</v>
      </c>
      <c r="H9708" s="200" t="s">
        <v>375</v>
      </c>
    </row>
    <row r="9709" spans="1:9" ht="15" customHeight="1">
      <c r="A9709" s="199">
        <v>45820</v>
      </c>
      <c r="B9709" s="202" t="s">
        <v>7423</v>
      </c>
      <c r="C9709" s="200" t="s">
        <v>204</v>
      </c>
      <c r="D9709" s="765">
        <v>-48909000</v>
      </c>
      <c r="E9709" s="201">
        <v>45809</v>
      </c>
      <c r="F9709" s="200" t="s">
        <v>297</v>
      </c>
      <c r="G9709" s="200" t="s">
        <v>3892</v>
      </c>
      <c r="H9709" s="200" t="s">
        <v>375</v>
      </c>
    </row>
    <row r="9710" spans="1:9" ht="15" customHeight="1">
      <c r="A9710" s="199">
        <v>45820</v>
      </c>
      <c r="B9710" s="202" t="s">
        <v>7423</v>
      </c>
      <c r="C9710" s="200" t="s">
        <v>204</v>
      </c>
      <c r="D9710" s="765">
        <v>-17473960</v>
      </c>
      <c r="E9710" s="201">
        <v>45809</v>
      </c>
      <c r="F9710" s="200" t="s">
        <v>297</v>
      </c>
      <c r="G9710" s="200" t="s">
        <v>71</v>
      </c>
      <c r="H9710" s="200" t="s">
        <v>375</v>
      </c>
    </row>
    <row r="9711" spans="1:9" ht="15" customHeight="1">
      <c r="A9711" s="199">
        <v>45820</v>
      </c>
      <c r="B9711" s="202" t="s">
        <v>7424</v>
      </c>
      <c r="C9711" s="200" t="s">
        <v>204</v>
      </c>
      <c r="D9711" s="765">
        <v>-1192500</v>
      </c>
      <c r="E9711" s="201">
        <v>45809</v>
      </c>
      <c r="F9711" s="200" t="s">
        <v>256</v>
      </c>
      <c r="G9711" s="200" t="s">
        <v>256</v>
      </c>
      <c r="H9711" s="200" t="s">
        <v>9</v>
      </c>
    </row>
    <row r="9712" spans="1:9" ht="15" customHeight="1">
      <c r="A9712" s="199">
        <v>45820</v>
      </c>
      <c r="B9712" s="202" t="s">
        <v>7425</v>
      </c>
      <c r="C9712" s="200" t="s">
        <v>372</v>
      </c>
      <c r="D9712" s="204">
        <v>-50000</v>
      </c>
      <c r="E9712" s="201">
        <v>45809</v>
      </c>
      <c r="F9712" s="200" t="s">
        <v>256</v>
      </c>
      <c r="G9712" s="200" t="s">
        <v>256</v>
      </c>
      <c r="H9712" s="200" t="s">
        <v>9</v>
      </c>
    </row>
    <row r="9713" spans="1:8" ht="15" customHeight="1">
      <c r="A9713" s="199">
        <v>45820</v>
      </c>
      <c r="B9713" s="202" t="s">
        <v>7426</v>
      </c>
      <c r="C9713" s="200" t="s">
        <v>372</v>
      </c>
      <c r="D9713" s="204">
        <v>-7500</v>
      </c>
      <c r="E9713" s="201">
        <v>45809</v>
      </c>
      <c r="F9713" s="200" t="s">
        <v>256</v>
      </c>
      <c r="G9713" s="200" t="s">
        <v>256</v>
      </c>
      <c r="H9713" s="200" t="s">
        <v>9</v>
      </c>
    </row>
    <row r="9714" spans="1:8" ht="15" customHeight="1">
      <c r="A9714" s="199">
        <v>45820</v>
      </c>
      <c r="B9714" s="202" t="s">
        <v>7427</v>
      </c>
      <c r="C9714" s="200" t="s">
        <v>204</v>
      </c>
      <c r="D9714" s="765">
        <v>-1425157</v>
      </c>
      <c r="E9714" s="201">
        <v>45809</v>
      </c>
      <c r="F9714" s="200" t="s">
        <v>256</v>
      </c>
      <c r="G9714" s="200" t="s">
        <v>107</v>
      </c>
      <c r="H9714" s="200" t="s">
        <v>777</v>
      </c>
    </row>
    <row r="9715" spans="1:8" ht="15" customHeight="1">
      <c r="A9715" s="199">
        <v>45820</v>
      </c>
      <c r="B9715" s="202" t="s">
        <v>7428</v>
      </c>
      <c r="C9715" s="200" t="s">
        <v>204</v>
      </c>
      <c r="D9715" s="765">
        <v>-1500527</v>
      </c>
      <c r="E9715" s="201">
        <v>45809</v>
      </c>
      <c r="F9715" s="200" t="s">
        <v>296</v>
      </c>
      <c r="G9715" s="200" t="s">
        <v>522</v>
      </c>
      <c r="H9715" s="200" t="s">
        <v>429</v>
      </c>
    </row>
    <row r="9716" spans="1:8" ht="15" customHeight="1">
      <c r="A9716" s="199">
        <v>45820</v>
      </c>
      <c r="B9716" s="202" t="s">
        <v>7429</v>
      </c>
      <c r="C9716" s="200" t="s">
        <v>204</v>
      </c>
      <c r="D9716" s="765">
        <v>-2552768</v>
      </c>
      <c r="E9716" s="201">
        <v>45809</v>
      </c>
      <c r="F9716" s="200" t="s">
        <v>296</v>
      </c>
      <c r="G9716" s="200" t="s">
        <v>1980</v>
      </c>
      <c r="H9716" s="200" t="s">
        <v>490</v>
      </c>
    </row>
    <row r="9717" spans="1:8" ht="15" customHeight="1">
      <c r="A9717" s="199">
        <v>45820</v>
      </c>
      <c r="B9717" s="202" t="s">
        <v>7430</v>
      </c>
      <c r="C9717" s="200" t="s">
        <v>204</v>
      </c>
      <c r="D9717" s="765">
        <v>-198425</v>
      </c>
      <c r="E9717" s="201">
        <v>45809</v>
      </c>
      <c r="F9717" s="200" t="s">
        <v>296</v>
      </c>
      <c r="G9717" s="200" t="s">
        <v>807</v>
      </c>
      <c r="H9717" s="200" t="s">
        <v>429</v>
      </c>
    </row>
    <row r="9718" spans="1:8" ht="15" customHeight="1">
      <c r="A9718" s="199">
        <v>45820</v>
      </c>
      <c r="B9718" s="202" t="s">
        <v>7431</v>
      </c>
      <c r="C9718" s="200" t="s">
        <v>204</v>
      </c>
      <c r="D9718" s="765">
        <v>-5049000</v>
      </c>
      <c r="E9718" s="201">
        <v>45809</v>
      </c>
      <c r="F9718" s="200" t="s">
        <v>296</v>
      </c>
      <c r="G9718" s="200" t="s">
        <v>1825</v>
      </c>
      <c r="H9718" s="200" t="s">
        <v>442</v>
      </c>
    </row>
    <row r="9719" spans="1:8" ht="15" customHeight="1">
      <c r="A9719" s="199">
        <v>45820</v>
      </c>
      <c r="B9719" s="202" t="s">
        <v>7431</v>
      </c>
      <c r="C9719" s="200" t="s">
        <v>204</v>
      </c>
      <c r="D9719" s="765">
        <v>-5049000</v>
      </c>
      <c r="E9719" s="201">
        <v>45809</v>
      </c>
      <c r="F9719" s="200" t="s">
        <v>296</v>
      </c>
      <c r="G9719" s="200" t="s">
        <v>807</v>
      </c>
      <c r="H9719" s="200" t="s">
        <v>442</v>
      </c>
    </row>
    <row r="9720" spans="1:8" ht="15" customHeight="1">
      <c r="A9720" s="199">
        <v>45820</v>
      </c>
      <c r="B9720" s="202" t="s">
        <v>7431</v>
      </c>
      <c r="C9720" s="200" t="s">
        <v>204</v>
      </c>
      <c r="D9720" s="765">
        <v>-5049000</v>
      </c>
      <c r="E9720" s="201">
        <v>45809</v>
      </c>
      <c r="F9720" s="200" t="s">
        <v>296</v>
      </c>
      <c r="G9720" s="200" t="s">
        <v>1980</v>
      </c>
      <c r="H9720" s="200" t="s">
        <v>442</v>
      </c>
    </row>
    <row r="9721" spans="1:8" ht="15" customHeight="1">
      <c r="A9721" s="199">
        <v>45820</v>
      </c>
      <c r="B9721" s="202" t="s">
        <v>7431</v>
      </c>
      <c r="C9721" s="200" t="s">
        <v>204</v>
      </c>
      <c r="D9721" s="765">
        <v>-5049000</v>
      </c>
      <c r="E9721" s="201">
        <v>45809</v>
      </c>
      <c r="F9721" s="200" t="s">
        <v>296</v>
      </c>
      <c r="G9721" s="200" t="s">
        <v>1983</v>
      </c>
      <c r="H9721" s="200" t="s">
        <v>442</v>
      </c>
    </row>
    <row r="9722" spans="1:8" ht="15" customHeight="1">
      <c r="A9722" s="199">
        <v>45820</v>
      </c>
      <c r="B9722" s="202" t="s">
        <v>7431</v>
      </c>
      <c r="C9722" s="200" t="s">
        <v>204</v>
      </c>
      <c r="D9722" s="765">
        <v>-5049000</v>
      </c>
      <c r="E9722" s="201">
        <v>45809</v>
      </c>
      <c r="F9722" s="200" t="s">
        <v>296</v>
      </c>
      <c r="G9722" s="200" t="s">
        <v>1825</v>
      </c>
      <c r="H9722" s="200" t="s">
        <v>442</v>
      </c>
    </row>
    <row r="9723" spans="1:8" ht="15" customHeight="1">
      <c r="A9723" s="199">
        <v>45820</v>
      </c>
      <c r="B9723" s="202" t="s">
        <v>7431</v>
      </c>
      <c r="C9723" s="200" t="s">
        <v>204</v>
      </c>
      <c r="D9723" s="765">
        <v>-5049000</v>
      </c>
      <c r="E9723" s="201">
        <v>45809</v>
      </c>
      <c r="F9723" s="200" t="s">
        <v>296</v>
      </c>
      <c r="G9723" s="200" t="s">
        <v>807</v>
      </c>
      <c r="H9723" s="200" t="s">
        <v>442</v>
      </c>
    </row>
    <row r="9724" spans="1:8" ht="15" customHeight="1">
      <c r="A9724" s="199">
        <v>45820</v>
      </c>
      <c r="B9724" s="202" t="s">
        <v>7431</v>
      </c>
      <c r="C9724" s="200" t="s">
        <v>204</v>
      </c>
      <c r="D9724" s="765">
        <v>-5049000</v>
      </c>
      <c r="E9724" s="201">
        <v>45809</v>
      </c>
      <c r="F9724" s="200" t="s">
        <v>296</v>
      </c>
      <c r="G9724" s="200" t="s">
        <v>1980</v>
      </c>
      <c r="H9724" s="200" t="s">
        <v>442</v>
      </c>
    </row>
    <row r="9725" spans="1:8" ht="15" customHeight="1">
      <c r="A9725" s="199">
        <v>45820</v>
      </c>
      <c r="B9725" s="202" t="s">
        <v>7431</v>
      </c>
      <c r="C9725" s="200" t="s">
        <v>204</v>
      </c>
      <c r="D9725" s="765">
        <v>-5049000</v>
      </c>
      <c r="E9725" s="201">
        <v>45809</v>
      </c>
      <c r="F9725" s="200" t="s">
        <v>296</v>
      </c>
      <c r="G9725" s="200" t="s">
        <v>1983</v>
      </c>
      <c r="H9725" s="200" t="s">
        <v>442</v>
      </c>
    </row>
    <row r="9726" spans="1:8" ht="15" customHeight="1">
      <c r="A9726" s="199">
        <v>45820</v>
      </c>
      <c r="B9726" s="202" t="s">
        <v>7431</v>
      </c>
      <c r="C9726" s="200" t="s">
        <v>204</v>
      </c>
      <c r="D9726" s="765">
        <v>-5049000</v>
      </c>
      <c r="E9726" s="201">
        <v>45809</v>
      </c>
      <c r="F9726" s="200" t="s">
        <v>296</v>
      </c>
      <c r="G9726" s="200" t="s">
        <v>1825</v>
      </c>
      <c r="H9726" s="200" t="s">
        <v>442</v>
      </c>
    </row>
    <row r="9727" spans="1:8" ht="15" customHeight="1">
      <c r="A9727" s="199">
        <v>45820</v>
      </c>
      <c r="B9727" s="202" t="s">
        <v>7431</v>
      </c>
      <c r="C9727" s="200" t="s">
        <v>204</v>
      </c>
      <c r="D9727" s="765">
        <v>-5049000</v>
      </c>
      <c r="E9727" s="201">
        <v>45809</v>
      </c>
      <c r="F9727" s="200" t="s">
        <v>296</v>
      </c>
      <c r="G9727" s="200" t="s">
        <v>807</v>
      </c>
      <c r="H9727" s="200" t="s">
        <v>442</v>
      </c>
    </row>
    <row r="9728" spans="1:8" ht="15" customHeight="1">
      <c r="A9728" s="199">
        <v>45820</v>
      </c>
      <c r="B9728" s="202" t="s">
        <v>7431</v>
      </c>
      <c r="C9728" s="200" t="s">
        <v>204</v>
      </c>
      <c r="D9728" s="765">
        <v>-5049000</v>
      </c>
      <c r="E9728" s="201">
        <v>45809</v>
      </c>
      <c r="F9728" s="200" t="s">
        <v>296</v>
      </c>
      <c r="G9728" s="200" t="s">
        <v>1980</v>
      </c>
      <c r="H9728" s="200" t="s">
        <v>442</v>
      </c>
    </row>
    <row r="9729" spans="1:8" ht="15" customHeight="1">
      <c r="A9729" s="199">
        <v>45820</v>
      </c>
      <c r="B9729" s="202" t="s">
        <v>7431</v>
      </c>
      <c r="C9729" s="200" t="s">
        <v>204</v>
      </c>
      <c r="D9729" s="765">
        <v>-5049000</v>
      </c>
      <c r="E9729" s="201">
        <v>45809</v>
      </c>
      <c r="F9729" s="200" t="s">
        <v>296</v>
      </c>
      <c r="G9729" s="200" t="s">
        <v>1983</v>
      </c>
      <c r="H9729" s="200" t="s">
        <v>442</v>
      </c>
    </row>
    <row r="9730" spans="1:8" ht="15" customHeight="1">
      <c r="A9730" s="199">
        <v>45820</v>
      </c>
      <c r="B9730" s="202" t="s">
        <v>7432</v>
      </c>
      <c r="C9730" s="200" t="s">
        <v>204</v>
      </c>
      <c r="D9730" s="765">
        <v>-2646666.6666666665</v>
      </c>
      <c r="E9730" s="201">
        <v>45809</v>
      </c>
      <c r="F9730" s="200" t="s">
        <v>256</v>
      </c>
      <c r="G9730" s="200" t="s">
        <v>256</v>
      </c>
      <c r="H9730" s="200" t="s">
        <v>121</v>
      </c>
    </row>
    <row r="9731" spans="1:8" ht="15" customHeight="1">
      <c r="A9731" s="199">
        <v>45820</v>
      </c>
      <c r="B9731" s="202" t="s">
        <v>7433</v>
      </c>
      <c r="C9731" s="200" t="s">
        <v>204</v>
      </c>
      <c r="D9731" s="765">
        <v>-6250000</v>
      </c>
      <c r="E9731" s="201">
        <v>45809</v>
      </c>
      <c r="F9731" s="200" t="s">
        <v>256</v>
      </c>
      <c r="G9731" s="200" t="s">
        <v>256</v>
      </c>
      <c r="H9731" s="200" t="s">
        <v>121</v>
      </c>
    </row>
    <row r="9732" spans="1:8" ht="15" customHeight="1">
      <c r="A9732" s="199">
        <v>45820</v>
      </c>
      <c r="B9732" s="202" t="s">
        <v>7434</v>
      </c>
      <c r="C9732" s="200" t="s">
        <v>204</v>
      </c>
      <c r="D9732" s="765">
        <v>-6250000</v>
      </c>
      <c r="E9732" s="201">
        <v>45809</v>
      </c>
      <c r="F9732" s="200" t="s">
        <v>256</v>
      </c>
      <c r="G9732" s="200" t="s">
        <v>256</v>
      </c>
      <c r="H9732" s="200" t="s">
        <v>121</v>
      </c>
    </row>
    <row r="9733" spans="1:8" ht="15" customHeight="1">
      <c r="A9733" s="199">
        <v>45820</v>
      </c>
      <c r="B9733" s="202" t="s">
        <v>7435</v>
      </c>
      <c r="C9733" s="200" t="s">
        <v>204</v>
      </c>
      <c r="D9733" s="765">
        <v>-950000</v>
      </c>
      <c r="E9733" s="201">
        <v>45809</v>
      </c>
      <c r="F9733" s="200" t="s">
        <v>256</v>
      </c>
      <c r="G9733" s="200" t="s">
        <v>256</v>
      </c>
      <c r="H9733" s="200" t="s">
        <v>121</v>
      </c>
    </row>
    <row r="9734" spans="1:8" ht="15" customHeight="1">
      <c r="A9734" s="199">
        <v>45820</v>
      </c>
      <c r="B9734" s="202" t="s">
        <v>7436</v>
      </c>
      <c r="C9734" s="200" t="s">
        <v>204</v>
      </c>
      <c r="D9734" s="765">
        <v>-2500000</v>
      </c>
      <c r="E9734" s="201">
        <v>45809</v>
      </c>
      <c r="F9734" s="200" t="s">
        <v>256</v>
      </c>
      <c r="G9734" s="200" t="s">
        <v>256</v>
      </c>
      <c r="H9734" s="200" t="s">
        <v>121</v>
      </c>
    </row>
    <row r="9735" spans="1:8" ht="15" customHeight="1">
      <c r="A9735" s="199">
        <v>45820</v>
      </c>
      <c r="B9735" s="202" t="s">
        <v>7437</v>
      </c>
      <c r="C9735" s="200" t="s">
        <v>204</v>
      </c>
      <c r="D9735" s="765">
        <v>-974000</v>
      </c>
      <c r="E9735" s="201">
        <v>45809</v>
      </c>
      <c r="F9735" s="200" t="s">
        <v>256</v>
      </c>
      <c r="G9735" s="200" t="s">
        <v>256</v>
      </c>
      <c r="H9735" s="200" t="s">
        <v>121</v>
      </c>
    </row>
    <row r="9736" spans="1:8" ht="15" customHeight="1">
      <c r="A9736" s="199">
        <v>45820</v>
      </c>
      <c r="B9736" s="202" t="s">
        <v>7438</v>
      </c>
      <c r="C9736" s="200" t="s">
        <v>204</v>
      </c>
      <c r="D9736" s="765">
        <v>-811750</v>
      </c>
      <c r="E9736" s="201">
        <v>45809</v>
      </c>
      <c r="F9736" s="200" t="s">
        <v>256</v>
      </c>
      <c r="G9736" s="200" t="s">
        <v>256</v>
      </c>
      <c r="H9736" s="200" t="s">
        <v>121</v>
      </c>
    </row>
    <row r="9737" spans="1:8" ht="15" customHeight="1">
      <c r="A9737" s="199">
        <v>45820</v>
      </c>
      <c r="B9737" s="202" t="s">
        <v>7439</v>
      </c>
      <c r="C9737" s="200" t="s">
        <v>204</v>
      </c>
      <c r="D9737" s="765">
        <v>-1750000</v>
      </c>
      <c r="E9737" s="201">
        <v>45809</v>
      </c>
      <c r="F9737" s="200" t="s">
        <v>256</v>
      </c>
      <c r="G9737" s="200" t="s">
        <v>256</v>
      </c>
      <c r="H9737" s="200" t="s">
        <v>121</v>
      </c>
    </row>
    <row r="9738" spans="1:8" ht="15" customHeight="1">
      <c r="A9738" s="199">
        <v>45820</v>
      </c>
      <c r="B9738" s="202" t="s">
        <v>7440</v>
      </c>
      <c r="C9738" s="200" t="s">
        <v>204</v>
      </c>
      <c r="D9738" s="765">
        <v>-875000</v>
      </c>
      <c r="E9738" s="201">
        <v>45809</v>
      </c>
      <c r="F9738" s="200" t="s">
        <v>256</v>
      </c>
      <c r="G9738" s="200" t="s">
        <v>256</v>
      </c>
      <c r="H9738" s="200" t="s">
        <v>121</v>
      </c>
    </row>
    <row r="9739" spans="1:8" ht="15" customHeight="1">
      <c r="A9739" s="199">
        <v>45820</v>
      </c>
      <c r="B9739" s="202" t="s">
        <v>7441</v>
      </c>
      <c r="C9739" s="200" t="s">
        <v>204</v>
      </c>
      <c r="D9739" s="765">
        <v>-1000000</v>
      </c>
      <c r="E9739" s="201">
        <v>45809</v>
      </c>
      <c r="F9739" s="200" t="s">
        <v>256</v>
      </c>
      <c r="G9739" s="200" t="s">
        <v>256</v>
      </c>
      <c r="H9739" s="200" t="s">
        <v>121</v>
      </c>
    </row>
    <row r="9740" spans="1:8" ht="15" customHeight="1">
      <c r="A9740" s="199">
        <v>45820</v>
      </c>
      <c r="B9740" s="202" t="s">
        <v>7442</v>
      </c>
      <c r="C9740" s="200" t="s">
        <v>204</v>
      </c>
      <c r="D9740" s="765">
        <v>-950000</v>
      </c>
      <c r="E9740" s="201">
        <v>45809</v>
      </c>
      <c r="F9740" s="200" t="s">
        <v>256</v>
      </c>
      <c r="G9740" s="200" t="s">
        <v>256</v>
      </c>
      <c r="H9740" s="200" t="s">
        <v>121</v>
      </c>
    </row>
    <row r="9741" spans="1:8" ht="15" customHeight="1">
      <c r="A9741" s="199">
        <v>45820</v>
      </c>
      <c r="B9741" s="202" t="s">
        <v>7443</v>
      </c>
      <c r="C9741" s="200" t="s">
        <v>204</v>
      </c>
      <c r="D9741" s="765">
        <v>-811750</v>
      </c>
      <c r="E9741" s="201">
        <v>45809</v>
      </c>
      <c r="F9741" s="200" t="s">
        <v>256</v>
      </c>
      <c r="G9741" s="200" t="s">
        <v>256</v>
      </c>
      <c r="H9741" s="200" t="s">
        <v>121</v>
      </c>
    </row>
    <row r="9742" spans="1:8" ht="15" customHeight="1">
      <c r="A9742" s="199">
        <v>45820</v>
      </c>
      <c r="B9742" s="202" t="s">
        <v>7444</v>
      </c>
      <c r="C9742" s="200" t="s">
        <v>204</v>
      </c>
      <c r="D9742" s="765">
        <v>-811750</v>
      </c>
      <c r="E9742" s="201">
        <v>45809</v>
      </c>
      <c r="F9742" s="200" t="s">
        <v>256</v>
      </c>
      <c r="G9742" s="200" t="s">
        <v>256</v>
      </c>
      <c r="H9742" s="200" t="s">
        <v>121</v>
      </c>
    </row>
    <row r="9743" spans="1:8" ht="15" customHeight="1">
      <c r="A9743" s="199">
        <v>45820</v>
      </c>
      <c r="B9743" s="202" t="s">
        <v>7445</v>
      </c>
      <c r="C9743" s="200" t="s">
        <v>204</v>
      </c>
      <c r="D9743" s="765">
        <v>-1688833.3333333333</v>
      </c>
      <c r="E9743" s="201">
        <v>45809</v>
      </c>
      <c r="F9743" s="200" t="s">
        <v>256</v>
      </c>
      <c r="G9743" s="200" t="s">
        <v>256</v>
      </c>
      <c r="H9743" s="200" t="s">
        <v>121</v>
      </c>
    </row>
    <row r="9744" spans="1:8" ht="15" customHeight="1">
      <c r="A9744" s="199">
        <v>45820</v>
      </c>
      <c r="B9744" s="202" t="s">
        <v>7446</v>
      </c>
      <c r="C9744" s="200" t="s">
        <v>204</v>
      </c>
      <c r="D9744" s="765">
        <v>-1500000</v>
      </c>
      <c r="E9744" s="201">
        <v>45809</v>
      </c>
      <c r="F9744" s="200" t="s">
        <v>256</v>
      </c>
      <c r="G9744" s="200" t="s">
        <v>256</v>
      </c>
      <c r="H9744" s="200" t="s">
        <v>121</v>
      </c>
    </row>
    <row r="9745" spans="1:8" ht="15" customHeight="1">
      <c r="A9745" s="199">
        <v>45820</v>
      </c>
      <c r="B9745" s="202" t="s">
        <v>7447</v>
      </c>
      <c r="C9745" s="200" t="s">
        <v>204</v>
      </c>
      <c r="D9745" s="765">
        <v>-726065.27777777775</v>
      </c>
      <c r="E9745" s="201">
        <v>45809</v>
      </c>
      <c r="F9745" s="200" t="s">
        <v>256</v>
      </c>
      <c r="G9745" s="200" t="s">
        <v>256</v>
      </c>
      <c r="H9745" s="200" t="s">
        <v>121</v>
      </c>
    </row>
    <row r="9746" spans="1:8" ht="15" customHeight="1">
      <c r="A9746" s="199">
        <v>45820</v>
      </c>
      <c r="B9746" s="202" t="s">
        <v>7448</v>
      </c>
      <c r="C9746" s="200" t="s">
        <v>204</v>
      </c>
      <c r="D9746" s="765">
        <v>-1069444.4444444445</v>
      </c>
      <c r="E9746" s="201">
        <v>45809</v>
      </c>
      <c r="F9746" s="200" t="s">
        <v>256</v>
      </c>
      <c r="G9746" s="200" t="s">
        <v>256</v>
      </c>
      <c r="H9746" s="200" t="s">
        <v>121</v>
      </c>
    </row>
    <row r="9747" spans="1:8" ht="15" customHeight="1">
      <c r="A9747" s="199">
        <v>45820</v>
      </c>
      <c r="B9747" s="202" t="s">
        <v>7449</v>
      </c>
      <c r="C9747" s="200" t="s">
        <v>204</v>
      </c>
      <c r="D9747" s="765">
        <v>-781111.11111111112</v>
      </c>
      <c r="E9747" s="201">
        <v>45809</v>
      </c>
      <c r="F9747" s="200" t="s">
        <v>256</v>
      </c>
      <c r="G9747" s="200" t="s">
        <v>256</v>
      </c>
      <c r="H9747" s="200" t="s">
        <v>121</v>
      </c>
    </row>
    <row r="9748" spans="1:8" ht="15" customHeight="1">
      <c r="A9748" s="199">
        <v>45820</v>
      </c>
      <c r="B9748" s="202" t="s">
        <v>7450</v>
      </c>
      <c r="C9748" s="200" t="s">
        <v>204</v>
      </c>
      <c r="D9748" s="765">
        <v>-1147222.2222222222</v>
      </c>
      <c r="E9748" s="201">
        <v>45809</v>
      </c>
      <c r="F9748" s="200" t="s">
        <v>256</v>
      </c>
      <c r="G9748" s="200" t="s">
        <v>256</v>
      </c>
      <c r="H9748" s="200" t="s">
        <v>121</v>
      </c>
    </row>
    <row r="9749" spans="1:8" ht="15" customHeight="1">
      <c r="A9749" s="199">
        <v>45820</v>
      </c>
      <c r="B9749" s="202" t="s">
        <v>7451</v>
      </c>
      <c r="C9749" s="200" t="s">
        <v>204</v>
      </c>
      <c r="D9749" s="765">
        <v>-405875</v>
      </c>
      <c r="E9749" s="201">
        <v>45809</v>
      </c>
      <c r="F9749" s="200" t="s">
        <v>256</v>
      </c>
      <c r="G9749" s="200" t="s">
        <v>256</v>
      </c>
      <c r="H9749" s="200" t="s">
        <v>121</v>
      </c>
    </row>
    <row r="9750" spans="1:8" ht="15" customHeight="1">
      <c r="A9750" s="199">
        <v>45820</v>
      </c>
      <c r="B9750" s="202" t="s">
        <v>7452</v>
      </c>
      <c r="C9750" s="200" t="s">
        <v>204</v>
      </c>
      <c r="D9750" s="765">
        <v>-233333.33333333334</v>
      </c>
      <c r="E9750" s="201">
        <v>45809</v>
      </c>
      <c r="F9750" s="200" t="s">
        <v>256</v>
      </c>
      <c r="G9750" s="200" t="s">
        <v>256</v>
      </c>
      <c r="H9750" s="200" t="s">
        <v>121</v>
      </c>
    </row>
    <row r="9751" spans="1:8" ht="15" customHeight="1">
      <c r="A9751" s="199">
        <v>45820</v>
      </c>
      <c r="B9751" s="202" t="s">
        <v>7453</v>
      </c>
      <c r="C9751" s="200" t="s">
        <v>204</v>
      </c>
      <c r="D9751" s="765">
        <v>-157840.27777777778</v>
      </c>
      <c r="E9751" s="201">
        <v>45809</v>
      </c>
      <c r="F9751" s="200" t="s">
        <v>256</v>
      </c>
      <c r="G9751" s="200" t="s">
        <v>256</v>
      </c>
      <c r="H9751" s="200" t="s">
        <v>121</v>
      </c>
    </row>
    <row r="9752" spans="1:8" ht="15" customHeight="1">
      <c r="A9752" s="199">
        <v>45820</v>
      </c>
      <c r="B9752" s="202" t="s">
        <v>7454</v>
      </c>
      <c r="C9752" s="200" t="s">
        <v>204</v>
      </c>
      <c r="D9752" s="765">
        <v>-811750</v>
      </c>
      <c r="E9752" s="201">
        <v>45809</v>
      </c>
      <c r="F9752" s="200" t="s">
        <v>256</v>
      </c>
      <c r="G9752" s="200" t="s">
        <v>107</v>
      </c>
      <c r="H9752" s="200" t="s">
        <v>121</v>
      </c>
    </row>
    <row r="9753" spans="1:8" ht="15" customHeight="1">
      <c r="A9753" s="199">
        <v>45820</v>
      </c>
      <c r="B9753" s="202" t="s">
        <v>7455</v>
      </c>
      <c r="C9753" s="200" t="s">
        <v>204</v>
      </c>
      <c r="D9753" s="765">
        <v>-6336275.583333333</v>
      </c>
      <c r="E9753" s="201">
        <v>45809</v>
      </c>
      <c r="F9753" s="200" t="s">
        <v>256</v>
      </c>
      <c r="G9753" s="200" t="s">
        <v>107</v>
      </c>
      <c r="H9753" s="200" t="s">
        <v>121</v>
      </c>
    </row>
    <row r="9754" spans="1:8" ht="15" customHeight="1">
      <c r="A9754" s="199">
        <v>45820</v>
      </c>
      <c r="B9754" s="202" t="s">
        <v>7456</v>
      </c>
      <c r="C9754" s="200" t="s">
        <v>204</v>
      </c>
      <c r="D9754" s="765">
        <v>-2533679.8333333335</v>
      </c>
      <c r="E9754" s="201">
        <v>45809</v>
      </c>
      <c r="F9754" s="200" t="s">
        <v>256</v>
      </c>
      <c r="G9754" s="200" t="s">
        <v>107</v>
      </c>
      <c r="H9754" s="200" t="s">
        <v>121</v>
      </c>
    </row>
    <row r="9755" spans="1:8" ht="15" customHeight="1">
      <c r="A9755" s="199">
        <v>45820</v>
      </c>
      <c r="B9755" s="202" t="s">
        <v>7457</v>
      </c>
      <c r="C9755" s="200" t="s">
        <v>204</v>
      </c>
      <c r="D9755" s="765">
        <v>-1650000</v>
      </c>
      <c r="E9755" s="201">
        <v>45809</v>
      </c>
      <c r="F9755" s="200" t="s">
        <v>256</v>
      </c>
      <c r="G9755" s="200" t="s">
        <v>107</v>
      </c>
      <c r="H9755" s="200" t="s">
        <v>121</v>
      </c>
    </row>
    <row r="9756" spans="1:8" ht="15" customHeight="1">
      <c r="A9756" s="199">
        <v>45820</v>
      </c>
      <c r="B9756" s="202" t="s">
        <v>7458</v>
      </c>
      <c r="C9756" s="200" t="s">
        <v>204</v>
      </c>
      <c r="D9756" s="765">
        <v>-824473.1481481482</v>
      </c>
      <c r="E9756" s="201">
        <v>45809</v>
      </c>
      <c r="F9756" s="200" t="s">
        <v>256</v>
      </c>
      <c r="G9756" s="200" t="s">
        <v>107</v>
      </c>
      <c r="H9756" s="200" t="s">
        <v>121</v>
      </c>
    </row>
    <row r="9757" spans="1:8" ht="15" customHeight="1">
      <c r="A9757" s="199">
        <v>45820</v>
      </c>
      <c r="B9757" s="202" t="s">
        <v>7459</v>
      </c>
      <c r="C9757" s="200" t="s">
        <v>204</v>
      </c>
      <c r="D9757" s="765">
        <v>-1073333.3333333333</v>
      </c>
      <c r="E9757" s="201">
        <v>45809</v>
      </c>
      <c r="F9757" s="200" t="s">
        <v>256</v>
      </c>
      <c r="G9757" s="200" t="s">
        <v>107</v>
      </c>
      <c r="H9757" s="200" t="s">
        <v>121</v>
      </c>
    </row>
    <row r="9758" spans="1:8" ht="15" customHeight="1">
      <c r="A9758" s="199">
        <v>45820</v>
      </c>
      <c r="B9758" s="202" t="s">
        <v>7460</v>
      </c>
      <c r="C9758" s="200" t="s">
        <v>204</v>
      </c>
      <c r="D9758" s="765">
        <v>-1315555.5555555555</v>
      </c>
      <c r="E9758" s="201">
        <v>45809</v>
      </c>
      <c r="F9758" s="200" t="s">
        <v>256</v>
      </c>
      <c r="G9758" s="200" t="s">
        <v>107</v>
      </c>
      <c r="H9758" s="200" t="s">
        <v>121</v>
      </c>
    </row>
    <row r="9759" spans="1:8" ht="15" customHeight="1">
      <c r="A9759" s="199">
        <v>45820</v>
      </c>
      <c r="B9759" s="202" t="s">
        <v>7461</v>
      </c>
      <c r="C9759" s="200" t="s">
        <v>204</v>
      </c>
      <c r="D9759" s="765">
        <v>-836111.13888888888</v>
      </c>
      <c r="E9759" s="201">
        <v>45809</v>
      </c>
      <c r="F9759" s="200" t="s">
        <v>256</v>
      </c>
      <c r="G9759" s="200" t="s">
        <v>107</v>
      </c>
      <c r="H9759" s="200" t="s">
        <v>121</v>
      </c>
    </row>
    <row r="9760" spans="1:8" ht="15" customHeight="1">
      <c r="A9760" s="199">
        <v>45820</v>
      </c>
      <c r="B9760" s="202" t="s">
        <v>7462</v>
      </c>
      <c r="C9760" s="200" t="s">
        <v>204</v>
      </c>
      <c r="D9760" s="765">
        <v>-2250000</v>
      </c>
      <c r="E9760" s="201">
        <v>45809</v>
      </c>
      <c r="F9760" s="200" t="s">
        <v>296</v>
      </c>
      <c r="G9760" s="200" t="s">
        <v>57</v>
      </c>
      <c r="H9760" s="200" t="s">
        <v>121</v>
      </c>
    </row>
    <row r="9761" spans="1:8" ht="15" customHeight="1">
      <c r="A9761" s="199">
        <v>45820</v>
      </c>
      <c r="B9761" s="202" t="s">
        <v>7463</v>
      </c>
      <c r="C9761" s="200" t="s">
        <v>204</v>
      </c>
      <c r="D9761" s="765">
        <v>-1500000</v>
      </c>
      <c r="E9761" s="201">
        <v>45809</v>
      </c>
      <c r="F9761" s="200" t="s">
        <v>296</v>
      </c>
      <c r="G9761" s="200" t="s">
        <v>57</v>
      </c>
      <c r="H9761" s="200" t="s">
        <v>121</v>
      </c>
    </row>
    <row r="9762" spans="1:8" ht="15" customHeight="1">
      <c r="A9762" s="199">
        <v>45820</v>
      </c>
      <c r="B9762" s="202" t="s">
        <v>7464</v>
      </c>
      <c r="C9762" s="200" t="s">
        <v>204</v>
      </c>
      <c r="D9762" s="765">
        <v>-1850000</v>
      </c>
      <c r="E9762" s="201">
        <v>45809</v>
      </c>
      <c r="F9762" s="200" t="s">
        <v>296</v>
      </c>
      <c r="G9762" s="200" t="s">
        <v>57</v>
      </c>
      <c r="H9762" s="200" t="s">
        <v>121</v>
      </c>
    </row>
    <row r="9763" spans="1:8" ht="15" customHeight="1">
      <c r="A9763" s="199">
        <v>45820</v>
      </c>
      <c r="B9763" s="202" t="s">
        <v>7465</v>
      </c>
      <c r="C9763" s="200" t="s">
        <v>204</v>
      </c>
      <c r="D9763" s="765">
        <v>-1600000</v>
      </c>
      <c r="E9763" s="201">
        <v>45809</v>
      </c>
      <c r="F9763" s="200" t="s">
        <v>296</v>
      </c>
      <c r="G9763" s="200" t="s">
        <v>57</v>
      </c>
      <c r="H9763" s="200" t="s">
        <v>121</v>
      </c>
    </row>
    <row r="9764" spans="1:8" ht="15" customHeight="1">
      <c r="A9764" s="199">
        <v>45820</v>
      </c>
      <c r="B9764" s="202" t="s">
        <v>7466</v>
      </c>
      <c r="C9764" s="200" t="s">
        <v>204</v>
      </c>
      <c r="D9764" s="765">
        <v>-1297500</v>
      </c>
      <c r="E9764" s="201">
        <v>45809</v>
      </c>
      <c r="F9764" s="200" t="s">
        <v>296</v>
      </c>
      <c r="G9764" s="200" t="s">
        <v>57</v>
      </c>
      <c r="H9764" s="200" t="s">
        <v>121</v>
      </c>
    </row>
    <row r="9765" spans="1:8" ht="15" customHeight="1">
      <c r="A9765" s="199">
        <v>45820</v>
      </c>
      <c r="B9765" s="202" t="s">
        <v>7467</v>
      </c>
      <c r="C9765" s="200" t="s">
        <v>204</v>
      </c>
      <c r="D9765" s="765">
        <v>-777777.77777777775</v>
      </c>
      <c r="E9765" s="201">
        <v>45809</v>
      </c>
      <c r="F9765" s="200" t="s">
        <v>296</v>
      </c>
      <c r="G9765" s="200" t="s">
        <v>57</v>
      </c>
      <c r="H9765" s="200" t="s">
        <v>121</v>
      </c>
    </row>
    <row r="9766" spans="1:8" ht="15" customHeight="1">
      <c r="A9766" s="199">
        <v>45820</v>
      </c>
      <c r="B9766" s="202" t="s">
        <v>7468</v>
      </c>
      <c r="C9766" s="200" t="s">
        <v>204</v>
      </c>
      <c r="D9766" s="765">
        <v>-482222.22222222225</v>
      </c>
      <c r="E9766" s="201">
        <v>45809</v>
      </c>
      <c r="F9766" s="200" t="s">
        <v>296</v>
      </c>
      <c r="G9766" s="200" t="s">
        <v>57</v>
      </c>
      <c r="H9766" s="200" t="s">
        <v>121</v>
      </c>
    </row>
    <row r="9767" spans="1:8" ht="15" customHeight="1">
      <c r="A9767" s="199">
        <v>45820</v>
      </c>
      <c r="B9767" s="202" t="s">
        <v>7469</v>
      </c>
      <c r="C9767" s="200" t="s">
        <v>204</v>
      </c>
      <c r="D9767" s="765">
        <v>-595833.33333333337</v>
      </c>
      <c r="E9767" s="201">
        <v>45809</v>
      </c>
      <c r="F9767" s="200" t="s">
        <v>296</v>
      </c>
      <c r="G9767" s="200" t="s">
        <v>57</v>
      </c>
      <c r="H9767" s="200" t="s">
        <v>121</v>
      </c>
    </row>
    <row r="9768" spans="1:8" ht="15" customHeight="1">
      <c r="A9768" s="199">
        <v>45820</v>
      </c>
      <c r="B9768" s="202" t="s">
        <v>7470</v>
      </c>
      <c r="C9768" s="200" t="s">
        <v>204</v>
      </c>
      <c r="D9768" s="765">
        <v>-381111.11111111112</v>
      </c>
      <c r="E9768" s="201">
        <v>45809</v>
      </c>
      <c r="F9768" s="200" t="s">
        <v>296</v>
      </c>
      <c r="G9768" s="200" t="s">
        <v>57</v>
      </c>
      <c r="H9768" s="200" t="s">
        <v>121</v>
      </c>
    </row>
    <row r="9769" spans="1:8" ht="15" customHeight="1">
      <c r="A9769" s="199">
        <v>45820</v>
      </c>
      <c r="B9769" s="202" t="s">
        <v>7471</v>
      </c>
      <c r="C9769" s="200" t="s">
        <v>204</v>
      </c>
      <c r="D9769" s="765">
        <v>-373333.33333333331</v>
      </c>
      <c r="E9769" s="201">
        <v>45809</v>
      </c>
      <c r="F9769" s="200" t="s">
        <v>296</v>
      </c>
      <c r="G9769" s="200" t="s">
        <v>57</v>
      </c>
      <c r="H9769" s="200" t="s">
        <v>121</v>
      </c>
    </row>
    <row r="9770" spans="1:8" ht="15" customHeight="1">
      <c r="A9770" s="199">
        <v>45820</v>
      </c>
      <c r="B9770" s="202" t="s">
        <v>7472</v>
      </c>
      <c r="C9770" s="200" t="s">
        <v>204</v>
      </c>
      <c r="D9770" s="765">
        <v>-81175</v>
      </c>
      <c r="E9770" s="201">
        <v>45809</v>
      </c>
      <c r="F9770" s="200" t="s">
        <v>291</v>
      </c>
      <c r="G9770" s="200" t="s">
        <v>291</v>
      </c>
      <c r="H9770" s="200" t="s">
        <v>567</v>
      </c>
    </row>
    <row r="9771" spans="1:8" ht="15" customHeight="1">
      <c r="A9771" s="199">
        <v>45820</v>
      </c>
      <c r="B9771" s="202" t="s">
        <v>7472</v>
      </c>
      <c r="C9771" s="200" t="s">
        <v>204</v>
      </c>
      <c r="D9771" s="765">
        <v>-81175</v>
      </c>
      <c r="E9771" s="201">
        <v>45809</v>
      </c>
      <c r="F9771" s="200" t="s">
        <v>297</v>
      </c>
      <c r="G9771" s="200" t="s">
        <v>75</v>
      </c>
      <c r="H9771" s="200" t="s">
        <v>567</v>
      </c>
    </row>
    <row r="9772" spans="1:8" ht="15" customHeight="1">
      <c r="A9772" s="199">
        <v>45820</v>
      </c>
      <c r="B9772" s="202" t="s">
        <v>7472</v>
      </c>
      <c r="C9772" s="200" t="s">
        <v>204</v>
      </c>
      <c r="D9772" s="765">
        <v>-649400</v>
      </c>
      <c r="E9772" s="201">
        <v>45809</v>
      </c>
      <c r="F9772" s="200" t="s">
        <v>256</v>
      </c>
      <c r="G9772" s="200" t="s">
        <v>107</v>
      </c>
      <c r="H9772" s="200" t="s">
        <v>121</v>
      </c>
    </row>
    <row r="9773" spans="1:8" ht="15" customHeight="1">
      <c r="A9773" s="199">
        <v>45820</v>
      </c>
      <c r="B9773" s="202" t="s">
        <v>7473</v>
      </c>
      <c r="C9773" s="200" t="s">
        <v>204</v>
      </c>
      <c r="D9773" s="765">
        <v>-562500</v>
      </c>
      <c r="E9773" s="201">
        <v>45809</v>
      </c>
      <c r="F9773" s="200" t="s">
        <v>296</v>
      </c>
      <c r="G9773" s="200" t="s">
        <v>44</v>
      </c>
      <c r="H9773" s="200" t="s">
        <v>338</v>
      </c>
    </row>
    <row r="9774" spans="1:8" ht="15" customHeight="1">
      <c r="A9774" s="199">
        <v>45820</v>
      </c>
      <c r="B9774" s="202" t="s">
        <v>7473</v>
      </c>
      <c r="C9774" s="200" t="s">
        <v>204</v>
      </c>
      <c r="D9774" s="765">
        <v>-112500</v>
      </c>
      <c r="E9774" s="201">
        <v>45809</v>
      </c>
      <c r="F9774" s="200" t="s">
        <v>296</v>
      </c>
      <c r="G9774" s="200" t="s">
        <v>1825</v>
      </c>
      <c r="H9774" s="200" t="s">
        <v>338</v>
      </c>
    </row>
    <row r="9775" spans="1:8" ht="15" customHeight="1">
      <c r="A9775" s="199">
        <v>45820</v>
      </c>
      <c r="B9775" s="202" t="s">
        <v>7473</v>
      </c>
      <c r="C9775" s="200" t="s">
        <v>204</v>
      </c>
      <c r="D9775" s="765">
        <v>-562500</v>
      </c>
      <c r="E9775" s="201">
        <v>45809</v>
      </c>
      <c r="F9775" s="200" t="s">
        <v>296</v>
      </c>
      <c r="G9775" s="200" t="s">
        <v>522</v>
      </c>
      <c r="H9775" s="200" t="s">
        <v>338</v>
      </c>
    </row>
    <row r="9776" spans="1:8" ht="15" customHeight="1">
      <c r="A9776" s="199">
        <v>45820</v>
      </c>
      <c r="B9776" s="202" t="s">
        <v>7473</v>
      </c>
      <c r="C9776" s="200" t="s">
        <v>204</v>
      </c>
      <c r="D9776" s="765">
        <v>-112500</v>
      </c>
      <c r="E9776" s="201">
        <v>45809</v>
      </c>
      <c r="F9776" s="200" t="s">
        <v>296</v>
      </c>
      <c r="G9776" s="200" t="s">
        <v>807</v>
      </c>
      <c r="H9776" s="200" t="s">
        <v>338</v>
      </c>
    </row>
    <row r="9777" spans="1:8" ht="15" customHeight="1">
      <c r="A9777" s="199">
        <v>45820</v>
      </c>
      <c r="B9777" s="202" t="s">
        <v>7473</v>
      </c>
      <c r="C9777" s="200" t="s">
        <v>204</v>
      </c>
      <c r="D9777" s="765">
        <v>-405000</v>
      </c>
      <c r="E9777" s="201">
        <v>45809</v>
      </c>
      <c r="F9777" s="200" t="s">
        <v>296</v>
      </c>
      <c r="G9777" s="200" t="s">
        <v>337</v>
      </c>
      <c r="H9777" s="200" t="s">
        <v>338</v>
      </c>
    </row>
    <row r="9778" spans="1:8" ht="15" customHeight="1">
      <c r="A9778" s="199">
        <v>45820</v>
      </c>
      <c r="B9778" s="202" t="s">
        <v>7473</v>
      </c>
      <c r="C9778" s="200" t="s">
        <v>204</v>
      </c>
      <c r="D9778" s="765">
        <v>-405000</v>
      </c>
      <c r="E9778" s="201">
        <v>45809</v>
      </c>
      <c r="F9778" s="200" t="s">
        <v>296</v>
      </c>
      <c r="G9778" s="200" t="s">
        <v>1980</v>
      </c>
      <c r="H9778" s="200" t="s">
        <v>338</v>
      </c>
    </row>
    <row r="9779" spans="1:8" ht="15" customHeight="1">
      <c r="A9779" s="199">
        <v>45820</v>
      </c>
      <c r="B9779" s="202" t="s">
        <v>7473</v>
      </c>
      <c r="C9779" s="200" t="s">
        <v>204</v>
      </c>
      <c r="D9779" s="765">
        <v>-90000</v>
      </c>
      <c r="E9779" s="201">
        <v>45809</v>
      </c>
      <c r="F9779" s="200" t="s">
        <v>296</v>
      </c>
      <c r="G9779" s="200" t="s">
        <v>1983</v>
      </c>
      <c r="H9779" s="200" t="s">
        <v>338</v>
      </c>
    </row>
    <row r="9780" spans="1:8" ht="15" customHeight="1">
      <c r="A9780" s="199">
        <v>45820</v>
      </c>
      <c r="B9780" s="202" t="s">
        <v>7474</v>
      </c>
      <c r="C9780" s="200" t="s">
        <v>204</v>
      </c>
      <c r="D9780" s="765">
        <v>-13463.056982189539</v>
      </c>
      <c r="E9780" s="201">
        <v>45809</v>
      </c>
      <c r="F9780" s="200" t="s">
        <v>291</v>
      </c>
      <c r="G9780" s="200" t="s">
        <v>291</v>
      </c>
      <c r="H9780" s="200" t="s">
        <v>567</v>
      </c>
    </row>
    <row r="9781" spans="1:8" ht="15" customHeight="1">
      <c r="A9781" s="199">
        <v>45820</v>
      </c>
      <c r="B9781" s="202" t="s">
        <v>7474</v>
      </c>
      <c r="C9781" s="200" t="s">
        <v>204</v>
      </c>
      <c r="D9781" s="765">
        <v>-63277.292829748651</v>
      </c>
      <c r="E9781" s="201">
        <v>45809</v>
      </c>
      <c r="F9781" s="200" t="s">
        <v>296</v>
      </c>
      <c r="G9781" s="200" t="s">
        <v>1311</v>
      </c>
      <c r="H9781" s="200" t="s">
        <v>567</v>
      </c>
    </row>
    <row r="9782" spans="1:8" ht="15" customHeight="1">
      <c r="A9782" s="199">
        <v>45820</v>
      </c>
      <c r="B9782" s="202" t="s">
        <v>7474</v>
      </c>
      <c r="C9782" s="200" t="s">
        <v>204</v>
      </c>
      <c r="D9782" s="765">
        <v>-190473.32393260687</v>
      </c>
      <c r="E9782" s="201">
        <v>45809</v>
      </c>
      <c r="F9782" s="200" t="s">
        <v>296</v>
      </c>
      <c r="G9782" s="200" t="s">
        <v>3360</v>
      </c>
      <c r="H9782" s="200" t="s">
        <v>567</v>
      </c>
    </row>
    <row r="9783" spans="1:8" ht="15" customHeight="1">
      <c r="A9783" s="199">
        <v>45820</v>
      </c>
      <c r="B9783" s="202" t="s">
        <v>7474</v>
      </c>
      <c r="C9783" s="200" t="s">
        <v>204</v>
      </c>
      <c r="D9783" s="765">
        <v>-17832.203881287769</v>
      </c>
      <c r="E9783" s="201">
        <v>45809</v>
      </c>
      <c r="F9783" s="200" t="s">
        <v>296</v>
      </c>
      <c r="G9783" s="200" t="s">
        <v>3847</v>
      </c>
      <c r="H9783" s="200" t="s">
        <v>567</v>
      </c>
    </row>
    <row r="9784" spans="1:8" ht="15" customHeight="1">
      <c r="A9784" s="199">
        <v>45820</v>
      </c>
      <c r="B9784" s="202" t="s">
        <v>7474</v>
      </c>
      <c r="C9784" s="200" t="s">
        <v>204</v>
      </c>
      <c r="D9784" s="765">
        <v>-126020.98993251007</v>
      </c>
      <c r="E9784" s="201">
        <v>45809</v>
      </c>
      <c r="F9784" s="200" t="s">
        <v>291</v>
      </c>
      <c r="G9784" s="200" t="s">
        <v>291</v>
      </c>
      <c r="H9784" s="200" t="s">
        <v>567</v>
      </c>
    </row>
    <row r="9785" spans="1:8" ht="15" customHeight="1">
      <c r="A9785" s="199">
        <v>45820</v>
      </c>
      <c r="B9785" s="202" t="s">
        <v>7474</v>
      </c>
      <c r="C9785" s="200" t="s">
        <v>204</v>
      </c>
      <c r="D9785" s="765">
        <v>-187687.8000732947</v>
      </c>
      <c r="E9785" s="201">
        <v>45809</v>
      </c>
      <c r="F9785" s="200" t="s">
        <v>296</v>
      </c>
      <c r="G9785" s="200" t="s">
        <v>1362</v>
      </c>
      <c r="H9785" s="200" t="s">
        <v>567</v>
      </c>
    </row>
    <row r="9786" spans="1:8" ht="15" customHeight="1">
      <c r="A9786" s="199">
        <v>45820</v>
      </c>
      <c r="B9786" s="202" t="s">
        <v>7474</v>
      </c>
      <c r="C9786" s="200" t="s">
        <v>204</v>
      </c>
      <c r="D9786" s="765">
        <v>-15450.602565223217</v>
      </c>
      <c r="E9786" s="201">
        <v>45809</v>
      </c>
      <c r="F9786" s="200" t="s">
        <v>291</v>
      </c>
      <c r="G9786" s="200" t="s">
        <v>291</v>
      </c>
      <c r="H9786" s="200" t="s">
        <v>567</v>
      </c>
    </row>
    <row r="9787" spans="1:8" ht="15" customHeight="1">
      <c r="A9787" s="199">
        <v>45820</v>
      </c>
      <c r="B9787" s="202" t="s">
        <v>7474</v>
      </c>
      <c r="C9787" s="200" t="s">
        <v>204</v>
      </c>
      <c r="D9787" s="765">
        <v>-49642.388902950966</v>
      </c>
      <c r="E9787" s="201">
        <v>45809</v>
      </c>
      <c r="F9787" s="200" t="s">
        <v>296</v>
      </c>
      <c r="G9787" s="200" t="s">
        <v>5466</v>
      </c>
      <c r="H9787" s="200" t="s">
        <v>567</v>
      </c>
    </row>
    <row r="9788" spans="1:8" ht="15" customHeight="1">
      <c r="A9788" s="199">
        <v>45820</v>
      </c>
      <c r="B9788" s="202" t="s">
        <v>7474</v>
      </c>
      <c r="C9788" s="200" t="s">
        <v>204</v>
      </c>
      <c r="D9788" s="765">
        <v>-242289.85703530311</v>
      </c>
      <c r="E9788" s="201">
        <v>45809</v>
      </c>
      <c r="F9788" s="200" t="s">
        <v>291</v>
      </c>
      <c r="G9788" s="200" t="s">
        <v>291</v>
      </c>
      <c r="H9788" s="200" t="s">
        <v>567</v>
      </c>
    </row>
    <row r="9789" spans="1:8" ht="15" customHeight="1">
      <c r="A9789" s="199">
        <v>45820</v>
      </c>
      <c r="B9789" s="202" t="s">
        <v>7474</v>
      </c>
      <c r="C9789" s="200" t="s">
        <v>204</v>
      </c>
      <c r="D9789" s="765">
        <v>-10267.238264698117</v>
      </c>
      <c r="E9789" s="201">
        <v>45809</v>
      </c>
      <c r="F9789" s="200" t="s">
        <v>297</v>
      </c>
      <c r="G9789" s="200" t="s">
        <v>3848</v>
      </c>
      <c r="H9789" s="200" t="s">
        <v>567</v>
      </c>
    </row>
    <row r="9790" spans="1:8" ht="15" customHeight="1">
      <c r="A9790" s="199">
        <v>45820</v>
      </c>
      <c r="B9790" s="202" t="s">
        <v>7474</v>
      </c>
      <c r="C9790" s="200" t="s">
        <v>204</v>
      </c>
      <c r="D9790" s="765">
        <v>-139505.72048620423</v>
      </c>
      <c r="E9790" s="201">
        <v>45809</v>
      </c>
      <c r="F9790" s="200" t="s">
        <v>291</v>
      </c>
      <c r="G9790" s="200" t="s">
        <v>291</v>
      </c>
      <c r="H9790" s="200" t="s">
        <v>567</v>
      </c>
    </row>
    <row r="9791" spans="1:8" ht="15" customHeight="1">
      <c r="A9791" s="199">
        <v>45820</v>
      </c>
      <c r="B9791" s="202" t="s">
        <v>7474</v>
      </c>
      <c r="C9791" s="200" t="s">
        <v>204</v>
      </c>
      <c r="D9791" s="765">
        <v>-173325.11611373967</v>
      </c>
      <c r="E9791" s="201">
        <v>45809</v>
      </c>
      <c r="F9791" s="200" t="s">
        <v>291</v>
      </c>
      <c r="G9791" s="200" t="s">
        <v>291</v>
      </c>
      <c r="H9791" s="200" t="s">
        <v>567</v>
      </c>
    </row>
    <row r="9792" spans="1:8" ht="15" customHeight="1">
      <c r="A9792" s="199">
        <v>45820</v>
      </c>
      <c r="B9792" s="202" t="s">
        <v>7474</v>
      </c>
      <c r="C9792" s="200" t="s">
        <v>204</v>
      </c>
      <c r="D9792" s="765">
        <v>-315503.77005661954</v>
      </c>
      <c r="E9792" s="201">
        <v>45809</v>
      </c>
      <c r="F9792" s="200" t="s">
        <v>291</v>
      </c>
      <c r="G9792" s="200" t="s">
        <v>291</v>
      </c>
      <c r="H9792" s="200" t="s">
        <v>567</v>
      </c>
    </row>
    <row r="9793" spans="1:8" ht="15" customHeight="1">
      <c r="A9793" s="199">
        <v>45820</v>
      </c>
      <c r="B9793" s="202" t="s">
        <v>7474</v>
      </c>
      <c r="C9793" s="200" t="s">
        <v>204</v>
      </c>
      <c r="D9793" s="765">
        <v>-234425.13282232868</v>
      </c>
      <c r="E9793" s="201">
        <v>45809</v>
      </c>
      <c r="F9793" s="200" t="s">
        <v>296</v>
      </c>
      <c r="G9793" s="200" t="s">
        <v>2418</v>
      </c>
      <c r="H9793" s="200" t="s">
        <v>567</v>
      </c>
    </row>
    <row r="9794" spans="1:8" ht="15" customHeight="1">
      <c r="A9794" s="199">
        <v>45820</v>
      </c>
      <c r="B9794" s="202" t="s">
        <v>7474</v>
      </c>
      <c r="C9794" s="200" t="s">
        <v>204</v>
      </c>
      <c r="D9794" s="765">
        <v>-50596.900012147053</v>
      </c>
      <c r="E9794" s="201">
        <v>45809</v>
      </c>
      <c r="F9794" s="200" t="s">
        <v>291</v>
      </c>
      <c r="G9794" s="200" t="s">
        <v>291</v>
      </c>
      <c r="H9794" s="200" t="s">
        <v>567</v>
      </c>
    </row>
    <row r="9795" spans="1:8" ht="15" customHeight="1">
      <c r="A9795" s="199">
        <v>45820</v>
      </c>
      <c r="B9795" s="202" t="s">
        <v>7474</v>
      </c>
      <c r="C9795" s="200" t="s">
        <v>204</v>
      </c>
      <c r="D9795" s="765">
        <v>-224868.86446927791</v>
      </c>
      <c r="E9795" s="201">
        <v>45809</v>
      </c>
      <c r="F9795" s="200" t="s">
        <v>291</v>
      </c>
      <c r="G9795" s="200" t="s">
        <v>291</v>
      </c>
      <c r="H9795" s="200" t="s">
        <v>567</v>
      </c>
    </row>
    <row r="9796" spans="1:8" ht="15" customHeight="1">
      <c r="A9796" s="199">
        <v>45820</v>
      </c>
      <c r="B9796" s="202" t="s">
        <v>7474</v>
      </c>
      <c r="C9796" s="200" t="s">
        <v>204</v>
      </c>
      <c r="D9796" s="765">
        <v>-551449.41944505647</v>
      </c>
      <c r="E9796" s="201">
        <v>45809</v>
      </c>
      <c r="F9796" s="200" t="s">
        <v>296</v>
      </c>
      <c r="G9796" s="200" t="s">
        <v>1362</v>
      </c>
      <c r="H9796" s="200" t="s">
        <v>567</v>
      </c>
    </row>
    <row r="9797" spans="1:8" ht="15" customHeight="1">
      <c r="A9797" s="199">
        <v>45820</v>
      </c>
      <c r="B9797" s="202" t="s">
        <v>7474</v>
      </c>
      <c r="C9797" s="200" t="s">
        <v>204</v>
      </c>
      <c r="D9797" s="765">
        <v>-45644.275179711236</v>
      </c>
      <c r="E9797" s="201">
        <v>45809</v>
      </c>
      <c r="F9797" s="200" t="s">
        <v>296</v>
      </c>
      <c r="G9797" s="200" t="s">
        <v>415</v>
      </c>
      <c r="H9797" s="200" t="s">
        <v>567</v>
      </c>
    </row>
    <row r="9798" spans="1:8" ht="15" customHeight="1">
      <c r="A9798" s="199">
        <v>45820</v>
      </c>
      <c r="B9798" s="202" t="s">
        <v>7474</v>
      </c>
      <c r="C9798" s="200" t="s">
        <v>204</v>
      </c>
      <c r="D9798" s="765">
        <v>-169336.35530435122</v>
      </c>
      <c r="E9798" s="201">
        <v>45809</v>
      </c>
      <c r="F9798" s="200" t="s">
        <v>291</v>
      </c>
      <c r="G9798" s="200" t="s">
        <v>291</v>
      </c>
      <c r="H9798" s="200" t="s">
        <v>567</v>
      </c>
    </row>
    <row r="9799" spans="1:8" ht="15" customHeight="1">
      <c r="A9799" s="199">
        <v>45820</v>
      </c>
      <c r="B9799" s="202" t="s">
        <v>7474</v>
      </c>
      <c r="C9799" s="200" t="s">
        <v>204</v>
      </c>
      <c r="D9799" s="765">
        <v>-180878.66465665534</v>
      </c>
      <c r="E9799" s="201">
        <v>45809</v>
      </c>
      <c r="F9799" s="200" t="s">
        <v>291</v>
      </c>
      <c r="G9799" s="200" t="s">
        <v>291</v>
      </c>
      <c r="H9799" s="200" t="s">
        <v>567</v>
      </c>
    </row>
    <row r="9800" spans="1:8" ht="15" customHeight="1">
      <c r="A9800" s="199">
        <v>45820</v>
      </c>
      <c r="B9800" s="202" t="s">
        <v>7474</v>
      </c>
      <c r="C9800" s="200" t="s">
        <v>204</v>
      </c>
      <c r="D9800" s="765">
        <v>-11357.109676555037</v>
      </c>
      <c r="E9800" s="201">
        <v>45809</v>
      </c>
      <c r="F9800" s="200" t="s">
        <v>297</v>
      </c>
      <c r="G9800" s="200" t="s">
        <v>69</v>
      </c>
      <c r="H9800" s="200" t="s">
        <v>567</v>
      </c>
    </row>
    <row r="9801" spans="1:8" ht="15" customHeight="1">
      <c r="A9801" s="199">
        <v>45820</v>
      </c>
      <c r="B9801" s="202" t="s">
        <v>7474</v>
      </c>
      <c r="C9801" s="200" t="s">
        <v>204</v>
      </c>
      <c r="D9801" s="765">
        <v>-19963.246459435326</v>
      </c>
      <c r="E9801" s="201">
        <v>45809</v>
      </c>
      <c r="F9801" s="200" t="s">
        <v>297</v>
      </c>
      <c r="G9801" s="200" t="s">
        <v>75</v>
      </c>
      <c r="H9801" s="200" t="s">
        <v>567</v>
      </c>
    </row>
    <row r="9802" spans="1:8" ht="15" customHeight="1">
      <c r="A9802" s="199">
        <v>45820</v>
      </c>
      <c r="B9802" s="202" t="s">
        <v>7474</v>
      </c>
      <c r="C9802" s="200" t="s">
        <v>204</v>
      </c>
      <c r="D9802" s="765">
        <v>-40650.846975858294</v>
      </c>
      <c r="E9802" s="201">
        <v>45809</v>
      </c>
      <c r="F9802" s="200" t="s">
        <v>297</v>
      </c>
      <c r="G9802" s="200" t="s">
        <v>5404</v>
      </c>
      <c r="H9802" s="200" t="s">
        <v>567</v>
      </c>
    </row>
    <row r="9803" spans="1:8" ht="15" customHeight="1">
      <c r="A9803" s="199">
        <v>45820</v>
      </c>
      <c r="B9803" s="202" t="s">
        <v>7474</v>
      </c>
      <c r="C9803" s="200" t="s">
        <v>204</v>
      </c>
      <c r="D9803" s="765">
        <v>-298269.047784628</v>
      </c>
      <c r="E9803" s="201">
        <v>45809</v>
      </c>
      <c r="F9803" s="200" t="s">
        <v>297</v>
      </c>
      <c r="G9803" s="200" t="s">
        <v>3892</v>
      </c>
      <c r="H9803" s="200" t="s">
        <v>567</v>
      </c>
    </row>
    <row r="9804" spans="1:8" ht="15" customHeight="1">
      <c r="A9804" s="199">
        <v>45820</v>
      </c>
      <c r="B9804" s="202" t="s">
        <v>7474</v>
      </c>
      <c r="C9804" s="200" t="s">
        <v>204</v>
      </c>
      <c r="D9804" s="765">
        <v>-161843.43795819834</v>
      </c>
      <c r="E9804" s="201">
        <v>45809</v>
      </c>
      <c r="F9804" s="200" t="s">
        <v>297</v>
      </c>
      <c r="G9804" s="200" t="s">
        <v>71</v>
      </c>
      <c r="H9804" s="200" t="s">
        <v>567</v>
      </c>
    </row>
    <row r="9805" spans="1:8" ht="15" customHeight="1">
      <c r="A9805" s="199">
        <v>45820</v>
      </c>
      <c r="B9805" s="202" t="s">
        <v>7474</v>
      </c>
      <c r="C9805" s="200" t="s">
        <v>204</v>
      </c>
      <c r="D9805" s="765">
        <v>-643477.33819942072</v>
      </c>
      <c r="E9805" s="201">
        <v>45809</v>
      </c>
      <c r="F9805" s="200" t="s">
        <v>291</v>
      </c>
      <c r="G9805" s="200" t="s">
        <v>291</v>
      </c>
      <c r="H9805" s="200" t="s">
        <v>567</v>
      </c>
    </row>
    <row r="9806" spans="1:8" ht="15" customHeight="1">
      <c r="A9806" s="199">
        <v>45820</v>
      </c>
      <c r="B9806" s="202" t="s">
        <v>7475</v>
      </c>
      <c r="C9806" s="200" t="s">
        <v>204</v>
      </c>
      <c r="D9806" s="765">
        <v>-3126.0718785694444</v>
      </c>
      <c r="E9806" s="201">
        <v>45809</v>
      </c>
      <c r="F9806" s="200" t="s">
        <v>291</v>
      </c>
      <c r="G9806" s="200" t="s">
        <v>291</v>
      </c>
      <c r="H9806" s="200" t="s">
        <v>567</v>
      </c>
    </row>
    <row r="9807" spans="1:8" ht="15" customHeight="1">
      <c r="A9807" s="199">
        <v>45820</v>
      </c>
      <c r="B9807" s="202" t="s">
        <v>7475</v>
      </c>
      <c r="C9807" s="200" t="s">
        <v>204</v>
      </c>
      <c r="D9807" s="765">
        <v>-14692.752613969167</v>
      </c>
      <c r="E9807" s="201">
        <v>45809</v>
      </c>
      <c r="F9807" s="200" t="s">
        <v>296</v>
      </c>
      <c r="G9807" s="200" t="s">
        <v>1311</v>
      </c>
      <c r="H9807" s="200" t="s">
        <v>567</v>
      </c>
    </row>
    <row r="9808" spans="1:8" ht="15" customHeight="1">
      <c r="A9808" s="199">
        <v>45820</v>
      </c>
      <c r="B9808" s="202" t="s">
        <v>7475</v>
      </c>
      <c r="C9808" s="200" t="s">
        <v>204</v>
      </c>
      <c r="D9808" s="765">
        <v>-44227.199093866824</v>
      </c>
      <c r="E9808" s="201">
        <v>45809</v>
      </c>
      <c r="F9808" s="200" t="s">
        <v>296</v>
      </c>
      <c r="G9808" s="200" t="s">
        <v>3360</v>
      </c>
      <c r="H9808" s="200" t="s">
        <v>567</v>
      </c>
    </row>
    <row r="9809" spans="1:8" ht="15" customHeight="1">
      <c r="A9809" s="199">
        <v>45820</v>
      </c>
      <c r="B9809" s="202" t="s">
        <v>7475</v>
      </c>
      <c r="C9809" s="200" t="s">
        <v>204</v>
      </c>
      <c r="D9809" s="765">
        <v>-4140.5715774623905</v>
      </c>
      <c r="E9809" s="201">
        <v>45809</v>
      </c>
      <c r="F9809" s="200" t="s">
        <v>296</v>
      </c>
      <c r="G9809" s="200" t="s">
        <v>3847</v>
      </c>
      <c r="H9809" s="200" t="s">
        <v>567</v>
      </c>
    </row>
    <row r="9810" spans="1:8" ht="15" customHeight="1">
      <c r="A9810" s="199">
        <v>45820</v>
      </c>
      <c r="B9810" s="202" t="s">
        <v>7475</v>
      </c>
      <c r="C9810" s="200" t="s">
        <v>204</v>
      </c>
      <c r="D9810" s="765">
        <v>-29261.606279960448</v>
      </c>
      <c r="E9810" s="201">
        <v>45809</v>
      </c>
      <c r="F9810" s="200" t="s">
        <v>291</v>
      </c>
      <c r="G9810" s="200" t="s">
        <v>291</v>
      </c>
      <c r="H9810" s="200" t="s">
        <v>567</v>
      </c>
    </row>
    <row r="9811" spans="1:8" ht="15" customHeight="1">
      <c r="A9811" s="199">
        <v>45820</v>
      </c>
      <c r="B9811" s="202" t="s">
        <v>7475</v>
      </c>
      <c r="C9811" s="200" t="s">
        <v>204</v>
      </c>
      <c r="D9811" s="765">
        <v>-43580.410789011577</v>
      </c>
      <c r="E9811" s="201">
        <v>45809</v>
      </c>
      <c r="F9811" s="200" t="s">
        <v>291</v>
      </c>
      <c r="G9811" s="200" t="s">
        <v>291</v>
      </c>
      <c r="H9811" s="200" t="s">
        <v>567</v>
      </c>
    </row>
    <row r="9812" spans="1:8" ht="15" customHeight="1">
      <c r="A9812" s="199">
        <v>45820</v>
      </c>
      <c r="B9812" s="202" t="s">
        <v>7475</v>
      </c>
      <c r="C9812" s="200" t="s">
        <v>204</v>
      </c>
      <c r="D9812" s="765">
        <v>-3587.5725884539843</v>
      </c>
      <c r="E9812" s="201">
        <v>45809</v>
      </c>
      <c r="F9812" s="200" t="s">
        <v>291</v>
      </c>
      <c r="G9812" s="200" t="s">
        <v>291</v>
      </c>
      <c r="H9812" s="200" t="s">
        <v>567</v>
      </c>
    </row>
    <row r="9813" spans="1:8" ht="15" customHeight="1">
      <c r="A9813" s="199">
        <v>45820</v>
      </c>
      <c r="B9813" s="202" t="s">
        <v>7475</v>
      </c>
      <c r="C9813" s="200" t="s">
        <v>204</v>
      </c>
      <c r="D9813" s="765">
        <v>-11526.778512474551</v>
      </c>
      <c r="E9813" s="201">
        <v>45809</v>
      </c>
      <c r="F9813" s="200" t="s">
        <v>296</v>
      </c>
      <c r="G9813" s="200" t="s">
        <v>5466</v>
      </c>
      <c r="H9813" s="200" t="s">
        <v>567</v>
      </c>
    </row>
    <row r="9814" spans="1:8" ht="15" customHeight="1">
      <c r="A9814" s="199">
        <v>45820</v>
      </c>
      <c r="B9814" s="202" t="s">
        <v>7475</v>
      </c>
      <c r="C9814" s="200" t="s">
        <v>204</v>
      </c>
      <c r="D9814" s="765">
        <v>-56258.805822679598</v>
      </c>
      <c r="E9814" s="201">
        <v>45809</v>
      </c>
      <c r="F9814" s="200" t="s">
        <v>291</v>
      </c>
      <c r="G9814" s="200" t="s">
        <v>291</v>
      </c>
      <c r="H9814" s="200" t="s">
        <v>567</v>
      </c>
    </row>
    <row r="9815" spans="1:8" ht="15" customHeight="1">
      <c r="A9815" s="199">
        <v>45820</v>
      </c>
      <c r="B9815" s="202" t="s">
        <v>7475</v>
      </c>
      <c r="C9815" s="200" t="s">
        <v>204</v>
      </c>
      <c r="D9815" s="765">
        <v>-2384.0146299837638</v>
      </c>
      <c r="E9815" s="201">
        <v>45809</v>
      </c>
      <c r="F9815" s="200" t="s">
        <v>297</v>
      </c>
      <c r="G9815" s="200" t="s">
        <v>3848</v>
      </c>
      <c r="H9815" s="200" t="s">
        <v>567</v>
      </c>
    </row>
    <row r="9816" spans="1:8" ht="15" customHeight="1">
      <c r="A9816" s="199">
        <v>45820</v>
      </c>
      <c r="B9816" s="202" t="s">
        <v>7475</v>
      </c>
      <c r="C9816" s="200" t="s">
        <v>204</v>
      </c>
      <c r="D9816" s="765">
        <v>-32392.710681416658</v>
      </c>
      <c r="E9816" s="201">
        <v>45809</v>
      </c>
      <c r="F9816" s="200" t="s">
        <v>291</v>
      </c>
      <c r="G9816" s="200" t="s">
        <v>291</v>
      </c>
      <c r="H9816" s="200" t="s">
        <v>567</v>
      </c>
    </row>
    <row r="9817" spans="1:8" ht="15" customHeight="1">
      <c r="A9817" s="199">
        <v>45820</v>
      </c>
      <c r="B9817" s="202" t="s">
        <v>7475</v>
      </c>
      <c r="C9817" s="200" t="s">
        <v>204</v>
      </c>
      <c r="D9817" s="765">
        <v>-40245.448864231592</v>
      </c>
      <c r="E9817" s="201">
        <v>45809</v>
      </c>
      <c r="F9817" s="200" t="s">
        <v>291</v>
      </c>
      <c r="G9817" s="200" t="s">
        <v>291</v>
      </c>
      <c r="H9817" s="200" t="s">
        <v>567</v>
      </c>
    </row>
    <row r="9818" spans="1:8" ht="15" customHeight="1">
      <c r="A9818" s="199">
        <v>45820</v>
      </c>
      <c r="B9818" s="202" t="s">
        <v>7475</v>
      </c>
      <c r="C9818" s="200" t="s">
        <v>204</v>
      </c>
      <c r="D9818" s="765">
        <v>-73258.804776761448</v>
      </c>
      <c r="E9818" s="201">
        <v>45809</v>
      </c>
      <c r="F9818" s="200" t="s">
        <v>291</v>
      </c>
      <c r="G9818" s="200" t="s">
        <v>291</v>
      </c>
      <c r="H9818" s="200" t="s">
        <v>567</v>
      </c>
    </row>
    <row r="9819" spans="1:8" ht="15" customHeight="1">
      <c r="A9819" s="199">
        <v>45820</v>
      </c>
      <c r="B9819" s="202" t="s">
        <v>7475</v>
      </c>
      <c r="C9819" s="200" t="s">
        <v>204</v>
      </c>
      <c r="D9819" s="765">
        <v>-54432.646041330656</v>
      </c>
      <c r="E9819" s="201">
        <v>45809</v>
      </c>
      <c r="F9819" s="200" t="s">
        <v>296</v>
      </c>
      <c r="G9819" s="200" t="s">
        <v>2418</v>
      </c>
      <c r="H9819" s="200" t="s">
        <v>567</v>
      </c>
    </row>
    <row r="9820" spans="1:8" ht="15" customHeight="1">
      <c r="A9820" s="199">
        <v>45820</v>
      </c>
      <c r="B9820" s="202" t="s">
        <v>7475</v>
      </c>
      <c r="C9820" s="200" t="s">
        <v>204</v>
      </c>
      <c r="D9820" s="765">
        <v>-11748.412450456646</v>
      </c>
      <c r="E9820" s="201">
        <v>45809</v>
      </c>
      <c r="F9820" s="200" t="s">
        <v>291</v>
      </c>
      <c r="G9820" s="200" t="s">
        <v>291</v>
      </c>
      <c r="H9820" s="200" t="s">
        <v>567</v>
      </c>
    </row>
    <row r="9821" spans="1:8" ht="15" customHeight="1">
      <c r="A9821" s="199">
        <v>45820</v>
      </c>
      <c r="B9821" s="202" t="s">
        <v>7475</v>
      </c>
      <c r="C9821" s="200" t="s">
        <v>204</v>
      </c>
      <c r="D9821" s="765">
        <v>-52213.715986882002</v>
      </c>
      <c r="E9821" s="201">
        <v>45809</v>
      </c>
      <c r="F9821" s="200" t="s">
        <v>291</v>
      </c>
      <c r="G9821" s="200" t="s">
        <v>291</v>
      </c>
      <c r="H9821" s="200" t="s">
        <v>567</v>
      </c>
    </row>
    <row r="9822" spans="1:8" ht="15" customHeight="1">
      <c r="A9822" s="199">
        <v>45820</v>
      </c>
      <c r="B9822" s="202" t="s">
        <v>7475</v>
      </c>
      <c r="C9822" s="200" t="s">
        <v>204</v>
      </c>
      <c r="D9822" s="765">
        <v>-128044.5091230891</v>
      </c>
      <c r="E9822" s="201">
        <v>45809</v>
      </c>
      <c r="F9822" s="200" t="s">
        <v>291</v>
      </c>
      <c r="G9822" s="200" t="s">
        <v>291</v>
      </c>
      <c r="H9822" s="200" t="s">
        <v>567</v>
      </c>
    </row>
    <row r="9823" spans="1:8" ht="15" customHeight="1">
      <c r="A9823" s="199">
        <v>45820</v>
      </c>
      <c r="B9823" s="202" t="s">
        <v>7475</v>
      </c>
      <c r="C9823" s="200" t="s">
        <v>204</v>
      </c>
      <c r="D9823" s="765">
        <v>-10598.431340351861</v>
      </c>
      <c r="E9823" s="201">
        <v>45809</v>
      </c>
      <c r="F9823" s="200" t="s">
        <v>296</v>
      </c>
      <c r="G9823" s="200" t="s">
        <v>415</v>
      </c>
      <c r="H9823" s="200" t="s">
        <v>567</v>
      </c>
    </row>
    <row r="9824" spans="1:8" ht="15" customHeight="1">
      <c r="A9824" s="199">
        <v>45820</v>
      </c>
      <c r="B9824" s="202" t="s">
        <v>7475</v>
      </c>
      <c r="C9824" s="200" t="s">
        <v>204</v>
      </c>
      <c r="D9824" s="765">
        <v>-39319.273404002553</v>
      </c>
      <c r="E9824" s="201">
        <v>45809</v>
      </c>
      <c r="F9824" s="200" t="s">
        <v>291</v>
      </c>
      <c r="G9824" s="200" t="s">
        <v>291</v>
      </c>
      <c r="H9824" s="200" t="s">
        <v>567</v>
      </c>
    </row>
    <row r="9825" spans="1:8" ht="15" customHeight="1">
      <c r="A9825" s="199">
        <v>45820</v>
      </c>
      <c r="B9825" s="202" t="s">
        <v>7475</v>
      </c>
      <c r="C9825" s="200" t="s">
        <v>204</v>
      </c>
      <c r="D9825" s="765">
        <v>-41999.354809564502</v>
      </c>
      <c r="E9825" s="201">
        <v>45809</v>
      </c>
      <c r="F9825" s="200" t="s">
        <v>291</v>
      </c>
      <c r="G9825" s="200" t="s">
        <v>291</v>
      </c>
      <c r="H9825" s="200" t="s">
        <v>567</v>
      </c>
    </row>
    <row r="9826" spans="1:8" ht="15" customHeight="1">
      <c r="A9826" s="199">
        <v>45820</v>
      </c>
      <c r="B9826" s="202" t="s">
        <v>7475</v>
      </c>
      <c r="C9826" s="200" t="s">
        <v>204</v>
      </c>
      <c r="D9826" s="765">
        <v>-2637.078728009189</v>
      </c>
      <c r="E9826" s="201">
        <v>45809</v>
      </c>
      <c r="F9826" s="200" t="s">
        <v>297</v>
      </c>
      <c r="G9826" s="200" t="s">
        <v>69</v>
      </c>
      <c r="H9826" s="200" t="s">
        <v>567</v>
      </c>
    </row>
    <row r="9827" spans="1:8" ht="15" customHeight="1">
      <c r="A9827" s="199">
        <v>45820</v>
      </c>
      <c r="B9827" s="202" t="s">
        <v>7475</v>
      </c>
      <c r="C9827" s="200" t="s">
        <v>204</v>
      </c>
      <c r="D9827" s="765">
        <v>-4635.3917571878555</v>
      </c>
      <c r="E9827" s="201">
        <v>45809</v>
      </c>
      <c r="F9827" s="200" t="s">
        <v>297</v>
      </c>
      <c r="G9827" s="200" t="s">
        <v>75</v>
      </c>
      <c r="H9827" s="200" t="s">
        <v>567</v>
      </c>
    </row>
    <row r="9828" spans="1:8" ht="15" customHeight="1">
      <c r="A9828" s="199">
        <v>45820</v>
      </c>
      <c r="B9828" s="202" t="s">
        <v>7475</v>
      </c>
      <c r="C9828" s="200" t="s">
        <v>204</v>
      </c>
      <c r="D9828" s="765">
        <v>-9438.9758387989332</v>
      </c>
      <c r="E9828" s="201">
        <v>45809</v>
      </c>
      <c r="F9828" s="200" t="s">
        <v>297</v>
      </c>
      <c r="G9828" s="200" t="s">
        <v>5404</v>
      </c>
      <c r="H9828" s="200" t="s">
        <v>567</v>
      </c>
    </row>
    <row r="9829" spans="1:8" ht="15" customHeight="1">
      <c r="A9829" s="199">
        <v>45820</v>
      </c>
      <c r="B9829" s="202" t="s">
        <v>7475</v>
      </c>
      <c r="C9829" s="200" t="s">
        <v>204</v>
      </c>
      <c r="D9829" s="765">
        <v>-69256.96621210991</v>
      </c>
      <c r="E9829" s="201">
        <v>45809</v>
      </c>
      <c r="F9829" s="200" t="s">
        <v>291</v>
      </c>
      <c r="G9829" s="200" t="s">
        <v>291</v>
      </c>
      <c r="H9829" s="200" t="s">
        <v>567</v>
      </c>
    </row>
    <row r="9830" spans="1:8" ht="15" customHeight="1">
      <c r="A9830" s="199">
        <v>45820</v>
      </c>
      <c r="B9830" s="202" t="s">
        <v>7475</v>
      </c>
      <c r="C9830" s="200" t="s">
        <v>204</v>
      </c>
      <c r="D9830" s="765">
        <v>-37579.445797594824</v>
      </c>
      <c r="E9830" s="201">
        <v>45809</v>
      </c>
      <c r="F9830" s="200" t="s">
        <v>297</v>
      </c>
      <c r="G9830" s="200" t="s">
        <v>71</v>
      </c>
      <c r="H9830" s="200" t="s">
        <v>567</v>
      </c>
    </row>
    <row r="9831" spans="1:8" ht="15" customHeight="1">
      <c r="A9831" s="199">
        <v>45820</v>
      </c>
      <c r="B9831" s="202" t="s">
        <v>7475</v>
      </c>
      <c r="C9831" s="200" t="s">
        <v>204</v>
      </c>
      <c r="D9831" s="765">
        <v>-149413.05040178052</v>
      </c>
      <c r="E9831" s="201">
        <v>45809</v>
      </c>
      <c r="F9831" s="200" t="s">
        <v>291</v>
      </c>
      <c r="G9831" s="200" t="s">
        <v>291</v>
      </c>
      <c r="H9831" s="200" t="s">
        <v>567</v>
      </c>
    </row>
    <row r="9832" spans="1:8" ht="15" customHeight="1">
      <c r="A9832" s="199">
        <v>45820</v>
      </c>
      <c r="B9832" s="202" t="s">
        <v>7476</v>
      </c>
      <c r="C9832" s="200" t="s">
        <v>204</v>
      </c>
      <c r="D9832" s="765">
        <v>-5800.958125180412</v>
      </c>
      <c r="E9832" s="201">
        <v>45809</v>
      </c>
      <c r="F9832" s="200" t="s">
        <v>291</v>
      </c>
      <c r="G9832" s="200" t="s">
        <v>291</v>
      </c>
      <c r="H9832" s="200" t="s">
        <v>567</v>
      </c>
    </row>
    <row r="9833" spans="1:8" ht="15" customHeight="1">
      <c r="A9833" s="199">
        <v>45820</v>
      </c>
      <c r="B9833" s="202" t="s">
        <v>7476</v>
      </c>
      <c r="C9833" s="200" t="s">
        <v>204</v>
      </c>
      <c r="D9833" s="765">
        <v>-27264.901757880929</v>
      </c>
      <c r="E9833" s="201">
        <v>45809</v>
      </c>
      <c r="F9833" s="200" t="s">
        <v>296</v>
      </c>
      <c r="G9833" s="200" t="s">
        <v>1311</v>
      </c>
      <c r="H9833" s="200" t="s">
        <v>567</v>
      </c>
    </row>
    <row r="9834" spans="1:8" ht="15" customHeight="1">
      <c r="A9834" s="199">
        <v>45820</v>
      </c>
      <c r="B9834" s="202" t="s">
        <v>7476</v>
      </c>
      <c r="C9834" s="200" t="s">
        <v>204</v>
      </c>
      <c r="D9834" s="765">
        <v>-82071.091102020902</v>
      </c>
      <c r="E9834" s="201">
        <v>45809</v>
      </c>
      <c r="F9834" s="200" t="s">
        <v>296</v>
      </c>
      <c r="G9834" s="200" t="s">
        <v>3360</v>
      </c>
      <c r="H9834" s="200" t="s">
        <v>567</v>
      </c>
    </row>
    <row r="9835" spans="1:8" ht="15" customHeight="1">
      <c r="A9835" s="199">
        <v>45820</v>
      </c>
      <c r="B9835" s="202" t="s">
        <v>7476</v>
      </c>
      <c r="C9835" s="200" t="s">
        <v>204</v>
      </c>
      <c r="D9835" s="765">
        <v>-7683.5348860126833</v>
      </c>
      <c r="E9835" s="201">
        <v>45809</v>
      </c>
      <c r="F9835" s="200" t="s">
        <v>296</v>
      </c>
      <c r="G9835" s="200" t="s">
        <v>3847</v>
      </c>
      <c r="H9835" s="200" t="s">
        <v>567</v>
      </c>
    </row>
    <row r="9836" spans="1:8" ht="15" customHeight="1">
      <c r="A9836" s="199">
        <v>45820</v>
      </c>
      <c r="B9836" s="202" t="s">
        <v>7476</v>
      </c>
      <c r="C9836" s="200" t="s">
        <v>204</v>
      </c>
      <c r="D9836" s="765">
        <v>-54299.88794219464</v>
      </c>
      <c r="E9836" s="201">
        <v>45809</v>
      </c>
      <c r="F9836" s="200" t="s">
        <v>291</v>
      </c>
      <c r="G9836" s="200" t="s">
        <v>291</v>
      </c>
      <c r="H9836" s="200" t="s">
        <v>567</v>
      </c>
    </row>
    <row r="9837" spans="1:8" ht="15" customHeight="1">
      <c r="A9837" s="199">
        <v>45820</v>
      </c>
      <c r="B9837" s="202" t="s">
        <v>7476</v>
      </c>
      <c r="C9837" s="200" t="s">
        <v>204</v>
      </c>
      <c r="D9837" s="765">
        <v>-80870.86538167097</v>
      </c>
      <c r="E9837" s="201">
        <v>45809</v>
      </c>
      <c r="F9837" s="200" t="s">
        <v>291</v>
      </c>
      <c r="G9837" s="200" t="s">
        <v>291</v>
      </c>
      <c r="H9837" s="200" t="s">
        <v>567</v>
      </c>
    </row>
    <row r="9838" spans="1:8" ht="15" customHeight="1">
      <c r="A9838" s="199">
        <v>45820</v>
      </c>
      <c r="B9838" s="202" t="s">
        <v>7476</v>
      </c>
      <c r="C9838" s="200" t="s">
        <v>204</v>
      </c>
      <c r="D9838" s="765">
        <v>-6657.3511950692491</v>
      </c>
      <c r="E9838" s="201">
        <v>45809</v>
      </c>
      <c r="F9838" s="200" t="s">
        <v>291</v>
      </c>
      <c r="G9838" s="200" t="s">
        <v>291</v>
      </c>
      <c r="H9838" s="200" t="s">
        <v>567</v>
      </c>
    </row>
    <row r="9839" spans="1:8" ht="15" customHeight="1">
      <c r="A9839" s="199">
        <v>45820</v>
      </c>
      <c r="B9839" s="202" t="s">
        <v>7476</v>
      </c>
      <c r="C9839" s="200" t="s">
        <v>204</v>
      </c>
      <c r="D9839" s="765">
        <v>-21389.898270571332</v>
      </c>
      <c r="E9839" s="201">
        <v>45809</v>
      </c>
      <c r="F9839" s="200" t="s">
        <v>296</v>
      </c>
      <c r="G9839" s="200" t="s">
        <v>5466</v>
      </c>
      <c r="H9839" s="200" t="s">
        <v>567</v>
      </c>
    </row>
    <row r="9840" spans="1:8" ht="15" customHeight="1">
      <c r="A9840" s="199">
        <v>45820</v>
      </c>
      <c r="B9840" s="202" t="s">
        <v>7476</v>
      </c>
      <c r="C9840" s="200" t="s">
        <v>204</v>
      </c>
      <c r="D9840" s="765">
        <v>-104397.78400084874</v>
      </c>
      <c r="E9840" s="201">
        <v>45809</v>
      </c>
      <c r="F9840" s="200" t="s">
        <v>291</v>
      </c>
      <c r="G9840" s="200" t="s">
        <v>291</v>
      </c>
      <c r="H9840" s="200" t="s">
        <v>567</v>
      </c>
    </row>
    <row r="9841" spans="1:8" ht="15" customHeight="1">
      <c r="A9841" s="199">
        <v>45820</v>
      </c>
      <c r="B9841" s="202" t="s">
        <v>7476</v>
      </c>
      <c r="C9841" s="200" t="s">
        <v>204</v>
      </c>
      <c r="D9841" s="765">
        <v>-4423.9446741966749</v>
      </c>
      <c r="E9841" s="201">
        <v>45809</v>
      </c>
      <c r="F9841" s="200" t="s">
        <v>297</v>
      </c>
      <c r="G9841" s="200" t="s">
        <v>3848</v>
      </c>
      <c r="H9841" s="200" t="s">
        <v>567</v>
      </c>
    </row>
    <row r="9842" spans="1:8" ht="15" customHeight="1">
      <c r="A9842" s="199">
        <v>45820</v>
      </c>
      <c r="B9842" s="202" t="s">
        <v>7476</v>
      </c>
      <c r="C9842" s="200" t="s">
        <v>204</v>
      </c>
      <c r="D9842" s="765">
        <v>-60110.184769639156</v>
      </c>
      <c r="E9842" s="201">
        <v>45809</v>
      </c>
      <c r="F9842" s="200" t="s">
        <v>291</v>
      </c>
      <c r="G9842" s="200" t="s">
        <v>291</v>
      </c>
      <c r="H9842" s="200" t="s">
        <v>567</v>
      </c>
    </row>
    <row r="9843" spans="1:8" ht="15" customHeight="1">
      <c r="A9843" s="199">
        <v>45820</v>
      </c>
      <c r="B9843" s="202" t="s">
        <v>7476</v>
      </c>
      <c r="C9843" s="200" t="s">
        <v>204</v>
      </c>
      <c r="D9843" s="765">
        <v>-74682.276242903987</v>
      </c>
      <c r="E9843" s="201">
        <v>45809</v>
      </c>
      <c r="F9843" s="200" t="s">
        <v>291</v>
      </c>
      <c r="G9843" s="200" t="s">
        <v>291</v>
      </c>
      <c r="H9843" s="200" t="s">
        <v>567</v>
      </c>
    </row>
    <row r="9844" spans="1:8" ht="15" customHeight="1">
      <c r="A9844" s="199">
        <v>45820</v>
      </c>
      <c r="B9844" s="202" t="s">
        <v>7476</v>
      </c>
      <c r="C9844" s="200" t="s">
        <v>204</v>
      </c>
      <c r="D9844" s="765">
        <v>-135944.173812547</v>
      </c>
      <c r="E9844" s="201">
        <v>45809</v>
      </c>
      <c r="F9844" s="200" t="s">
        <v>291</v>
      </c>
      <c r="G9844" s="200" t="s">
        <v>291</v>
      </c>
      <c r="H9844" s="200" t="s">
        <v>567</v>
      </c>
    </row>
    <row r="9845" spans="1:8" ht="15" customHeight="1">
      <c r="A9845" s="199">
        <v>45820</v>
      </c>
      <c r="B9845" s="202" t="s">
        <v>7476</v>
      </c>
      <c r="C9845" s="200" t="s">
        <v>204</v>
      </c>
      <c r="D9845" s="765">
        <v>-101009.03389112905</v>
      </c>
      <c r="E9845" s="201">
        <v>45809</v>
      </c>
      <c r="F9845" s="200" t="s">
        <v>296</v>
      </c>
      <c r="G9845" s="200" t="s">
        <v>2418</v>
      </c>
      <c r="H9845" s="200" t="s">
        <v>567</v>
      </c>
    </row>
    <row r="9846" spans="1:8" ht="15" customHeight="1">
      <c r="A9846" s="199">
        <v>45820</v>
      </c>
      <c r="B9846" s="202" t="s">
        <v>7476</v>
      </c>
      <c r="C9846" s="200" t="s">
        <v>204</v>
      </c>
      <c r="D9846" s="765">
        <v>-21801.177743115426</v>
      </c>
      <c r="E9846" s="201">
        <v>45809</v>
      </c>
      <c r="F9846" s="200" t="s">
        <v>291</v>
      </c>
      <c r="G9846" s="200" t="s">
        <v>291</v>
      </c>
      <c r="H9846" s="200" t="s">
        <v>567</v>
      </c>
    </row>
    <row r="9847" spans="1:8" ht="15" customHeight="1">
      <c r="A9847" s="199">
        <v>45820</v>
      </c>
      <c r="B9847" s="202" t="s">
        <v>7476</v>
      </c>
      <c r="C9847" s="200" t="s">
        <v>204</v>
      </c>
      <c r="D9847" s="765">
        <v>-96891.431728234646</v>
      </c>
      <c r="E9847" s="201">
        <v>45809</v>
      </c>
      <c r="F9847" s="200" t="s">
        <v>291</v>
      </c>
      <c r="G9847" s="200" t="s">
        <v>291</v>
      </c>
      <c r="H9847" s="200" t="s">
        <v>567</v>
      </c>
    </row>
    <row r="9848" spans="1:8" ht="15" customHeight="1">
      <c r="A9848" s="199">
        <v>45820</v>
      </c>
      <c r="B9848" s="202" t="s">
        <v>7476</v>
      </c>
      <c r="C9848" s="200" t="s">
        <v>204</v>
      </c>
      <c r="D9848" s="765">
        <v>-237608.36744490761</v>
      </c>
      <c r="E9848" s="201">
        <v>45809</v>
      </c>
      <c r="F9848" s="200" t="s">
        <v>296</v>
      </c>
      <c r="G9848" s="200" t="s">
        <v>1362</v>
      </c>
      <c r="H9848" s="200" t="s">
        <v>567</v>
      </c>
    </row>
    <row r="9849" spans="1:8" ht="15" customHeight="1">
      <c r="A9849" s="199">
        <v>45820</v>
      </c>
      <c r="B9849" s="202" t="s">
        <v>7476</v>
      </c>
      <c r="C9849" s="200" t="s">
        <v>204</v>
      </c>
      <c r="D9849" s="765">
        <v>-19667.192177972523</v>
      </c>
      <c r="E9849" s="201">
        <v>45809</v>
      </c>
      <c r="F9849" s="200" t="s">
        <v>296</v>
      </c>
      <c r="G9849" s="200" t="s">
        <v>415</v>
      </c>
      <c r="H9849" s="200" t="s">
        <v>567</v>
      </c>
    </row>
    <row r="9850" spans="1:8" ht="15" customHeight="1">
      <c r="A9850" s="199">
        <v>45820</v>
      </c>
      <c r="B9850" s="202" t="s">
        <v>7476</v>
      </c>
      <c r="C9850" s="200" t="s">
        <v>204</v>
      </c>
      <c r="D9850" s="765">
        <v>-72963.600131138766</v>
      </c>
      <c r="E9850" s="201">
        <v>45809</v>
      </c>
      <c r="F9850" s="200" t="s">
        <v>291</v>
      </c>
      <c r="G9850" s="200" t="s">
        <v>291</v>
      </c>
      <c r="H9850" s="200" t="s">
        <v>567</v>
      </c>
    </row>
    <row r="9851" spans="1:8" ht="15" customHeight="1">
      <c r="A9851" s="199">
        <v>45820</v>
      </c>
      <c r="B9851" s="202" t="s">
        <v>7476</v>
      </c>
      <c r="C9851" s="200" t="s">
        <v>204</v>
      </c>
      <c r="D9851" s="765">
        <v>-77936.94706929494</v>
      </c>
      <c r="E9851" s="201">
        <v>45809</v>
      </c>
      <c r="F9851" s="200" t="s">
        <v>291</v>
      </c>
      <c r="G9851" s="200" t="s">
        <v>291</v>
      </c>
      <c r="H9851" s="200" t="s">
        <v>567</v>
      </c>
    </row>
    <row r="9852" spans="1:8" ht="15" customHeight="1">
      <c r="A9852" s="199">
        <v>45820</v>
      </c>
      <c r="B9852" s="202" t="s">
        <v>7476</v>
      </c>
      <c r="C9852" s="200" t="s">
        <v>204</v>
      </c>
      <c r="D9852" s="765">
        <v>-4893.5481550685981</v>
      </c>
      <c r="E9852" s="201">
        <v>45809</v>
      </c>
      <c r="F9852" s="200" t="s">
        <v>297</v>
      </c>
      <c r="G9852" s="200" t="s">
        <v>69</v>
      </c>
      <c r="H9852" s="200" t="s">
        <v>567</v>
      </c>
    </row>
    <row r="9853" spans="1:8" ht="15" customHeight="1">
      <c r="A9853" s="199">
        <v>45820</v>
      </c>
      <c r="B9853" s="202" t="s">
        <v>7476</v>
      </c>
      <c r="C9853" s="200" t="s">
        <v>204</v>
      </c>
      <c r="D9853" s="765">
        <v>-8601.7578999362267</v>
      </c>
      <c r="E9853" s="201">
        <v>45809</v>
      </c>
      <c r="F9853" s="200" t="s">
        <v>297</v>
      </c>
      <c r="G9853" s="200" t="s">
        <v>75</v>
      </c>
      <c r="H9853" s="200" t="s">
        <v>567</v>
      </c>
    </row>
    <row r="9854" spans="1:8" ht="15" customHeight="1">
      <c r="A9854" s="199">
        <v>45820</v>
      </c>
      <c r="B9854" s="202" t="s">
        <v>7476</v>
      </c>
      <c r="C9854" s="200" t="s">
        <v>204</v>
      </c>
      <c r="D9854" s="765">
        <v>-17515.625267874311</v>
      </c>
      <c r="E9854" s="201">
        <v>45809</v>
      </c>
      <c r="F9854" s="200" t="s">
        <v>297</v>
      </c>
      <c r="G9854" s="200" t="s">
        <v>5404</v>
      </c>
      <c r="H9854" s="200" t="s">
        <v>567</v>
      </c>
    </row>
    <row r="9855" spans="1:8" ht="15" customHeight="1">
      <c r="A9855" s="199">
        <v>45820</v>
      </c>
      <c r="B9855" s="202" t="s">
        <v>7476</v>
      </c>
      <c r="C9855" s="200" t="s">
        <v>204</v>
      </c>
      <c r="D9855" s="765">
        <v>-128518.08163071943</v>
      </c>
      <c r="E9855" s="201">
        <v>45809</v>
      </c>
      <c r="F9855" s="200" t="s">
        <v>297</v>
      </c>
      <c r="G9855" s="200" t="s">
        <v>3892</v>
      </c>
      <c r="H9855" s="200" t="s">
        <v>567</v>
      </c>
    </row>
    <row r="9856" spans="1:8" ht="15" customHeight="1">
      <c r="A9856" s="199">
        <v>45820</v>
      </c>
      <c r="B9856" s="202" t="s">
        <v>7476</v>
      </c>
      <c r="C9856" s="200" t="s">
        <v>204</v>
      </c>
      <c r="D9856" s="765">
        <v>-69735.054057392466</v>
      </c>
      <c r="E9856" s="201">
        <v>45809</v>
      </c>
      <c r="F9856" s="200" t="s">
        <v>297</v>
      </c>
      <c r="G9856" s="200" t="s">
        <v>71</v>
      </c>
      <c r="H9856" s="200" t="s">
        <v>567</v>
      </c>
    </row>
    <row r="9857" spans="1:8" ht="15" customHeight="1">
      <c r="A9857" s="199">
        <v>45820</v>
      </c>
      <c r="B9857" s="202" t="s">
        <v>7476</v>
      </c>
      <c r="C9857" s="200" t="s">
        <v>204</v>
      </c>
      <c r="D9857" s="765">
        <v>-277261.3306424793</v>
      </c>
      <c r="E9857" s="201">
        <v>45809</v>
      </c>
      <c r="F9857" s="200" t="s">
        <v>291</v>
      </c>
      <c r="G9857" s="200" t="s">
        <v>291</v>
      </c>
      <c r="H9857" s="200" t="s">
        <v>567</v>
      </c>
    </row>
    <row r="9858" spans="1:8" ht="15" customHeight="1">
      <c r="A9858" s="199">
        <v>45820</v>
      </c>
      <c r="B9858" s="202" t="s">
        <v>7477</v>
      </c>
      <c r="C9858" s="200" t="s">
        <v>204</v>
      </c>
      <c r="D9858" s="765">
        <v>-3712.6132001154638</v>
      </c>
      <c r="E9858" s="201">
        <v>45809</v>
      </c>
      <c r="F9858" s="200" t="s">
        <v>291</v>
      </c>
      <c r="G9858" s="200" t="s">
        <v>291</v>
      </c>
      <c r="H9858" s="200" t="s">
        <v>567</v>
      </c>
    </row>
    <row r="9859" spans="1:8" ht="15" customHeight="1">
      <c r="A9859" s="199">
        <v>45820</v>
      </c>
      <c r="B9859" s="202" t="s">
        <v>7477</v>
      </c>
      <c r="C9859" s="200" t="s">
        <v>204</v>
      </c>
      <c r="D9859" s="765">
        <v>-17449.537125043793</v>
      </c>
      <c r="E9859" s="201">
        <v>45809</v>
      </c>
      <c r="F9859" s="200" t="s">
        <v>296</v>
      </c>
      <c r="G9859" s="200" t="s">
        <v>1311</v>
      </c>
      <c r="H9859" s="200" t="s">
        <v>567</v>
      </c>
    </row>
    <row r="9860" spans="1:8" ht="15" customHeight="1">
      <c r="A9860" s="199">
        <v>45820</v>
      </c>
      <c r="B9860" s="202" t="s">
        <v>7477</v>
      </c>
      <c r="C9860" s="200" t="s">
        <v>204</v>
      </c>
      <c r="D9860" s="765">
        <v>-52525.498305293382</v>
      </c>
      <c r="E9860" s="201">
        <v>45809</v>
      </c>
      <c r="F9860" s="200" t="s">
        <v>296</v>
      </c>
      <c r="G9860" s="200" t="s">
        <v>3360</v>
      </c>
      <c r="H9860" s="200" t="s">
        <v>567</v>
      </c>
    </row>
    <row r="9861" spans="1:8" ht="15" customHeight="1">
      <c r="A9861" s="199">
        <v>45820</v>
      </c>
      <c r="B9861" s="202" t="s">
        <v>7477</v>
      </c>
      <c r="C9861" s="200" t="s">
        <v>204</v>
      </c>
      <c r="D9861" s="765">
        <v>-4917.462327048117</v>
      </c>
      <c r="E9861" s="201">
        <v>45809</v>
      </c>
      <c r="F9861" s="200" t="s">
        <v>296</v>
      </c>
      <c r="G9861" s="200" t="s">
        <v>3847</v>
      </c>
      <c r="H9861" s="200" t="s">
        <v>567</v>
      </c>
    </row>
    <row r="9862" spans="1:8" ht="15" customHeight="1">
      <c r="A9862" s="199">
        <v>45820</v>
      </c>
      <c r="B9862" s="202" t="s">
        <v>7477</v>
      </c>
      <c r="C9862" s="200" t="s">
        <v>204</v>
      </c>
      <c r="D9862" s="765">
        <v>-34751.92828300457</v>
      </c>
      <c r="E9862" s="201">
        <v>45809</v>
      </c>
      <c r="F9862" s="200" t="s">
        <v>291</v>
      </c>
      <c r="G9862" s="200" t="s">
        <v>291</v>
      </c>
      <c r="H9862" s="200" t="s">
        <v>567</v>
      </c>
    </row>
    <row r="9863" spans="1:8" ht="15" customHeight="1">
      <c r="A9863" s="199">
        <v>45820</v>
      </c>
      <c r="B9863" s="202" t="s">
        <v>7477</v>
      </c>
      <c r="C9863" s="200" t="s">
        <v>204</v>
      </c>
      <c r="D9863" s="765">
        <v>-51757.353844269419</v>
      </c>
      <c r="E9863" s="201">
        <v>45809</v>
      </c>
      <c r="F9863" s="200" t="s">
        <v>291</v>
      </c>
      <c r="G9863" s="200" t="s">
        <v>291</v>
      </c>
      <c r="H9863" s="200" t="s">
        <v>567</v>
      </c>
    </row>
    <row r="9864" spans="1:8" ht="15" customHeight="1">
      <c r="A9864" s="199">
        <v>45820</v>
      </c>
      <c r="B9864" s="202" t="s">
        <v>7477</v>
      </c>
      <c r="C9864" s="200" t="s">
        <v>204</v>
      </c>
      <c r="D9864" s="765">
        <v>-4260.7047648443195</v>
      </c>
      <c r="E9864" s="201">
        <v>45809</v>
      </c>
      <c r="F9864" s="200" t="s">
        <v>291</v>
      </c>
      <c r="G9864" s="200" t="s">
        <v>291</v>
      </c>
      <c r="H9864" s="200" t="s">
        <v>567</v>
      </c>
    </row>
    <row r="9865" spans="1:8" ht="15" customHeight="1">
      <c r="A9865" s="199">
        <v>45820</v>
      </c>
      <c r="B9865" s="202" t="s">
        <v>7477</v>
      </c>
      <c r="C9865" s="200" t="s">
        <v>204</v>
      </c>
      <c r="D9865" s="765">
        <v>-13689.534893165654</v>
      </c>
      <c r="E9865" s="201">
        <v>45809</v>
      </c>
      <c r="F9865" s="200" t="s">
        <v>296</v>
      </c>
      <c r="G9865" s="200" t="s">
        <v>5466</v>
      </c>
      <c r="H9865" s="200" t="s">
        <v>567</v>
      </c>
    </row>
    <row r="9866" spans="1:8" ht="15" customHeight="1">
      <c r="A9866" s="199">
        <v>45820</v>
      </c>
      <c r="B9866" s="202" t="s">
        <v>7477</v>
      </c>
      <c r="C9866" s="200" t="s">
        <v>204</v>
      </c>
      <c r="D9866" s="765">
        <v>-66814.581760543195</v>
      </c>
      <c r="E9866" s="201">
        <v>45809</v>
      </c>
      <c r="F9866" s="200" t="s">
        <v>291</v>
      </c>
      <c r="G9866" s="200" t="s">
        <v>291</v>
      </c>
      <c r="H9866" s="200" t="s">
        <v>567</v>
      </c>
    </row>
    <row r="9867" spans="1:8" ht="15" customHeight="1">
      <c r="A9867" s="199">
        <v>45820</v>
      </c>
      <c r="B9867" s="202" t="s">
        <v>7477</v>
      </c>
      <c r="C9867" s="200" t="s">
        <v>204</v>
      </c>
      <c r="D9867" s="765">
        <v>-2831.3245914858717</v>
      </c>
      <c r="E9867" s="201">
        <v>45809</v>
      </c>
      <c r="F9867" s="200" t="s">
        <v>297</v>
      </c>
      <c r="G9867" s="200" t="s">
        <v>3848</v>
      </c>
      <c r="H9867" s="200" t="s">
        <v>567</v>
      </c>
    </row>
    <row r="9868" spans="1:8" ht="15" customHeight="1">
      <c r="A9868" s="199">
        <v>45820</v>
      </c>
      <c r="B9868" s="202" t="s">
        <v>7477</v>
      </c>
      <c r="C9868" s="200" t="s">
        <v>204</v>
      </c>
      <c r="D9868" s="765">
        <v>-38470.518252569062</v>
      </c>
      <c r="E9868" s="201">
        <v>45809</v>
      </c>
      <c r="F9868" s="200" t="s">
        <v>291</v>
      </c>
      <c r="G9868" s="200" t="s">
        <v>291</v>
      </c>
      <c r="H9868" s="200" t="s">
        <v>567</v>
      </c>
    </row>
    <row r="9869" spans="1:8" ht="15" customHeight="1">
      <c r="A9869" s="199">
        <v>45820</v>
      </c>
      <c r="B9869" s="202" t="s">
        <v>7477</v>
      </c>
      <c r="C9869" s="200" t="s">
        <v>204</v>
      </c>
      <c r="D9869" s="765">
        <v>-47796.656795458555</v>
      </c>
      <c r="E9869" s="201">
        <v>45809</v>
      </c>
      <c r="F9869" s="200" t="s">
        <v>291</v>
      </c>
      <c r="G9869" s="200" t="s">
        <v>291</v>
      </c>
      <c r="H9869" s="200" t="s">
        <v>567</v>
      </c>
    </row>
    <row r="9870" spans="1:8" ht="15" customHeight="1">
      <c r="A9870" s="199">
        <v>45820</v>
      </c>
      <c r="B9870" s="202" t="s">
        <v>7477</v>
      </c>
      <c r="C9870" s="200" t="s">
        <v>204</v>
      </c>
      <c r="D9870" s="765">
        <v>-87004.271240030095</v>
      </c>
      <c r="E9870" s="201">
        <v>45809</v>
      </c>
      <c r="F9870" s="200" t="s">
        <v>291</v>
      </c>
      <c r="G9870" s="200" t="s">
        <v>291</v>
      </c>
      <c r="H9870" s="200" t="s">
        <v>567</v>
      </c>
    </row>
    <row r="9871" spans="1:8" ht="15" customHeight="1">
      <c r="A9871" s="199">
        <v>45820</v>
      </c>
      <c r="B9871" s="202" t="s">
        <v>7477</v>
      </c>
      <c r="C9871" s="200" t="s">
        <v>204</v>
      </c>
      <c r="D9871" s="765">
        <v>-64645.78169032259</v>
      </c>
      <c r="E9871" s="201">
        <v>45809</v>
      </c>
      <c r="F9871" s="200" t="s">
        <v>296</v>
      </c>
      <c r="G9871" s="200" t="s">
        <v>2418</v>
      </c>
      <c r="H9871" s="200" t="s">
        <v>567</v>
      </c>
    </row>
    <row r="9872" spans="1:8" ht="15" customHeight="1">
      <c r="A9872" s="199">
        <v>45820</v>
      </c>
      <c r="B9872" s="202" t="s">
        <v>7477</v>
      </c>
      <c r="C9872" s="200" t="s">
        <v>204</v>
      </c>
      <c r="D9872" s="765">
        <v>-13952.753755593872</v>
      </c>
      <c r="E9872" s="201">
        <v>45809</v>
      </c>
      <c r="F9872" s="200" t="s">
        <v>291</v>
      </c>
      <c r="G9872" s="200" t="s">
        <v>291</v>
      </c>
      <c r="H9872" s="200" t="s">
        <v>567</v>
      </c>
    </row>
    <row r="9873" spans="1:8" ht="15" customHeight="1">
      <c r="A9873" s="199">
        <v>45820</v>
      </c>
      <c r="B9873" s="202" t="s">
        <v>7477</v>
      </c>
      <c r="C9873" s="200" t="s">
        <v>204</v>
      </c>
      <c r="D9873" s="765">
        <v>-62010.516306070174</v>
      </c>
      <c r="E9873" s="201">
        <v>45809</v>
      </c>
      <c r="F9873" s="200" t="s">
        <v>291</v>
      </c>
      <c r="G9873" s="200" t="s">
        <v>291</v>
      </c>
      <c r="H9873" s="200" t="s">
        <v>567</v>
      </c>
    </row>
    <row r="9874" spans="1:8" ht="15" customHeight="1">
      <c r="A9874" s="199">
        <v>45820</v>
      </c>
      <c r="B9874" s="202" t="s">
        <v>7477</v>
      </c>
      <c r="C9874" s="200" t="s">
        <v>204</v>
      </c>
      <c r="D9874" s="765">
        <v>-152069.35516474087</v>
      </c>
      <c r="E9874" s="201">
        <v>45809</v>
      </c>
      <c r="F9874" s="200" t="s">
        <v>297</v>
      </c>
      <c r="G9874" s="200" t="s">
        <v>75</v>
      </c>
      <c r="H9874" s="200" t="s">
        <v>567</v>
      </c>
    </row>
    <row r="9875" spans="1:8" ht="15" customHeight="1">
      <c r="A9875" s="199">
        <v>45820</v>
      </c>
      <c r="B9875" s="202" t="s">
        <v>7477</v>
      </c>
      <c r="C9875" s="200" t="s">
        <v>204</v>
      </c>
      <c r="D9875" s="765">
        <v>-12587.002993902415</v>
      </c>
      <c r="E9875" s="201">
        <v>45809</v>
      </c>
      <c r="F9875" s="200" t="s">
        <v>296</v>
      </c>
      <c r="G9875" s="200" t="s">
        <v>415</v>
      </c>
      <c r="H9875" s="200" t="s">
        <v>567</v>
      </c>
    </row>
    <row r="9876" spans="1:8" ht="15" customHeight="1">
      <c r="A9876" s="199">
        <v>45820</v>
      </c>
      <c r="B9876" s="202" t="s">
        <v>7477</v>
      </c>
      <c r="C9876" s="200" t="s">
        <v>204</v>
      </c>
      <c r="D9876" s="765">
        <v>-46696.704083928809</v>
      </c>
      <c r="E9876" s="201">
        <v>45809</v>
      </c>
      <c r="F9876" s="200" t="s">
        <v>291</v>
      </c>
      <c r="G9876" s="200" t="s">
        <v>291</v>
      </c>
      <c r="H9876" s="200" t="s">
        <v>567</v>
      </c>
    </row>
    <row r="9877" spans="1:8" ht="15" customHeight="1">
      <c r="A9877" s="199">
        <v>45820</v>
      </c>
      <c r="B9877" s="202" t="s">
        <v>7477</v>
      </c>
      <c r="C9877" s="200" t="s">
        <v>204</v>
      </c>
      <c r="D9877" s="765">
        <v>-49879.646124348765</v>
      </c>
      <c r="E9877" s="201">
        <v>45809</v>
      </c>
      <c r="F9877" s="200" t="s">
        <v>291</v>
      </c>
      <c r="G9877" s="200" t="s">
        <v>291</v>
      </c>
      <c r="H9877" s="200" t="s">
        <v>567</v>
      </c>
    </row>
    <row r="9878" spans="1:8" ht="15" customHeight="1">
      <c r="A9878" s="199">
        <v>45820</v>
      </c>
      <c r="B9878" s="202" t="s">
        <v>7477</v>
      </c>
      <c r="C9878" s="200" t="s">
        <v>204</v>
      </c>
      <c r="D9878" s="765">
        <v>-3131.8708192439026</v>
      </c>
      <c r="E9878" s="201">
        <v>45809</v>
      </c>
      <c r="F9878" s="200" t="s">
        <v>297</v>
      </c>
      <c r="G9878" s="200" t="s">
        <v>69</v>
      </c>
      <c r="H9878" s="200" t="s">
        <v>567</v>
      </c>
    </row>
    <row r="9879" spans="1:8" ht="15" customHeight="1">
      <c r="A9879" s="199">
        <v>45820</v>
      </c>
      <c r="B9879" s="202" t="s">
        <v>7477</v>
      </c>
      <c r="C9879" s="200" t="s">
        <v>204</v>
      </c>
      <c r="D9879" s="765">
        <v>-5505.1250559591854</v>
      </c>
      <c r="E9879" s="201">
        <v>45809</v>
      </c>
      <c r="F9879" s="200" t="s">
        <v>297</v>
      </c>
      <c r="G9879" s="200" t="s">
        <v>75</v>
      </c>
      <c r="H9879" s="200" t="s">
        <v>567</v>
      </c>
    </row>
    <row r="9880" spans="1:8" ht="15" customHeight="1">
      <c r="A9880" s="199">
        <v>45820</v>
      </c>
      <c r="B9880" s="202" t="s">
        <v>7477</v>
      </c>
      <c r="C9880" s="200" t="s">
        <v>204</v>
      </c>
      <c r="D9880" s="765">
        <v>-11210.000171439558</v>
      </c>
      <c r="E9880" s="201">
        <v>45809</v>
      </c>
      <c r="F9880" s="200" t="s">
        <v>297</v>
      </c>
      <c r="G9880" s="200" t="s">
        <v>5404</v>
      </c>
      <c r="H9880" s="200" t="s">
        <v>567</v>
      </c>
    </row>
    <row r="9881" spans="1:8" ht="15" customHeight="1">
      <c r="A9881" s="199">
        <v>45820</v>
      </c>
      <c r="B9881" s="202" t="s">
        <v>7477</v>
      </c>
      <c r="C9881" s="200" t="s">
        <v>204</v>
      </c>
      <c r="D9881" s="765">
        <v>-82251.572243660441</v>
      </c>
      <c r="E9881" s="201">
        <v>45809</v>
      </c>
      <c r="F9881" s="200" t="s">
        <v>291</v>
      </c>
      <c r="G9881" s="200" t="s">
        <v>291</v>
      </c>
      <c r="H9881" s="200" t="s">
        <v>567</v>
      </c>
    </row>
    <row r="9882" spans="1:8" ht="15" customHeight="1">
      <c r="A9882" s="199">
        <v>45820</v>
      </c>
      <c r="B9882" s="202" t="s">
        <v>7477</v>
      </c>
      <c r="C9882" s="200" t="s">
        <v>204</v>
      </c>
      <c r="D9882" s="765">
        <v>-44630.434596731175</v>
      </c>
      <c r="E9882" s="201">
        <v>45809</v>
      </c>
      <c r="F9882" s="200" t="s">
        <v>297</v>
      </c>
      <c r="G9882" s="200" t="s">
        <v>71</v>
      </c>
      <c r="H9882" s="200" t="s">
        <v>567</v>
      </c>
    </row>
    <row r="9883" spans="1:8" ht="15" customHeight="1">
      <c r="A9883" s="199">
        <v>45820</v>
      </c>
      <c r="B9883" s="202" t="s">
        <v>7477</v>
      </c>
      <c r="C9883" s="200" t="s">
        <v>204</v>
      </c>
      <c r="D9883" s="765">
        <v>-177447.25161118674</v>
      </c>
      <c r="E9883" s="201">
        <v>45809</v>
      </c>
      <c r="F9883" s="200" t="s">
        <v>291</v>
      </c>
      <c r="G9883" s="200" t="s">
        <v>291</v>
      </c>
      <c r="H9883" s="200" t="s">
        <v>567</v>
      </c>
    </row>
    <row r="9884" spans="1:8" ht="15" customHeight="1">
      <c r="A9884" s="199">
        <v>45820</v>
      </c>
      <c r="B9884" s="202" t="s">
        <v>7478</v>
      </c>
      <c r="C9884" s="200" t="s">
        <v>204</v>
      </c>
      <c r="D9884" s="765">
        <v>-495000</v>
      </c>
      <c r="E9884" s="201">
        <v>45809</v>
      </c>
      <c r="F9884" s="200" t="s">
        <v>296</v>
      </c>
      <c r="G9884" s="200" t="s">
        <v>44</v>
      </c>
      <c r="H9884" s="200" t="s">
        <v>338</v>
      </c>
    </row>
    <row r="9885" spans="1:8" ht="15" customHeight="1">
      <c r="A9885" s="199">
        <v>45820</v>
      </c>
      <c r="B9885" s="202" t="s">
        <v>7478</v>
      </c>
      <c r="C9885" s="200" t="s">
        <v>204</v>
      </c>
      <c r="D9885" s="765">
        <v>-82500</v>
      </c>
      <c r="E9885" s="201">
        <v>45809</v>
      </c>
      <c r="F9885" s="200" t="s">
        <v>296</v>
      </c>
      <c r="G9885" s="200" t="s">
        <v>1825</v>
      </c>
      <c r="H9885" s="200" t="s">
        <v>338</v>
      </c>
    </row>
    <row r="9886" spans="1:8" ht="15" customHeight="1">
      <c r="A9886" s="199">
        <v>45820</v>
      </c>
      <c r="B9886" s="202" t="s">
        <v>7478</v>
      </c>
      <c r="C9886" s="200" t="s">
        <v>204</v>
      </c>
      <c r="D9886" s="765">
        <v>-495000</v>
      </c>
      <c r="E9886" s="201">
        <v>45809</v>
      </c>
      <c r="F9886" s="200" t="s">
        <v>296</v>
      </c>
      <c r="G9886" s="200" t="s">
        <v>522</v>
      </c>
      <c r="H9886" s="200" t="s">
        <v>338</v>
      </c>
    </row>
    <row r="9887" spans="1:8" ht="15" customHeight="1">
      <c r="A9887" s="199">
        <v>45820</v>
      </c>
      <c r="B9887" s="202" t="s">
        <v>7478</v>
      </c>
      <c r="C9887" s="200" t="s">
        <v>204</v>
      </c>
      <c r="D9887" s="765">
        <v>-82500</v>
      </c>
      <c r="E9887" s="201">
        <v>45809</v>
      </c>
      <c r="F9887" s="200" t="s">
        <v>296</v>
      </c>
      <c r="G9887" s="200" t="s">
        <v>807</v>
      </c>
      <c r="H9887" s="200" t="s">
        <v>338</v>
      </c>
    </row>
    <row r="9888" spans="1:8" ht="15" customHeight="1">
      <c r="A9888" s="199">
        <v>45820</v>
      </c>
      <c r="B9888" s="202" t="s">
        <v>7478</v>
      </c>
      <c r="C9888" s="200" t="s">
        <v>204</v>
      </c>
      <c r="D9888" s="765">
        <v>-495000</v>
      </c>
      <c r="E9888" s="201">
        <v>45809</v>
      </c>
      <c r="F9888" s="200" t="s">
        <v>296</v>
      </c>
      <c r="G9888" s="200" t="s">
        <v>337</v>
      </c>
      <c r="H9888" s="200" t="s">
        <v>338</v>
      </c>
    </row>
    <row r="9889" spans="1:8" ht="15" customHeight="1">
      <c r="A9889" s="199">
        <v>45820</v>
      </c>
      <c r="B9889" s="202" t="s">
        <v>7479</v>
      </c>
      <c r="C9889" s="200" t="s">
        <v>204</v>
      </c>
      <c r="D9889" s="765">
        <v>-4560.1976372946019</v>
      </c>
      <c r="E9889" s="201">
        <v>45809</v>
      </c>
      <c r="F9889" s="200" t="s">
        <v>296</v>
      </c>
      <c r="G9889" s="200" t="s">
        <v>1311</v>
      </c>
      <c r="H9889" s="200" t="s">
        <v>567</v>
      </c>
    </row>
    <row r="9890" spans="1:8" ht="15" customHeight="1">
      <c r="A9890" s="199">
        <v>45820</v>
      </c>
      <c r="B9890" s="202" t="s">
        <v>7479</v>
      </c>
      <c r="C9890" s="200" t="s">
        <v>204</v>
      </c>
      <c r="D9890" s="765">
        <v>-21433.242215223061</v>
      </c>
      <c r="E9890" s="201">
        <v>45809</v>
      </c>
      <c r="F9890" s="200" t="s">
        <v>296</v>
      </c>
      <c r="G9890" s="200" t="s">
        <v>1311</v>
      </c>
      <c r="H9890" s="200" t="s">
        <v>567</v>
      </c>
    </row>
    <row r="9891" spans="1:8" ht="15" customHeight="1">
      <c r="A9891" s="199">
        <v>45820</v>
      </c>
      <c r="B9891" s="202" t="s">
        <v>7479</v>
      </c>
      <c r="C9891" s="200" t="s">
        <v>204</v>
      </c>
      <c r="D9891" s="765">
        <v>-64516.996616310884</v>
      </c>
      <c r="E9891" s="201">
        <v>45809</v>
      </c>
      <c r="F9891" s="200" t="s">
        <v>291</v>
      </c>
      <c r="G9891" s="200" t="s">
        <v>291</v>
      </c>
      <c r="H9891" s="200" t="s">
        <v>567</v>
      </c>
    </row>
    <row r="9892" spans="1:8" ht="15" customHeight="1">
      <c r="A9892" s="199">
        <v>45820</v>
      </c>
      <c r="B9892" s="202" t="s">
        <v>7479</v>
      </c>
      <c r="C9892" s="200" t="s">
        <v>204</v>
      </c>
      <c r="D9892" s="765">
        <v>-6040.1121465044153</v>
      </c>
      <c r="E9892" s="201">
        <v>45809</v>
      </c>
      <c r="F9892" s="200" t="s">
        <v>296</v>
      </c>
      <c r="G9892" s="200" t="s">
        <v>3847</v>
      </c>
      <c r="H9892" s="200" t="s">
        <v>567</v>
      </c>
    </row>
    <row r="9893" spans="1:8" ht="15" customHeight="1">
      <c r="A9893" s="199">
        <v>45820</v>
      </c>
      <c r="B9893" s="202" t="s">
        <v>7479</v>
      </c>
      <c r="C9893" s="200" t="s">
        <v>204</v>
      </c>
      <c r="D9893" s="765">
        <v>-42685.745243447454</v>
      </c>
      <c r="E9893" s="201">
        <v>45809</v>
      </c>
      <c r="F9893" s="200" t="s">
        <v>291</v>
      </c>
      <c r="G9893" s="200" t="s">
        <v>291</v>
      </c>
      <c r="H9893" s="200" t="s">
        <v>567</v>
      </c>
    </row>
    <row r="9894" spans="1:8" ht="15" customHeight="1">
      <c r="A9894" s="199">
        <v>45820</v>
      </c>
      <c r="B9894" s="202" t="s">
        <v>7479</v>
      </c>
      <c r="C9894" s="200" t="s">
        <v>204</v>
      </c>
      <c r="D9894" s="765">
        <v>-63573.485841702452</v>
      </c>
      <c r="E9894" s="201">
        <v>45809</v>
      </c>
      <c r="F9894" s="200" t="s">
        <v>296</v>
      </c>
      <c r="G9894" s="200" t="s">
        <v>1735</v>
      </c>
      <c r="H9894" s="200" t="s">
        <v>567</v>
      </c>
    </row>
    <row r="9895" spans="1:8" ht="15" customHeight="1">
      <c r="A9895" s="199">
        <v>45820</v>
      </c>
      <c r="B9895" s="202" t="s">
        <v>7479</v>
      </c>
      <c r="C9895" s="200" t="s">
        <v>204</v>
      </c>
      <c r="D9895" s="765">
        <v>-5233.4177450127709</v>
      </c>
      <c r="E9895" s="201">
        <v>45809</v>
      </c>
      <c r="F9895" s="200" t="s">
        <v>291</v>
      </c>
      <c r="G9895" s="200" t="s">
        <v>291</v>
      </c>
      <c r="H9895" s="200" t="s">
        <v>567</v>
      </c>
    </row>
    <row r="9896" spans="1:8" ht="15" customHeight="1">
      <c r="A9896" s="199">
        <v>45820</v>
      </c>
      <c r="B9896" s="202" t="s">
        <v>7479</v>
      </c>
      <c r="C9896" s="200" t="s">
        <v>204</v>
      </c>
      <c r="D9896" s="765">
        <v>-16814.836696032464</v>
      </c>
      <c r="E9896" s="201">
        <v>45809</v>
      </c>
      <c r="F9896" s="200" t="s">
        <v>296</v>
      </c>
      <c r="G9896" s="200" t="s">
        <v>5466</v>
      </c>
      <c r="H9896" s="200" t="s">
        <v>567</v>
      </c>
    </row>
    <row r="9897" spans="1:8" ht="15" customHeight="1">
      <c r="A9897" s="199">
        <v>45820</v>
      </c>
      <c r="B9897" s="202" t="s">
        <v>7479</v>
      </c>
      <c r="C9897" s="200" t="s">
        <v>204</v>
      </c>
      <c r="D9897" s="765">
        <v>-82068.257978444977</v>
      </c>
      <c r="E9897" s="201">
        <v>45809</v>
      </c>
      <c r="F9897" s="200" t="s">
        <v>291</v>
      </c>
      <c r="G9897" s="200" t="s">
        <v>291</v>
      </c>
      <c r="H9897" s="200" t="s">
        <v>567</v>
      </c>
    </row>
    <row r="9898" spans="1:8" ht="15" customHeight="1">
      <c r="A9898" s="199">
        <v>45820</v>
      </c>
      <c r="B9898" s="202" t="s">
        <v>7479</v>
      </c>
      <c r="C9898" s="200" t="s">
        <v>204</v>
      </c>
      <c r="D9898" s="765">
        <v>-3477.7120633268305</v>
      </c>
      <c r="E9898" s="201">
        <v>45809</v>
      </c>
      <c r="F9898" s="200" t="s">
        <v>297</v>
      </c>
      <c r="G9898" s="200" t="s">
        <v>3848</v>
      </c>
      <c r="H9898" s="200" t="s">
        <v>567</v>
      </c>
    </row>
    <row r="9899" spans="1:8" ht="15" customHeight="1">
      <c r="A9899" s="199">
        <v>45820</v>
      </c>
      <c r="B9899" s="202" t="s">
        <v>7479</v>
      </c>
      <c r="C9899" s="200" t="s">
        <v>204</v>
      </c>
      <c r="D9899" s="765">
        <v>-47253.28413835523</v>
      </c>
      <c r="E9899" s="201">
        <v>45809</v>
      </c>
      <c r="F9899" s="200" t="s">
        <v>291</v>
      </c>
      <c r="G9899" s="200" t="s">
        <v>291</v>
      </c>
      <c r="H9899" s="200" t="s">
        <v>567</v>
      </c>
    </row>
    <row r="9900" spans="1:8" ht="15" customHeight="1">
      <c r="A9900" s="199">
        <v>45820</v>
      </c>
      <c r="B9900" s="202" t="s">
        <v>7479</v>
      </c>
      <c r="C9900" s="200" t="s">
        <v>204</v>
      </c>
      <c r="D9900" s="765">
        <v>-58708.567157616191</v>
      </c>
      <c r="E9900" s="201">
        <v>45809</v>
      </c>
      <c r="F9900" s="200" t="s">
        <v>291</v>
      </c>
      <c r="G9900" s="200" t="s">
        <v>291</v>
      </c>
      <c r="H9900" s="200" t="s">
        <v>567</v>
      </c>
    </row>
    <row r="9901" spans="1:8" ht="15" customHeight="1">
      <c r="A9901" s="199">
        <v>45820</v>
      </c>
      <c r="B9901" s="202" t="s">
        <v>7479</v>
      </c>
      <c r="C9901" s="200" t="s">
        <v>204</v>
      </c>
      <c r="D9901" s="765">
        <v>-106867.22552486334</v>
      </c>
      <c r="E9901" s="201">
        <v>45809</v>
      </c>
      <c r="F9901" s="200" t="s">
        <v>291</v>
      </c>
      <c r="G9901" s="200" t="s">
        <v>291</v>
      </c>
      <c r="H9901" s="200" t="s">
        <v>567</v>
      </c>
    </row>
    <row r="9902" spans="1:8" ht="15" customHeight="1">
      <c r="A9902" s="199">
        <v>45820</v>
      </c>
      <c r="B9902" s="202" t="s">
        <v>7479</v>
      </c>
      <c r="C9902" s="200" t="s">
        <v>204</v>
      </c>
      <c r="D9902" s="765">
        <v>-79404.323864415332</v>
      </c>
      <c r="E9902" s="201">
        <v>45809</v>
      </c>
      <c r="F9902" s="200" t="s">
        <v>296</v>
      </c>
      <c r="G9902" s="200" t="s">
        <v>2418</v>
      </c>
      <c r="H9902" s="200" t="s">
        <v>567</v>
      </c>
    </row>
    <row r="9903" spans="1:8" ht="15" customHeight="1">
      <c r="A9903" s="199">
        <v>45820</v>
      </c>
      <c r="B9903" s="202" t="s">
        <v>7479</v>
      </c>
      <c r="C9903" s="200" t="s">
        <v>204</v>
      </c>
      <c r="D9903" s="765">
        <v>-17138.148059171293</v>
      </c>
      <c r="E9903" s="201">
        <v>45809</v>
      </c>
      <c r="F9903" s="200" t="s">
        <v>291</v>
      </c>
      <c r="G9903" s="200" t="s">
        <v>291</v>
      </c>
      <c r="H9903" s="200" t="s">
        <v>567</v>
      </c>
    </row>
    <row r="9904" spans="1:8" ht="15" customHeight="1">
      <c r="A9904" s="199">
        <v>45820</v>
      </c>
      <c r="B9904" s="202" t="s">
        <v>7479</v>
      </c>
      <c r="C9904" s="200" t="s">
        <v>204</v>
      </c>
      <c r="D9904" s="765">
        <v>-76167.431053028908</v>
      </c>
      <c r="E9904" s="201">
        <v>45809</v>
      </c>
      <c r="F9904" s="200" t="s">
        <v>291</v>
      </c>
      <c r="G9904" s="200" t="s">
        <v>291</v>
      </c>
      <c r="H9904" s="200" t="s">
        <v>567</v>
      </c>
    </row>
    <row r="9905" spans="1:8" ht="15" customHeight="1">
      <c r="A9905" s="199">
        <v>45820</v>
      </c>
      <c r="B9905" s="202" t="s">
        <v>7479</v>
      </c>
      <c r="C9905" s="200" t="s">
        <v>204</v>
      </c>
      <c r="D9905" s="765">
        <v>-186786.57774141349</v>
      </c>
      <c r="E9905" s="201">
        <v>45809</v>
      </c>
      <c r="F9905" s="200" t="s">
        <v>297</v>
      </c>
      <c r="G9905" s="200" t="s">
        <v>69</v>
      </c>
      <c r="H9905" s="200" t="s">
        <v>567</v>
      </c>
    </row>
    <row r="9906" spans="1:8" ht="15" customHeight="1">
      <c r="A9906" s="199">
        <v>45820</v>
      </c>
      <c r="B9906" s="202" t="s">
        <v>7479</v>
      </c>
      <c r="C9906" s="200" t="s">
        <v>204</v>
      </c>
      <c r="D9906" s="765">
        <v>-15460.598295461736</v>
      </c>
      <c r="E9906" s="201">
        <v>45809</v>
      </c>
      <c r="F9906" s="200" t="s">
        <v>296</v>
      </c>
      <c r="G9906" s="200" t="s">
        <v>415</v>
      </c>
      <c r="H9906" s="200" t="s">
        <v>567</v>
      </c>
    </row>
    <row r="9907" spans="1:8" ht="15" customHeight="1">
      <c r="A9907" s="199">
        <v>45820</v>
      </c>
      <c r="B9907" s="202" t="s">
        <v>7479</v>
      </c>
      <c r="C9907" s="200" t="s">
        <v>204</v>
      </c>
      <c r="D9907" s="765">
        <v>-57357.496769756304</v>
      </c>
      <c r="E9907" s="201">
        <v>45809</v>
      </c>
      <c r="F9907" s="200" t="s">
        <v>291</v>
      </c>
      <c r="G9907" s="200" t="s">
        <v>291</v>
      </c>
      <c r="H9907" s="200" t="s">
        <v>567</v>
      </c>
    </row>
    <row r="9908" spans="1:8" ht="15" customHeight="1">
      <c r="A9908" s="199">
        <v>45820</v>
      </c>
      <c r="B9908" s="202" t="s">
        <v>7479</v>
      </c>
      <c r="C9908" s="200" t="s">
        <v>204</v>
      </c>
      <c r="D9908" s="765">
        <v>-61267.100057251308</v>
      </c>
      <c r="E9908" s="201">
        <v>45809</v>
      </c>
      <c r="F9908" s="200" t="s">
        <v>291</v>
      </c>
      <c r="G9908" s="200" t="s">
        <v>291</v>
      </c>
      <c r="H9908" s="200" t="s">
        <v>567</v>
      </c>
    </row>
    <row r="9909" spans="1:8" ht="15" customHeight="1">
      <c r="A9909" s="199">
        <v>45820</v>
      </c>
      <c r="B9909" s="202" t="s">
        <v>7479</v>
      </c>
      <c r="C9909" s="200" t="s">
        <v>204</v>
      </c>
      <c r="D9909" s="765">
        <v>-3846.8725774567033</v>
      </c>
      <c r="E9909" s="201">
        <v>45809</v>
      </c>
      <c r="F9909" s="200" t="s">
        <v>297</v>
      </c>
      <c r="G9909" s="200" t="s">
        <v>69</v>
      </c>
      <c r="H9909" s="200" t="s">
        <v>567</v>
      </c>
    </row>
    <row r="9910" spans="1:8" ht="15" customHeight="1">
      <c r="A9910" s="199">
        <v>45820</v>
      </c>
      <c r="B9910" s="202" t="s">
        <v>7479</v>
      </c>
      <c r="C9910" s="200" t="s">
        <v>204</v>
      </c>
      <c r="D9910" s="765">
        <v>-6761.9374602276448</v>
      </c>
      <c r="E9910" s="201">
        <v>45809</v>
      </c>
      <c r="F9910" s="200" t="s">
        <v>297</v>
      </c>
      <c r="G9910" s="200" t="s">
        <v>75</v>
      </c>
      <c r="H9910" s="200" t="s">
        <v>567</v>
      </c>
    </row>
    <row r="9911" spans="1:8" ht="15" customHeight="1">
      <c r="A9911" s="199">
        <v>45820</v>
      </c>
      <c r="B9911" s="202" t="s">
        <v>7479</v>
      </c>
      <c r="C9911" s="200" t="s">
        <v>204</v>
      </c>
      <c r="D9911" s="765">
        <v>-13769.227641134526</v>
      </c>
      <c r="E9911" s="201">
        <v>45809</v>
      </c>
      <c r="F9911" s="200" t="s">
        <v>297</v>
      </c>
      <c r="G9911" s="200" t="s">
        <v>5404</v>
      </c>
      <c r="H9911" s="200" t="s">
        <v>567</v>
      </c>
    </row>
    <row r="9912" spans="1:8" ht="15" customHeight="1">
      <c r="A9912" s="199">
        <v>45820</v>
      </c>
      <c r="B9912" s="202" t="s">
        <v>7479</v>
      </c>
      <c r="C9912" s="200" t="s">
        <v>204</v>
      </c>
      <c r="D9912" s="765">
        <v>-101029.49194859334</v>
      </c>
      <c r="E9912" s="201">
        <v>45809</v>
      </c>
      <c r="F9912" s="200" t="s">
        <v>296</v>
      </c>
      <c r="G9912" s="200" t="s">
        <v>1735</v>
      </c>
      <c r="H9912" s="200" t="s">
        <v>567</v>
      </c>
    </row>
    <row r="9913" spans="1:8" ht="15" customHeight="1">
      <c r="A9913" s="199">
        <v>45820</v>
      </c>
      <c r="B9913" s="202" t="s">
        <v>7479</v>
      </c>
      <c r="C9913" s="200" t="s">
        <v>204</v>
      </c>
      <c r="D9913" s="765">
        <v>-54819.500828450189</v>
      </c>
      <c r="E9913" s="201">
        <v>45809</v>
      </c>
      <c r="F9913" s="200" t="s">
        <v>297</v>
      </c>
      <c r="G9913" s="200" t="s">
        <v>71</v>
      </c>
      <c r="H9913" s="200" t="s">
        <v>567</v>
      </c>
    </row>
    <row r="9914" spans="1:8" ht="15" customHeight="1">
      <c r="A9914" s="199">
        <v>45820</v>
      </c>
      <c r="B9914" s="202" t="s">
        <v>7479</v>
      </c>
      <c r="C9914" s="200" t="s">
        <v>204</v>
      </c>
      <c r="D9914" s="765">
        <v>-217958.21269950457</v>
      </c>
      <c r="E9914" s="201">
        <v>45809</v>
      </c>
      <c r="F9914" s="200" t="s">
        <v>291</v>
      </c>
      <c r="G9914" s="200" t="s">
        <v>291</v>
      </c>
      <c r="H9914" s="200" t="s">
        <v>567</v>
      </c>
    </row>
    <row r="9915" spans="1:8" ht="15" customHeight="1">
      <c r="A9915" s="199">
        <v>45820</v>
      </c>
      <c r="B9915" s="202" t="s">
        <v>7480</v>
      </c>
      <c r="C9915" s="200" t="s">
        <v>204</v>
      </c>
      <c r="D9915" s="765">
        <v>-990000</v>
      </c>
      <c r="E9915" s="201">
        <v>45809</v>
      </c>
      <c r="F9915" s="200" t="s">
        <v>296</v>
      </c>
      <c r="G9915" s="200" t="s">
        <v>44</v>
      </c>
      <c r="H9915" s="200" t="s">
        <v>338</v>
      </c>
    </row>
    <row r="9916" spans="1:8" ht="15" customHeight="1">
      <c r="A9916" s="199">
        <v>45820</v>
      </c>
      <c r="B9916" s="202" t="s">
        <v>7480</v>
      </c>
      <c r="C9916" s="200" t="s">
        <v>204</v>
      </c>
      <c r="D9916" s="765">
        <v>-660000</v>
      </c>
      <c r="E9916" s="201">
        <v>45809</v>
      </c>
      <c r="F9916" s="200" t="s">
        <v>296</v>
      </c>
      <c r="G9916" s="200" t="s">
        <v>1825</v>
      </c>
      <c r="H9916" s="200" t="s">
        <v>338</v>
      </c>
    </row>
    <row r="9917" spans="1:8" ht="15" customHeight="1">
      <c r="A9917" s="199">
        <v>45820</v>
      </c>
      <c r="B9917" s="202" t="s">
        <v>7481</v>
      </c>
      <c r="C9917" s="200" t="s">
        <v>204</v>
      </c>
      <c r="D9917" s="765">
        <v>-444444.33332999999</v>
      </c>
      <c r="E9917" s="201">
        <v>45809</v>
      </c>
      <c r="F9917" s="200" t="s">
        <v>296</v>
      </c>
      <c r="G9917" s="200" t="s">
        <v>44</v>
      </c>
      <c r="H9917" s="200" t="s">
        <v>338</v>
      </c>
    </row>
    <row r="9918" spans="1:8" ht="15" customHeight="1">
      <c r="A9918" s="199">
        <v>45820</v>
      </c>
      <c r="B9918" s="202" t="s">
        <v>7481</v>
      </c>
      <c r="C9918" s="200" t="s">
        <v>204</v>
      </c>
      <c r="D9918" s="765">
        <v>-444444.33332999999</v>
      </c>
      <c r="E9918" s="201">
        <v>45809</v>
      </c>
      <c r="F9918" s="200" t="s">
        <v>296</v>
      </c>
      <c r="G9918" s="200" t="s">
        <v>337</v>
      </c>
      <c r="H9918" s="200" t="s">
        <v>338</v>
      </c>
    </row>
    <row r="9919" spans="1:8" ht="15" customHeight="1">
      <c r="A9919" s="199">
        <v>45820</v>
      </c>
      <c r="B9919" s="202" t="s">
        <v>7481</v>
      </c>
      <c r="C9919" s="200" t="s">
        <v>204</v>
      </c>
      <c r="D9919" s="765">
        <v>-444444.33332999999</v>
      </c>
      <c r="E9919" s="201">
        <v>45809</v>
      </c>
      <c r="F9919" s="200" t="s">
        <v>296</v>
      </c>
      <c r="G9919" s="200" t="s">
        <v>522</v>
      </c>
      <c r="H9919" s="200" t="s">
        <v>338</v>
      </c>
    </row>
    <row r="9920" spans="1:8" ht="15" customHeight="1">
      <c r="A9920" s="199">
        <v>45820</v>
      </c>
      <c r="B9920" s="202" t="s">
        <v>7482</v>
      </c>
      <c r="C9920" s="200" t="s">
        <v>204</v>
      </c>
      <c r="D9920" s="765">
        <v>-1450000</v>
      </c>
      <c r="E9920" s="201">
        <v>45809</v>
      </c>
      <c r="F9920" s="200" t="s">
        <v>256</v>
      </c>
      <c r="G9920" s="200" t="s">
        <v>107</v>
      </c>
      <c r="H9920" s="200" t="s">
        <v>121</v>
      </c>
    </row>
    <row r="9921" spans="1:9" ht="15" customHeight="1">
      <c r="A9921" s="199">
        <v>45820</v>
      </c>
      <c r="B9921" s="202" t="s">
        <v>7483</v>
      </c>
      <c r="C9921" s="200" t="s">
        <v>204</v>
      </c>
      <c r="D9921" s="765">
        <v>-907500</v>
      </c>
      <c r="E9921" s="201">
        <v>45809</v>
      </c>
      <c r="F9921" s="200" t="s">
        <v>297</v>
      </c>
      <c r="G9921" s="200" t="s">
        <v>3892</v>
      </c>
      <c r="H9921" s="200" t="s">
        <v>567</v>
      </c>
    </row>
    <row r="9922" spans="1:9" ht="15" customHeight="1">
      <c r="A9922" s="199">
        <v>45820</v>
      </c>
      <c r="B9922" s="202" t="s">
        <v>7483</v>
      </c>
      <c r="C9922" s="200" t="s">
        <v>204</v>
      </c>
      <c r="D9922" s="765">
        <v>-82500</v>
      </c>
      <c r="E9922" s="201">
        <v>45809</v>
      </c>
      <c r="F9922" s="200" t="s">
        <v>291</v>
      </c>
      <c r="G9922" s="200" t="s">
        <v>291</v>
      </c>
      <c r="H9922" s="200" t="s">
        <v>567</v>
      </c>
    </row>
    <row r="9923" spans="1:9" ht="15" customHeight="1">
      <c r="A9923" s="199">
        <v>45820</v>
      </c>
      <c r="B9923" s="202" t="s">
        <v>7483</v>
      </c>
      <c r="C9923" s="200" t="s">
        <v>204</v>
      </c>
      <c r="D9923" s="765">
        <v>-330000</v>
      </c>
      <c r="E9923" s="201">
        <v>45809</v>
      </c>
      <c r="F9923" s="200" t="s">
        <v>291</v>
      </c>
      <c r="G9923" s="200" t="s">
        <v>291</v>
      </c>
      <c r="H9923" s="200" t="s">
        <v>567</v>
      </c>
    </row>
    <row r="9924" spans="1:9" ht="15" customHeight="1">
      <c r="A9924" s="199">
        <v>45820</v>
      </c>
      <c r="B9924" s="202" t="s">
        <v>7483</v>
      </c>
      <c r="C9924" s="200" t="s">
        <v>204</v>
      </c>
      <c r="D9924" s="765">
        <v>-330000</v>
      </c>
      <c r="E9924" s="201">
        <v>45809</v>
      </c>
      <c r="F9924" s="200" t="s">
        <v>296</v>
      </c>
      <c r="G9924" s="200" t="s">
        <v>3360</v>
      </c>
      <c r="H9924" s="200" t="s">
        <v>567</v>
      </c>
    </row>
    <row r="9925" spans="1:9" ht="15" customHeight="1">
      <c r="A9925" s="199">
        <v>45820</v>
      </c>
      <c r="B9925" s="202" t="s">
        <v>7484</v>
      </c>
      <c r="C9925" s="200" t="s">
        <v>204</v>
      </c>
      <c r="D9925" s="765">
        <v>-4179.7335484030882</v>
      </c>
      <c r="E9925" s="201">
        <v>45809</v>
      </c>
      <c r="F9925" s="200" t="s">
        <v>291</v>
      </c>
      <c r="G9925" s="200" t="s">
        <v>291</v>
      </c>
      <c r="H9925" s="200" t="s">
        <v>567</v>
      </c>
    </row>
    <row r="9926" spans="1:9" ht="15" customHeight="1">
      <c r="A9926" s="199">
        <v>45820</v>
      </c>
      <c r="B9926" s="202" t="s">
        <v>7484</v>
      </c>
      <c r="C9926" s="200" t="s">
        <v>204</v>
      </c>
      <c r="D9926" s="765">
        <v>-19645.034856683273</v>
      </c>
      <c r="E9926" s="201">
        <v>45809</v>
      </c>
      <c r="F9926" s="200" t="s">
        <v>296</v>
      </c>
      <c r="G9926" s="200" t="s">
        <v>1311</v>
      </c>
      <c r="H9926" s="200" t="s">
        <v>567</v>
      </c>
    </row>
    <row r="9927" spans="1:9" ht="15" customHeight="1">
      <c r="A9927" s="199">
        <v>45820</v>
      </c>
      <c r="B9927" s="202" t="s">
        <v>7484</v>
      </c>
      <c r="C9927" s="200" t="s">
        <v>204</v>
      </c>
      <c r="D9927" s="765">
        <v>-59134.24738305527</v>
      </c>
      <c r="E9927" s="201">
        <v>45809</v>
      </c>
      <c r="F9927" s="200" t="s">
        <v>297</v>
      </c>
      <c r="G9927" s="200" t="s">
        <v>1578</v>
      </c>
      <c r="H9927" s="200" t="s">
        <v>567</v>
      </c>
      <c r="I9927" s="648" t="s">
        <v>329</v>
      </c>
    </row>
    <row r="9928" spans="1:9" ht="15" customHeight="1">
      <c r="A9928" s="199">
        <v>45820</v>
      </c>
      <c r="B9928" s="202" t="s">
        <v>7484</v>
      </c>
      <c r="C9928" s="200" t="s">
        <v>204</v>
      </c>
      <c r="D9928" s="765">
        <v>-5536.1765833112131</v>
      </c>
      <c r="E9928" s="201">
        <v>45809</v>
      </c>
      <c r="F9928" s="200" t="s">
        <v>296</v>
      </c>
      <c r="G9928" s="200" t="s">
        <v>3847</v>
      </c>
      <c r="H9928" s="200" t="s">
        <v>567</v>
      </c>
    </row>
    <row r="9929" spans="1:9" ht="15" customHeight="1">
      <c r="A9929" s="199">
        <v>45820</v>
      </c>
      <c r="B9929" s="202" t="s">
        <v>7484</v>
      </c>
      <c r="C9929" s="200" t="s">
        <v>204</v>
      </c>
      <c r="D9929" s="765">
        <v>-39124.409866251321</v>
      </c>
      <c r="E9929" s="201">
        <v>45809</v>
      </c>
      <c r="F9929" s="200" t="s">
        <v>291</v>
      </c>
      <c r="G9929" s="200" t="s">
        <v>291</v>
      </c>
      <c r="H9929" s="200" t="s">
        <v>567</v>
      </c>
    </row>
    <row r="9930" spans="1:9" ht="15" customHeight="1">
      <c r="A9930" s="199">
        <v>45820</v>
      </c>
      <c r="B9930" s="202" t="s">
        <v>7484</v>
      </c>
      <c r="C9930" s="200" t="s">
        <v>204</v>
      </c>
      <c r="D9930" s="765">
        <v>-58269.455119303682</v>
      </c>
      <c r="E9930" s="201">
        <v>45809</v>
      </c>
      <c r="F9930" s="200" t="s">
        <v>296</v>
      </c>
      <c r="G9930" s="200" t="s">
        <v>415</v>
      </c>
      <c r="H9930" s="200" t="s">
        <v>567</v>
      </c>
    </row>
    <row r="9931" spans="1:9" ht="15" customHeight="1">
      <c r="A9931" s="199">
        <v>45820</v>
      </c>
      <c r="B9931" s="202" t="s">
        <v>7484</v>
      </c>
      <c r="C9931" s="200" t="s">
        <v>204</v>
      </c>
      <c r="D9931" s="765">
        <v>-4796.7858986513438</v>
      </c>
      <c r="E9931" s="201">
        <v>45809</v>
      </c>
      <c r="F9931" s="200" t="s">
        <v>291</v>
      </c>
      <c r="G9931" s="200" t="s">
        <v>291</v>
      </c>
      <c r="H9931" s="200" t="s">
        <v>567</v>
      </c>
    </row>
    <row r="9932" spans="1:9" ht="15" customHeight="1">
      <c r="A9932" s="199">
        <v>45820</v>
      </c>
      <c r="B9932" s="202" t="s">
        <v>7484</v>
      </c>
      <c r="C9932" s="200" t="s">
        <v>204</v>
      </c>
      <c r="D9932" s="765">
        <v>-15411.949796768391</v>
      </c>
      <c r="E9932" s="201">
        <v>45809</v>
      </c>
      <c r="F9932" s="200" t="s">
        <v>296</v>
      </c>
      <c r="G9932" s="200" t="s">
        <v>5466</v>
      </c>
      <c r="H9932" s="200" t="s">
        <v>567</v>
      </c>
    </row>
    <row r="9933" spans="1:9" ht="15" customHeight="1">
      <c r="A9933" s="199">
        <v>45820</v>
      </c>
      <c r="B9933" s="202" t="s">
        <v>7484</v>
      </c>
      <c r="C9933" s="200" t="s">
        <v>204</v>
      </c>
      <c r="D9933" s="765">
        <v>-75221.18083790096</v>
      </c>
      <c r="E9933" s="201">
        <v>45809</v>
      </c>
      <c r="F9933" s="200" t="s">
        <v>291</v>
      </c>
      <c r="G9933" s="200" t="s">
        <v>291</v>
      </c>
      <c r="H9933" s="200" t="s">
        <v>567</v>
      </c>
    </row>
    <row r="9934" spans="1:9" ht="15" customHeight="1">
      <c r="A9934" s="199">
        <v>45820</v>
      </c>
      <c r="B9934" s="202" t="s">
        <v>7484</v>
      </c>
      <c r="C9934" s="200" t="s">
        <v>204</v>
      </c>
      <c r="D9934" s="765">
        <v>-3187.5613600372158</v>
      </c>
      <c r="E9934" s="201">
        <v>45809</v>
      </c>
      <c r="F9934" s="200" t="s">
        <v>297</v>
      </c>
      <c r="G9934" s="200" t="s">
        <v>3848</v>
      </c>
      <c r="H9934" s="200" t="s">
        <v>567</v>
      </c>
    </row>
    <row r="9935" spans="1:9" ht="15" customHeight="1">
      <c r="A9935" s="199">
        <v>45820</v>
      </c>
      <c r="B9935" s="202" t="s">
        <v>7484</v>
      </c>
      <c r="C9935" s="200" t="s">
        <v>204</v>
      </c>
      <c r="D9935" s="765">
        <v>-43310.872180197883</v>
      </c>
      <c r="E9935" s="201">
        <v>45809</v>
      </c>
      <c r="F9935" s="200" t="s">
        <v>291</v>
      </c>
      <c r="G9935" s="200" t="s">
        <v>291</v>
      </c>
      <c r="H9935" s="200" t="s">
        <v>567</v>
      </c>
    </row>
    <row r="9936" spans="1:9" ht="15" customHeight="1">
      <c r="A9936" s="199">
        <v>45820</v>
      </c>
      <c r="B9936" s="202" t="s">
        <v>7484</v>
      </c>
      <c r="C9936" s="200" t="s">
        <v>204</v>
      </c>
      <c r="D9936" s="765">
        <v>-53810.423855432447</v>
      </c>
      <c r="E9936" s="201">
        <v>45809</v>
      </c>
      <c r="F9936" s="200" t="s">
        <v>291</v>
      </c>
      <c r="G9936" s="200" t="s">
        <v>291</v>
      </c>
      <c r="H9936" s="200" t="s">
        <v>567</v>
      </c>
    </row>
    <row r="9937" spans="1:9" ht="15" customHeight="1">
      <c r="A9937" s="199">
        <v>45820</v>
      </c>
      <c r="B9937" s="202" t="s">
        <v>7484</v>
      </c>
      <c r="C9937" s="200" t="s">
        <v>204</v>
      </c>
      <c r="D9937" s="765">
        <v>-97951.133542542462</v>
      </c>
      <c r="E9937" s="201">
        <v>45809</v>
      </c>
      <c r="F9937" s="200" t="s">
        <v>291</v>
      </c>
      <c r="G9937" s="200" t="s">
        <v>291</v>
      </c>
      <c r="H9937" s="200" t="s">
        <v>567</v>
      </c>
    </row>
    <row r="9938" spans="1:9" ht="15" customHeight="1">
      <c r="A9938" s="199">
        <v>45820</v>
      </c>
      <c r="B9938" s="202" t="s">
        <v>7484</v>
      </c>
      <c r="C9938" s="200" t="s">
        <v>204</v>
      </c>
      <c r="D9938" s="765">
        <v>-72779.502719372991</v>
      </c>
      <c r="E9938" s="201">
        <v>45809</v>
      </c>
      <c r="F9938" s="200" t="s">
        <v>296</v>
      </c>
      <c r="G9938" s="200" t="s">
        <v>2418</v>
      </c>
      <c r="H9938" s="200" t="s">
        <v>567</v>
      </c>
    </row>
    <row r="9939" spans="1:9" ht="15" customHeight="1">
      <c r="A9939" s="199">
        <v>45820</v>
      </c>
      <c r="B9939" s="202" t="s">
        <v>7484</v>
      </c>
      <c r="C9939" s="200" t="s">
        <v>204</v>
      </c>
      <c r="D9939" s="765">
        <v>-15708.28681076961</v>
      </c>
      <c r="E9939" s="201">
        <v>45809</v>
      </c>
      <c r="F9939" s="200" t="s">
        <v>291</v>
      </c>
      <c r="G9939" s="200" t="s">
        <v>291</v>
      </c>
      <c r="H9939" s="200" t="s">
        <v>567</v>
      </c>
    </row>
    <row r="9940" spans="1:9" ht="15" customHeight="1">
      <c r="A9940" s="199">
        <v>45820</v>
      </c>
      <c r="B9940" s="202" t="s">
        <v>7484</v>
      </c>
      <c r="C9940" s="200" t="s">
        <v>204</v>
      </c>
      <c r="D9940" s="765">
        <v>-69812.668701985283</v>
      </c>
      <c r="E9940" s="201">
        <v>45809</v>
      </c>
      <c r="F9940" s="200" t="s">
        <v>291</v>
      </c>
      <c r="G9940" s="200" t="s">
        <v>291</v>
      </c>
      <c r="H9940" s="200" t="s">
        <v>567</v>
      </c>
    </row>
    <row r="9941" spans="1:9" ht="15" customHeight="1">
      <c r="A9941" s="199">
        <v>45820</v>
      </c>
      <c r="B9941" s="202" t="s">
        <v>7484</v>
      </c>
      <c r="C9941" s="200" t="s">
        <v>204</v>
      </c>
      <c r="D9941" s="765">
        <v>-171202.69503063886</v>
      </c>
      <c r="E9941" s="201">
        <v>45809</v>
      </c>
      <c r="F9941" s="200" t="s">
        <v>291</v>
      </c>
      <c r="G9941" s="200" t="s">
        <v>291</v>
      </c>
      <c r="H9941" s="200" t="s">
        <v>567</v>
      </c>
    </row>
    <row r="9942" spans="1:9" ht="15" customHeight="1">
      <c r="A9942" s="199">
        <v>45820</v>
      </c>
      <c r="B9942" s="202" t="s">
        <v>7484</v>
      </c>
      <c r="C9942" s="200" t="s">
        <v>204</v>
      </c>
      <c r="D9942" s="765">
        <v>-14170.697525351641</v>
      </c>
      <c r="E9942" s="201">
        <v>45809</v>
      </c>
      <c r="F9942" s="200" t="s">
        <v>296</v>
      </c>
      <c r="G9942" s="200" t="s">
        <v>415</v>
      </c>
      <c r="H9942" s="200" t="s">
        <v>567</v>
      </c>
    </row>
    <row r="9943" spans="1:9" ht="15" customHeight="1">
      <c r="A9943" s="199">
        <v>45820</v>
      </c>
      <c r="B9943" s="202" t="s">
        <v>7484</v>
      </c>
      <c r="C9943" s="200" t="s">
        <v>204</v>
      </c>
      <c r="D9943" s="765">
        <v>-52572.075284702049</v>
      </c>
      <c r="E9943" s="201">
        <v>45809</v>
      </c>
      <c r="F9943" s="200" t="s">
        <v>291</v>
      </c>
      <c r="G9943" s="200" t="s">
        <v>291</v>
      </c>
      <c r="H9943" s="200" t="s">
        <v>567</v>
      </c>
    </row>
    <row r="9944" spans="1:9" ht="15" customHeight="1">
      <c r="A9944" s="199">
        <v>45820</v>
      </c>
      <c r="B9944" s="202" t="s">
        <v>7484</v>
      </c>
      <c r="C9944" s="200" t="s">
        <v>204</v>
      </c>
      <c r="D9944" s="765">
        <v>-56155.494540053536</v>
      </c>
      <c r="E9944" s="201">
        <v>45809</v>
      </c>
      <c r="F9944" s="200" t="s">
        <v>291</v>
      </c>
      <c r="G9944" s="200" t="s">
        <v>291</v>
      </c>
      <c r="H9944" s="200" t="s">
        <v>567</v>
      </c>
    </row>
    <row r="9945" spans="1:9" ht="15" customHeight="1">
      <c r="A9945" s="199">
        <v>45820</v>
      </c>
      <c r="B9945" s="202" t="s">
        <v>7484</v>
      </c>
      <c r="C9945" s="200" t="s">
        <v>204</v>
      </c>
      <c r="D9945" s="765">
        <v>-3525.9222619935977</v>
      </c>
      <c r="E9945" s="201">
        <v>45809</v>
      </c>
      <c r="F9945" s="200" t="s">
        <v>297</v>
      </c>
      <c r="G9945" s="200" t="s">
        <v>69</v>
      </c>
      <c r="H9945" s="200" t="s">
        <v>567</v>
      </c>
    </row>
    <row r="9946" spans="1:9" ht="15" customHeight="1">
      <c r="A9946" s="199">
        <v>45820</v>
      </c>
      <c r="B9946" s="202" t="s">
        <v>7484</v>
      </c>
      <c r="C9946" s="200" t="s">
        <v>204</v>
      </c>
      <c r="D9946" s="765">
        <v>-6197.7789347490916</v>
      </c>
      <c r="E9946" s="201">
        <v>45809</v>
      </c>
      <c r="F9946" s="200" t="s">
        <v>297</v>
      </c>
      <c r="G9946" s="200" t="s">
        <v>75</v>
      </c>
      <c r="H9946" s="200" t="s">
        <v>567</v>
      </c>
    </row>
    <row r="9947" spans="1:9" ht="15" customHeight="1">
      <c r="A9947" s="199">
        <v>45820</v>
      </c>
      <c r="B9947" s="202" t="s">
        <v>7484</v>
      </c>
      <c r="C9947" s="200" t="s">
        <v>204</v>
      </c>
      <c r="D9947" s="765">
        <v>-12620.440446829498</v>
      </c>
      <c r="E9947" s="201">
        <v>45809</v>
      </c>
      <c r="F9947" s="200" t="s">
        <v>297</v>
      </c>
      <c r="G9947" s="200" t="s">
        <v>5404</v>
      </c>
      <c r="H9947" s="200" t="s">
        <v>567</v>
      </c>
      <c r="I9947" s="648" t="s">
        <v>329</v>
      </c>
    </row>
    <row r="9948" spans="1:9" ht="15" customHeight="1">
      <c r="A9948" s="199">
        <v>45820</v>
      </c>
      <c r="B9948" s="202" t="s">
        <v>7484</v>
      </c>
      <c r="C9948" s="200" t="s">
        <v>204</v>
      </c>
      <c r="D9948" s="765">
        <v>-92600.450783570937</v>
      </c>
      <c r="E9948" s="201">
        <v>45809</v>
      </c>
      <c r="F9948" s="200" t="s">
        <v>297</v>
      </c>
      <c r="G9948" s="200" t="s">
        <v>69</v>
      </c>
      <c r="H9948" s="200" t="s">
        <v>567</v>
      </c>
    </row>
    <row r="9949" spans="1:9" ht="15" customHeight="1">
      <c r="A9949" s="199">
        <v>45820</v>
      </c>
      <c r="B9949" s="202" t="s">
        <v>7484</v>
      </c>
      <c r="C9949" s="200" t="s">
        <v>204</v>
      </c>
      <c r="D9949" s="765">
        <v>-50245.828129352551</v>
      </c>
      <c r="E9949" s="201">
        <v>45809</v>
      </c>
      <c r="F9949" s="200" t="s">
        <v>297</v>
      </c>
      <c r="G9949" s="200" t="s">
        <v>71</v>
      </c>
      <c r="H9949" s="200" t="s">
        <v>567</v>
      </c>
    </row>
    <row r="9950" spans="1:9" ht="15" customHeight="1">
      <c r="A9950" s="199">
        <v>45820</v>
      </c>
      <c r="B9950" s="202" t="s">
        <v>7484</v>
      </c>
      <c r="C9950" s="200" t="s">
        <v>204</v>
      </c>
      <c r="D9950" s="765">
        <v>-199773.63400209174</v>
      </c>
      <c r="E9950" s="201">
        <v>45809</v>
      </c>
      <c r="F9950" s="200" t="s">
        <v>291</v>
      </c>
      <c r="G9950" s="200" t="s">
        <v>291</v>
      </c>
      <c r="H9950" s="200" t="s">
        <v>567</v>
      </c>
    </row>
    <row r="9951" spans="1:9" ht="15" customHeight="1">
      <c r="A9951" s="199">
        <v>45820</v>
      </c>
      <c r="B9951" s="202" t="s">
        <v>7485</v>
      </c>
      <c r="C9951" s="200" t="s">
        <v>204</v>
      </c>
      <c r="D9951" s="765">
        <v>-402500</v>
      </c>
      <c r="E9951" s="201">
        <v>45809</v>
      </c>
      <c r="F9951" s="200" t="s">
        <v>296</v>
      </c>
      <c r="G9951" s="200" t="s">
        <v>337</v>
      </c>
      <c r="H9951" s="200" t="s">
        <v>338</v>
      </c>
    </row>
    <row r="9952" spans="1:9" ht="15" customHeight="1">
      <c r="A9952" s="199">
        <v>45820</v>
      </c>
      <c r="B9952" s="202" t="s">
        <v>7485</v>
      </c>
      <c r="C9952" s="200" t="s">
        <v>204</v>
      </c>
      <c r="D9952" s="765">
        <v>-536666.66666666674</v>
      </c>
      <c r="E9952" s="201">
        <v>45809</v>
      </c>
      <c r="F9952" s="200" t="s">
        <v>296</v>
      </c>
      <c r="G9952" s="200" t="s">
        <v>1980</v>
      </c>
      <c r="H9952" s="200" t="s">
        <v>338</v>
      </c>
    </row>
    <row r="9953" spans="1:9" ht="15" customHeight="1">
      <c r="A9953" s="199">
        <v>45820</v>
      </c>
      <c r="B9953" s="202" t="s">
        <v>7485</v>
      </c>
      <c r="C9953" s="200" t="s">
        <v>204</v>
      </c>
      <c r="D9953" s="765">
        <v>-402500</v>
      </c>
      <c r="E9953" s="201">
        <v>45809</v>
      </c>
      <c r="F9953" s="200" t="s">
        <v>296</v>
      </c>
      <c r="G9953" s="200" t="s">
        <v>1983</v>
      </c>
      <c r="H9953" s="200" t="s">
        <v>338</v>
      </c>
    </row>
    <row r="9954" spans="1:9" ht="15" customHeight="1">
      <c r="A9954" s="199">
        <v>45820</v>
      </c>
      <c r="B9954" s="202" t="s">
        <v>7486</v>
      </c>
      <c r="C9954" s="200" t="s">
        <v>204</v>
      </c>
      <c r="D9954" s="765">
        <v>-650000</v>
      </c>
      <c r="E9954" s="201">
        <v>45809</v>
      </c>
      <c r="F9954" s="200" t="s">
        <v>296</v>
      </c>
      <c r="G9954" s="200" t="s">
        <v>1362</v>
      </c>
      <c r="H9954" s="200" t="s">
        <v>567</v>
      </c>
    </row>
    <row r="9955" spans="1:9" ht="15" customHeight="1">
      <c r="A9955" s="199">
        <v>45820</v>
      </c>
      <c r="B9955" s="202" t="s">
        <v>7486</v>
      </c>
      <c r="C9955" s="200" t="s">
        <v>204</v>
      </c>
      <c r="D9955" s="765">
        <v>-130000</v>
      </c>
      <c r="E9955" s="201">
        <v>45809</v>
      </c>
      <c r="F9955" s="200" t="s">
        <v>296</v>
      </c>
      <c r="G9955" s="200" t="s">
        <v>5466</v>
      </c>
      <c r="H9955" s="200" t="s">
        <v>567</v>
      </c>
    </row>
    <row r="9956" spans="1:9" ht="15" customHeight="1">
      <c r="A9956" s="199">
        <v>45820</v>
      </c>
      <c r="B9956" s="202" t="s">
        <v>7486</v>
      </c>
      <c r="C9956" s="200" t="s">
        <v>204</v>
      </c>
      <c r="D9956" s="765">
        <v>-195000</v>
      </c>
      <c r="E9956" s="201">
        <v>45809</v>
      </c>
      <c r="F9956" s="200" t="s">
        <v>296</v>
      </c>
      <c r="G9956" s="200" t="s">
        <v>1735</v>
      </c>
      <c r="H9956" s="200" t="s">
        <v>567</v>
      </c>
    </row>
    <row r="9957" spans="1:9" ht="15" customHeight="1">
      <c r="A9957" s="199">
        <v>45820</v>
      </c>
      <c r="B9957" s="202" t="s">
        <v>7486</v>
      </c>
      <c r="C9957" s="200" t="s">
        <v>204</v>
      </c>
      <c r="D9957" s="765">
        <v>-325000</v>
      </c>
      <c r="E9957" s="201">
        <v>45809</v>
      </c>
      <c r="F9957" s="200" t="s">
        <v>291</v>
      </c>
      <c r="G9957" s="200" t="s">
        <v>291</v>
      </c>
      <c r="H9957" s="200" t="s">
        <v>567</v>
      </c>
    </row>
    <row r="9958" spans="1:9" ht="15" customHeight="1">
      <c r="A9958" s="199">
        <v>45820</v>
      </c>
      <c r="B9958" s="202" t="s">
        <v>7487</v>
      </c>
      <c r="C9958" s="200" t="s">
        <v>204</v>
      </c>
      <c r="D9958" s="765">
        <v>-1020000</v>
      </c>
      <c r="E9958" s="201">
        <v>45809</v>
      </c>
      <c r="F9958" s="200" t="s">
        <v>296</v>
      </c>
      <c r="G9958" s="200" t="s">
        <v>1362</v>
      </c>
      <c r="H9958" s="200" t="s">
        <v>567</v>
      </c>
    </row>
    <row r="9959" spans="1:9" ht="15" customHeight="1">
      <c r="A9959" s="199">
        <v>45820</v>
      </c>
      <c r="B9959" s="202" t="s">
        <v>7487</v>
      </c>
      <c r="C9959" s="200" t="s">
        <v>204</v>
      </c>
      <c r="D9959" s="765">
        <v>-63750</v>
      </c>
      <c r="E9959" s="201">
        <v>45809</v>
      </c>
      <c r="F9959" s="200" t="s">
        <v>296</v>
      </c>
      <c r="G9959" s="200" t="s">
        <v>5466</v>
      </c>
      <c r="H9959" s="200" t="s">
        <v>567</v>
      </c>
    </row>
    <row r="9960" spans="1:9" ht="15" customHeight="1">
      <c r="A9960" s="199">
        <v>45820</v>
      </c>
      <c r="B9960" s="202" t="s">
        <v>7487</v>
      </c>
      <c r="C9960" s="200" t="s">
        <v>204</v>
      </c>
      <c r="D9960" s="765">
        <v>-191250</v>
      </c>
      <c r="E9960" s="201">
        <v>45809</v>
      </c>
      <c r="F9960" s="200" t="s">
        <v>296</v>
      </c>
      <c r="G9960" s="200" t="s">
        <v>1735</v>
      </c>
      <c r="H9960" s="200" t="s">
        <v>567</v>
      </c>
      <c r="I9960" s="648" t="s">
        <v>329</v>
      </c>
    </row>
    <row r="9961" spans="1:9" ht="15" customHeight="1">
      <c r="A9961" s="199">
        <v>45820</v>
      </c>
      <c r="B9961" s="202" t="s">
        <v>7488</v>
      </c>
      <c r="C9961" s="200" t="s">
        <v>204</v>
      </c>
      <c r="D9961" s="765">
        <v>-626944.44444444496</v>
      </c>
      <c r="E9961" s="201">
        <v>45809</v>
      </c>
      <c r="F9961" s="200" t="s">
        <v>291</v>
      </c>
      <c r="G9961" s="200" t="s">
        <v>291</v>
      </c>
      <c r="H9961" s="200" t="s">
        <v>567</v>
      </c>
    </row>
    <row r="9962" spans="1:9" ht="15" customHeight="1">
      <c r="A9962" s="199">
        <v>45820</v>
      </c>
      <c r="B9962" s="202" t="s">
        <v>7488</v>
      </c>
      <c r="C9962" s="200" t="s">
        <v>204</v>
      </c>
      <c r="D9962" s="765">
        <v>-125388.88888888899</v>
      </c>
      <c r="E9962" s="201">
        <v>45809</v>
      </c>
      <c r="F9962" s="200" t="s">
        <v>296</v>
      </c>
      <c r="G9962" s="200" t="s">
        <v>3360</v>
      </c>
      <c r="H9962" s="200" t="s">
        <v>567</v>
      </c>
      <c r="I9962" s="648" t="s">
        <v>329</v>
      </c>
    </row>
    <row r="9963" spans="1:9" ht="15" customHeight="1">
      <c r="A9963" s="199">
        <v>45820</v>
      </c>
      <c r="B9963" s="202" t="s">
        <v>7488</v>
      </c>
      <c r="C9963" s="200" t="s">
        <v>204</v>
      </c>
      <c r="D9963" s="765">
        <v>-438861.11111111147</v>
      </c>
      <c r="E9963" s="201">
        <v>45809</v>
      </c>
      <c r="F9963" s="200" t="s">
        <v>297</v>
      </c>
      <c r="G9963" s="200" t="s">
        <v>3892</v>
      </c>
      <c r="H9963" s="200" t="s">
        <v>567</v>
      </c>
    </row>
    <row r="9964" spans="1:9" ht="15" customHeight="1">
      <c r="A9964" s="199">
        <v>45820</v>
      </c>
      <c r="B9964" s="202" t="s">
        <v>7488</v>
      </c>
      <c r="C9964" s="200" t="s">
        <v>204</v>
      </c>
      <c r="D9964" s="765">
        <v>-62694.444444444496</v>
      </c>
      <c r="E9964" s="201">
        <v>45809</v>
      </c>
      <c r="F9964" s="200" t="s">
        <v>297</v>
      </c>
      <c r="G9964" s="200" t="s">
        <v>3848</v>
      </c>
      <c r="H9964" s="200" t="s">
        <v>567</v>
      </c>
      <c r="I9964" s="648" t="s">
        <v>329</v>
      </c>
    </row>
    <row r="9965" spans="1:9" ht="15" customHeight="1">
      <c r="A9965" s="199">
        <v>45820</v>
      </c>
      <c r="B9965" s="202" t="s">
        <v>7489</v>
      </c>
      <c r="C9965" s="200" t="s">
        <v>204</v>
      </c>
      <c r="D9965" s="765">
        <v>-57367.271393081959</v>
      </c>
      <c r="E9965" s="201">
        <v>45809</v>
      </c>
      <c r="F9965" s="200" t="s">
        <v>296</v>
      </c>
      <c r="G9965" s="200" t="s">
        <v>1311</v>
      </c>
      <c r="H9965" s="200" t="s">
        <v>342</v>
      </c>
    </row>
    <row r="9966" spans="1:9" ht="15" customHeight="1">
      <c r="A9966" s="199">
        <v>45820</v>
      </c>
      <c r="B9966" s="202" t="s">
        <v>7489</v>
      </c>
      <c r="C9966" s="200" t="s">
        <v>204</v>
      </c>
      <c r="D9966" s="765">
        <v>-82576.711461840765</v>
      </c>
      <c r="E9966" s="201">
        <v>45809</v>
      </c>
      <c r="F9966" s="200" t="s">
        <v>291</v>
      </c>
      <c r="G9966" s="200" t="s">
        <v>291</v>
      </c>
      <c r="H9966" s="200" t="s">
        <v>342</v>
      </c>
    </row>
    <row r="9967" spans="1:9" ht="15" customHeight="1">
      <c r="A9967" s="199">
        <v>45820</v>
      </c>
      <c r="B9967" s="202" t="s">
        <v>7489</v>
      </c>
      <c r="C9967" s="200" t="s">
        <v>204</v>
      </c>
      <c r="D9967" s="765">
        <v>-89415.385238149232</v>
      </c>
      <c r="E9967" s="201">
        <v>45809</v>
      </c>
      <c r="F9967" s="200" t="s">
        <v>291</v>
      </c>
      <c r="G9967" s="200" t="s">
        <v>291</v>
      </c>
      <c r="H9967" s="200" t="s">
        <v>342</v>
      </c>
    </row>
    <row r="9968" spans="1:9" ht="15" customHeight="1">
      <c r="A9968" s="199">
        <v>45820</v>
      </c>
      <c r="B9968" s="202" t="s">
        <v>7489</v>
      </c>
      <c r="C9968" s="200" t="s">
        <v>204</v>
      </c>
      <c r="D9968" s="765">
        <v>-70026.274610188615</v>
      </c>
      <c r="E9968" s="201">
        <v>45809</v>
      </c>
      <c r="F9968" s="200" t="s">
        <v>291</v>
      </c>
      <c r="G9968" s="200" t="s">
        <v>291</v>
      </c>
      <c r="H9968" s="200" t="s">
        <v>342</v>
      </c>
    </row>
    <row r="9969" spans="1:8" ht="15" customHeight="1">
      <c r="A9969" s="199">
        <v>45820</v>
      </c>
      <c r="B9969" s="202" t="s">
        <v>7489</v>
      </c>
      <c r="C9969" s="200" t="s">
        <v>204</v>
      </c>
      <c r="D9969" s="765">
        <v>-26858.31499671167</v>
      </c>
      <c r="E9969" s="201">
        <v>45809</v>
      </c>
      <c r="F9969" s="200" t="s">
        <v>296</v>
      </c>
      <c r="G9969" s="200" t="s">
        <v>2418</v>
      </c>
      <c r="H9969" s="200" t="s">
        <v>342</v>
      </c>
    </row>
    <row r="9970" spans="1:8" ht="15" customHeight="1">
      <c r="A9970" s="199">
        <v>45820</v>
      </c>
      <c r="B9970" s="202" t="s">
        <v>7489</v>
      </c>
      <c r="C9970" s="200" t="s">
        <v>204</v>
      </c>
      <c r="D9970" s="765">
        <v>-159229.34082055412</v>
      </c>
      <c r="E9970" s="201">
        <v>45809</v>
      </c>
      <c r="F9970" s="200" t="s">
        <v>291</v>
      </c>
      <c r="G9970" s="200" t="s">
        <v>291</v>
      </c>
      <c r="H9970" s="200" t="s">
        <v>342</v>
      </c>
    </row>
    <row r="9971" spans="1:8" ht="15" customHeight="1">
      <c r="A9971" s="199">
        <v>45820</v>
      </c>
      <c r="B9971" s="202" t="s">
        <v>7489</v>
      </c>
      <c r="C9971" s="200" t="s">
        <v>204</v>
      </c>
      <c r="D9971" s="765">
        <v>-106202.94682604002</v>
      </c>
      <c r="E9971" s="201">
        <v>45809</v>
      </c>
      <c r="F9971" s="200" t="s">
        <v>291</v>
      </c>
      <c r="G9971" s="200" t="s">
        <v>291</v>
      </c>
      <c r="H9971" s="200" t="s">
        <v>342</v>
      </c>
    </row>
    <row r="9972" spans="1:8" ht="15" customHeight="1">
      <c r="A9972" s="199">
        <v>45820</v>
      </c>
      <c r="B9972" s="202" t="s">
        <v>7489</v>
      </c>
      <c r="C9972" s="200" t="s">
        <v>204</v>
      </c>
      <c r="D9972" s="765">
        <v>-110881.42820360301</v>
      </c>
      <c r="E9972" s="201">
        <v>45809</v>
      </c>
      <c r="F9972" s="200" t="s">
        <v>291</v>
      </c>
      <c r="G9972" s="200" t="s">
        <v>291</v>
      </c>
      <c r="H9972" s="200" t="s">
        <v>342</v>
      </c>
    </row>
    <row r="9973" spans="1:8" ht="15" customHeight="1">
      <c r="A9973" s="199">
        <v>45820</v>
      </c>
      <c r="B9973" s="202" t="s">
        <v>7489</v>
      </c>
      <c r="C9973" s="200" t="s">
        <v>204</v>
      </c>
      <c r="D9973" s="765">
        <v>-13461.061104195191</v>
      </c>
      <c r="E9973" s="201">
        <v>45809</v>
      </c>
      <c r="F9973" s="200" t="s">
        <v>297</v>
      </c>
      <c r="G9973" s="200" t="s">
        <v>69</v>
      </c>
      <c r="H9973" s="200" t="s">
        <v>342</v>
      </c>
    </row>
    <row r="9974" spans="1:8" ht="15" customHeight="1">
      <c r="A9974" s="199">
        <v>45820</v>
      </c>
      <c r="B9974" s="202" t="s">
        <v>7489</v>
      </c>
      <c r="C9974" s="200" t="s">
        <v>204</v>
      </c>
      <c r="D9974" s="765">
        <v>-85162.765691170047</v>
      </c>
      <c r="E9974" s="201">
        <v>45809</v>
      </c>
      <c r="F9974" s="200" t="s">
        <v>297</v>
      </c>
      <c r="G9974" s="200" t="s">
        <v>75</v>
      </c>
      <c r="H9974" s="200" t="s">
        <v>342</v>
      </c>
    </row>
    <row r="9975" spans="1:8" ht="15" customHeight="1">
      <c r="A9975" s="199">
        <v>45820</v>
      </c>
      <c r="B9975" s="202" t="s">
        <v>7489</v>
      </c>
      <c r="C9975" s="200" t="s">
        <v>204</v>
      </c>
      <c r="D9975" s="765">
        <v>-119537.03506400295</v>
      </c>
      <c r="E9975" s="201">
        <v>45809</v>
      </c>
      <c r="F9975" s="200" t="s">
        <v>297</v>
      </c>
      <c r="G9975" s="200" t="s">
        <v>71</v>
      </c>
      <c r="H9975" s="200" t="s">
        <v>342</v>
      </c>
    </row>
    <row r="9976" spans="1:8" ht="15" customHeight="1">
      <c r="A9976" s="199">
        <v>45820</v>
      </c>
      <c r="B9976" s="202" t="s">
        <v>7489</v>
      </c>
      <c r="C9976" s="200" t="s">
        <v>204</v>
      </c>
      <c r="D9976" s="765">
        <v>-426781.46459046227</v>
      </c>
      <c r="E9976" s="201">
        <v>45809</v>
      </c>
      <c r="F9976" s="200" t="s">
        <v>291</v>
      </c>
      <c r="G9976" s="200" t="s">
        <v>291</v>
      </c>
      <c r="H9976" s="200" t="s">
        <v>342</v>
      </c>
    </row>
    <row r="9977" spans="1:8" ht="15" customHeight="1">
      <c r="A9977" s="199">
        <v>45820</v>
      </c>
      <c r="B9977" s="202" t="s">
        <v>7490</v>
      </c>
      <c r="C9977" s="200" t="s">
        <v>204</v>
      </c>
      <c r="D9977" s="765">
        <v>-58324.598963112883</v>
      </c>
      <c r="E9977" s="201">
        <v>45809</v>
      </c>
      <c r="F9977" s="200" t="s">
        <v>296</v>
      </c>
      <c r="G9977" s="200" t="s">
        <v>1311</v>
      </c>
      <c r="H9977" s="200" t="s">
        <v>342</v>
      </c>
    </row>
    <row r="9978" spans="1:8" ht="15" customHeight="1">
      <c r="A9978" s="199">
        <v>45820</v>
      </c>
      <c r="B9978" s="202" t="s">
        <v>7490</v>
      </c>
      <c r="C9978" s="200" t="s">
        <v>204</v>
      </c>
      <c r="D9978" s="765">
        <v>-83954.726497334355</v>
      </c>
      <c r="E9978" s="201">
        <v>45809</v>
      </c>
      <c r="F9978" s="200" t="s">
        <v>291</v>
      </c>
      <c r="G9978" s="200" t="s">
        <v>291</v>
      </c>
      <c r="H9978" s="200" t="s">
        <v>342</v>
      </c>
    </row>
    <row r="9979" spans="1:8" ht="15" customHeight="1">
      <c r="A9979" s="199">
        <v>45820</v>
      </c>
      <c r="B9979" s="202" t="s">
        <v>7490</v>
      </c>
      <c r="C9979" s="200" t="s">
        <v>204</v>
      </c>
      <c r="D9979" s="765">
        <v>-90907.521980838006</v>
      </c>
      <c r="E9979" s="201">
        <v>45809</v>
      </c>
      <c r="F9979" s="200" t="s">
        <v>291</v>
      </c>
      <c r="G9979" s="200" t="s">
        <v>291</v>
      </c>
      <c r="H9979" s="200" t="s">
        <v>342</v>
      </c>
    </row>
    <row r="9980" spans="1:8" ht="15" customHeight="1">
      <c r="A9980" s="199">
        <v>45820</v>
      </c>
      <c r="B9980" s="202" t="s">
        <v>7490</v>
      </c>
      <c r="C9980" s="200" t="s">
        <v>204</v>
      </c>
      <c r="D9980" s="765">
        <v>-71194.851774187642</v>
      </c>
      <c r="E9980" s="201">
        <v>45809</v>
      </c>
      <c r="F9980" s="200" t="s">
        <v>291</v>
      </c>
      <c r="G9980" s="200" t="s">
        <v>291</v>
      </c>
      <c r="H9980" s="200" t="s">
        <v>342</v>
      </c>
    </row>
    <row r="9981" spans="1:8" ht="15" customHeight="1">
      <c r="A9981" s="199">
        <v>45820</v>
      </c>
      <c r="B9981" s="202" t="s">
        <v>7490</v>
      </c>
      <c r="C9981" s="200" t="s">
        <v>204</v>
      </c>
      <c r="D9981" s="765">
        <v>-27306.518385273528</v>
      </c>
      <c r="E9981" s="201">
        <v>45809</v>
      </c>
      <c r="F9981" s="200" t="s">
        <v>296</v>
      </c>
      <c r="G9981" s="200" t="s">
        <v>2418</v>
      </c>
      <c r="H9981" s="200" t="s">
        <v>342</v>
      </c>
    </row>
    <row r="9982" spans="1:8" ht="15" customHeight="1">
      <c r="A9982" s="199">
        <v>45820</v>
      </c>
      <c r="B9982" s="202" t="s">
        <v>7490</v>
      </c>
      <c r="C9982" s="200" t="s">
        <v>204</v>
      </c>
      <c r="D9982" s="765">
        <v>-161886.51161190798</v>
      </c>
      <c r="E9982" s="201">
        <v>45809</v>
      </c>
      <c r="F9982" s="200" t="s">
        <v>291</v>
      </c>
      <c r="G9982" s="200" t="s">
        <v>291</v>
      </c>
      <c r="H9982" s="200" t="s">
        <v>342</v>
      </c>
    </row>
    <row r="9983" spans="1:8" ht="15" customHeight="1">
      <c r="A9983" s="199">
        <v>45820</v>
      </c>
      <c r="B9983" s="202" t="s">
        <v>7490</v>
      </c>
      <c r="C9983" s="200" t="s">
        <v>204</v>
      </c>
      <c r="D9983" s="765">
        <v>-107975.2292886038</v>
      </c>
      <c r="E9983" s="201">
        <v>45809</v>
      </c>
      <c r="F9983" s="200" t="s">
        <v>291</v>
      </c>
      <c r="G9983" s="200" t="s">
        <v>291</v>
      </c>
      <c r="H9983" s="200" t="s">
        <v>342</v>
      </c>
    </row>
    <row r="9984" spans="1:8" ht="15" customHeight="1">
      <c r="A9984" s="199">
        <v>45820</v>
      </c>
      <c r="B9984" s="202" t="s">
        <v>7490</v>
      </c>
      <c r="C9984" s="200" t="s">
        <v>204</v>
      </c>
      <c r="D9984" s="765">
        <v>-112731.78373988732</v>
      </c>
      <c r="E9984" s="201">
        <v>45809</v>
      </c>
      <c r="F9984" s="200" t="s">
        <v>291</v>
      </c>
      <c r="G9984" s="200" t="s">
        <v>291</v>
      </c>
      <c r="H9984" s="200" t="s">
        <v>342</v>
      </c>
    </row>
    <row r="9985" spans="1:8" ht="15" customHeight="1">
      <c r="A9985" s="199">
        <v>45820</v>
      </c>
      <c r="B9985" s="202" t="s">
        <v>7490</v>
      </c>
      <c r="C9985" s="200" t="s">
        <v>204</v>
      </c>
      <c r="D9985" s="765">
        <v>-13685.695196143148</v>
      </c>
      <c r="E9985" s="201">
        <v>45809</v>
      </c>
      <c r="F9985" s="200" t="s">
        <v>297</v>
      </c>
      <c r="G9985" s="200" t="s">
        <v>69</v>
      </c>
      <c r="H9985" s="200" t="s">
        <v>342</v>
      </c>
    </row>
    <row r="9986" spans="1:8" ht="15" customHeight="1">
      <c r="A9986" s="199">
        <v>45820</v>
      </c>
      <c r="B9986" s="202" t="s">
        <v>7490</v>
      </c>
      <c r="C9986" s="200" t="s">
        <v>204</v>
      </c>
      <c r="D9986" s="765">
        <v>-86583.936012791324</v>
      </c>
      <c r="E9986" s="201">
        <v>45809</v>
      </c>
      <c r="F9986" s="200" t="s">
        <v>297</v>
      </c>
      <c r="G9986" s="200" t="s">
        <v>75</v>
      </c>
      <c r="H9986" s="200" t="s">
        <v>342</v>
      </c>
    </row>
    <row r="9987" spans="1:8" ht="15" customHeight="1">
      <c r="A9987" s="199">
        <v>45820</v>
      </c>
      <c r="B9987" s="202" t="s">
        <v>7490</v>
      </c>
      <c r="C9987" s="200" t="s">
        <v>204</v>
      </c>
      <c r="D9987" s="765">
        <v>-121531.83273395669</v>
      </c>
      <c r="E9987" s="201">
        <v>45809</v>
      </c>
      <c r="F9987" s="200" t="s">
        <v>297</v>
      </c>
      <c r="G9987" s="200" t="s">
        <v>71</v>
      </c>
      <c r="H9987" s="200" t="s">
        <v>342</v>
      </c>
    </row>
    <row r="9988" spans="1:8" ht="15" customHeight="1">
      <c r="A9988" s="199">
        <v>45820</v>
      </c>
      <c r="B9988" s="202" t="s">
        <v>7490</v>
      </c>
      <c r="C9988" s="200" t="s">
        <v>204</v>
      </c>
      <c r="D9988" s="765">
        <v>-433903.46381596313</v>
      </c>
      <c r="E9988" s="201">
        <v>45809</v>
      </c>
      <c r="F9988" s="200" t="s">
        <v>291</v>
      </c>
      <c r="G9988" s="200" t="s">
        <v>291</v>
      </c>
      <c r="H9988" s="200" t="s">
        <v>342</v>
      </c>
    </row>
    <row r="9989" spans="1:8" ht="15" customHeight="1">
      <c r="A9989" s="199">
        <v>45820</v>
      </c>
      <c r="B9989" s="202" t="s">
        <v>7491</v>
      </c>
      <c r="C9989" s="200" t="s">
        <v>204</v>
      </c>
      <c r="D9989" s="765">
        <v>-38729.191130524894</v>
      </c>
      <c r="E9989" s="201">
        <v>45809</v>
      </c>
      <c r="F9989" s="200" t="s">
        <v>296</v>
      </c>
      <c r="G9989" s="200" t="s">
        <v>1311</v>
      </c>
      <c r="H9989" s="200" t="s">
        <v>342</v>
      </c>
    </row>
    <row r="9990" spans="1:8" ht="15" customHeight="1">
      <c r="A9990" s="199">
        <v>45820</v>
      </c>
      <c r="B9990" s="202" t="s">
        <v>7491</v>
      </c>
      <c r="C9990" s="200" t="s">
        <v>204</v>
      </c>
      <c r="D9990" s="765">
        <v>-55748.324148488369</v>
      </c>
      <c r="E9990" s="201">
        <v>45809</v>
      </c>
      <c r="F9990" s="200" t="s">
        <v>291</v>
      </c>
      <c r="G9990" s="200" t="s">
        <v>291</v>
      </c>
      <c r="H9990" s="200" t="s">
        <v>342</v>
      </c>
    </row>
    <row r="9991" spans="1:8" ht="15" customHeight="1">
      <c r="A9991" s="199">
        <v>45820</v>
      </c>
      <c r="B9991" s="202" t="s">
        <v>7491</v>
      </c>
      <c r="C9991" s="200" t="s">
        <v>204</v>
      </c>
      <c r="D9991" s="765">
        <v>-60365.177928183715</v>
      </c>
      <c r="E9991" s="201">
        <v>45809</v>
      </c>
      <c r="F9991" s="200" t="s">
        <v>291</v>
      </c>
      <c r="G9991" s="200" t="s">
        <v>291</v>
      </c>
      <c r="H9991" s="200" t="s">
        <v>342</v>
      </c>
    </row>
    <row r="9992" spans="1:8" ht="15" customHeight="1">
      <c r="A9992" s="199">
        <v>45820</v>
      </c>
      <c r="B9992" s="202" t="s">
        <v>7491</v>
      </c>
      <c r="C9992" s="200" t="s">
        <v>204</v>
      </c>
      <c r="D9992" s="765">
        <v>-47275.404733014213</v>
      </c>
      <c r="E9992" s="201">
        <v>45809</v>
      </c>
      <c r="F9992" s="200" t="s">
        <v>291</v>
      </c>
      <c r="G9992" s="200" t="s">
        <v>291</v>
      </c>
      <c r="H9992" s="200" t="s">
        <v>342</v>
      </c>
    </row>
    <row r="9993" spans="1:8" ht="15" customHeight="1">
      <c r="A9993" s="199">
        <v>45820</v>
      </c>
      <c r="B9993" s="202" t="s">
        <v>7491</v>
      </c>
      <c r="C9993" s="200" t="s">
        <v>204</v>
      </c>
      <c r="D9993" s="765">
        <v>-18132.30418131634</v>
      </c>
      <c r="E9993" s="201">
        <v>45809</v>
      </c>
      <c r="F9993" s="200" t="s">
        <v>296</v>
      </c>
      <c r="G9993" s="200" t="s">
        <v>2418</v>
      </c>
      <c r="H9993" s="200" t="s">
        <v>342</v>
      </c>
    </row>
    <row r="9994" spans="1:8" ht="15" customHeight="1">
      <c r="A9994" s="199">
        <v>45820</v>
      </c>
      <c r="B9994" s="202" t="s">
        <v>7491</v>
      </c>
      <c r="C9994" s="200" t="s">
        <v>204</v>
      </c>
      <c r="D9994" s="765">
        <v>-107497.24406398038</v>
      </c>
      <c r="E9994" s="201">
        <v>45809</v>
      </c>
      <c r="F9994" s="200" t="s">
        <v>291</v>
      </c>
      <c r="G9994" s="200" t="s">
        <v>291</v>
      </c>
      <c r="H9994" s="200" t="s">
        <v>342</v>
      </c>
    </row>
    <row r="9995" spans="1:8" ht="15" customHeight="1">
      <c r="A9995" s="199">
        <v>45820</v>
      </c>
      <c r="B9995" s="202" t="s">
        <v>7491</v>
      </c>
      <c r="C9995" s="200" t="s">
        <v>204</v>
      </c>
      <c r="D9995" s="765">
        <v>-71698.620596180044</v>
      </c>
      <c r="E9995" s="201">
        <v>45809</v>
      </c>
      <c r="F9995" s="200" t="s">
        <v>291</v>
      </c>
      <c r="G9995" s="200" t="s">
        <v>291</v>
      </c>
      <c r="H9995" s="200" t="s">
        <v>342</v>
      </c>
    </row>
    <row r="9996" spans="1:8" ht="15" customHeight="1">
      <c r="A9996" s="199">
        <v>45820</v>
      </c>
      <c r="B9996" s="202" t="s">
        <v>7491</v>
      </c>
      <c r="C9996" s="200" t="s">
        <v>204</v>
      </c>
      <c r="D9996" s="765">
        <v>-74857.107919565082</v>
      </c>
      <c r="E9996" s="201">
        <v>45809</v>
      </c>
      <c r="F9996" s="200" t="s">
        <v>291</v>
      </c>
      <c r="G9996" s="200" t="s">
        <v>291</v>
      </c>
      <c r="H9996" s="200" t="s">
        <v>342</v>
      </c>
    </row>
    <row r="9997" spans="1:8" ht="15" customHeight="1">
      <c r="A9997" s="199">
        <v>45820</v>
      </c>
      <c r="B9997" s="202" t="s">
        <v>7491</v>
      </c>
      <c r="C9997" s="200" t="s">
        <v>204</v>
      </c>
      <c r="D9997" s="765">
        <v>-9087.6905187252651</v>
      </c>
      <c r="E9997" s="201">
        <v>45809</v>
      </c>
      <c r="F9997" s="200" t="s">
        <v>297</v>
      </c>
      <c r="G9997" s="200" t="s">
        <v>69</v>
      </c>
      <c r="H9997" s="200" t="s">
        <v>342</v>
      </c>
    </row>
    <row r="9998" spans="1:8" ht="15" customHeight="1">
      <c r="A9998" s="199">
        <v>45820</v>
      </c>
      <c r="B9998" s="202" t="s">
        <v>7491</v>
      </c>
      <c r="C9998" s="200" t="s">
        <v>204</v>
      </c>
      <c r="D9998" s="765">
        <v>-57494.193981399301</v>
      </c>
      <c r="E9998" s="201">
        <v>45809</v>
      </c>
      <c r="F9998" s="200" t="s">
        <v>297</v>
      </c>
      <c r="G9998" s="200" t="s">
        <v>75</v>
      </c>
      <c r="H9998" s="200" t="s">
        <v>342</v>
      </c>
    </row>
    <row r="9999" spans="1:8" ht="15" customHeight="1">
      <c r="A9999" s="199">
        <v>45820</v>
      </c>
      <c r="B9999" s="202" t="s">
        <v>7491</v>
      </c>
      <c r="C9999" s="200" t="s">
        <v>204</v>
      </c>
      <c r="D9999" s="765">
        <v>-80700.590523960607</v>
      </c>
      <c r="E9999" s="201">
        <v>45809</v>
      </c>
      <c r="F9999" s="200" t="s">
        <v>297</v>
      </c>
      <c r="G9999" s="200" t="s">
        <v>71</v>
      </c>
      <c r="H9999" s="200" t="s">
        <v>342</v>
      </c>
    </row>
    <row r="10000" spans="1:8" ht="15" customHeight="1">
      <c r="A10000" s="199">
        <v>45820</v>
      </c>
      <c r="B10000" s="202" t="s">
        <v>7491</v>
      </c>
      <c r="C10000" s="200" t="s">
        <v>204</v>
      </c>
      <c r="D10000" s="765">
        <v>-288124.23027466168</v>
      </c>
      <c r="E10000" s="201">
        <v>45809</v>
      </c>
      <c r="F10000" s="200" t="s">
        <v>291</v>
      </c>
      <c r="G10000" s="200" t="s">
        <v>291</v>
      </c>
      <c r="H10000" s="200" t="s">
        <v>342</v>
      </c>
    </row>
    <row r="10001" spans="1:8" ht="15" customHeight="1">
      <c r="A10001" s="199">
        <v>45820</v>
      </c>
      <c r="B10001" s="202" t="s">
        <v>7492</v>
      </c>
      <c r="C10001" s="200" t="s">
        <v>204</v>
      </c>
      <c r="D10001" s="765">
        <v>-50362.372921945309</v>
      </c>
      <c r="E10001" s="201">
        <v>45809</v>
      </c>
      <c r="F10001" s="200" t="s">
        <v>296</v>
      </c>
      <c r="G10001" s="200" t="s">
        <v>1311</v>
      </c>
      <c r="H10001" s="200" t="s">
        <v>342</v>
      </c>
    </row>
    <row r="10002" spans="1:8" ht="15" customHeight="1">
      <c r="A10002" s="199">
        <v>45820</v>
      </c>
      <c r="B10002" s="202" t="s">
        <v>7492</v>
      </c>
      <c r="C10002" s="200" t="s">
        <v>204</v>
      </c>
      <c r="D10002" s="765">
        <v>-72493.584518133692</v>
      </c>
      <c r="E10002" s="201">
        <v>45809</v>
      </c>
      <c r="F10002" s="200" t="s">
        <v>291</v>
      </c>
      <c r="G10002" s="200" t="s">
        <v>291</v>
      </c>
      <c r="H10002" s="200" t="s">
        <v>342</v>
      </c>
    </row>
    <row r="10003" spans="1:8" ht="15" customHeight="1">
      <c r="A10003" s="199">
        <v>45820</v>
      </c>
      <c r="B10003" s="202" t="s">
        <v>7492</v>
      </c>
      <c r="C10003" s="200" t="s">
        <v>204</v>
      </c>
      <c r="D10003" s="765">
        <v>-78497.213950917008</v>
      </c>
      <c r="E10003" s="201">
        <v>45809</v>
      </c>
      <c r="F10003" s="200" t="s">
        <v>291</v>
      </c>
      <c r="G10003" s="200" t="s">
        <v>291</v>
      </c>
      <c r="H10003" s="200" t="s">
        <v>342</v>
      </c>
    </row>
    <row r="10004" spans="1:8" ht="15" customHeight="1">
      <c r="A10004" s="199">
        <v>45820</v>
      </c>
      <c r="B10004" s="202" t="s">
        <v>7492</v>
      </c>
      <c r="C10004" s="200" t="s">
        <v>204</v>
      </c>
      <c r="D10004" s="765">
        <v>-61475.633590587</v>
      </c>
      <c r="E10004" s="201">
        <v>45809</v>
      </c>
      <c r="F10004" s="200" t="s">
        <v>291</v>
      </c>
      <c r="G10004" s="200" t="s">
        <v>291</v>
      </c>
      <c r="H10004" s="200" t="s">
        <v>342</v>
      </c>
    </row>
    <row r="10005" spans="1:8" ht="15" customHeight="1">
      <c r="A10005" s="199">
        <v>45820</v>
      </c>
      <c r="B10005" s="202" t="s">
        <v>7492</v>
      </c>
      <c r="C10005" s="200" t="s">
        <v>204</v>
      </c>
      <c r="D10005" s="765">
        <v>-23578.748702393194</v>
      </c>
      <c r="E10005" s="201">
        <v>45809</v>
      </c>
      <c r="F10005" s="200" t="s">
        <v>296</v>
      </c>
      <c r="G10005" s="200" t="s">
        <v>2418</v>
      </c>
      <c r="H10005" s="200" t="s">
        <v>342</v>
      </c>
    </row>
    <row r="10006" spans="1:8" ht="15" customHeight="1">
      <c r="A10006" s="199">
        <v>45820</v>
      </c>
      <c r="B10006" s="202" t="s">
        <v>7492</v>
      </c>
      <c r="C10006" s="200" t="s">
        <v>204</v>
      </c>
      <c r="D10006" s="765">
        <v>-139786.45397953031</v>
      </c>
      <c r="E10006" s="201">
        <v>45809</v>
      </c>
      <c r="F10006" s="200" t="s">
        <v>291</v>
      </c>
      <c r="G10006" s="200" t="s">
        <v>291</v>
      </c>
      <c r="H10006" s="200" t="s">
        <v>342</v>
      </c>
    </row>
    <row r="10007" spans="1:8" ht="15" customHeight="1">
      <c r="A10007" s="199">
        <v>45820</v>
      </c>
      <c r="B10007" s="202" t="s">
        <v>7492</v>
      </c>
      <c r="C10007" s="200" t="s">
        <v>204</v>
      </c>
      <c r="D10007" s="765">
        <v>-93234.910491272865</v>
      </c>
      <c r="E10007" s="201">
        <v>45809</v>
      </c>
      <c r="F10007" s="200" t="s">
        <v>291</v>
      </c>
      <c r="G10007" s="200" t="s">
        <v>291</v>
      </c>
      <c r="H10007" s="200" t="s">
        <v>342</v>
      </c>
    </row>
    <row r="10008" spans="1:8" ht="15" customHeight="1">
      <c r="A10008" s="199">
        <v>45820</v>
      </c>
      <c r="B10008" s="202" t="s">
        <v>7492</v>
      </c>
      <c r="C10008" s="200" t="s">
        <v>204</v>
      </c>
      <c r="D10008" s="765">
        <v>-97342.120371114186</v>
      </c>
      <c r="E10008" s="201">
        <v>45809</v>
      </c>
      <c r="F10008" s="200" t="s">
        <v>291</v>
      </c>
      <c r="G10008" s="200" t="s">
        <v>291</v>
      </c>
      <c r="H10008" s="200" t="s">
        <v>342</v>
      </c>
    </row>
    <row r="10009" spans="1:8" ht="15" customHeight="1">
      <c r="A10009" s="199">
        <v>45820</v>
      </c>
      <c r="B10009" s="202" t="s">
        <v>7492</v>
      </c>
      <c r="C10009" s="200" t="s">
        <v>204</v>
      </c>
      <c r="D10009" s="765">
        <v>-11817.382329540676</v>
      </c>
      <c r="E10009" s="201">
        <v>45809</v>
      </c>
      <c r="F10009" s="200" t="s">
        <v>297</v>
      </c>
      <c r="G10009" s="200" t="s">
        <v>69</v>
      </c>
      <c r="H10009" s="200" t="s">
        <v>342</v>
      </c>
    </row>
    <row r="10010" spans="1:8" ht="15" customHeight="1">
      <c r="A10010" s="199">
        <v>45820</v>
      </c>
      <c r="B10010" s="202" t="s">
        <v>7492</v>
      </c>
      <c r="C10010" s="200" t="s">
        <v>204</v>
      </c>
      <c r="D10010" s="765">
        <v>-74763.865539544815</v>
      </c>
      <c r="E10010" s="201">
        <v>45809</v>
      </c>
      <c r="F10010" s="200" t="s">
        <v>297</v>
      </c>
      <c r="G10010" s="200" t="s">
        <v>75</v>
      </c>
      <c r="H10010" s="200" t="s">
        <v>342</v>
      </c>
    </row>
    <row r="10011" spans="1:8" ht="15" customHeight="1">
      <c r="A10011" s="199">
        <v>45820</v>
      </c>
      <c r="B10011" s="202" t="s">
        <v>7492</v>
      </c>
      <c r="C10011" s="200" t="s">
        <v>204</v>
      </c>
      <c r="D10011" s="765">
        <v>-104940.82412647143</v>
      </c>
      <c r="E10011" s="201">
        <v>45809</v>
      </c>
      <c r="F10011" s="200" t="s">
        <v>297</v>
      </c>
      <c r="G10011" s="200" t="s">
        <v>71</v>
      </c>
      <c r="H10011" s="200" t="s">
        <v>342</v>
      </c>
    </row>
    <row r="10012" spans="1:8" ht="15" customHeight="1">
      <c r="A10012" s="199">
        <v>45820</v>
      </c>
      <c r="B10012" s="202" t="s">
        <v>7492</v>
      </c>
      <c r="C10012" s="200" t="s">
        <v>204</v>
      </c>
      <c r="D10012" s="765">
        <v>-374668.80947854934</v>
      </c>
      <c r="E10012" s="201">
        <v>45809</v>
      </c>
      <c r="F10012" s="200" t="s">
        <v>291</v>
      </c>
      <c r="G10012" s="200" t="s">
        <v>291</v>
      </c>
      <c r="H10012" s="200" t="s">
        <v>342</v>
      </c>
    </row>
    <row r="10013" spans="1:8" ht="15" customHeight="1">
      <c r="A10013" s="199">
        <v>45820</v>
      </c>
      <c r="B10013" s="202" t="s">
        <v>7493</v>
      </c>
      <c r="C10013" s="200" t="s">
        <v>204</v>
      </c>
      <c r="D10013" s="765">
        <v>-34613.620081939851</v>
      </c>
      <c r="E10013" s="201">
        <v>45809</v>
      </c>
      <c r="F10013" s="200" t="s">
        <v>296</v>
      </c>
      <c r="G10013" s="200" t="s">
        <v>1311</v>
      </c>
      <c r="H10013" s="200" t="s">
        <v>342</v>
      </c>
    </row>
    <row r="10014" spans="1:8" ht="15" customHeight="1">
      <c r="A10014" s="199">
        <v>45820</v>
      </c>
      <c r="B10014" s="202" t="s">
        <v>7493</v>
      </c>
      <c r="C10014" s="200" t="s">
        <v>204</v>
      </c>
      <c r="D10014" s="765">
        <v>-49824.208973983208</v>
      </c>
      <c r="E10014" s="201">
        <v>45809</v>
      </c>
      <c r="F10014" s="200" t="s">
        <v>291</v>
      </c>
      <c r="G10014" s="200" t="s">
        <v>291</v>
      </c>
      <c r="H10014" s="200" t="s">
        <v>342</v>
      </c>
    </row>
    <row r="10015" spans="1:8" ht="15" customHeight="1">
      <c r="A10015" s="199">
        <v>45820</v>
      </c>
      <c r="B10015" s="202" t="s">
        <v>7493</v>
      </c>
      <c r="C10015" s="200" t="s">
        <v>204</v>
      </c>
      <c r="D10015" s="765">
        <v>-53950.45117113278</v>
      </c>
      <c r="E10015" s="201">
        <v>45809</v>
      </c>
      <c r="F10015" s="200" t="s">
        <v>291</v>
      </c>
      <c r="G10015" s="200" t="s">
        <v>291</v>
      </c>
      <c r="H10015" s="200" t="s">
        <v>342</v>
      </c>
    </row>
    <row r="10016" spans="1:8" ht="15" customHeight="1">
      <c r="A10016" s="199">
        <v>45820</v>
      </c>
      <c r="B10016" s="202" t="s">
        <v>7493</v>
      </c>
      <c r="C10016" s="200" t="s">
        <v>204</v>
      </c>
      <c r="D10016" s="765">
        <v>-42251.667305253053</v>
      </c>
      <c r="E10016" s="201">
        <v>45809</v>
      </c>
      <c r="F10016" s="200" t="s">
        <v>291</v>
      </c>
      <c r="G10016" s="200" t="s">
        <v>291</v>
      </c>
      <c r="H10016" s="200" t="s">
        <v>342</v>
      </c>
    </row>
    <row r="10017" spans="1:8" ht="15" customHeight="1">
      <c r="A10017" s="199">
        <v>45820</v>
      </c>
      <c r="B10017" s="202" t="s">
        <v>7493</v>
      </c>
      <c r="C10017" s="200" t="s">
        <v>204</v>
      </c>
      <c r="D10017" s="765">
        <v>-16205.468532173476</v>
      </c>
      <c r="E10017" s="201">
        <v>45809</v>
      </c>
      <c r="F10017" s="200" t="s">
        <v>296</v>
      </c>
      <c r="G10017" s="200" t="s">
        <v>2418</v>
      </c>
      <c r="H10017" s="200" t="s">
        <v>342</v>
      </c>
    </row>
    <row r="10018" spans="1:8" ht="15" customHeight="1">
      <c r="A10018" s="199">
        <v>45820</v>
      </c>
      <c r="B10018" s="202" t="s">
        <v>7493</v>
      </c>
      <c r="C10018" s="200" t="s">
        <v>204</v>
      </c>
      <c r="D10018" s="765">
        <v>-96074.011805362272</v>
      </c>
      <c r="E10018" s="201">
        <v>45809</v>
      </c>
      <c r="F10018" s="200" t="s">
        <v>291</v>
      </c>
      <c r="G10018" s="200" t="s">
        <v>291</v>
      </c>
      <c r="H10018" s="200" t="s">
        <v>342</v>
      </c>
    </row>
    <row r="10019" spans="1:8" ht="15" customHeight="1">
      <c r="A10019" s="199">
        <v>45820</v>
      </c>
      <c r="B10019" s="202" t="s">
        <v>7493</v>
      </c>
      <c r="C10019" s="200" t="s">
        <v>204</v>
      </c>
      <c r="D10019" s="765">
        <v>-64079.541587929067</v>
      </c>
      <c r="E10019" s="201">
        <v>45809</v>
      </c>
      <c r="F10019" s="200" t="s">
        <v>291</v>
      </c>
      <c r="G10019" s="200" t="s">
        <v>291</v>
      </c>
      <c r="H10019" s="200" t="s">
        <v>342</v>
      </c>
    </row>
    <row r="10020" spans="1:8" ht="15" customHeight="1">
      <c r="A10020" s="199">
        <v>45820</v>
      </c>
      <c r="B10020" s="202" t="s">
        <v>7493</v>
      </c>
      <c r="C10020" s="200" t="s">
        <v>204</v>
      </c>
      <c r="D10020" s="765">
        <v>-66902.391150596683</v>
      </c>
      <c r="E10020" s="201">
        <v>45809</v>
      </c>
      <c r="F10020" s="200" t="s">
        <v>291</v>
      </c>
      <c r="G10020" s="200" t="s">
        <v>291</v>
      </c>
      <c r="H10020" s="200" t="s">
        <v>342</v>
      </c>
    </row>
    <row r="10021" spans="1:8" ht="15" customHeight="1">
      <c r="A10021" s="199">
        <v>45820</v>
      </c>
      <c r="B10021" s="202" t="s">
        <v>7493</v>
      </c>
      <c r="C10021" s="200" t="s">
        <v>204</v>
      </c>
      <c r="D10021" s="765">
        <v>-8121.9839055580096</v>
      </c>
      <c r="E10021" s="201">
        <v>45809</v>
      </c>
      <c r="F10021" s="200" t="s">
        <v>297</v>
      </c>
      <c r="G10021" s="200" t="s">
        <v>69</v>
      </c>
      <c r="H10021" s="200" t="s">
        <v>342</v>
      </c>
    </row>
    <row r="10022" spans="1:8" ht="15" customHeight="1">
      <c r="A10022" s="199">
        <v>45820</v>
      </c>
      <c r="B10022" s="202" t="s">
        <v>7493</v>
      </c>
      <c r="C10022" s="200" t="s">
        <v>204</v>
      </c>
      <c r="D10022" s="765">
        <v>-51384.553338140853</v>
      </c>
      <c r="E10022" s="201">
        <v>45809</v>
      </c>
      <c r="F10022" s="200" t="s">
        <v>297</v>
      </c>
      <c r="G10022" s="200" t="s">
        <v>75</v>
      </c>
      <c r="H10022" s="200" t="s">
        <v>342</v>
      </c>
    </row>
    <row r="10023" spans="1:8" ht="15" customHeight="1">
      <c r="A10023" s="199">
        <v>45820</v>
      </c>
      <c r="B10023" s="202" t="s">
        <v>7493</v>
      </c>
      <c r="C10023" s="200" t="s">
        <v>204</v>
      </c>
      <c r="D10023" s="765">
        <v>-72124.91403113665</v>
      </c>
      <c r="E10023" s="201">
        <v>45809</v>
      </c>
      <c r="F10023" s="200" t="s">
        <v>297</v>
      </c>
      <c r="G10023" s="200" t="s">
        <v>71</v>
      </c>
      <c r="H10023" s="200" t="s">
        <v>342</v>
      </c>
    </row>
    <row r="10024" spans="1:8" ht="15" customHeight="1">
      <c r="A10024" s="199">
        <v>45820</v>
      </c>
      <c r="B10024" s="202" t="s">
        <v>7493</v>
      </c>
      <c r="C10024" s="200" t="s">
        <v>204</v>
      </c>
      <c r="D10024" s="765">
        <v>-257506.60811679406</v>
      </c>
      <c r="E10024" s="201">
        <v>45809</v>
      </c>
      <c r="F10024" s="200" t="s">
        <v>291</v>
      </c>
      <c r="G10024" s="200" t="s">
        <v>291</v>
      </c>
      <c r="H10024" s="200" t="s">
        <v>342</v>
      </c>
    </row>
    <row r="10025" spans="1:8" ht="15" customHeight="1">
      <c r="A10025" s="199">
        <v>45820</v>
      </c>
      <c r="B10025" s="202" t="s">
        <v>7494</v>
      </c>
      <c r="C10025" s="200" t="s">
        <v>204</v>
      </c>
      <c r="D10025" s="765">
        <v>-38315.802785731918</v>
      </c>
      <c r="E10025" s="201">
        <v>45809</v>
      </c>
      <c r="F10025" s="200" t="s">
        <v>296</v>
      </c>
      <c r="G10025" s="200" t="s">
        <v>1311</v>
      </c>
      <c r="H10025" s="200" t="s">
        <v>342</v>
      </c>
    </row>
    <row r="10026" spans="1:8" ht="15" customHeight="1">
      <c r="A10026" s="199">
        <v>45820</v>
      </c>
      <c r="B10026" s="202" t="s">
        <v>7494</v>
      </c>
      <c r="C10026" s="200" t="s">
        <v>204</v>
      </c>
      <c r="D10026" s="765">
        <v>-55153.276672101434</v>
      </c>
      <c r="E10026" s="201">
        <v>45809</v>
      </c>
      <c r="F10026" s="200" t="s">
        <v>291</v>
      </c>
      <c r="G10026" s="200" t="s">
        <v>291</v>
      </c>
      <c r="H10026" s="200" t="s">
        <v>342</v>
      </c>
    </row>
    <row r="10027" spans="1:8" ht="15" customHeight="1">
      <c r="A10027" s="199">
        <v>45820</v>
      </c>
      <c r="B10027" s="202" t="s">
        <v>7494</v>
      </c>
      <c r="C10027" s="200" t="s">
        <v>204</v>
      </c>
      <c r="D10027" s="765">
        <v>-59720.850993940119</v>
      </c>
      <c r="E10027" s="201">
        <v>45809</v>
      </c>
      <c r="F10027" s="200" t="s">
        <v>291</v>
      </c>
      <c r="G10027" s="200" t="s">
        <v>291</v>
      </c>
      <c r="H10027" s="200" t="s">
        <v>342</v>
      </c>
    </row>
    <row r="10028" spans="1:8" ht="15" customHeight="1">
      <c r="A10028" s="199">
        <v>45820</v>
      </c>
      <c r="B10028" s="202" t="s">
        <v>7494</v>
      </c>
      <c r="C10028" s="200" t="s">
        <v>204</v>
      </c>
      <c r="D10028" s="765">
        <v>-46770.795658010953</v>
      </c>
      <c r="E10028" s="201">
        <v>45809</v>
      </c>
      <c r="F10028" s="200" t="s">
        <v>291</v>
      </c>
      <c r="G10028" s="200" t="s">
        <v>291</v>
      </c>
      <c r="H10028" s="200" t="s">
        <v>342</v>
      </c>
    </row>
    <row r="10029" spans="1:8" ht="15" customHeight="1">
      <c r="A10029" s="199">
        <v>45820</v>
      </c>
      <c r="B10029" s="202" t="s">
        <v>7494</v>
      </c>
      <c r="C10029" s="200" t="s">
        <v>204</v>
      </c>
      <c r="D10029" s="765">
        <v>-17938.763263109835</v>
      </c>
      <c r="E10029" s="201">
        <v>45809</v>
      </c>
      <c r="F10029" s="200" t="s">
        <v>296</v>
      </c>
      <c r="G10029" s="200" t="s">
        <v>2418</v>
      </c>
      <c r="H10029" s="200" t="s">
        <v>342</v>
      </c>
    </row>
    <row r="10030" spans="1:8" ht="15" customHeight="1">
      <c r="A10030" s="199">
        <v>45820</v>
      </c>
      <c r="B10030" s="202" t="s">
        <v>7494</v>
      </c>
      <c r="C10030" s="200" t="s">
        <v>204</v>
      </c>
      <c r="D10030" s="765">
        <v>-106349.8380248599</v>
      </c>
      <c r="E10030" s="201">
        <v>45809</v>
      </c>
      <c r="F10030" s="200" t="s">
        <v>291</v>
      </c>
      <c r="G10030" s="200" t="s">
        <v>291</v>
      </c>
      <c r="H10030" s="200" t="s">
        <v>342</v>
      </c>
    </row>
    <row r="10031" spans="1:8" ht="15" customHeight="1">
      <c r="A10031" s="199">
        <v>45820</v>
      </c>
      <c r="B10031" s="202" t="s">
        <v>7494</v>
      </c>
      <c r="C10031" s="200" t="s">
        <v>204</v>
      </c>
      <c r="D10031" s="765">
        <v>-70933.322555425606</v>
      </c>
      <c r="E10031" s="201">
        <v>45809</v>
      </c>
      <c r="F10031" s="200" t="s">
        <v>291</v>
      </c>
      <c r="G10031" s="200" t="s">
        <v>291</v>
      </c>
      <c r="H10031" s="200" t="s">
        <v>342</v>
      </c>
    </row>
    <row r="10032" spans="1:8" ht="15" customHeight="1">
      <c r="A10032" s="199">
        <v>45820</v>
      </c>
      <c r="B10032" s="202" t="s">
        <v>7494</v>
      </c>
      <c r="C10032" s="200" t="s">
        <v>204</v>
      </c>
      <c r="D10032" s="765">
        <v>-74058.096759363791</v>
      </c>
      <c r="E10032" s="201">
        <v>45809</v>
      </c>
      <c r="F10032" s="200" t="s">
        <v>291</v>
      </c>
      <c r="G10032" s="200" t="s">
        <v>291</v>
      </c>
      <c r="H10032" s="200" t="s">
        <v>342</v>
      </c>
    </row>
    <row r="10033" spans="1:8" ht="15" customHeight="1">
      <c r="A10033" s="199">
        <v>45820</v>
      </c>
      <c r="B10033" s="202" t="s">
        <v>7494</v>
      </c>
      <c r="C10033" s="200" t="s">
        <v>204</v>
      </c>
      <c r="D10033" s="765">
        <v>-8990.6901623567137</v>
      </c>
      <c r="E10033" s="201">
        <v>45809</v>
      </c>
      <c r="F10033" s="200" t="s">
        <v>297</v>
      </c>
      <c r="G10033" s="200" t="s">
        <v>69</v>
      </c>
      <c r="H10033" s="200" t="s">
        <v>342</v>
      </c>
    </row>
    <row r="10034" spans="1:8" ht="15" customHeight="1">
      <c r="A10034" s="199">
        <v>45820</v>
      </c>
      <c r="B10034" s="202" t="s">
        <v>7494</v>
      </c>
      <c r="C10034" s="200" t="s">
        <v>204</v>
      </c>
      <c r="D10034" s="765">
        <v>-56880.511407831575</v>
      </c>
      <c r="E10034" s="201">
        <v>45809</v>
      </c>
      <c r="F10034" s="200" t="s">
        <v>297</v>
      </c>
      <c r="G10034" s="200" t="s">
        <v>75</v>
      </c>
      <c r="H10034" s="200" t="s">
        <v>342</v>
      </c>
    </row>
    <row r="10035" spans="1:8" ht="15" customHeight="1">
      <c r="A10035" s="199">
        <v>45820</v>
      </c>
      <c r="B10035" s="202" t="s">
        <v>7494</v>
      </c>
      <c r="C10035" s="200" t="s">
        <v>204</v>
      </c>
      <c r="D10035" s="765">
        <v>-79839.207092840559</v>
      </c>
      <c r="E10035" s="201">
        <v>45809</v>
      </c>
      <c r="F10035" s="200" t="s">
        <v>297</v>
      </c>
      <c r="G10035" s="200" t="s">
        <v>71</v>
      </c>
      <c r="H10035" s="200" t="s">
        <v>342</v>
      </c>
    </row>
    <row r="10036" spans="1:8" ht="15" customHeight="1">
      <c r="A10036" s="199">
        <v>45820</v>
      </c>
      <c r="B10036" s="202" t="s">
        <v>7494</v>
      </c>
      <c r="C10036" s="200" t="s">
        <v>204</v>
      </c>
      <c r="D10036" s="765">
        <v>-285048.8446244275</v>
      </c>
      <c r="E10036" s="201">
        <v>45809</v>
      </c>
      <c r="F10036" s="200" t="s">
        <v>291</v>
      </c>
      <c r="G10036" s="200" t="s">
        <v>291</v>
      </c>
      <c r="H10036" s="200" t="s">
        <v>342</v>
      </c>
    </row>
    <row r="10037" spans="1:8" ht="15" customHeight="1">
      <c r="A10037" s="199">
        <v>45820</v>
      </c>
      <c r="B10037" s="202" t="s">
        <v>7495</v>
      </c>
      <c r="C10037" s="200" t="s">
        <v>204</v>
      </c>
      <c r="D10037" s="765">
        <v>-34558.725457019871</v>
      </c>
      <c r="E10037" s="201">
        <v>45809</v>
      </c>
      <c r="F10037" s="200" t="s">
        <v>296</v>
      </c>
      <c r="G10037" s="200" t="s">
        <v>1311</v>
      </c>
      <c r="H10037" s="200" t="s">
        <v>342</v>
      </c>
    </row>
    <row r="10038" spans="1:8" ht="15" customHeight="1">
      <c r="A10038" s="199">
        <v>45820</v>
      </c>
      <c r="B10038" s="202" t="s">
        <v>7495</v>
      </c>
      <c r="C10038" s="200" t="s">
        <v>204</v>
      </c>
      <c r="D10038" s="765">
        <v>-49745.191487309268</v>
      </c>
      <c r="E10038" s="201">
        <v>45809</v>
      </c>
      <c r="F10038" s="200" t="s">
        <v>291</v>
      </c>
      <c r="G10038" s="200" t="s">
        <v>291</v>
      </c>
      <c r="H10038" s="200" t="s">
        <v>342</v>
      </c>
    </row>
    <row r="10039" spans="1:8" ht="15" customHeight="1">
      <c r="A10039" s="199">
        <v>45820</v>
      </c>
      <c r="B10039" s="202" t="s">
        <v>7495</v>
      </c>
      <c r="C10039" s="200" t="s">
        <v>204</v>
      </c>
      <c r="D10039" s="765">
        <v>-53864.889771478767</v>
      </c>
      <c r="E10039" s="201">
        <v>45809</v>
      </c>
      <c r="F10039" s="200" t="s">
        <v>291</v>
      </c>
      <c r="G10039" s="200" t="s">
        <v>291</v>
      </c>
      <c r="H10039" s="200" t="s">
        <v>342</v>
      </c>
    </row>
    <row r="10040" spans="1:8" ht="15" customHeight="1">
      <c r="A10040" s="199">
        <v>45820</v>
      </c>
      <c r="B10040" s="202" t="s">
        <v>7495</v>
      </c>
      <c r="C10040" s="200" t="s">
        <v>204</v>
      </c>
      <c r="D10040" s="765">
        <v>-42184.65930598932</v>
      </c>
      <c r="E10040" s="201">
        <v>45809</v>
      </c>
      <c r="F10040" s="200" t="s">
        <v>291</v>
      </c>
      <c r="G10040" s="200" t="s">
        <v>291</v>
      </c>
      <c r="H10040" s="200" t="s">
        <v>342</v>
      </c>
    </row>
    <row r="10041" spans="1:8" ht="15" customHeight="1">
      <c r="A10041" s="199">
        <v>45820</v>
      </c>
      <c r="B10041" s="202" t="s">
        <v>7495</v>
      </c>
      <c r="C10041" s="200" t="s">
        <v>204</v>
      </c>
      <c r="D10041" s="765">
        <v>-16179.76786536601</v>
      </c>
      <c r="E10041" s="201">
        <v>45809</v>
      </c>
      <c r="F10041" s="200" t="s">
        <v>296</v>
      </c>
      <c r="G10041" s="200" t="s">
        <v>2418</v>
      </c>
      <c r="H10041" s="200" t="s">
        <v>342</v>
      </c>
    </row>
    <row r="10042" spans="1:8" ht="15" customHeight="1">
      <c r="A10042" s="199">
        <v>45820</v>
      </c>
      <c r="B10042" s="202" t="s">
        <v>7495</v>
      </c>
      <c r="C10042" s="200" t="s">
        <v>204</v>
      </c>
      <c r="D10042" s="765">
        <v>-95921.645574088921</v>
      </c>
      <c r="E10042" s="201">
        <v>45809</v>
      </c>
      <c r="F10042" s="200" t="s">
        <v>291</v>
      </c>
      <c r="G10042" s="200" t="s">
        <v>291</v>
      </c>
      <c r="H10042" s="200" t="s">
        <v>342</v>
      </c>
    </row>
    <row r="10043" spans="1:8" ht="15" customHeight="1">
      <c r="A10043" s="199">
        <v>45820</v>
      </c>
      <c r="B10043" s="202" t="s">
        <v>7495</v>
      </c>
      <c r="C10043" s="200" t="s">
        <v>204</v>
      </c>
      <c r="D10043" s="765">
        <v>-63977.916204851936</v>
      </c>
      <c r="E10043" s="201">
        <v>45809</v>
      </c>
      <c r="F10043" s="200" t="s">
        <v>291</v>
      </c>
      <c r="G10043" s="200" t="s">
        <v>291</v>
      </c>
      <c r="H10043" s="200" t="s">
        <v>342</v>
      </c>
    </row>
    <row r="10044" spans="1:8" ht="15" customHeight="1">
      <c r="A10044" s="199">
        <v>45820</v>
      </c>
      <c r="B10044" s="202" t="s">
        <v>7495</v>
      </c>
      <c r="C10044" s="200" t="s">
        <v>204</v>
      </c>
      <c r="D10044" s="765">
        <v>-66796.288938237281</v>
      </c>
      <c r="E10044" s="201">
        <v>45809</v>
      </c>
      <c r="F10044" s="200" t="s">
        <v>291</v>
      </c>
      <c r="G10044" s="200" t="s">
        <v>291</v>
      </c>
      <c r="H10044" s="200" t="s">
        <v>342</v>
      </c>
    </row>
    <row r="10045" spans="1:8" ht="15" customHeight="1">
      <c r="A10045" s="199">
        <v>45820</v>
      </c>
      <c r="B10045" s="202" t="s">
        <v>7495</v>
      </c>
      <c r="C10045" s="200" t="s">
        <v>204</v>
      </c>
      <c r="D10045" s="765">
        <v>-8109.1030436589581</v>
      </c>
      <c r="E10045" s="201">
        <v>45809</v>
      </c>
      <c r="F10045" s="200" t="s">
        <v>297</v>
      </c>
      <c r="G10045" s="200" t="s">
        <v>69</v>
      </c>
      <c r="H10045" s="200" t="s">
        <v>342</v>
      </c>
    </row>
    <row r="10046" spans="1:8" ht="15" customHeight="1">
      <c r="A10046" s="199">
        <v>45820</v>
      </c>
      <c r="B10046" s="202" t="s">
        <v>7495</v>
      </c>
      <c r="C10046" s="200" t="s">
        <v>204</v>
      </c>
      <c r="D10046" s="765">
        <v>-51303.061261452538</v>
      </c>
      <c r="E10046" s="201">
        <v>45809</v>
      </c>
      <c r="F10046" s="200" t="s">
        <v>297</v>
      </c>
      <c r="G10046" s="200" t="s">
        <v>75</v>
      </c>
      <c r="H10046" s="200" t="s">
        <v>342</v>
      </c>
    </row>
    <row r="10047" spans="1:8" ht="15" customHeight="1">
      <c r="A10047" s="199">
        <v>45820</v>
      </c>
      <c r="B10047" s="202" t="s">
        <v>7495</v>
      </c>
      <c r="C10047" s="200" t="s">
        <v>204</v>
      </c>
      <c r="D10047" s="765">
        <v>-72010.529286237026</v>
      </c>
      <c r="E10047" s="201">
        <v>45809</v>
      </c>
      <c r="F10047" s="200" t="s">
        <v>297</v>
      </c>
      <c r="G10047" s="200" t="s">
        <v>71</v>
      </c>
      <c r="H10047" s="200" t="s">
        <v>342</v>
      </c>
    </row>
    <row r="10048" spans="1:8" ht="15" customHeight="1">
      <c r="A10048" s="199">
        <v>45820</v>
      </c>
      <c r="B10048" s="202" t="s">
        <v>7495</v>
      </c>
      <c r="C10048" s="200" t="s">
        <v>204</v>
      </c>
      <c r="D10048" s="765">
        <v>-257098.22180431001</v>
      </c>
      <c r="E10048" s="201">
        <v>45809</v>
      </c>
      <c r="F10048" s="200" t="s">
        <v>291</v>
      </c>
      <c r="G10048" s="200" t="s">
        <v>291</v>
      </c>
      <c r="H10048" s="200" t="s">
        <v>342</v>
      </c>
    </row>
    <row r="10049" spans="1:8" ht="15" customHeight="1">
      <c r="A10049" s="199">
        <v>45820</v>
      </c>
      <c r="B10049" s="202" t="s">
        <v>7496</v>
      </c>
      <c r="C10049" s="200" t="s">
        <v>204</v>
      </c>
      <c r="D10049" s="765">
        <v>-34613.620081939851</v>
      </c>
      <c r="E10049" s="201">
        <v>45809</v>
      </c>
      <c r="F10049" s="200" t="s">
        <v>296</v>
      </c>
      <c r="G10049" s="200" t="s">
        <v>1311</v>
      </c>
      <c r="H10049" s="200" t="s">
        <v>342</v>
      </c>
    </row>
    <row r="10050" spans="1:8" ht="15" customHeight="1">
      <c r="A10050" s="199">
        <v>45820</v>
      </c>
      <c r="B10050" s="202" t="s">
        <v>7496</v>
      </c>
      <c r="C10050" s="200" t="s">
        <v>204</v>
      </c>
      <c r="D10050" s="765">
        <v>-49824.208973983208</v>
      </c>
      <c r="E10050" s="201">
        <v>45809</v>
      </c>
      <c r="F10050" s="200" t="s">
        <v>291</v>
      </c>
      <c r="G10050" s="200" t="s">
        <v>291</v>
      </c>
      <c r="H10050" s="200" t="s">
        <v>342</v>
      </c>
    </row>
    <row r="10051" spans="1:8" ht="15" customHeight="1">
      <c r="A10051" s="199">
        <v>45820</v>
      </c>
      <c r="B10051" s="202" t="s">
        <v>7496</v>
      </c>
      <c r="C10051" s="200" t="s">
        <v>204</v>
      </c>
      <c r="D10051" s="765">
        <v>-53950.45117113278</v>
      </c>
      <c r="E10051" s="201">
        <v>45809</v>
      </c>
      <c r="F10051" s="200" t="s">
        <v>291</v>
      </c>
      <c r="G10051" s="200" t="s">
        <v>291</v>
      </c>
      <c r="H10051" s="200" t="s">
        <v>342</v>
      </c>
    </row>
    <row r="10052" spans="1:8" ht="15" customHeight="1">
      <c r="A10052" s="199">
        <v>45820</v>
      </c>
      <c r="B10052" s="202" t="s">
        <v>7496</v>
      </c>
      <c r="C10052" s="200" t="s">
        <v>204</v>
      </c>
      <c r="D10052" s="765">
        <v>-42251.667305253053</v>
      </c>
      <c r="E10052" s="201">
        <v>45809</v>
      </c>
      <c r="F10052" s="200" t="s">
        <v>291</v>
      </c>
      <c r="G10052" s="200" t="s">
        <v>291</v>
      </c>
      <c r="H10052" s="200" t="s">
        <v>342</v>
      </c>
    </row>
    <row r="10053" spans="1:8" ht="15" customHeight="1">
      <c r="A10053" s="199">
        <v>45820</v>
      </c>
      <c r="B10053" s="202" t="s">
        <v>7496</v>
      </c>
      <c r="C10053" s="200" t="s">
        <v>204</v>
      </c>
      <c r="D10053" s="765">
        <v>-16205.468532173476</v>
      </c>
      <c r="E10053" s="201">
        <v>45809</v>
      </c>
      <c r="F10053" s="200" t="s">
        <v>296</v>
      </c>
      <c r="G10053" s="200" t="s">
        <v>2418</v>
      </c>
      <c r="H10053" s="200" t="s">
        <v>342</v>
      </c>
    </row>
    <row r="10054" spans="1:8" ht="15" customHeight="1">
      <c r="A10054" s="199">
        <v>45820</v>
      </c>
      <c r="B10054" s="202" t="s">
        <v>7496</v>
      </c>
      <c r="C10054" s="200" t="s">
        <v>204</v>
      </c>
      <c r="D10054" s="765">
        <v>-96074.011805362272</v>
      </c>
      <c r="E10054" s="201">
        <v>45809</v>
      </c>
      <c r="F10054" s="200" t="s">
        <v>291</v>
      </c>
      <c r="G10054" s="200" t="s">
        <v>291</v>
      </c>
      <c r="H10054" s="200" t="s">
        <v>342</v>
      </c>
    </row>
    <row r="10055" spans="1:8" ht="15" customHeight="1">
      <c r="A10055" s="199">
        <v>45820</v>
      </c>
      <c r="B10055" s="202" t="s">
        <v>7496</v>
      </c>
      <c r="C10055" s="200" t="s">
        <v>204</v>
      </c>
      <c r="D10055" s="765">
        <v>-64079.541587929067</v>
      </c>
      <c r="E10055" s="201">
        <v>45809</v>
      </c>
      <c r="F10055" s="200" t="s">
        <v>291</v>
      </c>
      <c r="G10055" s="200" t="s">
        <v>291</v>
      </c>
      <c r="H10055" s="200" t="s">
        <v>342</v>
      </c>
    </row>
    <row r="10056" spans="1:8" ht="15" customHeight="1">
      <c r="A10056" s="199">
        <v>45820</v>
      </c>
      <c r="B10056" s="202" t="s">
        <v>7496</v>
      </c>
      <c r="C10056" s="200" t="s">
        <v>204</v>
      </c>
      <c r="D10056" s="765">
        <v>-66902.391150596683</v>
      </c>
      <c r="E10056" s="201">
        <v>45809</v>
      </c>
      <c r="F10056" s="200" t="s">
        <v>291</v>
      </c>
      <c r="G10056" s="200" t="s">
        <v>291</v>
      </c>
      <c r="H10056" s="200" t="s">
        <v>342</v>
      </c>
    </row>
    <row r="10057" spans="1:8" ht="15" customHeight="1">
      <c r="A10057" s="199">
        <v>45820</v>
      </c>
      <c r="B10057" s="202" t="s">
        <v>7496</v>
      </c>
      <c r="C10057" s="200" t="s">
        <v>204</v>
      </c>
      <c r="D10057" s="765">
        <v>-8121.9839055580096</v>
      </c>
      <c r="E10057" s="201">
        <v>45809</v>
      </c>
      <c r="F10057" s="200" t="s">
        <v>297</v>
      </c>
      <c r="G10057" s="200" t="s">
        <v>69</v>
      </c>
      <c r="H10057" s="200" t="s">
        <v>342</v>
      </c>
    </row>
    <row r="10058" spans="1:8" ht="15" customHeight="1">
      <c r="A10058" s="199">
        <v>45820</v>
      </c>
      <c r="B10058" s="202" t="s">
        <v>7496</v>
      </c>
      <c r="C10058" s="200" t="s">
        <v>204</v>
      </c>
      <c r="D10058" s="765">
        <v>-51384.553338140853</v>
      </c>
      <c r="E10058" s="201">
        <v>45809</v>
      </c>
      <c r="F10058" s="200" t="s">
        <v>297</v>
      </c>
      <c r="G10058" s="200" t="s">
        <v>75</v>
      </c>
      <c r="H10058" s="200" t="s">
        <v>342</v>
      </c>
    </row>
    <row r="10059" spans="1:8" ht="15" customHeight="1">
      <c r="A10059" s="199">
        <v>45820</v>
      </c>
      <c r="B10059" s="202" t="s">
        <v>7496</v>
      </c>
      <c r="C10059" s="200" t="s">
        <v>204</v>
      </c>
      <c r="D10059" s="765">
        <v>-72124.91403113665</v>
      </c>
      <c r="E10059" s="201">
        <v>45809</v>
      </c>
      <c r="F10059" s="200" t="s">
        <v>297</v>
      </c>
      <c r="G10059" s="200" t="s">
        <v>71</v>
      </c>
      <c r="H10059" s="200" t="s">
        <v>342</v>
      </c>
    </row>
    <row r="10060" spans="1:8" ht="15" customHeight="1">
      <c r="A10060" s="199">
        <v>45820</v>
      </c>
      <c r="B10060" s="202" t="s">
        <v>7496</v>
      </c>
      <c r="C10060" s="200" t="s">
        <v>204</v>
      </c>
      <c r="D10060" s="765">
        <v>-257506.60811679406</v>
      </c>
      <c r="E10060" s="201">
        <v>45809</v>
      </c>
      <c r="F10060" s="200" t="s">
        <v>291</v>
      </c>
      <c r="G10060" s="200" t="s">
        <v>291</v>
      </c>
      <c r="H10060" s="200" t="s">
        <v>342</v>
      </c>
    </row>
    <row r="10061" spans="1:8" ht="15" customHeight="1">
      <c r="A10061" s="199">
        <v>45820</v>
      </c>
      <c r="B10061" s="202" t="s">
        <v>7497</v>
      </c>
      <c r="C10061" s="200" t="s">
        <v>204</v>
      </c>
      <c r="D10061" s="765">
        <v>-34926.514590648694</v>
      </c>
      <c r="E10061" s="201">
        <v>45809</v>
      </c>
      <c r="F10061" s="200" t="s">
        <v>296</v>
      </c>
      <c r="G10061" s="200" t="s">
        <v>1311</v>
      </c>
      <c r="H10061" s="200" t="s">
        <v>342</v>
      </c>
    </row>
    <row r="10062" spans="1:8" ht="15" customHeight="1">
      <c r="A10062" s="199">
        <v>45820</v>
      </c>
      <c r="B10062" s="202" t="s">
        <v>7497</v>
      </c>
      <c r="C10062" s="200" t="s">
        <v>204</v>
      </c>
      <c r="D10062" s="765">
        <v>-50274.601661942914</v>
      </c>
      <c r="E10062" s="201">
        <v>45809</v>
      </c>
      <c r="F10062" s="200" t="s">
        <v>291</v>
      </c>
      <c r="G10062" s="200" t="s">
        <v>291</v>
      </c>
      <c r="H10062" s="200" t="s">
        <v>342</v>
      </c>
    </row>
    <row r="10063" spans="1:8" ht="15" customHeight="1">
      <c r="A10063" s="199">
        <v>45820</v>
      </c>
      <c r="B10063" s="202" t="s">
        <v>7497</v>
      </c>
      <c r="C10063" s="200" t="s">
        <v>204</v>
      </c>
      <c r="D10063" s="765">
        <v>-54438.143584519486</v>
      </c>
      <c r="E10063" s="201">
        <v>45809</v>
      </c>
      <c r="F10063" s="200" t="s">
        <v>291</v>
      </c>
      <c r="G10063" s="200" t="s">
        <v>291</v>
      </c>
      <c r="H10063" s="200" t="s">
        <v>342</v>
      </c>
    </row>
    <row r="10064" spans="1:8" ht="15" customHeight="1">
      <c r="A10064" s="199">
        <v>45820</v>
      </c>
      <c r="B10064" s="202" t="s">
        <v>7497</v>
      </c>
      <c r="C10064" s="200" t="s">
        <v>204</v>
      </c>
      <c r="D10064" s="765">
        <v>-42633.606976755495</v>
      </c>
      <c r="E10064" s="201">
        <v>45809</v>
      </c>
      <c r="F10064" s="200" t="s">
        <v>291</v>
      </c>
      <c r="G10064" s="200" t="s">
        <v>291</v>
      </c>
      <c r="H10064" s="200" t="s">
        <v>342</v>
      </c>
    </row>
    <row r="10065" spans="1:8" ht="15" customHeight="1">
      <c r="A10065" s="199">
        <v>45820</v>
      </c>
      <c r="B10065" s="202" t="s">
        <v>7497</v>
      </c>
      <c r="C10065" s="200" t="s">
        <v>204</v>
      </c>
      <c r="D10065" s="765">
        <v>-16351.960060732681</v>
      </c>
      <c r="E10065" s="201">
        <v>45809</v>
      </c>
      <c r="F10065" s="200" t="s">
        <v>296</v>
      </c>
      <c r="G10065" s="200" t="s">
        <v>2418</v>
      </c>
      <c r="H10065" s="200" t="s">
        <v>342</v>
      </c>
    </row>
    <row r="10066" spans="1:8" ht="15" customHeight="1">
      <c r="A10066" s="199">
        <v>45820</v>
      </c>
      <c r="B10066" s="202" t="s">
        <v>7497</v>
      </c>
      <c r="C10066" s="200" t="s">
        <v>204</v>
      </c>
      <c r="D10066" s="765">
        <v>-96942.485852640879</v>
      </c>
      <c r="E10066" s="201">
        <v>45809</v>
      </c>
      <c r="F10066" s="200" t="s">
        <v>291</v>
      </c>
      <c r="G10066" s="200" t="s">
        <v>291</v>
      </c>
      <c r="H10066" s="200" t="s">
        <v>342</v>
      </c>
    </row>
    <row r="10067" spans="1:8" ht="15" customHeight="1">
      <c r="A10067" s="199">
        <v>45820</v>
      </c>
      <c r="B10067" s="202" t="s">
        <v>7497</v>
      </c>
      <c r="C10067" s="200" t="s">
        <v>204</v>
      </c>
      <c r="D10067" s="765">
        <v>-64658.797286581183</v>
      </c>
      <c r="E10067" s="201">
        <v>45809</v>
      </c>
      <c r="F10067" s="200" t="s">
        <v>291</v>
      </c>
      <c r="G10067" s="200" t="s">
        <v>291</v>
      </c>
      <c r="H10067" s="200" t="s">
        <v>342</v>
      </c>
    </row>
    <row r="10068" spans="1:8" ht="15" customHeight="1">
      <c r="A10068" s="199">
        <v>45820</v>
      </c>
      <c r="B10068" s="202" t="s">
        <v>7497</v>
      </c>
      <c r="C10068" s="200" t="s">
        <v>204</v>
      </c>
      <c r="D10068" s="765">
        <v>-67507.164380353002</v>
      </c>
      <c r="E10068" s="201">
        <v>45809</v>
      </c>
      <c r="F10068" s="200" t="s">
        <v>291</v>
      </c>
      <c r="G10068" s="200" t="s">
        <v>291</v>
      </c>
      <c r="H10068" s="200" t="s">
        <v>342</v>
      </c>
    </row>
    <row r="10069" spans="1:8" ht="15" customHeight="1">
      <c r="A10069" s="199">
        <v>45820</v>
      </c>
      <c r="B10069" s="202" t="s">
        <v>7497</v>
      </c>
      <c r="C10069" s="200" t="s">
        <v>204</v>
      </c>
      <c r="D10069" s="765">
        <v>-8195.4036795618467</v>
      </c>
      <c r="E10069" s="201">
        <v>45809</v>
      </c>
      <c r="F10069" s="200" t="s">
        <v>297</v>
      </c>
      <c r="G10069" s="200" t="s">
        <v>69</v>
      </c>
      <c r="H10069" s="200" t="s">
        <v>342</v>
      </c>
    </row>
    <row r="10070" spans="1:8" ht="15" customHeight="1">
      <c r="A10070" s="199">
        <v>45820</v>
      </c>
      <c r="B10070" s="202" t="s">
        <v>7497</v>
      </c>
      <c r="C10070" s="200" t="s">
        <v>204</v>
      </c>
      <c r="D10070" s="765">
        <v>-51849.05097039949</v>
      </c>
      <c r="E10070" s="201">
        <v>45809</v>
      </c>
      <c r="F10070" s="200" t="s">
        <v>297</v>
      </c>
      <c r="G10070" s="200" t="s">
        <v>75</v>
      </c>
      <c r="H10070" s="200" t="s">
        <v>342</v>
      </c>
    </row>
    <row r="10071" spans="1:8" ht="15" customHeight="1">
      <c r="A10071" s="199">
        <v>45820</v>
      </c>
      <c r="B10071" s="202" t="s">
        <v>7497</v>
      </c>
      <c r="C10071" s="200" t="s">
        <v>204</v>
      </c>
      <c r="D10071" s="765">
        <v>-72776.896964098196</v>
      </c>
      <c r="E10071" s="201">
        <v>45809</v>
      </c>
      <c r="F10071" s="200" t="s">
        <v>297</v>
      </c>
      <c r="G10071" s="200" t="s">
        <v>71</v>
      </c>
      <c r="H10071" s="200" t="s">
        <v>342</v>
      </c>
    </row>
    <row r="10072" spans="1:8" ht="15" customHeight="1">
      <c r="A10072" s="199">
        <v>45820</v>
      </c>
      <c r="B10072" s="202" t="s">
        <v>7497</v>
      </c>
      <c r="C10072" s="200" t="s">
        <v>204</v>
      </c>
      <c r="D10072" s="765">
        <v>-259834.37399176607</v>
      </c>
      <c r="E10072" s="201">
        <v>45809</v>
      </c>
      <c r="F10072" s="200" t="s">
        <v>291</v>
      </c>
      <c r="G10072" s="200" t="s">
        <v>291</v>
      </c>
      <c r="H10072" s="200" t="s">
        <v>342</v>
      </c>
    </row>
    <row r="10073" spans="1:8" ht="15" customHeight="1">
      <c r="A10073" s="199">
        <v>45820</v>
      </c>
      <c r="B10073" s="202" t="s">
        <v>7498</v>
      </c>
      <c r="C10073" s="200" t="s">
        <v>204</v>
      </c>
      <c r="D10073" s="765">
        <v>-34558.725457019871</v>
      </c>
      <c r="E10073" s="201">
        <v>45809</v>
      </c>
      <c r="F10073" s="200" t="s">
        <v>296</v>
      </c>
      <c r="G10073" s="200" t="s">
        <v>1311</v>
      </c>
      <c r="H10073" s="200" t="s">
        <v>342</v>
      </c>
    </row>
    <row r="10074" spans="1:8" ht="15" customHeight="1">
      <c r="A10074" s="199">
        <v>45820</v>
      </c>
      <c r="B10074" s="202" t="s">
        <v>7498</v>
      </c>
      <c r="C10074" s="200" t="s">
        <v>204</v>
      </c>
      <c r="D10074" s="765">
        <v>-49745.191487309268</v>
      </c>
      <c r="E10074" s="201">
        <v>45809</v>
      </c>
      <c r="F10074" s="200" t="s">
        <v>291</v>
      </c>
      <c r="G10074" s="200" t="s">
        <v>291</v>
      </c>
      <c r="H10074" s="200" t="s">
        <v>342</v>
      </c>
    </row>
    <row r="10075" spans="1:8" ht="15" customHeight="1">
      <c r="A10075" s="199">
        <v>45820</v>
      </c>
      <c r="B10075" s="202" t="s">
        <v>7498</v>
      </c>
      <c r="C10075" s="200" t="s">
        <v>204</v>
      </c>
      <c r="D10075" s="765">
        <v>-53864.889771478767</v>
      </c>
      <c r="E10075" s="201">
        <v>45809</v>
      </c>
      <c r="F10075" s="200" t="s">
        <v>291</v>
      </c>
      <c r="G10075" s="200" t="s">
        <v>291</v>
      </c>
      <c r="H10075" s="200" t="s">
        <v>342</v>
      </c>
    </row>
    <row r="10076" spans="1:8" ht="15" customHeight="1">
      <c r="A10076" s="199">
        <v>45820</v>
      </c>
      <c r="B10076" s="202" t="s">
        <v>7498</v>
      </c>
      <c r="C10076" s="200" t="s">
        <v>204</v>
      </c>
      <c r="D10076" s="765">
        <v>-42184.65930598932</v>
      </c>
      <c r="E10076" s="201">
        <v>45809</v>
      </c>
      <c r="F10076" s="200" t="s">
        <v>291</v>
      </c>
      <c r="G10076" s="200" t="s">
        <v>291</v>
      </c>
      <c r="H10076" s="200" t="s">
        <v>342</v>
      </c>
    </row>
    <row r="10077" spans="1:8" ht="15" customHeight="1">
      <c r="A10077" s="199">
        <v>45820</v>
      </c>
      <c r="B10077" s="202" t="s">
        <v>7498</v>
      </c>
      <c r="C10077" s="200" t="s">
        <v>204</v>
      </c>
      <c r="D10077" s="765">
        <v>-16179.76786536601</v>
      </c>
      <c r="E10077" s="201">
        <v>45809</v>
      </c>
      <c r="F10077" s="200" t="s">
        <v>296</v>
      </c>
      <c r="G10077" s="200" t="s">
        <v>2418</v>
      </c>
      <c r="H10077" s="200" t="s">
        <v>342</v>
      </c>
    </row>
    <row r="10078" spans="1:8" ht="15" customHeight="1">
      <c r="A10078" s="199">
        <v>45820</v>
      </c>
      <c r="B10078" s="202" t="s">
        <v>7498</v>
      </c>
      <c r="C10078" s="200" t="s">
        <v>204</v>
      </c>
      <c r="D10078" s="765">
        <v>-95921.645574088921</v>
      </c>
      <c r="E10078" s="201">
        <v>45809</v>
      </c>
      <c r="F10078" s="200" t="s">
        <v>291</v>
      </c>
      <c r="G10078" s="200" t="s">
        <v>291</v>
      </c>
      <c r="H10078" s="200" t="s">
        <v>342</v>
      </c>
    </row>
    <row r="10079" spans="1:8" ht="15" customHeight="1">
      <c r="A10079" s="199">
        <v>45820</v>
      </c>
      <c r="B10079" s="202" t="s">
        <v>7498</v>
      </c>
      <c r="C10079" s="200" t="s">
        <v>204</v>
      </c>
      <c r="D10079" s="765">
        <v>-63977.916204851936</v>
      </c>
      <c r="E10079" s="201">
        <v>45809</v>
      </c>
      <c r="F10079" s="200" t="s">
        <v>291</v>
      </c>
      <c r="G10079" s="200" t="s">
        <v>291</v>
      </c>
      <c r="H10079" s="200" t="s">
        <v>342</v>
      </c>
    </row>
    <row r="10080" spans="1:8" ht="15" customHeight="1">
      <c r="A10080" s="199">
        <v>45820</v>
      </c>
      <c r="B10080" s="202" t="s">
        <v>7498</v>
      </c>
      <c r="C10080" s="200" t="s">
        <v>204</v>
      </c>
      <c r="D10080" s="765">
        <v>-66796.288938237281</v>
      </c>
      <c r="E10080" s="201">
        <v>45809</v>
      </c>
      <c r="F10080" s="200" t="s">
        <v>291</v>
      </c>
      <c r="G10080" s="200" t="s">
        <v>291</v>
      </c>
      <c r="H10080" s="200" t="s">
        <v>342</v>
      </c>
    </row>
    <row r="10081" spans="1:8" ht="15" customHeight="1">
      <c r="A10081" s="199">
        <v>45820</v>
      </c>
      <c r="B10081" s="202" t="s">
        <v>7498</v>
      </c>
      <c r="C10081" s="200" t="s">
        <v>204</v>
      </c>
      <c r="D10081" s="765">
        <v>-8109.1030436589581</v>
      </c>
      <c r="E10081" s="201">
        <v>45809</v>
      </c>
      <c r="F10081" s="200" t="s">
        <v>297</v>
      </c>
      <c r="G10081" s="200" t="s">
        <v>69</v>
      </c>
      <c r="H10081" s="200" t="s">
        <v>342</v>
      </c>
    </row>
    <row r="10082" spans="1:8" ht="15" customHeight="1">
      <c r="A10082" s="199">
        <v>45820</v>
      </c>
      <c r="B10082" s="202" t="s">
        <v>7498</v>
      </c>
      <c r="C10082" s="200" t="s">
        <v>204</v>
      </c>
      <c r="D10082" s="765">
        <v>-51303.061261452538</v>
      </c>
      <c r="E10082" s="201">
        <v>45809</v>
      </c>
      <c r="F10082" s="200" t="s">
        <v>297</v>
      </c>
      <c r="G10082" s="200" t="s">
        <v>75</v>
      </c>
      <c r="H10082" s="200" t="s">
        <v>342</v>
      </c>
    </row>
    <row r="10083" spans="1:8" ht="15" customHeight="1">
      <c r="A10083" s="199">
        <v>45820</v>
      </c>
      <c r="B10083" s="202" t="s">
        <v>7498</v>
      </c>
      <c r="C10083" s="200" t="s">
        <v>204</v>
      </c>
      <c r="D10083" s="765">
        <v>-72010.529286237026</v>
      </c>
      <c r="E10083" s="201">
        <v>45809</v>
      </c>
      <c r="F10083" s="200" t="s">
        <v>297</v>
      </c>
      <c r="G10083" s="200" t="s">
        <v>71</v>
      </c>
      <c r="H10083" s="200" t="s">
        <v>342</v>
      </c>
    </row>
    <row r="10084" spans="1:8" ht="15" customHeight="1">
      <c r="A10084" s="199">
        <v>45820</v>
      </c>
      <c r="B10084" s="202" t="s">
        <v>7498</v>
      </c>
      <c r="C10084" s="200" t="s">
        <v>204</v>
      </c>
      <c r="D10084" s="765">
        <v>-257098.22180431001</v>
      </c>
      <c r="E10084" s="201">
        <v>45809</v>
      </c>
      <c r="F10084" s="200" t="s">
        <v>291</v>
      </c>
      <c r="G10084" s="200" t="s">
        <v>291</v>
      </c>
      <c r="H10084" s="200" t="s">
        <v>342</v>
      </c>
    </row>
    <row r="10085" spans="1:8" ht="15" customHeight="1">
      <c r="A10085" s="199">
        <v>45820</v>
      </c>
      <c r="B10085" s="202" t="s">
        <v>7499</v>
      </c>
      <c r="C10085" s="200" t="s">
        <v>204</v>
      </c>
      <c r="D10085" s="765">
        <v>-34558.725457019871</v>
      </c>
      <c r="E10085" s="201">
        <v>45809</v>
      </c>
      <c r="F10085" s="200" t="s">
        <v>296</v>
      </c>
      <c r="G10085" s="200" t="s">
        <v>1311</v>
      </c>
      <c r="H10085" s="200" t="s">
        <v>342</v>
      </c>
    </row>
    <row r="10086" spans="1:8" ht="15" customHeight="1">
      <c r="A10086" s="199">
        <v>45820</v>
      </c>
      <c r="B10086" s="202" t="s">
        <v>7499</v>
      </c>
      <c r="C10086" s="200" t="s">
        <v>204</v>
      </c>
      <c r="D10086" s="765">
        <v>-49745.191487309268</v>
      </c>
      <c r="E10086" s="201">
        <v>45809</v>
      </c>
      <c r="F10086" s="200" t="s">
        <v>291</v>
      </c>
      <c r="G10086" s="200" t="s">
        <v>291</v>
      </c>
      <c r="H10086" s="200" t="s">
        <v>342</v>
      </c>
    </row>
    <row r="10087" spans="1:8" ht="15" customHeight="1">
      <c r="A10087" s="199">
        <v>45820</v>
      </c>
      <c r="B10087" s="202" t="s">
        <v>7499</v>
      </c>
      <c r="C10087" s="200" t="s">
        <v>204</v>
      </c>
      <c r="D10087" s="765">
        <v>-53864.889771478767</v>
      </c>
      <c r="E10087" s="201">
        <v>45809</v>
      </c>
      <c r="F10087" s="200" t="s">
        <v>291</v>
      </c>
      <c r="G10087" s="200" t="s">
        <v>291</v>
      </c>
      <c r="H10087" s="200" t="s">
        <v>342</v>
      </c>
    </row>
    <row r="10088" spans="1:8" ht="15" customHeight="1">
      <c r="A10088" s="199">
        <v>45820</v>
      </c>
      <c r="B10088" s="202" t="s">
        <v>7499</v>
      </c>
      <c r="C10088" s="200" t="s">
        <v>204</v>
      </c>
      <c r="D10088" s="765">
        <v>-42184.65930598932</v>
      </c>
      <c r="E10088" s="201">
        <v>45809</v>
      </c>
      <c r="F10088" s="200" t="s">
        <v>291</v>
      </c>
      <c r="G10088" s="200" t="s">
        <v>291</v>
      </c>
      <c r="H10088" s="200" t="s">
        <v>342</v>
      </c>
    </row>
    <row r="10089" spans="1:8" ht="15" customHeight="1">
      <c r="A10089" s="199">
        <v>45820</v>
      </c>
      <c r="B10089" s="202" t="s">
        <v>7499</v>
      </c>
      <c r="C10089" s="200" t="s">
        <v>204</v>
      </c>
      <c r="D10089" s="765">
        <v>-16179.76786536601</v>
      </c>
      <c r="E10089" s="201">
        <v>45809</v>
      </c>
      <c r="F10089" s="200" t="s">
        <v>296</v>
      </c>
      <c r="G10089" s="200" t="s">
        <v>2418</v>
      </c>
      <c r="H10089" s="200" t="s">
        <v>342</v>
      </c>
    </row>
    <row r="10090" spans="1:8" ht="15" customHeight="1">
      <c r="A10090" s="199">
        <v>45820</v>
      </c>
      <c r="B10090" s="202" t="s">
        <v>7499</v>
      </c>
      <c r="C10090" s="200" t="s">
        <v>204</v>
      </c>
      <c r="D10090" s="765">
        <v>-95921.645574088921</v>
      </c>
      <c r="E10090" s="201">
        <v>45809</v>
      </c>
      <c r="F10090" s="200" t="s">
        <v>291</v>
      </c>
      <c r="G10090" s="200" t="s">
        <v>291</v>
      </c>
      <c r="H10090" s="200" t="s">
        <v>342</v>
      </c>
    </row>
    <row r="10091" spans="1:8" ht="15" customHeight="1">
      <c r="A10091" s="199">
        <v>45820</v>
      </c>
      <c r="B10091" s="202" t="s">
        <v>7499</v>
      </c>
      <c r="C10091" s="200" t="s">
        <v>204</v>
      </c>
      <c r="D10091" s="765">
        <v>-63977.916204851936</v>
      </c>
      <c r="E10091" s="201">
        <v>45809</v>
      </c>
      <c r="F10091" s="200" t="s">
        <v>291</v>
      </c>
      <c r="G10091" s="200" t="s">
        <v>291</v>
      </c>
      <c r="H10091" s="200" t="s">
        <v>342</v>
      </c>
    </row>
    <row r="10092" spans="1:8" ht="15" customHeight="1">
      <c r="A10092" s="199">
        <v>45820</v>
      </c>
      <c r="B10092" s="202" t="s">
        <v>7499</v>
      </c>
      <c r="C10092" s="200" t="s">
        <v>204</v>
      </c>
      <c r="D10092" s="765">
        <v>-66796.288938237281</v>
      </c>
      <c r="E10092" s="201">
        <v>45809</v>
      </c>
      <c r="F10092" s="200" t="s">
        <v>291</v>
      </c>
      <c r="G10092" s="200" t="s">
        <v>291</v>
      </c>
      <c r="H10092" s="200" t="s">
        <v>342</v>
      </c>
    </row>
    <row r="10093" spans="1:8" ht="15" customHeight="1">
      <c r="A10093" s="199">
        <v>45820</v>
      </c>
      <c r="B10093" s="202" t="s">
        <v>7499</v>
      </c>
      <c r="C10093" s="200" t="s">
        <v>204</v>
      </c>
      <c r="D10093" s="765">
        <v>-8109.1030436589581</v>
      </c>
      <c r="E10093" s="201">
        <v>45809</v>
      </c>
      <c r="F10093" s="200" t="s">
        <v>297</v>
      </c>
      <c r="G10093" s="200" t="s">
        <v>69</v>
      </c>
      <c r="H10093" s="200" t="s">
        <v>342</v>
      </c>
    </row>
    <row r="10094" spans="1:8" ht="15" customHeight="1">
      <c r="A10094" s="199">
        <v>45820</v>
      </c>
      <c r="B10094" s="202" t="s">
        <v>7499</v>
      </c>
      <c r="C10094" s="200" t="s">
        <v>204</v>
      </c>
      <c r="D10094" s="765">
        <v>-51303.061261452538</v>
      </c>
      <c r="E10094" s="201">
        <v>45809</v>
      </c>
      <c r="F10094" s="200" t="s">
        <v>297</v>
      </c>
      <c r="G10094" s="200" t="s">
        <v>75</v>
      </c>
      <c r="H10094" s="200" t="s">
        <v>342</v>
      </c>
    </row>
    <row r="10095" spans="1:8" ht="15" customHeight="1">
      <c r="A10095" s="199">
        <v>45820</v>
      </c>
      <c r="B10095" s="202" t="s">
        <v>7499</v>
      </c>
      <c r="C10095" s="200" t="s">
        <v>204</v>
      </c>
      <c r="D10095" s="765">
        <v>-72010.529286237026</v>
      </c>
      <c r="E10095" s="201">
        <v>45809</v>
      </c>
      <c r="F10095" s="200" t="s">
        <v>297</v>
      </c>
      <c r="G10095" s="200" t="s">
        <v>71</v>
      </c>
      <c r="H10095" s="200" t="s">
        <v>342</v>
      </c>
    </row>
    <row r="10096" spans="1:8" ht="15" customHeight="1">
      <c r="A10096" s="199">
        <v>45820</v>
      </c>
      <c r="B10096" s="202" t="s">
        <v>7499</v>
      </c>
      <c r="C10096" s="200" t="s">
        <v>204</v>
      </c>
      <c r="D10096" s="765">
        <v>-257098.22180431001</v>
      </c>
      <c r="E10096" s="201">
        <v>45809</v>
      </c>
      <c r="F10096" s="200" t="s">
        <v>291</v>
      </c>
      <c r="G10096" s="200" t="s">
        <v>291</v>
      </c>
      <c r="H10096" s="200" t="s">
        <v>342</v>
      </c>
    </row>
    <row r="10097" spans="1:8" ht="15" customHeight="1">
      <c r="A10097" s="199">
        <v>45820</v>
      </c>
      <c r="B10097" s="202" t="s">
        <v>7500</v>
      </c>
      <c r="C10097" s="200" t="s">
        <v>204</v>
      </c>
      <c r="D10097" s="765">
        <v>-34558.725457019871</v>
      </c>
      <c r="E10097" s="201">
        <v>45809</v>
      </c>
      <c r="F10097" s="200" t="s">
        <v>296</v>
      </c>
      <c r="G10097" s="200" t="s">
        <v>1311</v>
      </c>
      <c r="H10097" s="200" t="s">
        <v>342</v>
      </c>
    </row>
    <row r="10098" spans="1:8" ht="15" customHeight="1">
      <c r="A10098" s="199">
        <v>45820</v>
      </c>
      <c r="B10098" s="202" t="s">
        <v>7500</v>
      </c>
      <c r="C10098" s="200" t="s">
        <v>204</v>
      </c>
      <c r="D10098" s="765">
        <v>-49745.191487309268</v>
      </c>
      <c r="E10098" s="201">
        <v>45809</v>
      </c>
      <c r="F10098" s="200" t="s">
        <v>291</v>
      </c>
      <c r="G10098" s="200" t="s">
        <v>291</v>
      </c>
      <c r="H10098" s="200" t="s">
        <v>342</v>
      </c>
    </row>
    <row r="10099" spans="1:8" ht="15" customHeight="1">
      <c r="A10099" s="199">
        <v>45820</v>
      </c>
      <c r="B10099" s="202" t="s">
        <v>7500</v>
      </c>
      <c r="C10099" s="200" t="s">
        <v>204</v>
      </c>
      <c r="D10099" s="765">
        <v>-53864.889771478767</v>
      </c>
      <c r="E10099" s="201">
        <v>45809</v>
      </c>
      <c r="F10099" s="200" t="s">
        <v>291</v>
      </c>
      <c r="G10099" s="200" t="s">
        <v>291</v>
      </c>
      <c r="H10099" s="200" t="s">
        <v>342</v>
      </c>
    </row>
    <row r="10100" spans="1:8" ht="15" customHeight="1">
      <c r="A10100" s="199">
        <v>45820</v>
      </c>
      <c r="B10100" s="202" t="s">
        <v>7500</v>
      </c>
      <c r="C10100" s="200" t="s">
        <v>204</v>
      </c>
      <c r="D10100" s="765">
        <v>-42184.65930598932</v>
      </c>
      <c r="E10100" s="201">
        <v>45809</v>
      </c>
      <c r="F10100" s="200" t="s">
        <v>291</v>
      </c>
      <c r="G10100" s="200" t="s">
        <v>291</v>
      </c>
      <c r="H10100" s="200" t="s">
        <v>342</v>
      </c>
    </row>
    <row r="10101" spans="1:8" ht="15" customHeight="1">
      <c r="A10101" s="199">
        <v>45820</v>
      </c>
      <c r="B10101" s="202" t="s">
        <v>7500</v>
      </c>
      <c r="C10101" s="200" t="s">
        <v>204</v>
      </c>
      <c r="D10101" s="765">
        <v>-16179.76786536601</v>
      </c>
      <c r="E10101" s="201">
        <v>45809</v>
      </c>
      <c r="F10101" s="200" t="s">
        <v>296</v>
      </c>
      <c r="G10101" s="200" t="s">
        <v>2418</v>
      </c>
      <c r="H10101" s="200" t="s">
        <v>342</v>
      </c>
    </row>
    <row r="10102" spans="1:8" ht="15" customHeight="1">
      <c r="A10102" s="199">
        <v>45820</v>
      </c>
      <c r="B10102" s="202" t="s">
        <v>7500</v>
      </c>
      <c r="C10102" s="200" t="s">
        <v>204</v>
      </c>
      <c r="D10102" s="765">
        <v>-95921.645574088921</v>
      </c>
      <c r="E10102" s="201">
        <v>45809</v>
      </c>
      <c r="F10102" s="200" t="s">
        <v>291</v>
      </c>
      <c r="G10102" s="200" t="s">
        <v>291</v>
      </c>
      <c r="H10102" s="200" t="s">
        <v>342</v>
      </c>
    </row>
    <row r="10103" spans="1:8" ht="15" customHeight="1">
      <c r="A10103" s="199">
        <v>45820</v>
      </c>
      <c r="B10103" s="202" t="s">
        <v>7500</v>
      </c>
      <c r="C10103" s="200" t="s">
        <v>204</v>
      </c>
      <c r="D10103" s="765">
        <v>-63977.916204851936</v>
      </c>
      <c r="E10103" s="201">
        <v>45809</v>
      </c>
      <c r="F10103" s="200" t="s">
        <v>291</v>
      </c>
      <c r="G10103" s="200" t="s">
        <v>291</v>
      </c>
      <c r="H10103" s="200" t="s">
        <v>342</v>
      </c>
    </row>
    <row r="10104" spans="1:8" ht="15" customHeight="1">
      <c r="A10104" s="199">
        <v>45820</v>
      </c>
      <c r="B10104" s="202" t="s">
        <v>7500</v>
      </c>
      <c r="C10104" s="200" t="s">
        <v>204</v>
      </c>
      <c r="D10104" s="765">
        <v>-66796.288938237281</v>
      </c>
      <c r="E10104" s="201">
        <v>45809</v>
      </c>
      <c r="F10104" s="200" t="s">
        <v>291</v>
      </c>
      <c r="G10104" s="200" t="s">
        <v>291</v>
      </c>
      <c r="H10104" s="200" t="s">
        <v>342</v>
      </c>
    </row>
    <row r="10105" spans="1:8" ht="15" customHeight="1">
      <c r="A10105" s="199">
        <v>45820</v>
      </c>
      <c r="B10105" s="202" t="s">
        <v>7500</v>
      </c>
      <c r="C10105" s="200" t="s">
        <v>204</v>
      </c>
      <c r="D10105" s="765">
        <v>-8109.1030436589581</v>
      </c>
      <c r="E10105" s="201">
        <v>45809</v>
      </c>
      <c r="F10105" s="200" t="s">
        <v>297</v>
      </c>
      <c r="G10105" s="200" t="s">
        <v>69</v>
      </c>
      <c r="H10105" s="200" t="s">
        <v>342</v>
      </c>
    </row>
    <row r="10106" spans="1:8" ht="15" customHeight="1">
      <c r="A10106" s="199">
        <v>45820</v>
      </c>
      <c r="B10106" s="202" t="s">
        <v>7500</v>
      </c>
      <c r="C10106" s="200" t="s">
        <v>204</v>
      </c>
      <c r="D10106" s="765">
        <v>-51303.061261452538</v>
      </c>
      <c r="E10106" s="201">
        <v>45809</v>
      </c>
      <c r="F10106" s="200" t="s">
        <v>297</v>
      </c>
      <c r="G10106" s="200" t="s">
        <v>75</v>
      </c>
      <c r="H10106" s="200" t="s">
        <v>342</v>
      </c>
    </row>
    <row r="10107" spans="1:8" ht="15" customHeight="1">
      <c r="A10107" s="199">
        <v>45820</v>
      </c>
      <c r="B10107" s="202" t="s">
        <v>7500</v>
      </c>
      <c r="C10107" s="200" t="s">
        <v>204</v>
      </c>
      <c r="D10107" s="765">
        <v>-72010.529286237026</v>
      </c>
      <c r="E10107" s="201">
        <v>45809</v>
      </c>
      <c r="F10107" s="200" t="s">
        <v>297</v>
      </c>
      <c r="G10107" s="200" t="s">
        <v>71</v>
      </c>
      <c r="H10107" s="200" t="s">
        <v>342</v>
      </c>
    </row>
    <row r="10108" spans="1:8" ht="15" customHeight="1">
      <c r="A10108" s="199">
        <v>45820</v>
      </c>
      <c r="B10108" s="202" t="s">
        <v>7500</v>
      </c>
      <c r="C10108" s="200" t="s">
        <v>204</v>
      </c>
      <c r="D10108" s="765">
        <v>-257098.22180431001</v>
      </c>
      <c r="E10108" s="201">
        <v>45809</v>
      </c>
      <c r="F10108" s="200" t="s">
        <v>291</v>
      </c>
      <c r="G10108" s="200" t="s">
        <v>291</v>
      </c>
      <c r="H10108" s="200" t="s">
        <v>342</v>
      </c>
    </row>
    <row r="10109" spans="1:8" ht="15" customHeight="1">
      <c r="A10109" s="199">
        <v>45820</v>
      </c>
      <c r="B10109" s="202" t="s">
        <v>7501</v>
      </c>
      <c r="C10109" s="200" t="s">
        <v>204</v>
      </c>
      <c r="D10109" s="765">
        <v>-35022.580822855365</v>
      </c>
      <c r="E10109" s="201">
        <v>45809</v>
      </c>
      <c r="F10109" s="200" t="s">
        <v>296</v>
      </c>
      <c r="G10109" s="200" t="s">
        <v>1311</v>
      </c>
      <c r="H10109" s="200" t="s">
        <v>342</v>
      </c>
    </row>
    <row r="10110" spans="1:8" ht="15" customHeight="1">
      <c r="A10110" s="199">
        <v>45820</v>
      </c>
      <c r="B10110" s="202" t="s">
        <v>7501</v>
      </c>
      <c r="C10110" s="200" t="s">
        <v>204</v>
      </c>
      <c r="D10110" s="765">
        <v>-50412.88318284358</v>
      </c>
      <c r="E10110" s="201">
        <v>45809</v>
      </c>
      <c r="F10110" s="200" t="s">
        <v>291</v>
      </c>
      <c r="G10110" s="200" t="s">
        <v>291</v>
      </c>
      <c r="H10110" s="200" t="s">
        <v>342</v>
      </c>
    </row>
    <row r="10111" spans="1:8" ht="15" customHeight="1">
      <c r="A10111" s="199">
        <v>45820</v>
      </c>
      <c r="B10111" s="202" t="s">
        <v>7501</v>
      </c>
      <c r="C10111" s="200" t="s">
        <v>204</v>
      </c>
      <c r="D10111" s="765">
        <v>-54587.877029261515</v>
      </c>
      <c r="E10111" s="201">
        <v>45809</v>
      </c>
      <c r="F10111" s="200" t="s">
        <v>291</v>
      </c>
      <c r="G10111" s="200" t="s">
        <v>291</v>
      </c>
      <c r="H10111" s="200" t="s">
        <v>342</v>
      </c>
    </row>
    <row r="10112" spans="1:8" ht="15" customHeight="1">
      <c r="A10112" s="199">
        <v>45820</v>
      </c>
      <c r="B10112" s="202" t="s">
        <v>7501</v>
      </c>
      <c r="C10112" s="200" t="s">
        <v>204</v>
      </c>
      <c r="D10112" s="765">
        <v>-42750.871754980275</v>
      </c>
      <c r="E10112" s="201">
        <v>45809</v>
      </c>
      <c r="F10112" s="200" t="s">
        <v>291</v>
      </c>
      <c r="G10112" s="200" t="s">
        <v>291</v>
      </c>
      <c r="H10112" s="200" t="s">
        <v>342</v>
      </c>
    </row>
    <row r="10113" spans="1:8" ht="15" customHeight="1">
      <c r="A10113" s="199">
        <v>45820</v>
      </c>
      <c r="B10113" s="202" t="s">
        <v>7501</v>
      </c>
      <c r="C10113" s="200" t="s">
        <v>204</v>
      </c>
      <c r="D10113" s="765">
        <v>-16396.936526625133</v>
      </c>
      <c r="E10113" s="201">
        <v>45809</v>
      </c>
      <c r="F10113" s="200" t="s">
        <v>296</v>
      </c>
      <c r="G10113" s="200" t="s">
        <v>2418</v>
      </c>
      <c r="H10113" s="200" t="s">
        <v>342</v>
      </c>
    </row>
    <row r="10114" spans="1:8" ht="15" customHeight="1">
      <c r="A10114" s="199">
        <v>45820</v>
      </c>
      <c r="B10114" s="202" t="s">
        <v>7501</v>
      </c>
      <c r="C10114" s="200" t="s">
        <v>204</v>
      </c>
      <c r="D10114" s="765">
        <v>-97209.128529866546</v>
      </c>
      <c r="E10114" s="201">
        <v>45809</v>
      </c>
      <c r="F10114" s="200" t="s">
        <v>291</v>
      </c>
      <c r="G10114" s="200" t="s">
        <v>291</v>
      </c>
      <c r="H10114" s="200" t="s">
        <v>342</v>
      </c>
    </row>
    <row r="10115" spans="1:8" ht="15" customHeight="1">
      <c r="A10115" s="199">
        <v>45820</v>
      </c>
      <c r="B10115" s="202" t="s">
        <v>7501</v>
      </c>
      <c r="C10115" s="200" t="s">
        <v>204</v>
      </c>
      <c r="D10115" s="765">
        <v>-64836.642889188202</v>
      </c>
      <c r="E10115" s="201">
        <v>45809</v>
      </c>
      <c r="F10115" s="200" t="s">
        <v>291</v>
      </c>
      <c r="G10115" s="200" t="s">
        <v>291</v>
      </c>
      <c r="H10115" s="200" t="s">
        <v>342</v>
      </c>
    </row>
    <row r="10116" spans="1:8" ht="15" customHeight="1">
      <c r="A10116" s="199">
        <v>45820</v>
      </c>
      <c r="B10116" s="202" t="s">
        <v>7501</v>
      </c>
      <c r="C10116" s="200" t="s">
        <v>204</v>
      </c>
      <c r="D10116" s="765">
        <v>-67692.84448628356</v>
      </c>
      <c r="E10116" s="201">
        <v>45809</v>
      </c>
      <c r="F10116" s="200" t="s">
        <v>291</v>
      </c>
      <c r="G10116" s="200" t="s">
        <v>291</v>
      </c>
      <c r="H10116" s="200" t="s">
        <v>342</v>
      </c>
    </row>
    <row r="10117" spans="1:8" ht="15" customHeight="1">
      <c r="A10117" s="199">
        <v>45820</v>
      </c>
      <c r="B10117" s="202" t="s">
        <v>7501</v>
      </c>
      <c r="C10117" s="200" t="s">
        <v>204</v>
      </c>
      <c r="D10117" s="765">
        <v>-8217.9453377300215</v>
      </c>
      <c r="E10117" s="201">
        <v>45809</v>
      </c>
      <c r="F10117" s="200" t="s">
        <v>297</v>
      </c>
      <c r="G10117" s="200" t="s">
        <v>69</v>
      </c>
      <c r="H10117" s="200" t="s">
        <v>342</v>
      </c>
    </row>
    <row r="10118" spans="1:8" ht="15" customHeight="1">
      <c r="A10118" s="199">
        <v>45820</v>
      </c>
      <c r="B10118" s="202" t="s">
        <v>7501</v>
      </c>
      <c r="C10118" s="200" t="s">
        <v>204</v>
      </c>
      <c r="D10118" s="765">
        <v>-51991.663052612566</v>
      </c>
      <c r="E10118" s="201">
        <v>45809</v>
      </c>
      <c r="F10118" s="200" t="s">
        <v>297</v>
      </c>
      <c r="G10118" s="200" t="s">
        <v>75</v>
      </c>
      <c r="H10118" s="200" t="s">
        <v>342</v>
      </c>
    </row>
    <row r="10119" spans="1:8" ht="15" customHeight="1">
      <c r="A10119" s="199">
        <v>45820</v>
      </c>
      <c r="B10119" s="202" t="s">
        <v>7501</v>
      </c>
      <c r="C10119" s="200" t="s">
        <v>204</v>
      </c>
      <c r="D10119" s="765">
        <v>-72977.071598325972</v>
      </c>
      <c r="E10119" s="201">
        <v>45809</v>
      </c>
      <c r="F10119" s="200" t="s">
        <v>297</v>
      </c>
      <c r="G10119" s="200" t="s">
        <v>71</v>
      </c>
      <c r="H10119" s="200" t="s">
        <v>342</v>
      </c>
    </row>
    <row r="10120" spans="1:8" ht="15" customHeight="1">
      <c r="A10120" s="199">
        <v>45820</v>
      </c>
      <c r="B10120" s="202" t="s">
        <v>7501</v>
      </c>
      <c r="C10120" s="200" t="s">
        <v>204</v>
      </c>
      <c r="D10120" s="765">
        <v>-260549.0547894272</v>
      </c>
      <c r="E10120" s="201">
        <v>45809</v>
      </c>
      <c r="F10120" s="200" t="s">
        <v>291</v>
      </c>
      <c r="G10120" s="200" t="s">
        <v>291</v>
      </c>
      <c r="H10120" s="200" t="s">
        <v>342</v>
      </c>
    </row>
    <row r="10121" spans="1:8" ht="15" customHeight="1">
      <c r="A10121" s="199">
        <v>45820</v>
      </c>
      <c r="B10121" s="202" t="s">
        <v>7502</v>
      </c>
      <c r="C10121" s="200" t="s">
        <v>204</v>
      </c>
      <c r="D10121" s="765">
        <v>-26495.022992292284</v>
      </c>
      <c r="E10121" s="201">
        <v>45809</v>
      </c>
      <c r="F10121" s="200" t="s">
        <v>296</v>
      </c>
      <c r="G10121" s="200" t="s">
        <v>1311</v>
      </c>
      <c r="H10121" s="200" t="s">
        <v>342</v>
      </c>
    </row>
    <row r="10122" spans="1:8" ht="15" customHeight="1">
      <c r="A10122" s="199">
        <v>45820</v>
      </c>
      <c r="B10122" s="202" t="s">
        <v>7502</v>
      </c>
      <c r="C10122" s="200" t="s">
        <v>204</v>
      </c>
      <c r="D10122" s="765">
        <v>-38137.980344541837</v>
      </c>
      <c r="E10122" s="201">
        <v>45809</v>
      </c>
      <c r="F10122" s="200" t="s">
        <v>291</v>
      </c>
      <c r="G10122" s="200" t="s">
        <v>291</v>
      </c>
      <c r="H10122" s="200" t="s">
        <v>342</v>
      </c>
    </row>
    <row r="10123" spans="1:8" ht="15" customHeight="1">
      <c r="A10123" s="199">
        <v>45820</v>
      </c>
      <c r="B10123" s="202" t="s">
        <v>7502</v>
      </c>
      <c r="C10123" s="200" t="s">
        <v>204</v>
      </c>
      <c r="D10123" s="765">
        <v>-41296.415712655391</v>
      </c>
      <c r="E10123" s="201">
        <v>45809</v>
      </c>
      <c r="F10123" s="200" t="s">
        <v>291</v>
      </c>
      <c r="G10123" s="200" t="s">
        <v>291</v>
      </c>
      <c r="H10123" s="200" t="s">
        <v>342</v>
      </c>
    </row>
    <row r="10124" spans="1:8" ht="15" customHeight="1">
      <c r="A10124" s="199">
        <v>45820</v>
      </c>
      <c r="B10124" s="202" t="s">
        <v>7502</v>
      </c>
      <c r="C10124" s="200" t="s">
        <v>204</v>
      </c>
      <c r="D10124" s="765">
        <v>-32341.572307816987</v>
      </c>
      <c r="E10124" s="201">
        <v>45809</v>
      </c>
      <c r="F10124" s="200" t="s">
        <v>291</v>
      </c>
      <c r="G10124" s="200" t="s">
        <v>291</v>
      </c>
      <c r="H10124" s="200" t="s">
        <v>342</v>
      </c>
    </row>
    <row r="10125" spans="1:8" ht="15" customHeight="1">
      <c r="A10125" s="199">
        <v>45820</v>
      </c>
      <c r="B10125" s="202" t="s">
        <v>7502</v>
      </c>
      <c r="C10125" s="200" t="s">
        <v>204</v>
      </c>
      <c r="D10125" s="765">
        <v>-12404.488763220472</v>
      </c>
      <c r="E10125" s="201">
        <v>45809</v>
      </c>
      <c r="F10125" s="200" t="s">
        <v>296</v>
      </c>
      <c r="G10125" s="200" t="s">
        <v>2418</v>
      </c>
      <c r="H10125" s="200" t="s">
        <v>342</v>
      </c>
    </row>
    <row r="10126" spans="1:8" ht="15" customHeight="1">
      <c r="A10126" s="199">
        <v>45820</v>
      </c>
      <c r="B10126" s="202" t="s">
        <v>7502</v>
      </c>
      <c r="C10126" s="200" t="s">
        <v>204</v>
      </c>
      <c r="D10126" s="765">
        <v>-73539.928667356464</v>
      </c>
      <c r="E10126" s="201">
        <v>45809</v>
      </c>
      <c r="F10126" s="200" t="s">
        <v>291</v>
      </c>
      <c r="G10126" s="200" t="s">
        <v>291</v>
      </c>
      <c r="H10126" s="200" t="s">
        <v>342</v>
      </c>
    </row>
    <row r="10127" spans="1:8" ht="15" customHeight="1">
      <c r="A10127" s="199">
        <v>45820</v>
      </c>
      <c r="B10127" s="202" t="s">
        <v>7502</v>
      </c>
      <c r="C10127" s="200" t="s">
        <v>204</v>
      </c>
      <c r="D10127" s="765">
        <v>-49049.73601976916</v>
      </c>
      <c r="E10127" s="201">
        <v>45809</v>
      </c>
      <c r="F10127" s="200" t="s">
        <v>291</v>
      </c>
      <c r="G10127" s="200" t="s">
        <v>291</v>
      </c>
      <c r="H10127" s="200" t="s">
        <v>342</v>
      </c>
    </row>
    <row r="10128" spans="1:8" ht="15" customHeight="1">
      <c r="A10128" s="199">
        <v>45820</v>
      </c>
      <c r="B10128" s="202" t="s">
        <v>7502</v>
      </c>
      <c r="C10128" s="200" t="s">
        <v>204</v>
      </c>
      <c r="D10128" s="765">
        <v>-51210.488460271168</v>
      </c>
      <c r="E10128" s="201">
        <v>45809</v>
      </c>
      <c r="F10128" s="200" t="s">
        <v>291</v>
      </c>
      <c r="G10128" s="200" t="s">
        <v>291</v>
      </c>
      <c r="H10128" s="200" t="s">
        <v>342</v>
      </c>
    </row>
    <row r="10129" spans="1:9" ht="15" customHeight="1">
      <c r="A10129" s="199">
        <v>45820</v>
      </c>
      <c r="B10129" s="202" t="s">
        <v>7502</v>
      </c>
      <c r="C10129" s="200" t="s">
        <v>204</v>
      </c>
      <c r="D10129" s="765">
        <v>-6216.9790334373874</v>
      </c>
      <c r="E10129" s="201">
        <v>45809</v>
      </c>
      <c r="F10129" s="200" t="s">
        <v>297</v>
      </c>
      <c r="G10129" s="200" t="s">
        <v>69</v>
      </c>
      <c r="H10129" s="200" t="s">
        <v>342</v>
      </c>
    </row>
    <row r="10130" spans="1:9" ht="15" customHeight="1">
      <c r="A10130" s="199">
        <v>45820</v>
      </c>
      <c r="B10130" s="202" t="s">
        <v>7502</v>
      </c>
      <c r="C10130" s="200" t="s">
        <v>204</v>
      </c>
      <c r="D10130" s="765">
        <v>-39332.347177782176</v>
      </c>
      <c r="E10130" s="201">
        <v>45809</v>
      </c>
      <c r="F10130" s="200" t="s">
        <v>297</v>
      </c>
      <c r="G10130" s="200" t="s">
        <v>75</v>
      </c>
      <c r="H10130" s="200" t="s">
        <v>342</v>
      </c>
    </row>
    <row r="10131" spans="1:9" ht="15" customHeight="1">
      <c r="A10131" s="199">
        <v>45820</v>
      </c>
      <c r="B10131" s="202" t="s">
        <v>7502</v>
      </c>
      <c r="C10131" s="200" t="s">
        <v>204</v>
      </c>
      <c r="D10131" s="765">
        <v>-55208.072748482489</v>
      </c>
      <c r="E10131" s="201">
        <v>45809</v>
      </c>
      <c r="F10131" s="200" t="s">
        <v>297</v>
      </c>
      <c r="G10131" s="200" t="s">
        <v>71</v>
      </c>
      <c r="H10131" s="200" t="s">
        <v>342</v>
      </c>
    </row>
    <row r="10132" spans="1:9" ht="15" customHeight="1">
      <c r="A10132" s="199">
        <v>45820</v>
      </c>
      <c r="B10132" s="202" t="s">
        <v>7502</v>
      </c>
      <c r="C10132" s="200" t="s">
        <v>204</v>
      </c>
      <c r="D10132" s="765">
        <v>-197108.63777237418</v>
      </c>
      <c r="E10132" s="201">
        <v>45809</v>
      </c>
      <c r="F10132" s="200" t="s">
        <v>291</v>
      </c>
      <c r="G10132" s="200" t="s">
        <v>291</v>
      </c>
      <c r="H10132" s="200" t="s">
        <v>342</v>
      </c>
    </row>
    <row r="10133" spans="1:9" ht="15" customHeight="1">
      <c r="A10133" s="199">
        <v>45820</v>
      </c>
      <c r="B10133" s="202" t="s">
        <v>7503</v>
      </c>
      <c r="C10133" s="200" t="s">
        <v>204</v>
      </c>
      <c r="D10133" s="765">
        <v>-26111.03691736365</v>
      </c>
      <c r="E10133" s="201">
        <v>45809</v>
      </c>
      <c r="F10133" s="200" t="s">
        <v>296</v>
      </c>
      <c r="G10133" s="200" t="s">
        <v>1311</v>
      </c>
      <c r="H10133" s="200" t="s">
        <v>342</v>
      </c>
      <c r="I10133" s="648" t="s">
        <v>329</v>
      </c>
    </row>
    <row r="10134" spans="1:9" ht="15" customHeight="1">
      <c r="A10134" s="199">
        <v>45820</v>
      </c>
      <c r="B10134" s="202" t="s">
        <v>7503</v>
      </c>
      <c r="C10134" s="200" t="s">
        <v>204</v>
      </c>
      <c r="D10134" s="765">
        <v>-37585.255654230517</v>
      </c>
      <c r="E10134" s="201">
        <v>45809</v>
      </c>
      <c r="F10134" s="200" t="s">
        <v>291</v>
      </c>
      <c r="G10134" s="200" t="s">
        <v>291</v>
      </c>
      <c r="H10134" s="200" t="s">
        <v>342</v>
      </c>
    </row>
    <row r="10135" spans="1:9" ht="15" customHeight="1">
      <c r="A10135" s="199">
        <v>45820</v>
      </c>
      <c r="B10135" s="202" t="s">
        <v>7503</v>
      </c>
      <c r="C10135" s="200" t="s">
        <v>204</v>
      </c>
      <c r="D10135" s="765">
        <v>-40697.916568769506</v>
      </c>
      <c r="E10135" s="201">
        <v>45809</v>
      </c>
      <c r="F10135" s="200" t="s">
        <v>291</v>
      </c>
      <c r="G10135" s="200" t="s">
        <v>291</v>
      </c>
      <c r="H10135" s="200" t="s">
        <v>342</v>
      </c>
    </row>
    <row r="10136" spans="1:9" ht="15" customHeight="1">
      <c r="A10136" s="199">
        <v>45820</v>
      </c>
      <c r="B10136" s="202" t="s">
        <v>7503</v>
      </c>
      <c r="C10136" s="200" t="s">
        <v>204</v>
      </c>
      <c r="D10136" s="765">
        <v>-31872.853582375152</v>
      </c>
      <c r="E10136" s="201">
        <v>45809</v>
      </c>
      <c r="F10136" s="200" t="s">
        <v>291</v>
      </c>
      <c r="G10136" s="200" t="s">
        <v>291</v>
      </c>
      <c r="H10136" s="200" t="s">
        <v>342</v>
      </c>
    </row>
    <row r="10137" spans="1:9" ht="15" customHeight="1">
      <c r="A10137" s="199">
        <v>45820</v>
      </c>
      <c r="B10137" s="202" t="s">
        <v>7503</v>
      </c>
      <c r="C10137" s="200" t="s">
        <v>204</v>
      </c>
      <c r="D10137" s="765">
        <v>-12224.713453983297</v>
      </c>
      <c r="E10137" s="201">
        <v>45809</v>
      </c>
      <c r="F10137" s="200" t="s">
        <v>296</v>
      </c>
      <c r="G10137" s="200" t="s">
        <v>2418</v>
      </c>
      <c r="H10137" s="200" t="s">
        <v>342</v>
      </c>
    </row>
    <row r="10138" spans="1:9" ht="15" customHeight="1">
      <c r="A10138" s="199">
        <v>45820</v>
      </c>
      <c r="B10138" s="202" t="s">
        <v>7503</v>
      </c>
      <c r="C10138" s="200" t="s">
        <v>204</v>
      </c>
      <c r="D10138" s="765">
        <v>-72474.131948941649</v>
      </c>
      <c r="E10138" s="201">
        <v>45809</v>
      </c>
      <c r="F10138" s="200" t="s">
        <v>291</v>
      </c>
      <c r="G10138" s="200" t="s">
        <v>291</v>
      </c>
      <c r="H10138" s="200" t="s">
        <v>342</v>
      </c>
    </row>
    <row r="10139" spans="1:9" ht="15" customHeight="1">
      <c r="A10139" s="199">
        <v>45820</v>
      </c>
      <c r="B10139" s="202" t="s">
        <v>7503</v>
      </c>
      <c r="C10139" s="200" t="s">
        <v>204</v>
      </c>
      <c r="D10139" s="765">
        <v>-48338.869846299676</v>
      </c>
      <c r="E10139" s="201">
        <v>45809</v>
      </c>
      <c r="F10139" s="200" t="s">
        <v>291</v>
      </c>
      <c r="G10139" s="200" t="s">
        <v>291</v>
      </c>
      <c r="H10139" s="200" t="s">
        <v>342</v>
      </c>
    </row>
    <row r="10140" spans="1:9" ht="15" customHeight="1">
      <c r="A10140" s="199">
        <v>45820</v>
      </c>
      <c r="B10140" s="202" t="s">
        <v>7503</v>
      </c>
      <c r="C10140" s="200" t="s">
        <v>204</v>
      </c>
      <c r="D10140" s="765">
        <v>-50468.307014919781</v>
      </c>
      <c r="E10140" s="201">
        <v>45809</v>
      </c>
      <c r="F10140" s="200" t="s">
        <v>291</v>
      </c>
      <c r="G10140" s="200" t="s">
        <v>291</v>
      </c>
      <c r="H10140" s="200" t="s">
        <v>342</v>
      </c>
      <c r="I10140" s="648" t="s">
        <v>329</v>
      </c>
    </row>
    <row r="10141" spans="1:9" ht="15" customHeight="1">
      <c r="A10141" s="199">
        <v>45820</v>
      </c>
      <c r="B10141" s="202" t="s">
        <v>7503</v>
      </c>
      <c r="C10141" s="200" t="s">
        <v>204</v>
      </c>
      <c r="D10141" s="765">
        <v>-6126.8778330097548</v>
      </c>
      <c r="E10141" s="201">
        <v>45809</v>
      </c>
      <c r="F10141" s="200" t="s">
        <v>297</v>
      </c>
      <c r="G10141" s="200" t="s">
        <v>69</v>
      </c>
      <c r="H10141" s="200" t="s">
        <v>342</v>
      </c>
    </row>
    <row r="10142" spans="1:9" ht="15" customHeight="1">
      <c r="A10142" s="199">
        <v>45820</v>
      </c>
      <c r="B10142" s="202" t="s">
        <v>7503</v>
      </c>
      <c r="C10142" s="200" t="s">
        <v>204</v>
      </c>
      <c r="D10142" s="765">
        <v>-38762.312812651762</v>
      </c>
      <c r="E10142" s="201">
        <v>45809</v>
      </c>
      <c r="F10142" s="200" t="s">
        <v>297</v>
      </c>
      <c r="G10142" s="200" t="s">
        <v>75</v>
      </c>
      <c r="H10142" s="200" t="s">
        <v>342</v>
      </c>
      <c r="I10142" s="648" t="s">
        <v>329</v>
      </c>
    </row>
    <row r="10143" spans="1:9" ht="15" customHeight="1">
      <c r="A10143" s="199">
        <v>45820</v>
      </c>
      <c r="B10143" s="202" t="s">
        <v>7503</v>
      </c>
      <c r="C10143" s="200" t="s">
        <v>204</v>
      </c>
      <c r="D10143" s="765">
        <v>-54407.955263578573</v>
      </c>
      <c r="E10143" s="201">
        <v>45809</v>
      </c>
      <c r="F10143" s="200" t="s">
        <v>297</v>
      </c>
      <c r="G10143" s="200" t="s">
        <v>71</v>
      </c>
      <c r="H10143" s="200" t="s">
        <v>342</v>
      </c>
    </row>
    <row r="10144" spans="1:9" ht="15" customHeight="1">
      <c r="A10144" s="199">
        <v>45820</v>
      </c>
      <c r="B10144" s="202" t="s">
        <v>7503</v>
      </c>
      <c r="C10144" s="200" t="s">
        <v>204</v>
      </c>
      <c r="D10144" s="765">
        <v>-194251.98910387658</v>
      </c>
      <c r="E10144" s="201">
        <v>45809</v>
      </c>
      <c r="F10144" s="200" t="s">
        <v>291</v>
      </c>
      <c r="G10144" s="200" t="s">
        <v>291</v>
      </c>
      <c r="H10144" s="200" t="s">
        <v>342</v>
      </c>
    </row>
    <row r="10145" spans="1:8" ht="15" customHeight="1">
      <c r="A10145" s="199">
        <v>45820</v>
      </c>
      <c r="B10145" s="202" t="s">
        <v>7504</v>
      </c>
      <c r="C10145" s="200" t="s">
        <v>204</v>
      </c>
      <c r="D10145" s="765">
        <v>-468921.5</v>
      </c>
      <c r="E10145" s="201">
        <v>45809</v>
      </c>
      <c r="F10145" s="200" t="s">
        <v>291</v>
      </c>
      <c r="G10145" s="200" t="s">
        <v>291</v>
      </c>
      <c r="H10145" s="200" t="s">
        <v>342</v>
      </c>
    </row>
    <row r="10146" spans="1:8" ht="15" customHeight="1">
      <c r="A10146" s="199">
        <v>45820</v>
      </c>
      <c r="B10146" s="202" t="s">
        <v>7504</v>
      </c>
      <c r="C10146" s="200" t="s">
        <v>204</v>
      </c>
      <c r="D10146" s="765">
        <v>-234460.75</v>
      </c>
      <c r="E10146" s="201">
        <v>45809</v>
      </c>
      <c r="F10146" s="200" t="s">
        <v>297</v>
      </c>
      <c r="G10146" s="200" t="s">
        <v>3892</v>
      </c>
      <c r="H10146" s="200" t="s">
        <v>342</v>
      </c>
    </row>
    <row r="10147" spans="1:8" ht="15" customHeight="1">
      <c r="A10147" s="199">
        <v>45820</v>
      </c>
      <c r="B10147" s="202" t="s">
        <v>7504</v>
      </c>
      <c r="C10147" s="200" t="s">
        <v>204</v>
      </c>
      <c r="D10147" s="765">
        <v>-234460.75</v>
      </c>
      <c r="E10147" s="201">
        <v>45809</v>
      </c>
      <c r="F10147" s="200" t="s">
        <v>296</v>
      </c>
      <c r="G10147" s="200" t="s">
        <v>1362</v>
      </c>
      <c r="H10147" s="200" t="s">
        <v>342</v>
      </c>
    </row>
    <row r="10148" spans="1:8" ht="15" customHeight="1">
      <c r="A10148" s="199">
        <v>45820</v>
      </c>
      <c r="B10148" s="202" t="s">
        <v>7505</v>
      </c>
      <c r="C10148" s="200" t="s">
        <v>204</v>
      </c>
      <c r="D10148" s="765">
        <v>-468921.5</v>
      </c>
      <c r="E10148" s="201">
        <v>45809</v>
      </c>
      <c r="F10148" s="200" t="s">
        <v>291</v>
      </c>
      <c r="G10148" s="200" t="s">
        <v>291</v>
      </c>
      <c r="H10148" s="200" t="s">
        <v>342</v>
      </c>
    </row>
    <row r="10149" spans="1:8" ht="15" customHeight="1">
      <c r="A10149" s="199">
        <v>45820</v>
      </c>
      <c r="B10149" s="202" t="s">
        <v>7505</v>
      </c>
      <c r="C10149" s="200" t="s">
        <v>204</v>
      </c>
      <c r="D10149" s="765">
        <v>-234460.75</v>
      </c>
      <c r="E10149" s="201">
        <v>45809</v>
      </c>
      <c r="F10149" s="200" t="s">
        <v>297</v>
      </c>
      <c r="G10149" s="200" t="s">
        <v>3892</v>
      </c>
      <c r="H10149" s="200" t="s">
        <v>342</v>
      </c>
    </row>
    <row r="10150" spans="1:8" ht="15" customHeight="1">
      <c r="A10150" s="199">
        <v>45820</v>
      </c>
      <c r="B10150" s="202" t="s">
        <v>7505</v>
      </c>
      <c r="C10150" s="200" t="s">
        <v>204</v>
      </c>
      <c r="D10150" s="765">
        <v>-234460.75</v>
      </c>
      <c r="E10150" s="201">
        <v>45809</v>
      </c>
      <c r="F10150" s="200" t="s">
        <v>296</v>
      </c>
      <c r="G10150" s="200" t="s">
        <v>1362</v>
      </c>
      <c r="H10150" s="200" t="s">
        <v>342</v>
      </c>
    </row>
    <row r="10151" spans="1:8" ht="15" customHeight="1">
      <c r="A10151" s="199">
        <v>45820</v>
      </c>
      <c r="B10151" s="202" t="s">
        <v>7506</v>
      </c>
      <c r="C10151" s="200" t="s">
        <v>204</v>
      </c>
      <c r="D10151" s="765">
        <v>-720575.708333335</v>
      </c>
      <c r="E10151" s="201">
        <v>45809</v>
      </c>
      <c r="F10151" s="200" t="s">
        <v>291</v>
      </c>
      <c r="G10151" s="200" t="s">
        <v>291</v>
      </c>
      <c r="H10151" s="200" t="s">
        <v>342</v>
      </c>
    </row>
    <row r="10152" spans="1:8" ht="15" customHeight="1">
      <c r="A10152" s="199">
        <v>45820</v>
      </c>
      <c r="B10152" s="202" t="s">
        <v>7506</v>
      </c>
      <c r="C10152" s="200" t="s">
        <v>204</v>
      </c>
      <c r="D10152" s="765">
        <v>-360287.8541666675</v>
      </c>
      <c r="E10152" s="201">
        <v>45809</v>
      </c>
      <c r="F10152" s="200" t="s">
        <v>297</v>
      </c>
      <c r="G10152" s="200" t="s">
        <v>3892</v>
      </c>
      <c r="H10152" s="200" t="s">
        <v>342</v>
      </c>
    </row>
    <row r="10153" spans="1:8" ht="15" customHeight="1">
      <c r="A10153" s="199">
        <v>45820</v>
      </c>
      <c r="B10153" s="202" t="s">
        <v>7506</v>
      </c>
      <c r="C10153" s="200" t="s">
        <v>204</v>
      </c>
      <c r="D10153" s="765">
        <v>-360287.8541666675</v>
      </c>
      <c r="E10153" s="201">
        <v>45809</v>
      </c>
      <c r="F10153" s="200" t="s">
        <v>296</v>
      </c>
      <c r="G10153" s="200" t="s">
        <v>1362</v>
      </c>
      <c r="H10153" s="200" t="s">
        <v>342</v>
      </c>
    </row>
    <row r="10154" spans="1:8" ht="15" customHeight="1">
      <c r="A10154" s="199">
        <v>45820</v>
      </c>
      <c r="B10154" s="202" t="s">
        <v>7507</v>
      </c>
      <c r="C10154" s="200" t="s">
        <v>204</v>
      </c>
      <c r="D10154" s="765">
        <v>-348377.9305555555</v>
      </c>
      <c r="E10154" s="201">
        <v>45809</v>
      </c>
      <c r="F10154" s="200" t="s">
        <v>291</v>
      </c>
      <c r="G10154" s="200" t="s">
        <v>291</v>
      </c>
      <c r="H10154" s="200" t="s">
        <v>342</v>
      </c>
    </row>
    <row r="10155" spans="1:8" ht="15" customHeight="1">
      <c r="A10155" s="199">
        <v>45820</v>
      </c>
      <c r="B10155" s="202" t="s">
        <v>7507</v>
      </c>
      <c r="C10155" s="200" t="s">
        <v>204</v>
      </c>
      <c r="D10155" s="765">
        <v>-174188.96527777775</v>
      </c>
      <c r="E10155" s="201">
        <v>45809</v>
      </c>
      <c r="F10155" s="200" t="s">
        <v>297</v>
      </c>
      <c r="G10155" s="200" t="s">
        <v>3892</v>
      </c>
      <c r="H10155" s="200" t="s">
        <v>342</v>
      </c>
    </row>
    <row r="10156" spans="1:8" ht="15" customHeight="1">
      <c r="A10156" s="199">
        <v>45820</v>
      </c>
      <c r="B10156" s="202" t="s">
        <v>7507</v>
      </c>
      <c r="C10156" s="200" t="s">
        <v>204</v>
      </c>
      <c r="D10156" s="765">
        <v>-174188.96527777775</v>
      </c>
      <c r="E10156" s="201">
        <v>45809</v>
      </c>
      <c r="F10156" s="200" t="s">
        <v>296</v>
      </c>
      <c r="G10156" s="200" t="s">
        <v>1362</v>
      </c>
      <c r="H10156" s="200" t="s">
        <v>342</v>
      </c>
    </row>
    <row r="10157" spans="1:8" ht="15" customHeight="1">
      <c r="A10157" s="199">
        <v>45820</v>
      </c>
      <c r="B10157" s="202" t="s">
        <v>7508</v>
      </c>
      <c r="C10157" s="200" t="s">
        <v>204</v>
      </c>
      <c r="D10157" s="765">
        <v>-826907.58333333337</v>
      </c>
      <c r="E10157" s="201">
        <v>45809</v>
      </c>
      <c r="F10157" s="200" t="s">
        <v>296</v>
      </c>
      <c r="G10157" s="200" t="s">
        <v>522</v>
      </c>
      <c r="H10157" s="200" t="s">
        <v>1213</v>
      </c>
    </row>
    <row r="10158" spans="1:8" ht="15" customHeight="1">
      <c r="A10158" s="199">
        <v>45820</v>
      </c>
      <c r="B10158" s="202" t="s">
        <v>7509</v>
      </c>
      <c r="C10158" s="200" t="s">
        <v>204</v>
      </c>
      <c r="D10158" s="765">
        <v>-1358333.3333333333</v>
      </c>
      <c r="E10158" s="201">
        <v>45809</v>
      </c>
      <c r="F10158" s="200" t="s">
        <v>296</v>
      </c>
      <c r="G10158" s="200" t="s">
        <v>522</v>
      </c>
      <c r="H10158" s="200" t="s">
        <v>1213</v>
      </c>
    </row>
    <row r="10159" spans="1:8" ht="15" customHeight="1">
      <c r="A10159" s="199">
        <v>45820</v>
      </c>
      <c r="B10159" s="202" t="s">
        <v>7510</v>
      </c>
      <c r="C10159" s="200" t="s">
        <v>204</v>
      </c>
      <c r="D10159" s="765">
        <v>-826907.58333333337</v>
      </c>
      <c r="E10159" s="201">
        <v>45809</v>
      </c>
      <c r="F10159" s="200" t="s">
        <v>296</v>
      </c>
      <c r="G10159" s="200" t="s">
        <v>522</v>
      </c>
      <c r="H10159" s="200" t="s">
        <v>1213</v>
      </c>
    </row>
    <row r="10160" spans="1:8" ht="15" customHeight="1">
      <c r="A10160" s="199">
        <v>45820</v>
      </c>
      <c r="B10160" s="202" t="s">
        <v>7511</v>
      </c>
      <c r="C10160" s="200" t="s">
        <v>204</v>
      </c>
      <c r="D10160" s="765">
        <v>-821372.75</v>
      </c>
      <c r="E10160" s="201">
        <v>45809</v>
      </c>
      <c r="F10160" s="200" t="s">
        <v>296</v>
      </c>
      <c r="G10160" s="200" t="s">
        <v>522</v>
      </c>
      <c r="H10160" s="200" t="s">
        <v>1213</v>
      </c>
    </row>
    <row r="10161" spans="1:8" ht="15" customHeight="1">
      <c r="A10161" s="199">
        <v>45820</v>
      </c>
      <c r="B10161" s="202" t="s">
        <v>7512</v>
      </c>
      <c r="C10161" s="200" t="s">
        <v>204</v>
      </c>
      <c r="D10161" s="765">
        <v>-826907.58333333337</v>
      </c>
      <c r="E10161" s="201">
        <v>45809</v>
      </c>
      <c r="F10161" s="200" t="s">
        <v>296</v>
      </c>
      <c r="G10161" s="200" t="s">
        <v>522</v>
      </c>
      <c r="H10161" s="200" t="s">
        <v>490</v>
      </c>
    </row>
    <row r="10162" spans="1:8" ht="15" customHeight="1">
      <c r="A10162" s="199">
        <v>45820</v>
      </c>
      <c r="B10162" s="202" t="s">
        <v>7513</v>
      </c>
      <c r="C10162" s="200" t="s">
        <v>204</v>
      </c>
      <c r="D10162" s="765">
        <v>-963722.83333333337</v>
      </c>
      <c r="E10162" s="201">
        <v>45809</v>
      </c>
      <c r="F10162" s="200" t="s">
        <v>296</v>
      </c>
      <c r="G10162" s="200" t="s">
        <v>522</v>
      </c>
      <c r="H10162" s="200" t="s">
        <v>490</v>
      </c>
    </row>
    <row r="10163" spans="1:8" ht="15" customHeight="1">
      <c r="A10163" s="199">
        <v>45820</v>
      </c>
      <c r="B10163" s="202" t="s">
        <v>7514</v>
      </c>
      <c r="C10163" s="200" t="s">
        <v>204</v>
      </c>
      <c r="D10163" s="765">
        <v>-811750</v>
      </c>
      <c r="E10163" s="201">
        <v>45809</v>
      </c>
      <c r="F10163" s="200" t="s">
        <v>296</v>
      </c>
      <c r="G10163" s="200" t="s">
        <v>522</v>
      </c>
      <c r="H10163" s="200" t="s">
        <v>490</v>
      </c>
    </row>
    <row r="10164" spans="1:8" ht="15" customHeight="1">
      <c r="A10164" s="199">
        <v>45820</v>
      </c>
      <c r="B10164" s="202" t="s">
        <v>7515</v>
      </c>
      <c r="C10164" s="200" t="s">
        <v>204</v>
      </c>
      <c r="D10164" s="765">
        <v>-826907.58333333337</v>
      </c>
      <c r="E10164" s="201">
        <v>45809</v>
      </c>
      <c r="F10164" s="200" t="s">
        <v>296</v>
      </c>
      <c r="G10164" s="200" t="s">
        <v>522</v>
      </c>
      <c r="H10164" s="200" t="s">
        <v>490</v>
      </c>
    </row>
    <row r="10165" spans="1:8" ht="15" customHeight="1">
      <c r="A10165" s="199">
        <v>45820</v>
      </c>
      <c r="B10165" s="202" t="s">
        <v>7516</v>
      </c>
      <c r="C10165" s="200" t="s">
        <v>204</v>
      </c>
      <c r="D10165" s="765">
        <v>-824596.16666666663</v>
      </c>
      <c r="E10165" s="201">
        <v>45809</v>
      </c>
      <c r="F10165" s="200" t="s">
        <v>296</v>
      </c>
      <c r="G10165" s="200" t="s">
        <v>522</v>
      </c>
      <c r="H10165" s="200" t="s">
        <v>429</v>
      </c>
    </row>
    <row r="10166" spans="1:8" ht="15" customHeight="1">
      <c r="A10166" s="199">
        <v>45820</v>
      </c>
      <c r="B10166" s="202" t="s">
        <v>7517</v>
      </c>
      <c r="C10166" s="200" t="s">
        <v>204</v>
      </c>
      <c r="D10166" s="765">
        <v>-816262.83333333337</v>
      </c>
      <c r="E10166" s="201">
        <v>45809</v>
      </c>
      <c r="F10166" s="200" t="s">
        <v>296</v>
      </c>
      <c r="G10166" s="200" t="s">
        <v>522</v>
      </c>
      <c r="H10166" s="200" t="s">
        <v>429</v>
      </c>
    </row>
    <row r="10167" spans="1:8" ht="15" customHeight="1">
      <c r="A10167" s="199">
        <v>45820</v>
      </c>
      <c r="B10167" s="202" t="s">
        <v>7518</v>
      </c>
      <c r="C10167" s="200" t="s">
        <v>204</v>
      </c>
      <c r="D10167" s="765">
        <v>-785339.52777777775</v>
      </c>
      <c r="E10167" s="201">
        <v>45809</v>
      </c>
      <c r="F10167" s="200" t="s">
        <v>296</v>
      </c>
      <c r="G10167" s="200" t="s">
        <v>522</v>
      </c>
      <c r="H10167" s="200" t="s">
        <v>429</v>
      </c>
    </row>
    <row r="10168" spans="1:8" ht="15" customHeight="1">
      <c r="A10168" s="199">
        <v>45820</v>
      </c>
      <c r="B10168" s="202" t="s">
        <v>7519</v>
      </c>
      <c r="C10168" s="200" t="s">
        <v>204</v>
      </c>
      <c r="D10168" s="765">
        <v>-785339.4444444445</v>
      </c>
      <c r="E10168" s="201">
        <v>45809</v>
      </c>
      <c r="F10168" s="200" t="s">
        <v>296</v>
      </c>
      <c r="G10168" s="200" t="s">
        <v>522</v>
      </c>
      <c r="H10168" s="200" t="s">
        <v>429</v>
      </c>
    </row>
    <row r="10169" spans="1:8" ht="15" customHeight="1">
      <c r="A10169" s="199">
        <v>45820</v>
      </c>
      <c r="B10169" s="202" t="s">
        <v>7520</v>
      </c>
      <c r="C10169" s="200" t="s">
        <v>204</v>
      </c>
      <c r="D10169" s="765">
        <v>-782116.02777777775</v>
      </c>
      <c r="E10169" s="201">
        <v>45809</v>
      </c>
      <c r="F10169" s="200" t="s">
        <v>296</v>
      </c>
      <c r="G10169" s="200" t="s">
        <v>522</v>
      </c>
      <c r="H10169" s="200" t="s">
        <v>429</v>
      </c>
    </row>
    <row r="10170" spans="1:8" ht="15" customHeight="1">
      <c r="A10170" s="199">
        <v>45820</v>
      </c>
      <c r="B10170" s="202" t="s">
        <v>7521</v>
      </c>
      <c r="C10170" s="200" t="s">
        <v>204</v>
      </c>
      <c r="D10170" s="765">
        <v>-785984.1944444445</v>
      </c>
      <c r="E10170" s="201">
        <v>45809</v>
      </c>
      <c r="F10170" s="200" t="s">
        <v>296</v>
      </c>
      <c r="G10170" s="200" t="s">
        <v>522</v>
      </c>
      <c r="H10170" s="200" t="s">
        <v>429</v>
      </c>
    </row>
    <row r="10171" spans="1:8" ht="15" customHeight="1">
      <c r="A10171" s="199">
        <v>45820</v>
      </c>
      <c r="B10171" s="202" t="s">
        <v>7522</v>
      </c>
      <c r="C10171" s="200" t="s">
        <v>204</v>
      </c>
      <c r="D10171" s="765">
        <v>-744107.36111111112</v>
      </c>
      <c r="E10171" s="201">
        <v>45809</v>
      </c>
      <c r="F10171" s="200" t="s">
        <v>296</v>
      </c>
      <c r="G10171" s="200" t="s">
        <v>807</v>
      </c>
      <c r="H10171" s="200" t="s">
        <v>490</v>
      </c>
    </row>
    <row r="10172" spans="1:8" ht="15" customHeight="1">
      <c r="A10172" s="199">
        <v>45820</v>
      </c>
      <c r="B10172" s="202" t="s">
        <v>7523</v>
      </c>
      <c r="C10172" s="200" t="s">
        <v>204</v>
      </c>
      <c r="D10172" s="765">
        <v>-753730.02777777775</v>
      </c>
      <c r="E10172" s="201">
        <v>45809</v>
      </c>
      <c r="F10172" s="200" t="s">
        <v>296</v>
      </c>
      <c r="G10172" s="200" t="s">
        <v>807</v>
      </c>
      <c r="H10172" s="200" t="s">
        <v>490</v>
      </c>
    </row>
    <row r="10173" spans="1:8" ht="15" customHeight="1">
      <c r="A10173" s="199">
        <v>45820</v>
      </c>
      <c r="B10173" s="202" t="s">
        <v>7524</v>
      </c>
      <c r="C10173" s="200" t="s">
        <v>204</v>
      </c>
      <c r="D10173" s="765">
        <v>-744107.36111111112</v>
      </c>
      <c r="E10173" s="201">
        <v>45809</v>
      </c>
      <c r="F10173" s="200" t="s">
        <v>296</v>
      </c>
      <c r="G10173" s="200" t="s">
        <v>807</v>
      </c>
      <c r="H10173" s="200" t="s">
        <v>490</v>
      </c>
    </row>
    <row r="10174" spans="1:8" ht="15" customHeight="1">
      <c r="A10174" s="199">
        <v>45820</v>
      </c>
      <c r="B10174" s="202" t="s">
        <v>7525</v>
      </c>
      <c r="C10174" s="200" t="s">
        <v>204</v>
      </c>
      <c r="D10174" s="765">
        <v>-744107.36111111112</v>
      </c>
      <c r="E10174" s="201">
        <v>45809</v>
      </c>
      <c r="F10174" s="200" t="s">
        <v>296</v>
      </c>
      <c r="G10174" s="200" t="s">
        <v>807</v>
      </c>
      <c r="H10174" s="200" t="s">
        <v>429</v>
      </c>
    </row>
    <row r="10175" spans="1:8" ht="15" customHeight="1">
      <c r="A10175" s="199">
        <v>45820</v>
      </c>
      <c r="B10175" s="202" t="s">
        <v>7526</v>
      </c>
      <c r="C10175" s="200" t="s">
        <v>204</v>
      </c>
      <c r="D10175" s="765">
        <v>-744107.36111111112</v>
      </c>
      <c r="E10175" s="201">
        <v>45809</v>
      </c>
      <c r="F10175" s="200" t="s">
        <v>296</v>
      </c>
      <c r="G10175" s="200" t="s">
        <v>807</v>
      </c>
      <c r="H10175" s="200" t="s">
        <v>429</v>
      </c>
    </row>
    <row r="10176" spans="1:8" ht="15" customHeight="1">
      <c r="A10176" s="199">
        <v>45820</v>
      </c>
      <c r="B10176" s="202" t="s">
        <v>7527</v>
      </c>
      <c r="C10176" s="200" t="s">
        <v>204</v>
      </c>
      <c r="D10176" s="765">
        <v>-744751.9444444445</v>
      </c>
      <c r="E10176" s="201">
        <v>45809</v>
      </c>
      <c r="F10176" s="200" t="s">
        <v>296</v>
      </c>
      <c r="G10176" s="200" t="s">
        <v>807</v>
      </c>
      <c r="H10176" s="200" t="s">
        <v>429</v>
      </c>
    </row>
    <row r="10177" spans="1:8" ht="15" customHeight="1">
      <c r="A10177" s="199">
        <v>45820</v>
      </c>
      <c r="B10177" s="202" t="s">
        <v>7528</v>
      </c>
      <c r="C10177" s="200" t="s">
        <v>204</v>
      </c>
      <c r="D10177" s="765">
        <v>-743462.61111111112</v>
      </c>
      <c r="E10177" s="201">
        <v>45809</v>
      </c>
      <c r="F10177" s="200" t="s">
        <v>296</v>
      </c>
      <c r="G10177" s="200" t="s">
        <v>807</v>
      </c>
      <c r="H10177" s="200" t="s">
        <v>429</v>
      </c>
    </row>
    <row r="10178" spans="1:8" ht="15" customHeight="1">
      <c r="A10178" s="199">
        <v>45820</v>
      </c>
      <c r="B10178" s="202" t="s">
        <v>7529</v>
      </c>
      <c r="C10178" s="200" t="s">
        <v>204</v>
      </c>
      <c r="D10178" s="765">
        <v>-252544.44444444444</v>
      </c>
      <c r="E10178" s="201">
        <v>45809</v>
      </c>
      <c r="F10178" s="200" t="s">
        <v>296</v>
      </c>
      <c r="G10178" s="200" t="s">
        <v>807</v>
      </c>
      <c r="H10178" s="200" t="s">
        <v>429</v>
      </c>
    </row>
    <row r="10179" spans="1:8" ht="15" customHeight="1">
      <c r="A10179" s="199">
        <v>45820</v>
      </c>
      <c r="B10179" s="202" t="s">
        <v>7530</v>
      </c>
      <c r="C10179" s="200" t="s">
        <v>204</v>
      </c>
      <c r="D10179" s="765">
        <v>-252544.44444444444</v>
      </c>
      <c r="E10179" s="201">
        <v>45809</v>
      </c>
      <c r="F10179" s="200" t="s">
        <v>296</v>
      </c>
      <c r="G10179" s="200" t="s">
        <v>807</v>
      </c>
      <c r="H10179" s="200" t="s">
        <v>429</v>
      </c>
    </row>
    <row r="10180" spans="1:8" ht="15" customHeight="1">
      <c r="A10180" s="199">
        <v>45820</v>
      </c>
      <c r="B10180" s="202" t="s">
        <v>7531</v>
      </c>
      <c r="C10180" s="200" t="s">
        <v>204</v>
      </c>
      <c r="D10180" s="765">
        <v>-311111.11111111112</v>
      </c>
      <c r="E10180" s="201">
        <v>45809</v>
      </c>
      <c r="F10180" s="200" t="s">
        <v>296</v>
      </c>
      <c r="G10180" s="200" t="s">
        <v>807</v>
      </c>
      <c r="H10180" s="200" t="s">
        <v>429</v>
      </c>
    </row>
    <row r="10181" spans="1:8" ht="15" customHeight="1">
      <c r="A10181" s="199">
        <v>45820</v>
      </c>
      <c r="B10181" s="202" t="s">
        <v>7532</v>
      </c>
      <c r="C10181" s="200" t="s">
        <v>204</v>
      </c>
      <c r="D10181" s="765">
        <v>-252544.44444444444</v>
      </c>
      <c r="E10181" s="201">
        <v>45809</v>
      </c>
      <c r="F10181" s="200" t="s">
        <v>296</v>
      </c>
      <c r="G10181" s="200" t="s">
        <v>807</v>
      </c>
      <c r="H10181" s="200" t="s">
        <v>429</v>
      </c>
    </row>
    <row r="10182" spans="1:8" ht="15" customHeight="1">
      <c r="A10182" s="199">
        <v>45820</v>
      </c>
      <c r="B10182" s="202" t="s">
        <v>7533</v>
      </c>
      <c r="C10182" s="200" t="s">
        <v>204</v>
      </c>
      <c r="D10182" s="765">
        <v>-216466.66666666666</v>
      </c>
      <c r="E10182" s="201">
        <v>45809</v>
      </c>
      <c r="F10182" s="200" t="s">
        <v>296</v>
      </c>
      <c r="G10182" s="200" t="s">
        <v>807</v>
      </c>
      <c r="H10182" s="200" t="s">
        <v>429</v>
      </c>
    </row>
    <row r="10183" spans="1:8" ht="15" customHeight="1">
      <c r="A10183" s="199">
        <v>45820</v>
      </c>
      <c r="B10183" s="202" t="s">
        <v>7534</v>
      </c>
      <c r="C10183" s="200" t="s">
        <v>204</v>
      </c>
      <c r="D10183" s="765">
        <v>-216466.66666666666</v>
      </c>
      <c r="E10183" s="201">
        <v>45809</v>
      </c>
      <c r="F10183" s="200" t="s">
        <v>296</v>
      </c>
      <c r="G10183" s="200" t="s">
        <v>807</v>
      </c>
      <c r="H10183" s="200" t="s">
        <v>429</v>
      </c>
    </row>
    <row r="10184" spans="1:8" ht="15" customHeight="1">
      <c r="A10184" s="199">
        <v>45820</v>
      </c>
      <c r="B10184" s="202" t="s">
        <v>7535</v>
      </c>
      <c r="C10184" s="200" t="s">
        <v>204</v>
      </c>
      <c r="D10184" s="765">
        <v>-216466.66666666666</v>
      </c>
      <c r="E10184" s="201">
        <v>45809</v>
      </c>
      <c r="F10184" s="200" t="s">
        <v>296</v>
      </c>
      <c r="G10184" s="200" t="s">
        <v>807</v>
      </c>
      <c r="H10184" s="200" t="s">
        <v>429</v>
      </c>
    </row>
    <row r="10185" spans="1:8" ht="15" customHeight="1">
      <c r="A10185" s="199">
        <v>45820</v>
      </c>
      <c r="B10185" s="202" t="s">
        <v>7536</v>
      </c>
      <c r="C10185" s="200" t="s">
        <v>204</v>
      </c>
      <c r="D10185" s="765">
        <v>-216466.66666666666</v>
      </c>
      <c r="E10185" s="201">
        <v>45809</v>
      </c>
      <c r="F10185" s="200" t="s">
        <v>296</v>
      </c>
      <c r="G10185" s="200" t="s">
        <v>807</v>
      </c>
      <c r="H10185" s="200" t="s">
        <v>429</v>
      </c>
    </row>
    <row r="10186" spans="1:8" ht="15" customHeight="1">
      <c r="A10186" s="199">
        <v>45820</v>
      </c>
      <c r="B10186" s="202" t="s">
        <v>7537</v>
      </c>
      <c r="C10186" s="200" t="s">
        <v>204</v>
      </c>
      <c r="D10186" s="765">
        <v>-805000.00020000001</v>
      </c>
      <c r="E10186" s="201">
        <v>45809</v>
      </c>
      <c r="F10186" s="200" t="s">
        <v>296</v>
      </c>
      <c r="G10186" s="200" t="s">
        <v>522</v>
      </c>
      <c r="H10186" s="200" t="s">
        <v>338</v>
      </c>
    </row>
    <row r="10187" spans="1:8" ht="15" customHeight="1">
      <c r="A10187" s="199">
        <v>45820</v>
      </c>
      <c r="B10187" s="202" t="s">
        <v>7537</v>
      </c>
      <c r="C10187" s="200" t="s">
        <v>204</v>
      </c>
      <c r="D10187" s="765">
        <v>-536666.66680000001</v>
      </c>
      <c r="E10187" s="201">
        <v>45809</v>
      </c>
      <c r="F10187" s="200" t="s">
        <v>296</v>
      </c>
      <c r="G10187" s="200" t="s">
        <v>807</v>
      </c>
      <c r="H10187" s="200" t="s">
        <v>338</v>
      </c>
    </row>
    <row r="10188" spans="1:8" ht="15" customHeight="1">
      <c r="A10188" s="199">
        <v>45820</v>
      </c>
      <c r="B10188" s="202" t="s">
        <v>7538</v>
      </c>
      <c r="C10188" s="200" t="s">
        <v>204</v>
      </c>
      <c r="D10188" s="765">
        <v>-1458333.3333333333</v>
      </c>
      <c r="E10188" s="201">
        <v>45809</v>
      </c>
      <c r="F10188" s="200" t="s">
        <v>296</v>
      </c>
      <c r="G10188" s="200" t="s">
        <v>44</v>
      </c>
      <c r="H10188" s="200" t="s">
        <v>429</v>
      </c>
    </row>
    <row r="10189" spans="1:8" ht="15" customHeight="1">
      <c r="A10189" s="199">
        <v>45820</v>
      </c>
      <c r="B10189" s="202" t="s">
        <v>7539</v>
      </c>
      <c r="C10189" s="200" t="s">
        <v>204</v>
      </c>
      <c r="D10189" s="765">
        <v>-1160951.0833333333</v>
      </c>
      <c r="E10189" s="201">
        <v>45809</v>
      </c>
      <c r="F10189" s="200" t="s">
        <v>296</v>
      </c>
      <c r="G10189" s="200" t="s">
        <v>44</v>
      </c>
      <c r="H10189" s="200" t="s">
        <v>429</v>
      </c>
    </row>
    <row r="10190" spans="1:8" ht="15" customHeight="1">
      <c r="A10190" s="199">
        <v>45820</v>
      </c>
      <c r="B10190" s="202" t="s">
        <v>7540</v>
      </c>
      <c r="C10190" s="200" t="s">
        <v>204</v>
      </c>
      <c r="D10190" s="765">
        <v>-958333.33333333337</v>
      </c>
      <c r="E10190" s="201">
        <v>45809</v>
      </c>
      <c r="F10190" s="200" t="s">
        <v>296</v>
      </c>
      <c r="G10190" s="200" t="s">
        <v>44</v>
      </c>
      <c r="H10190" s="200" t="s">
        <v>429</v>
      </c>
    </row>
    <row r="10191" spans="1:8" ht="15" customHeight="1">
      <c r="A10191" s="199">
        <v>45820</v>
      </c>
      <c r="B10191" s="202" t="s">
        <v>7541</v>
      </c>
      <c r="C10191" s="200" t="s">
        <v>204</v>
      </c>
      <c r="D10191" s="765">
        <v>-820083.33333333337</v>
      </c>
      <c r="E10191" s="201">
        <v>45809</v>
      </c>
      <c r="F10191" s="200" t="s">
        <v>296</v>
      </c>
      <c r="G10191" s="200" t="s">
        <v>44</v>
      </c>
      <c r="H10191" s="200" t="s">
        <v>429</v>
      </c>
    </row>
    <row r="10192" spans="1:8" ht="15" customHeight="1">
      <c r="A10192" s="199">
        <v>45820</v>
      </c>
      <c r="B10192" s="202" t="s">
        <v>7542</v>
      </c>
      <c r="C10192" s="200" t="s">
        <v>204</v>
      </c>
      <c r="D10192" s="765">
        <v>-820728</v>
      </c>
      <c r="E10192" s="201">
        <v>45809</v>
      </c>
      <c r="F10192" s="200" t="s">
        <v>296</v>
      </c>
      <c r="G10192" s="200" t="s">
        <v>44</v>
      </c>
      <c r="H10192" s="200" t="s">
        <v>429</v>
      </c>
    </row>
    <row r="10193" spans="1:8" ht="15" customHeight="1">
      <c r="A10193" s="199">
        <v>45820</v>
      </c>
      <c r="B10193" s="202" t="s">
        <v>7543</v>
      </c>
      <c r="C10193" s="200" t="s">
        <v>204</v>
      </c>
      <c r="D10193" s="765">
        <v>-820728</v>
      </c>
      <c r="E10193" s="201">
        <v>45809</v>
      </c>
      <c r="F10193" s="200" t="s">
        <v>296</v>
      </c>
      <c r="G10193" s="200" t="s">
        <v>44</v>
      </c>
      <c r="H10193" s="200" t="s">
        <v>429</v>
      </c>
    </row>
    <row r="10194" spans="1:8" ht="15" customHeight="1">
      <c r="A10194" s="199">
        <v>45820</v>
      </c>
      <c r="B10194" s="202" t="s">
        <v>7544</v>
      </c>
      <c r="C10194" s="200" t="s">
        <v>204</v>
      </c>
      <c r="D10194" s="765">
        <v>-812394.66666666663</v>
      </c>
      <c r="E10194" s="201">
        <v>45809</v>
      </c>
      <c r="F10194" s="200" t="s">
        <v>296</v>
      </c>
      <c r="G10194" s="200" t="s">
        <v>44</v>
      </c>
      <c r="H10194" s="200" t="s">
        <v>429</v>
      </c>
    </row>
    <row r="10195" spans="1:8" ht="15" customHeight="1">
      <c r="A10195" s="199">
        <v>45820</v>
      </c>
      <c r="B10195" s="202" t="s">
        <v>7545</v>
      </c>
      <c r="C10195" s="200" t="s">
        <v>204</v>
      </c>
      <c r="D10195" s="765">
        <v>-822394.66666666663</v>
      </c>
      <c r="E10195" s="201">
        <v>45809</v>
      </c>
      <c r="F10195" s="200" t="s">
        <v>296</v>
      </c>
      <c r="G10195" s="200" t="s">
        <v>44</v>
      </c>
      <c r="H10195" s="200" t="s">
        <v>421</v>
      </c>
    </row>
    <row r="10196" spans="1:8" ht="15" customHeight="1">
      <c r="A10196" s="199">
        <v>45820</v>
      </c>
      <c r="B10196" s="202" t="s">
        <v>7546</v>
      </c>
      <c r="C10196" s="200" t="s">
        <v>204</v>
      </c>
      <c r="D10196" s="765">
        <v>-790181.9444444445</v>
      </c>
      <c r="E10196" s="201">
        <v>45809</v>
      </c>
      <c r="F10196" s="200" t="s">
        <v>296</v>
      </c>
      <c r="G10196" s="200" t="s">
        <v>44</v>
      </c>
      <c r="H10196" s="200" t="s">
        <v>421</v>
      </c>
    </row>
    <row r="10197" spans="1:8" ht="15" customHeight="1">
      <c r="A10197" s="199">
        <v>45820</v>
      </c>
      <c r="B10197" s="202" t="s">
        <v>7547</v>
      </c>
      <c r="C10197" s="200" t="s">
        <v>204</v>
      </c>
      <c r="D10197" s="765">
        <v>-790181.9444444445</v>
      </c>
      <c r="E10197" s="201">
        <v>45809</v>
      </c>
      <c r="F10197" s="200" t="s">
        <v>296</v>
      </c>
      <c r="G10197" s="200" t="s">
        <v>44</v>
      </c>
      <c r="H10197" s="200" t="s">
        <v>421</v>
      </c>
    </row>
    <row r="10198" spans="1:8" ht="15" customHeight="1">
      <c r="A10198" s="199">
        <v>45820</v>
      </c>
      <c r="B10198" s="202" t="s">
        <v>7548</v>
      </c>
      <c r="C10198" s="200" t="s">
        <v>204</v>
      </c>
      <c r="D10198" s="765">
        <v>-790181.9444444445</v>
      </c>
      <c r="E10198" s="201">
        <v>45809</v>
      </c>
      <c r="F10198" s="200" t="s">
        <v>296</v>
      </c>
      <c r="G10198" s="200" t="s">
        <v>44</v>
      </c>
      <c r="H10198" s="200" t="s">
        <v>421</v>
      </c>
    </row>
    <row r="10199" spans="1:8" ht="15" customHeight="1">
      <c r="A10199" s="199">
        <v>45820</v>
      </c>
      <c r="B10199" s="202" t="s">
        <v>7549</v>
      </c>
      <c r="C10199" s="200" t="s">
        <v>204</v>
      </c>
      <c r="D10199" s="765">
        <v>-790181.9444444445</v>
      </c>
      <c r="E10199" s="201">
        <v>45809</v>
      </c>
      <c r="F10199" s="200" t="s">
        <v>296</v>
      </c>
      <c r="G10199" s="200" t="s">
        <v>44</v>
      </c>
      <c r="H10199" s="200" t="s">
        <v>421</v>
      </c>
    </row>
    <row r="10200" spans="1:8" ht="15" customHeight="1">
      <c r="A10200" s="199">
        <v>45820</v>
      </c>
      <c r="B10200" s="202" t="s">
        <v>7550</v>
      </c>
      <c r="C10200" s="200" t="s">
        <v>204</v>
      </c>
      <c r="D10200" s="765">
        <v>-790181.9444444445</v>
      </c>
      <c r="E10200" s="201">
        <v>45809</v>
      </c>
      <c r="F10200" s="200" t="s">
        <v>296</v>
      </c>
      <c r="G10200" s="200" t="s">
        <v>44</v>
      </c>
      <c r="H10200" s="200" t="s">
        <v>421</v>
      </c>
    </row>
    <row r="10201" spans="1:8" ht="15" customHeight="1">
      <c r="A10201" s="199">
        <v>45820</v>
      </c>
      <c r="B10201" s="202" t="s">
        <v>7551</v>
      </c>
      <c r="C10201" s="200" t="s">
        <v>204</v>
      </c>
      <c r="D10201" s="765">
        <v>-785672.22222222225</v>
      </c>
      <c r="E10201" s="201">
        <v>45809</v>
      </c>
      <c r="F10201" s="200" t="s">
        <v>296</v>
      </c>
      <c r="G10201" s="200" t="s">
        <v>1825</v>
      </c>
      <c r="H10201" s="200" t="s">
        <v>429</v>
      </c>
    </row>
    <row r="10202" spans="1:8" ht="15" customHeight="1">
      <c r="A10202" s="199">
        <v>45820</v>
      </c>
      <c r="B10202" s="202" t="s">
        <v>7552</v>
      </c>
      <c r="C10202" s="200" t="s">
        <v>204</v>
      </c>
      <c r="D10202" s="765">
        <v>-785672.22222222225</v>
      </c>
      <c r="E10202" s="201">
        <v>45809</v>
      </c>
      <c r="F10202" s="200" t="s">
        <v>296</v>
      </c>
      <c r="G10202" s="200" t="s">
        <v>1825</v>
      </c>
      <c r="H10202" s="200" t="s">
        <v>429</v>
      </c>
    </row>
    <row r="10203" spans="1:8" ht="15" customHeight="1">
      <c r="A10203" s="199">
        <v>45820</v>
      </c>
      <c r="B10203" s="202" t="s">
        <v>7553</v>
      </c>
      <c r="C10203" s="200" t="s">
        <v>204</v>
      </c>
      <c r="D10203" s="765">
        <v>-787606.3055555555</v>
      </c>
      <c r="E10203" s="201">
        <v>45809</v>
      </c>
      <c r="F10203" s="200" t="s">
        <v>296</v>
      </c>
      <c r="G10203" s="200" t="s">
        <v>1825</v>
      </c>
      <c r="H10203" s="200" t="s">
        <v>429</v>
      </c>
    </row>
    <row r="10204" spans="1:8" ht="15" customHeight="1">
      <c r="A10204" s="199">
        <v>45820</v>
      </c>
      <c r="B10204" s="202" t="s">
        <v>7554</v>
      </c>
      <c r="C10204" s="200" t="s">
        <v>204</v>
      </c>
      <c r="D10204" s="765">
        <v>-1048728.8611111112</v>
      </c>
      <c r="E10204" s="201">
        <v>45809</v>
      </c>
      <c r="F10204" s="200" t="s">
        <v>296</v>
      </c>
      <c r="G10204" s="200" t="s">
        <v>1825</v>
      </c>
      <c r="H10204" s="200" t="s">
        <v>429</v>
      </c>
    </row>
    <row r="10205" spans="1:8" ht="15" customHeight="1">
      <c r="A10205" s="199">
        <v>45820</v>
      </c>
      <c r="B10205" s="202" t="s">
        <v>7555</v>
      </c>
      <c r="C10205" s="200" t="s">
        <v>204</v>
      </c>
      <c r="D10205" s="765">
        <v>-751528.52777777775</v>
      </c>
      <c r="E10205" s="201">
        <v>45809</v>
      </c>
      <c r="F10205" s="200" t="s">
        <v>296</v>
      </c>
      <c r="G10205" s="200" t="s">
        <v>1825</v>
      </c>
      <c r="H10205" s="200" t="s">
        <v>429</v>
      </c>
    </row>
    <row r="10206" spans="1:8" ht="15" customHeight="1">
      <c r="A10206" s="199">
        <v>45820</v>
      </c>
      <c r="B10206" s="202" t="s">
        <v>7556</v>
      </c>
      <c r="C10206" s="200" t="s">
        <v>204</v>
      </c>
      <c r="D10206" s="765">
        <v>-750239.11111111112</v>
      </c>
      <c r="E10206" s="201">
        <v>45809</v>
      </c>
      <c r="F10206" s="200" t="s">
        <v>296</v>
      </c>
      <c r="G10206" s="200" t="s">
        <v>1825</v>
      </c>
      <c r="H10206" s="200" t="s">
        <v>429</v>
      </c>
    </row>
    <row r="10207" spans="1:8" ht="15" customHeight="1">
      <c r="A10207" s="199">
        <v>45820</v>
      </c>
      <c r="B10207" s="202" t="s">
        <v>7557</v>
      </c>
      <c r="C10207" s="200" t="s">
        <v>204</v>
      </c>
      <c r="D10207" s="765">
        <v>-739594.4444444445</v>
      </c>
      <c r="E10207" s="201">
        <v>45809</v>
      </c>
      <c r="F10207" s="200" t="s">
        <v>296</v>
      </c>
      <c r="G10207" s="200" t="s">
        <v>1825</v>
      </c>
      <c r="H10207" s="200" t="s">
        <v>421</v>
      </c>
    </row>
    <row r="10208" spans="1:8" ht="15" customHeight="1">
      <c r="A10208" s="199">
        <v>45820</v>
      </c>
      <c r="B10208" s="202" t="s">
        <v>7558</v>
      </c>
      <c r="C10208" s="200" t="s">
        <v>204</v>
      </c>
      <c r="D10208" s="765">
        <v>-749594.4444444445</v>
      </c>
      <c r="E10208" s="201">
        <v>45809</v>
      </c>
      <c r="F10208" s="200" t="s">
        <v>296</v>
      </c>
      <c r="G10208" s="200" t="s">
        <v>1825</v>
      </c>
      <c r="H10208" s="200" t="s">
        <v>421</v>
      </c>
    </row>
    <row r="10209" spans="1:8" ht="15" customHeight="1">
      <c r="A10209" s="199">
        <v>45820</v>
      </c>
      <c r="B10209" s="202" t="s">
        <v>7559</v>
      </c>
      <c r="C10209" s="200" t="s">
        <v>204</v>
      </c>
      <c r="D10209" s="765">
        <v>-253189.11111111112</v>
      </c>
      <c r="E10209" s="201">
        <v>45809</v>
      </c>
      <c r="F10209" s="200" t="s">
        <v>296</v>
      </c>
      <c r="G10209" s="200" t="s">
        <v>1825</v>
      </c>
      <c r="H10209" s="200" t="s">
        <v>421</v>
      </c>
    </row>
    <row r="10210" spans="1:8" ht="15" customHeight="1">
      <c r="A10210" s="199">
        <v>45820</v>
      </c>
      <c r="B10210" s="202" t="s">
        <v>7560</v>
      </c>
      <c r="C10210" s="200" t="s">
        <v>204</v>
      </c>
      <c r="D10210" s="765">
        <v>-821372.75</v>
      </c>
      <c r="E10210" s="201">
        <v>45809</v>
      </c>
      <c r="F10210" s="200" t="s">
        <v>296</v>
      </c>
      <c r="G10210" s="200" t="s">
        <v>1980</v>
      </c>
      <c r="H10210" s="200" t="s">
        <v>490</v>
      </c>
    </row>
    <row r="10211" spans="1:8" ht="15" customHeight="1">
      <c r="A10211" s="199">
        <v>45820</v>
      </c>
      <c r="B10211" s="202" t="s">
        <v>7561</v>
      </c>
      <c r="C10211" s="200" t="s">
        <v>204</v>
      </c>
      <c r="D10211" s="765">
        <v>-959103.25</v>
      </c>
      <c r="E10211" s="201">
        <v>45809</v>
      </c>
      <c r="F10211" s="200" t="s">
        <v>296</v>
      </c>
      <c r="G10211" s="200" t="s">
        <v>1980</v>
      </c>
      <c r="H10211" s="200" t="s">
        <v>490</v>
      </c>
    </row>
    <row r="10212" spans="1:8" ht="15" customHeight="1">
      <c r="A10212" s="199">
        <v>45820</v>
      </c>
      <c r="B10212" s="202" t="s">
        <v>7562</v>
      </c>
      <c r="C10212" s="200" t="s">
        <v>204</v>
      </c>
      <c r="D10212" s="765">
        <v>-369797.22222222225</v>
      </c>
      <c r="E10212" s="201">
        <v>45809</v>
      </c>
      <c r="F10212" s="200" t="s">
        <v>296</v>
      </c>
      <c r="G10212" s="200" t="s">
        <v>1980</v>
      </c>
      <c r="H10212" s="200" t="s">
        <v>490</v>
      </c>
    </row>
    <row r="10213" spans="1:8" ht="15" customHeight="1">
      <c r="A10213" s="199">
        <v>45820</v>
      </c>
      <c r="B10213" s="202" t="s">
        <v>7563</v>
      </c>
      <c r="C10213" s="200" t="s">
        <v>204</v>
      </c>
      <c r="D10213" s="765">
        <v>-369797.22222222225</v>
      </c>
      <c r="E10213" s="201">
        <v>45809</v>
      </c>
      <c r="F10213" s="200" t="s">
        <v>296</v>
      </c>
      <c r="G10213" s="200" t="s">
        <v>1980</v>
      </c>
      <c r="H10213" s="200" t="s">
        <v>490</v>
      </c>
    </row>
    <row r="10214" spans="1:8" ht="15" customHeight="1">
      <c r="A10214" s="199">
        <v>45820</v>
      </c>
      <c r="B10214" s="202" t="s">
        <v>7564</v>
      </c>
      <c r="C10214" s="200" t="s">
        <v>204</v>
      </c>
      <c r="D10214" s="765">
        <v>-369797.22222222225</v>
      </c>
      <c r="E10214" s="201">
        <v>45809</v>
      </c>
      <c r="F10214" s="200" t="s">
        <v>296</v>
      </c>
      <c r="G10214" s="200" t="s">
        <v>1980</v>
      </c>
      <c r="H10214" s="200" t="s">
        <v>490</v>
      </c>
    </row>
    <row r="10215" spans="1:8" ht="15" customHeight="1">
      <c r="A10215" s="199">
        <v>45820</v>
      </c>
      <c r="B10215" s="202" t="s">
        <v>7565</v>
      </c>
      <c r="C10215" s="200" t="s">
        <v>204</v>
      </c>
      <c r="D10215" s="765">
        <v>-370441.88888888888</v>
      </c>
      <c r="E10215" s="201">
        <v>45809</v>
      </c>
      <c r="F10215" s="200" t="s">
        <v>296</v>
      </c>
      <c r="G10215" s="200" t="s">
        <v>1980</v>
      </c>
      <c r="H10215" s="200" t="s">
        <v>490</v>
      </c>
    </row>
    <row r="10216" spans="1:8" ht="15" customHeight="1">
      <c r="A10216" s="199">
        <v>45820</v>
      </c>
      <c r="B10216" s="202" t="s">
        <v>7566</v>
      </c>
      <c r="C10216" s="200" t="s">
        <v>204</v>
      </c>
      <c r="D10216" s="765">
        <v>-369797.22222222225</v>
      </c>
      <c r="E10216" s="201">
        <v>45809</v>
      </c>
      <c r="F10216" s="200" t="s">
        <v>296</v>
      </c>
      <c r="G10216" s="200" t="s">
        <v>1980</v>
      </c>
      <c r="H10216" s="200" t="s">
        <v>490</v>
      </c>
    </row>
    <row r="10217" spans="1:8" ht="15" customHeight="1">
      <c r="A10217" s="199">
        <v>45820</v>
      </c>
      <c r="B10217" s="202" t="s">
        <v>7567</v>
      </c>
      <c r="C10217" s="200" t="s">
        <v>204</v>
      </c>
      <c r="D10217" s="765">
        <v>-369797.22222222225</v>
      </c>
      <c r="E10217" s="201">
        <v>45809</v>
      </c>
      <c r="F10217" s="200" t="s">
        <v>296</v>
      </c>
      <c r="G10217" s="200" t="s">
        <v>1980</v>
      </c>
      <c r="H10217" s="200" t="s">
        <v>488</v>
      </c>
    </row>
    <row r="10218" spans="1:8" ht="15" customHeight="1">
      <c r="A10218" s="199">
        <v>45820</v>
      </c>
      <c r="B10218" s="202" t="s">
        <v>7568</v>
      </c>
      <c r="C10218" s="200" t="s">
        <v>204</v>
      </c>
      <c r="D10218" s="765">
        <v>-315680.55555555556</v>
      </c>
      <c r="E10218" s="201">
        <v>45809</v>
      </c>
      <c r="F10218" s="200" t="s">
        <v>296</v>
      </c>
      <c r="G10218" s="200" t="s">
        <v>1980</v>
      </c>
      <c r="H10218" s="200" t="s">
        <v>488</v>
      </c>
    </row>
    <row r="10219" spans="1:8" ht="15" customHeight="1">
      <c r="A10219" s="199">
        <v>45820</v>
      </c>
      <c r="B10219" s="202" t="s">
        <v>7569</v>
      </c>
      <c r="C10219" s="200" t="s">
        <v>204</v>
      </c>
      <c r="D10219" s="765">
        <v>-302151.38888888888</v>
      </c>
      <c r="E10219" s="201">
        <v>45809</v>
      </c>
      <c r="F10219" s="200" t="s">
        <v>296</v>
      </c>
      <c r="G10219" s="200" t="s">
        <v>1980</v>
      </c>
      <c r="H10219" s="200" t="s">
        <v>488</v>
      </c>
    </row>
    <row r="10220" spans="1:8" ht="15" customHeight="1">
      <c r="A10220" s="199">
        <v>45820</v>
      </c>
      <c r="B10220" s="202" t="s">
        <v>7570</v>
      </c>
      <c r="C10220" s="200" t="s">
        <v>204</v>
      </c>
      <c r="D10220" s="765">
        <v>-302151.38888888888</v>
      </c>
      <c r="E10220" s="201">
        <v>45809</v>
      </c>
      <c r="F10220" s="200" t="s">
        <v>296</v>
      </c>
      <c r="G10220" s="200" t="s">
        <v>1980</v>
      </c>
      <c r="H10220" s="200" t="s">
        <v>488</v>
      </c>
    </row>
    <row r="10221" spans="1:8" ht="15" customHeight="1">
      <c r="A10221" s="199">
        <v>45820</v>
      </c>
      <c r="B10221" s="202" t="s">
        <v>7571</v>
      </c>
      <c r="C10221" s="200" t="s">
        <v>204</v>
      </c>
      <c r="D10221" s="765">
        <v>-302151.38888888888</v>
      </c>
      <c r="E10221" s="201">
        <v>45809</v>
      </c>
      <c r="F10221" s="200" t="s">
        <v>296</v>
      </c>
      <c r="G10221" s="200" t="s">
        <v>1980</v>
      </c>
      <c r="H10221" s="200" t="s">
        <v>488</v>
      </c>
    </row>
    <row r="10222" spans="1:8" ht="15" customHeight="1">
      <c r="A10222" s="199">
        <v>45820</v>
      </c>
      <c r="B10222" s="202" t="s">
        <v>7572</v>
      </c>
      <c r="C10222" s="200" t="s">
        <v>204</v>
      </c>
      <c r="D10222" s="765">
        <v>-302151.38888888888</v>
      </c>
      <c r="E10222" s="201">
        <v>45809</v>
      </c>
      <c r="F10222" s="200" t="s">
        <v>296</v>
      </c>
      <c r="G10222" s="200" t="s">
        <v>1980</v>
      </c>
      <c r="H10222" s="200" t="s">
        <v>488</v>
      </c>
    </row>
    <row r="10223" spans="1:8" ht="15" customHeight="1">
      <c r="A10223" s="199">
        <v>45820</v>
      </c>
      <c r="B10223" s="202" t="s">
        <v>7573</v>
      </c>
      <c r="C10223" s="200" t="s">
        <v>204</v>
      </c>
      <c r="D10223" s="765">
        <v>-302151.38888888888</v>
      </c>
      <c r="E10223" s="201">
        <v>45809</v>
      </c>
      <c r="F10223" s="200" t="s">
        <v>296</v>
      </c>
      <c r="G10223" s="200" t="s">
        <v>1980</v>
      </c>
      <c r="H10223" s="200" t="s">
        <v>488</v>
      </c>
    </row>
    <row r="10224" spans="1:8" ht="15" customHeight="1">
      <c r="A10224" s="199">
        <v>45820</v>
      </c>
      <c r="B10224" s="202" t="s">
        <v>7574</v>
      </c>
      <c r="C10224" s="200" t="s">
        <v>204</v>
      </c>
      <c r="D10224" s="765">
        <v>-302151.38888888888</v>
      </c>
      <c r="E10224" s="201">
        <v>45809</v>
      </c>
      <c r="F10224" s="200" t="s">
        <v>296</v>
      </c>
      <c r="G10224" s="200" t="s">
        <v>1980</v>
      </c>
      <c r="H10224" s="200" t="s">
        <v>488</v>
      </c>
    </row>
    <row r="10225" spans="1:8" ht="15" customHeight="1">
      <c r="A10225" s="199">
        <v>45820</v>
      </c>
      <c r="B10225" s="202" t="s">
        <v>7575</v>
      </c>
      <c r="C10225" s="200" t="s">
        <v>204</v>
      </c>
      <c r="D10225" s="765">
        <v>-302151.38888888888</v>
      </c>
      <c r="E10225" s="201">
        <v>45809</v>
      </c>
      <c r="F10225" s="200" t="s">
        <v>296</v>
      </c>
      <c r="G10225" s="200" t="s">
        <v>1980</v>
      </c>
      <c r="H10225" s="200" t="s">
        <v>429</v>
      </c>
    </row>
    <row r="10226" spans="1:8" ht="15" customHeight="1">
      <c r="A10226" s="199">
        <v>45820</v>
      </c>
      <c r="B10226" s="202" t="s">
        <v>7576</v>
      </c>
      <c r="C10226" s="200" t="s">
        <v>204</v>
      </c>
      <c r="D10226" s="765">
        <v>-302796.05555555556</v>
      </c>
      <c r="E10226" s="201">
        <v>45809</v>
      </c>
      <c r="F10226" s="200" t="s">
        <v>296</v>
      </c>
      <c r="G10226" s="200" t="s">
        <v>1980</v>
      </c>
      <c r="H10226" s="200" t="s">
        <v>429</v>
      </c>
    </row>
    <row r="10227" spans="1:8" ht="15" customHeight="1">
      <c r="A10227" s="199">
        <v>45820</v>
      </c>
      <c r="B10227" s="202" t="s">
        <v>7577</v>
      </c>
      <c r="C10227" s="200" t="s">
        <v>204</v>
      </c>
      <c r="D10227" s="765">
        <v>-302151.38888888888</v>
      </c>
      <c r="E10227" s="201">
        <v>45809</v>
      </c>
      <c r="F10227" s="200" t="s">
        <v>296</v>
      </c>
      <c r="G10227" s="200" t="s">
        <v>1980</v>
      </c>
      <c r="H10227" s="200" t="s">
        <v>429</v>
      </c>
    </row>
    <row r="10228" spans="1:8" ht="15" customHeight="1">
      <c r="A10228" s="199">
        <v>45820</v>
      </c>
      <c r="B10228" s="202" t="s">
        <v>7578</v>
      </c>
      <c r="C10228" s="200" t="s">
        <v>204</v>
      </c>
      <c r="D10228" s="765">
        <v>-284112.5</v>
      </c>
      <c r="E10228" s="201">
        <v>45809</v>
      </c>
      <c r="F10228" s="200" t="s">
        <v>296</v>
      </c>
      <c r="G10228" s="200" t="s">
        <v>1980</v>
      </c>
      <c r="H10228" s="200" t="s">
        <v>429</v>
      </c>
    </row>
    <row r="10229" spans="1:8" ht="15" customHeight="1">
      <c r="A10229" s="199">
        <v>45820</v>
      </c>
      <c r="B10229" s="202" t="s">
        <v>7579</v>
      </c>
      <c r="C10229" s="200" t="s">
        <v>204</v>
      </c>
      <c r="D10229" s="765">
        <v>-284112.5</v>
      </c>
      <c r="E10229" s="201">
        <v>45809</v>
      </c>
      <c r="F10229" s="200" t="s">
        <v>296</v>
      </c>
      <c r="G10229" s="200" t="s">
        <v>1980</v>
      </c>
      <c r="H10229" s="200" t="s">
        <v>429</v>
      </c>
    </row>
    <row r="10230" spans="1:8" ht="15" customHeight="1">
      <c r="A10230" s="199">
        <v>45820</v>
      </c>
      <c r="B10230" s="202" t="s">
        <v>7580</v>
      </c>
      <c r="C10230" s="200" t="s">
        <v>204</v>
      </c>
      <c r="D10230" s="765">
        <v>-252544.44444444444</v>
      </c>
      <c r="E10230" s="201">
        <v>45809</v>
      </c>
      <c r="F10230" s="200" t="s">
        <v>296</v>
      </c>
      <c r="G10230" s="200" t="s">
        <v>1980</v>
      </c>
      <c r="H10230" s="200" t="s">
        <v>429</v>
      </c>
    </row>
    <row r="10231" spans="1:8" ht="15" customHeight="1">
      <c r="A10231" s="199">
        <v>45820</v>
      </c>
      <c r="B10231" s="202" t="s">
        <v>7581</v>
      </c>
      <c r="C10231" s="200" t="s">
        <v>204</v>
      </c>
      <c r="D10231" s="765">
        <v>-252544.44444444444</v>
      </c>
      <c r="E10231" s="201">
        <v>45809</v>
      </c>
      <c r="F10231" s="200" t="s">
        <v>296</v>
      </c>
      <c r="G10231" s="200" t="s">
        <v>1980</v>
      </c>
      <c r="H10231" s="200" t="s">
        <v>429</v>
      </c>
    </row>
    <row r="10232" spans="1:8" ht="15" customHeight="1">
      <c r="A10232" s="199">
        <v>45820</v>
      </c>
      <c r="B10232" s="202" t="s">
        <v>7582</v>
      </c>
      <c r="C10232" s="200" t="s">
        <v>204</v>
      </c>
      <c r="D10232" s="765">
        <v>-252544.44444444444</v>
      </c>
      <c r="E10232" s="201">
        <v>45809</v>
      </c>
      <c r="F10232" s="200" t="s">
        <v>296</v>
      </c>
      <c r="G10232" s="200" t="s">
        <v>1980</v>
      </c>
      <c r="H10232" s="200" t="s">
        <v>429</v>
      </c>
    </row>
    <row r="10233" spans="1:8" ht="15" customHeight="1">
      <c r="A10233" s="199">
        <v>45820</v>
      </c>
      <c r="B10233" s="202" t="s">
        <v>7583</v>
      </c>
      <c r="C10233" s="200" t="s">
        <v>204</v>
      </c>
      <c r="D10233" s="765">
        <v>-216466.66666666666</v>
      </c>
      <c r="E10233" s="201">
        <v>45809</v>
      </c>
      <c r="F10233" s="200" t="s">
        <v>296</v>
      </c>
      <c r="G10233" s="200" t="s">
        <v>1980</v>
      </c>
      <c r="H10233" s="200" t="s">
        <v>429</v>
      </c>
    </row>
    <row r="10234" spans="1:8" ht="15" customHeight="1">
      <c r="A10234" s="199">
        <v>45820</v>
      </c>
      <c r="B10234" s="202" t="s">
        <v>7584</v>
      </c>
      <c r="C10234" s="200" t="s">
        <v>204</v>
      </c>
      <c r="D10234" s="765">
        <v>-216466.66666666666</v>
      </c>
      <c r="E10234" s="201">
        <v>45809</v>
      </c>
      <c r="F10234" s="200" t="s">
        <v>296</v>
      </c>
      <c r="G10234" s="200" t="s">
        <v>1980</v>
      </c>
      <c r="H10234" s="200" t="s">
        <v>429</v>
      </c>
    </row>
    <row r="10235" spans="1:8" ht="15" customHeight="1">
      <c r="A10235" s="199">
        <v>45820</v>
      </c>
      <c r="B10235" s="202" t="s">
        <v>7585</v>
      </c>
      <c r="C10235" s="200" t="s">
        <v>204</v>
      </c>
      <c r="D10235" s="765">
        <v>-252544.44444444444</v>
      </c>
      <c r="E10235" s="201">
        <v>45809</v>
      </c>
      <c r="F10235" s="200" t="s">
        <v>296</v>
      </c>
      <c r="G10235" s="200" t="s">
        <v>1983</v>
      </c>
      <c r="H10235" s="200" t="s">
        <v>429</v>
      </c>
    </row>
    <row r="10236" spans="1:8" ht="15" customHeight="1">
      <c r="A10236" s="199">
        <v>45820</v>
      </c>
      <c r="B10236" s="202" t="s">
        <v>7586</v>
      </c>
      <c r="C10236" s="200" t="s">
        <v>204</v>
      </c>
      <c r="D10236" s="765">
        <v>-252544.44444444444</v>
      </c>
      <c r="E10236" s="201">
        <v>45809</v>
      </c>
      <c r="F10236" s="200" t="s">
        <v>296</v>
      </c>
      <c r="G10236" s="200" t="s">
        <v>1983</v>
      </c>
      <c r="H10236" s="200" t="s">
        <v>429</v>
      </c>
    </row>
    <row r="10237" spans="1:8" ht="15" customHeight="1">
      <c r="A10237" s="199">
        <v>45820</v>
      </c>
      <c r="B10237" s="202" t="s">
        <v>7587</v>
      </c>
      <c r="C10237" s="200" t="s">
        <v>204</v>
      </c>
      <c r="D10237" s="765">
        <v>-252544.44444444444</v>
      </c>
      <c r="E10237" s="201">
        <v>45809</v>
      </c>
      <c r="F10237" s="200" t="s">
        <v>296</v>
      </c>
      <c r="G10237" s="200" t="s">
        <v>1983</v>
      </c>
      <c r="H10237" s="200" t="s">
        <v>429</v>
      </c>
    </row>
    <row r="10238" spans="1:8" ht="15" customHeight="1">
      <c r="A10238" s="199">
        <v>45820</v>
      </c>
      <c r="B10238" s="202" t="s">
        <v>7588</v>
      </c>
      <c r="C10238" s="200" t="s">
        <v>204</v>
      </c>
      <c r="D10238" s="765">
        <v>-216466.66666666666</v>
      </c>
      <c r="E10238" s="201">
        <v>45809</v>
      </c>
      <c r="F10238" s="200" t="s">
        <v>296</v>
      </c>
      <c r="G10238" s="200" t="s">
        <v>1983</v>
      </c>
      <c r="H10238" s="200" t="s">
        <v>490</v>
      </c>
    </row>
    <row r="10239" spans="1:8" ht="15" customHeight="1">
      <c r="A10239" s="199">
        <v>45820</v>
      </c>
      <c r="B10239" s="202" t="s">
        <v>7589</v>
      </c>
      <c r="C10239" s="200" t="s">
        <v>204</v>
      </c>
      <c r="D10239" s="765">
        <v>-216466.66666666666</v>
      </c>
      <c r="E10239" s="201">
        <v>45809</v>
      </c>
      <c r="F10239" s="200" t="s">
        <v>296</v>
      </c>
      <c r="G10239" s="200" t="s">
        <v>1983</v>
      </c>
      <c r="H10239" s="200" t="s">
        <v>490</v>
      </c>
    </row>
    <row r="10240" spans="1:8" ht="15" customHeight="1">
      <c r="A10240" s="199">
        <v>45820</v>
      </c>
      <c r="B10240" s="202" t="s">
        <v>7590</v>
      </c>
      <c r="C10240" s="200" t="s">
        <v>204</v>
      </c>
      <c r="D10240" s="765">
        <v>-216466.66666666666</v>
      </c>
      <c r="E10240" s="201">
        <v>45809</v>
      </c>
      <c r="F10240" s="200" t="s">
        <v>296</v>
      </c>
      <c r="G10240" s="200" t="s">
        <v>1983</v>
      </c>
      <c r="H10240" s="200" t="s">
        <v>490</v>
      </c>
    </row>
    <row r="10241" spans="1:9" ht="15" customHeight="1">
      <c r="A10241" s="199">
        <v>45820</v>
      </c>
      <c r="B10241" s="202" t="s">
        <v>7591</v>
      </c>
      <c r="C10241" s="200" t="s">
        <v>204</v>
      </c>
      <c r="D10241" s="765">
        <v>-653750</v>
      </c>
      <c r="E10241" s="201">
        <v>45809</v>
      </c>
      <c r="F10241" s="200" t="s">
        <v>296</v>
      </c>
      <c r="G10241" s="200" t="s">
        <v>44</v>
      </c>
      <c r="H10241" s="200" t="s">
        <v>338</v>
      </c>
    </row>
    <row r="10242" spans="1:9" ht="15" customHeight="1">
      <c r="A10242" s="199">
        <v>45820</v>
      </c>
      <c r="B10242" s="202" t="s">
        <v>7591</v>
      </c>
      <c r="C10242" s="200" t="s">
        <v>204</v>
      </c>
      <c r="D10242" s="765">
        <v>-653750</v>
      </c>
      <c r="E10242" s="201">
        <v>45809</v>
      </c>
      <c r="F10242" s="200" t="s">
        <v>296</v>
      </c>
      <c r="G10242" s="200" t="s">
        <v>522</v>
      </c>
      <c r="H10242" s="200" t="s">
        <v>338</v>
      </c>
    </row>
    <row r="10243" spans="1:9" ht="15" customHeight="1">
      <c r="A10243" s="199">
        <v>45820</v>
      </c>
      <c r="B10243" s="202" t="s">
        <v>7592</v>
      </c>
      <c r="C10243" s="200" t="s">
        <v>204</v>
      </c>
      <c r="D10243" s="765">
        <v>-63657.407407407409</v>
      </c>
      <c r="E10243" s="201">
        <v>45809</v>
      </c>
      <c r="F10243" s="200" t="s">
        <v>2714</v>
      </c>
      <c r="G10243" s="200" t="s">
        <v>513</v>
      </c>
      <c r="H10243" s="200" t="s">
        <v>322</v>
      </c>
    </row>
    <row r="10244" spans="1:9" ht="15" customHeight="1">
      <c r="A10244" s="199">
        <v>45820</v>
      </c>
      <c r="B10244" s="202" t="s">
        <v>7592</v>
      </c>
      <c r="C10244" s="200" t="s">
        <v>204</v>
      </c>
      <c r="D10244" s="765">
        <v>-63657.407407407409</v>
      </c>
      <c r="E10244" s="201">
        <v>45809</v>
      </c>
      <c r="F10244" s="200" t="s">
        <v>296</v>
      </c>
      <c r="G10244" s="200" t="s">
        <v>44</v>
      </c>
      <c r="H10244" s="200" t="s">
        <v>322</v>
      </c>
    </row>
    <row r="10245" spans="1:9" ht="15" customHeight="1">
      <c r="A10245" s="199">
        <v>45820</v>
      </c>
      <c r="B10245" s="202" t="s">
        <v>7592</v>
      </c>
      <c r="C10245" s="200" t="s">
        <v>204</v>
      </c>
      <c r="D10245" s="765">
        <v>-63657.407407407409</v>
      </c>
      <c r="E10245" s="201">
        <v>45809</v>
      </c>
      <c r="F10245" s="200" t="s">
        <v>296</v>
      </c>
      <c r="G10245" s="200" t="s">
        <v>522</v>
      </c>
      <c r="H10245" s="200" t="s">
        <v>322</v>
      </c>
    </row>
    <row r="10246" spans="1:9" ht="15" customHeight="1">
      <c r="A10246" s="199">
        <v>45820</v>
      </c>
      <c r="B10246" s="202" t="s">
        <v>7592</v>
      </c>
      <c r="C10246" s="200" t="s">
        <v>204</v>
      </c>
      <c r="D10246" s="765">
        <v>-63657.407407407409</v>
      </c>
      <c r="E10246" s="201">
        <v>45809</v>
      </c>
      <c r="F10246" s="200" t="s">
        <v>296</v>
      </c>
      <c r="G10246" s="200" t="s">
        <v>1980</v>
      </c>
      <c r="H10246" s="200" t="s">
        <v>322</v>
      </c>
    </row>
    <row r="10247" spans="1:9" ht="15" customHeight="1">
      <c r="A10247" s="199">
        <v>45820</v>
      </c>
      <c r="B10247" s="202" t="s">
        <v>7592</v>
      </c>
      <c r="C10247" s="200" t="s">
        <v>204</v>
      </c>
      <c r="D10247" s="765">
        <v>-63657.407407407409</v>
      </c>
      <c r="E10247" s="201">
        <v>45809</v>
      </c>
      <c r="F10247" s="200" t="s">
        <v>296</v>
      </c>
      <c r="G10247" s="200" t="s">
        <v>1983</v>
      </c>
      <c r="H10247" s="200" t="s">
        <v>322</v>
      </c>
    </row>
    <row r="10248" spans="1:9" ht="15" customHeight="1">
      <c r="A10248" s="199">
        <v>45820</v>
      </c>
      <c r="B10248" s="202" t="s">
        <v>7592</v>
      </c>
      <c r="C10248" s="200" t="s">
        <v>204</v>
      </c>
      <c r="D10248" s="765">
        <v>-63657.407407407409</v>
      </c>
      <c r="E10248" s="201">
        <v>45809</v>
      </c>
      <c r="F10248" s="200" t="s">
        <v>296</v>
      </c>
      <c r="G10248" s="200" t="s">
        <v>6135</v>
      </c>
      <c r="H10248" s="200" t="s">
        <v>322</v>
      </c>
    </row>
    <row r="10249" spans="1:9" ht="15" customHeight="1">
      <c r="A10249" s="199">
        <v>45820</v>
      </c>
      <c r="B10249" s="202" t="s">
        <v>7593</v>
      </c>
      <c r="C10249" s="200" t="s">
        <v>204</v>
      </c>
      <c r="D10249" s="765">
        <v>-45790</v>
      </c>
      <c r="E10249" s="201">
        <v>45809</v>
      </c>
      <c r="F10249" s="200" t="s">
        <v>256</v>
      </c>
      <c r="G10249" s="200" t="s">
        <v>256</v>
      </c>
      <c r="H10249" s="200" t="s">
        <v>265</v>
      </c>
    </row>
    <row r="10250" spans="1:9" ht="15" customHeight="1">
      <c r="A10250" s="199">
        <v>45820</v>
      </c>
      <c r="B10250" s="202" t="s">
        <v>7594</v>
      </c>
      <c r="C10250" s="200" t="s">
        <v>204</v>
      </c>
      <c r="D10250" s="765">
        <v>-79120</v>
      </c>
      <c r="E10250" s="201">
        <v>45809</v>
      </c>
      <c r="F10250" s="200" t="s">
        <v>256</v>
      </c>
      <c r="G10250" s="200" t="s">
        <v>256</v>
      </c>
      <c r="H10250" s="200" t="s">
        <v>265</v>
      </c>
    </row>
    <row r="10251" spans="1:9" ht="15" customHeight="1">
      <c r="A10251" s="199">
        <v>45820</v>
      </c>
      <c r="B10251" s="202" t="s">
        <v>7595</v>
      </c>
      <c r="C10251" s="200" t="s">
        <v>136</v>
      </c>
      <c r="D10251" s="658">
        <v>-115333</v>
      </c>
      <c r="E10251" s="201">
        <v>45809</v>
      </c>
      <c r="F10251" s="200" t="s">
        <v>256</v>
      </c>
      <c r="G10251" s="200" t="s">
        <v>256</v>
      </c>
      <c r="H10251" s="200" t="s">
        <v>115</v>
      </c>
    </row>
    <row r="10252" spans="1:9" ht="15" customHeight="1">
      <c r="A10252" s="199">
        <v>45791</v>
      </c>
      <c r="B10252" s="202" t="s">
        <v>7596</v>
      </c>
      <c r="C10252" s="200" t="s">
        <v>307</v>
      </c>
      <c r="D10252" s="204">
        <v>-25010</v>
      </c>
      <c r="E10252" s="201">
        <v>45809</v>
      </c>
      <c r="F10252" s="200" t="s">
        <v>296</v>
      </c>
      <c r="G10252" s="200" t="s">
        <v>522</v>
      </c>
      <c r="H10252" s="200" t="s">
        <v>322</v>
      </c>
      <c r="I10252" s="200" t="s">
        <v>5293</v>
      </c>
    </row>
    <row r="10253" spans="1:9" ht="15" customHeight="1">
      <c r="A10253" s="199">
        <v>45799</v>
      </c>
      <c r="B10253" s="202" t="s">
        <v>7597</v>
      </c>
      <c r="C10253" s="200" t="s">
        <v>307</v>
      </c>
      <c r="D10253" s="204">
        <v>-57000</v>
      </c>
      <c r="E10253" s="201">
        <v>45809</v>
      </c>
      <c r="F10253" s="200" t="s">
        <v>296</v>
      </c>
      <c r="G10253" s="200" t="s">
        <v>807</v>
      </c>
      <c r="H10253" s="200" t="s">
        <v>429</v>
      </c>
      <c r="I10253" s="200" t="s">
        <v>5293</v>
      </c>
    </row>
    <row r="10254" spans="1:9" ht="15" customHeight="1">
      <c r="A10254" s="199">
        <v>45799</v>
      </c>
      <c r="B10254" s="202" t="s">
        <v>7598</v>
      </c>
      <c r="C10254" s="200" t="s">
        <v>307</v>
      </c>
      <c r="D10254" s="204">
        <v>-50000</v>
      </c>
      <c r="E10254" s="201">
        <v>45809</v>
      </c>
      <c r="F10254" s="200" t="s">
        <v>296</v>
      </c>
      <c r="G10254" s="200" t="s">
        <v>1980</v>
      </c>
      <c r="H10254" s="200" t="s">
        <v>442</v>
      </c>
      <c r="I10254" s="200" t="s">
        <v>5293</v>
      </c>
    </row>
    <row r="10255" spans="1:9" ht="15" customHeight="1">
      <c r="A10255" s="199">
        <v>45804</v>
      </c>
      <c r="B10255" s="202" t="s">
        <v>7599</v>
      </c>
      <c r="C10255" s="200" t="s">
        <v>307</v>
      </c>
      <c r="D10255" s="204">
        <v>-55600</v>
      </c>
      <c r="E10255" s="201">
        <v>45809</v>
      </c>
      <c r="F10255" s="200" t="s">
        <v>296</v>
      </c>
      <c r="G10255" s="200" t="s">
        <v>807</v>
      </c>
      <c r="H10255" s="200" t="s">
        <v>322</v>
      </c>
      <c r="I10255" s="200" t="s">
        <v>5293</v>
      </c>
    </row>
    <row r="10256" spans="1:9" ht="15" customHeight="1">
      <c r="A10256" s="199">
        <v>45804</v>
      </c>
      <c r="B10256" s="202" t="s">
        <v>7600</v>
      </c>
      <c r="C10256" s="200" t="s">
        <v>307</v>
      </c>
      <c r="D10256" s="204">
        <v>-20000</v>
      </c>
      <c r="E10256" s="201">
        <v>45809</v>
      </c>
      <c r="F10256" s="200" t="s">
        <v>296</v>
      </c>
      <c r="G10256" s="200" t="s">
        <v>807</v>
      </c>
      <c r="H10256" s="200" t="s">
        <v>442</v>
      </c>
      <c r="I10256" s="200" t="s">
        <v>5293</v>
      </c>
    </row>
    <row r="10257" spans="1:9" ht="15" customHeight="1">
      <c r="A10257" s="199">
        <v>45805</v>
      </c>
      <c r="B10257" s="202" t="s">
        <v>7601</v>
      </c>
      <c r="C10257" s="200" t="s">
        <v>307</v>
      </c>
      <c r="D10257" s="204">
        <v>-20000</v>
      </c>
      <c r="E10257" s="201">
        <v>45809</v>
      </c>
      <c r="F10257" s="200" t="s">
        <v>296</v>
      </c>
      <c r="G10257" s="200" t="s">
        <v>1980</v>
      </c>
      <c r="H10257" s="200" t="s">
        <v>442</v>
      </c>
      <c r="I10257" s="200" t="s">
        <v>5293</v>
      </c>
    </row>
    <row r="10258" spans="1:9" ht="15" customHeight="1">
      <c r="A10258" s="199">
        <v>45806</v>
      </c>
      <c r="B10258" s="202" t="s">
        <v>7602</v>
      </c>
      <c r="C10258" s="200" t="s">
        <v>307</v>
      </c>
      <c r="D10258" s="204">
        <v>-20000</v>
      </c>
      <c r="E10258" s="201">
        <v>45809</v>
      </c>
      <c r="F10258" s="200" t="s">
        <v>296</v>
      </c>
      <c r="G10258" s="200" t="s">
        <v>44</v>
      </c>
      <c r="H10258" s="200" t="s">
        <v>442</v>
      </c>
      <c r="I10258" s="200" t="s">
        <v>5293</v>
      </c>
    </row>
    <row r="10259" spans="1:9" ht="15" customHeight="1">
      <c r="A10259" s="199">
        <v>45806</v>
      </c>
      <c r="B10259" s="202" t="s">
        <v>7602</v>
      </c>
      <c r="C10259" s="200" t="s">
        <v>307</v>
      </c>
      <c r="D10259" s="204">
        <v>-20000</v>
      </c>
      <c r="E10259" s="201">
        <v>45809</v>
      </c>
      <c r="F10259" s="200" t="s">
        <v>296</v>
      </c>
      <c r="G10259" s="200" t="s">
        <v>44</v>
      </c>
      <c r="H10259" s="200" t="s">
        <v>442</v>
      </c>
      <c r="I10259" s="200" t="s">
        <v>5293</v>
      </c>
    </row>
    <row r="10260" spans="1:9" ht="15" customHeight="1">
      <c r="A10260" s="199">
        <v>45807</v>
      </c>
      <c r="B10260" s="202" t="s">
        <v>696</v>
      </c>
      <c r="C10260" s="200" t="s">
        <v>307</v>
      </c>
      <c r="D10260" s="204">
        <v>-15000</v>
      </c>
      <c r="E10260" s="201">
        <v>45809</v>
      </c>
      <c r="F10260" s="200" t="s">
        <v>296</v>
      </c>
      <c r="G10260" s="200" t="s">
        <v>1980</v>
      </c>
      <c r="H10260" s="200" t="s">
        <v>442</v>
      </c>
      <c r="I10260" s="200" t="s">
        <v>5293</v>
      </c>
    </row>
    <row r="10261" spans="1:9" ht="15" customHeight="1">
      <c r="A10261" s="199">
        <v>45813</v>
      </c>
      <c r="B10261" s="202" t="s">
        <v>7603</v>
      </c>
      <c r="C10261" s="200" t="s">
        <v>307</v>
      </c>
      <c r="D10261" s="204">
        <v>-7000</v>
      </c>
      <c r="E10261" s="201">
        <v>45809</v>
      </c>
      <c r="F10261" s="200" t="s">
        <v>256</v>
      </c>
      <c r="G10261" s="200" t="s">
        <v>107</v>
      </c>
      <c r="H10261" s="200" t="s">
        <v>275</v>
      </c>
      <c r="I10261" s="200" t="s">
        <v>1901</v>
      </c>
    </row>
    <row r="10262" spans="1:9" ht="15" customHeight="1">
      <c r="A10262" s="199">
        <v>45813</v>
      </c>
      <c r="B10262" s="202" t="s">
        <v>7604</v>
      </c>
      <c r="C10262" s="200" t="s">
        <v>307</v>
      </c>
      <c r="D10262" s="204">
        <v>-11450</v>
      </c>
      <c r="E10262" s="201">
        <v>45809</v>
      </c>
      <c r="F10262" s="200" t="s">
        <v>256</v>
      </c>
      <c r="G10262" s="200" t="s">
        <v>107</v>
      </c>
      <c r="H10262" s="200" t="s">
        <v>275</v>
      </c>
      <c r="I10262" s="200" t="s">
        <v>1901</v>
      </c>
    </row>
    <row r="10263" spans="1:9" ht="15" customHeight="1">
      <c r="A10263" s="199">
        <v>45813</v>
      </c>
      <c r="B10263" s="202" t="s">
        <v>7605</v>
      </c>
      <c r="C10263" s="200" t="s">
        <v>307</v>
      </c>
      <c r="D10263" s="204">
        <v>-5000</v>
      </c>
      <c r="E10263" s="201">
        <v>45809</v>
      </c>
      <c r="F10263" s="200" t="s">
        <v>256</v>
      </c>
      <c r="G10263" s="200" t="s">
        <v>107</v>
      </c>
      <c r="H10263" s="200" t="s">
        <v>275</v>
      </c>
      <c r="I10263" s="200" t="s">
        <v>1901</v>
      </c>
    </row>
    <row r="10264" spans="1:9" ht="15" customHeight="1">
      <c r="A10264" s="199">
        <v>45813</v>
      </c>
      <c r="B10264" s="202" t="s">
        <v>7606</v>
      </c>
      <c r="C10264" s="200" t="s">
        <v>307</v>
      </c>
      <c r="D10264" s="204">
        <v>-20000</v>
      </c>
      <c r="E10264" s="201">
        <v>45809</v>
      </c>
      <c r="F10264" s="200" t="s">
        <v>256</v>
      </c>
      <c r="G10264" s="200" t="s">
        <v>107</v>
      </c>
      <c r="H10264" s="200" t="s">
        <v>275</v>
      </c>
      <c r="I10264" s="200" t="s">
        <v>1901</v>
      </c>
    </row>
    <row r="10265" spans="1:9" ht="15" customHeight="1">
      <c r="A10265" s="199">
        <v>45813</v>
      </c>
      <c r="B10265" s="202" t="s">
        <v>7607</v>
      </c>
      <c r="C10265" s="200" t="s">
        <v>307</v>
      </c>
      <c r="D10265" s="204">
        <v>-7000</v>
      </c>
      <c r="E10265" s="201">
        <v>45809</v>
      </c>
      <c r="F10265" s="200" t="s">
        <v>256</v>
      </c>
      <c r="G10265" s="200" t="s">
        <v>107</v>
      </c>
      <c r="H10265" s="200" t="s">
        <v>275</v>
      </c>
      <c r="I10265" s="200" t="s">
        <v>1901</v>
      </c>
    </row>
    <row r="10266" spans="1:9" ht="15" customHeight="1">
      <c r="A10266" s="199">
        <v>45811</v>
      </c>
      <c r="B10266" s="202" t="s">
        <v>2774</v>
      </c>
      <c r="C10266" s="200" t="s">
        <v>307</v>
      </c>
      <c r="D10266" s="204">
        <v>-17000</v>
      </c>
      <c r="E10266" s="201">
        <v>45809</v>
      </c>
      <c r="F10266" s="200" t="s">
        <v>296</v>
      </c>
      <c r="G10266" s="200" t="s">
        <v>415</v>
      </c>
      <c r="H10266" s="200" t="s">
        <v>268</v>
      </c>
      <c r="I10266" s="200" t="s">
        <v>6943</v>
      </c>
    </row>
    <row r="10267" spans="1:9" ht="15" customHeight="1">
      <c r="A10267" s="199">
        <v>45811</v>
      </c>
      <c r="B10267" s="202" t="s">
        <v>6603</v>
      </c>
      <c r="C10267" s="200" t="s">
        <v>307</v>
      </c>
      <c r="D10267" s="204">
        <v>-6500</v>
      </c>
      <c r="E10267" s="201">
        <v>45809</v>
      </c>
      <c r="F10267" s="200" t="s">
        <v>296</v>
      </c>
      <c r="G10267" s="200" t="s">
        <v>415</v>
      </c>
      <c r="H10267" s="200" t="s">
        <v>268</v>
      </c>
      <c r="I10267" s="200" t="s">
        <v>6943</v>
      </c>
    </row>
    <row r="10268" spans="1:9" ht="15" customHeight="1">
      <c r="A10268" s="199">
        <v>45811</v>
      </c>
      <c r="B10268" s="202" t="s">
        <v>7608</v>
      </c>
      <c r="C10268" s="200" t="s">
        <v>307</v>
      </c>
      <c r="D10268" s="204">
        <v>-6500</v>
      </c>
      <c r="E10268" s="201">
        <v>45809</v>
      </c>
      <c r="F10268" s="200" t="s">
        <v>296</v>
      </c>
      <c r="G10268" s="200" t="s">
        <v>415</v>
      </c>
      <c r="H10268" s="200" t="s">
        <v>268</v>
      </c>
      <c r="I10268" s="200" t="s">
        <v>6943</v>
      </c>
    </row>
    <row r="10269" spans="1:9" ht="15" customHeight="1">
      <c r="A10269" s="199">
        <v>45811</v>
      </c>
      <c r="B10269" s="202" t="s">
        <v>7609</v>
      </c>
      <c r="C10269" s="200" t="s">
        <v>307</v>
      </c>
      <c r="D10269" s="204">
        <v>-6500</v>
      </c>
      <c r="E10269" s="201">
        <v>45809</v>
      </c>
      <c r="F10269" s="200" t="s">
        <v>296</v>
      </c>
      <c r="G10269" s="200" t="s">
        <v>415</v>
      </c>
      <c r="H10269" s="200" t="s">
        <v>268</v>
      </c>
      <c r="I10269" s="200" t="s">
        <v>6943</v>
      </c>
    </row>
    <row r="10270" spans="1:9" ht="15" customHeight="1">
      <c r="A10270" s="199">
        <v>45811</v>
      </c>
      <c r="B10270" s="202" t="s">
        <v>4030</v>
      </c>
      <c r="C10270" s="200" t="s">
        <v>307</v>
      </c>
      <c r="D10270" s="204">
        <v>-9000</v>
      </c>
      <c r="E10270" s="201">
        <v>45809</v>
      </c>
      <c r="F10270" s="200" t="s">
        <v>296</v>
      </c>
      <c r="G10270" s="200" t="s">
        <v>415</v>
      </c>
      <c r="H10270" s="200" t="s">
        <v>342</v>
      </c>
      <c r="I10270" s="200" t="s">
        <v>6943</v>
      </c>
    </row>
    <row r="10271" spans="1:9" ht="15" customHeight="1">
      <c r="A10271" s="199">
        <v>45811</v>
      </c>
      <c r="B10271" s="202" t="s">
        <v>6946</v>
      </c>
      <c r="C10271" s="200" t="s">
        <v>307</v>
      </c>
      <c r="D10271" s="204">
        <v>-6500</v>
      </c>
      <c r="E10271" s="201">
        <v>45809</v>
      </c>
      <c r="F10271" s="200" t="s">
        <v>296</v>
      </c>
      <c r="G10271" s="200" t="s">
        <v>415</v>
      </c>
      <c r="H10271" s="200" t="s">
        <v>342</v>
      </c>
      <c r="I10271" s="200" t="s">
        <v>6943</v>
      </c>
    </row>
    <row r="10272" spans="1:9" ht="15" customHeight="1">
      <c r="A10272" s="199">
        <v>45811</v>
      </c>
      <c r="B10272" s="202" t="s">
        <v>6947</v>
      </c>
      <c r="C10272" s="200" t="s">
        <v>307</v>
      </c>
      <c r="D10272" s="204">
        <v>-17000</v>
      </c>
      <c r="E10272" s="201">
        <v>45809</v>
      </c>
      <c r="F10272" s="200" t="s">
        <v>296</v>
      </c>
      <c r="G10272" s="200" t="s">
        <v>415</v>
      </c>
      <c r="H10272" s="200" t="s">
        <v>268</v>
      </c>
      <c r="I10272" s="200" t="s">
        <v>6943</v>
      </c>
    </row>
    <row r="10273" spans="1:9" ht="15" customHeight="1">
      <c r="A10273" s="199">
        <v>45814</v>
      </c>
      <c r="B10273" s="202" t="s">
        <v>7610</v>
      </c>
      <c r="C10273" s="200" t="s">
        <v>307</v>
      </c>
      <c r="D10273" s="204">
        <v>-7000</v>
      </c>
      <c r="E10273" s="201">
        <v>45809</v>
      </c>
      <c r="F10273" s="200" t="s">
        <v>395</v>
      </c>
      <c r="G10273" s="531" t="s">
        <v>395</v>
      </c>
      <c r="H10273" s="200" t="s">
        <v>268</v>
      </c>
      <c r="I10273" s="200" t="s">
        <v>6943</v>
      </c>
    </row>
    <row r="10274" spans="1:9" ht="15" customHeight="1">
      <c r="A10274" s="199">
        <v>45814</v>
      </c>
      <c r="B10274" s="202" t="s">
        <v>7611</v>
      </c>
      <c r="C10274" s="200" t="s">
        <v>307</v>
      </c>
      <c r="D10274" s="204">
        <v>-51000</v>
      </c>
      <c r="E10274" s="201">
        <v>45809</v>
      </c>
      <c r="F10274" s="200" t="s">
        <v>395</v>
      </c>
      <c r="G10274" s="531" t="s">
        <v>395</v>
      </c>
      <c r="H10274" s="200" t="s">
        <v>268</v>
      </c>
      <c r="I10274" s="200" t="s">
        <v>6943</v>
      </c>
    </row>
    <row r="10275" spans="1:9" ht="15" customHeight="1">
      <c r="A10275" s="199">
        <v>45814</v>
      </c>
      <c r="B10275" s="202" t="s">
        <v>7612</v>
      </c>
      <c r="C10275" s="200" t="s">
        <v>307</v>
      </c>
      <c r="D10275" s="204">
        <v>-6500</v>
      </c>
      <c r="E10275" s="201">
        <v>45809</v>
      </c>
      <c r="F10275" s="200" t="s">
        <v>395</v>
      </c>
      <c r="G10275" s="531" t="s">
        <v>395</v>
      </c>
      <c r="H10275" s="200" t="s">
        <v>268</v>
      </c>
      <c r="I10275" s="200" t="s">
        <v>6943</v>
      </c>
    </row>
    <row r="10276" spans="1:9" ht="15" customHeight="1">
      <c r="A10276" s="199">
        <v>45814</v>
      </c>
      <c r="B10276" s="202" t="s">
        <v>7613</v>
      </c>
      <c r="C10276" s="200" t="s">
        <v>307</v>
      </c>
      <c r="D10276" s="204">
        <v>-6500</v>
      </c>
      <c r="E10276" s="201">
        <v>45809</v>
      </c>
      <c r="F10276" s="200" t="s">
        <v>395</v>
      </c>
      <c r="G10276" s="531" t="s">
        <v>395</v>
      </c>
      <c r="H10276" s="200" t="s">
        <v>268</v>
      </c>
      <c r="I10276" s="200" t="s">
        <v>6943</v>
      </c>
    </row>
    <row r="10277" spans="1:9" ht="15" customHeight="1">
      <c r="A10277" s="199">
        <v>45814</v>
      </c>
      <c r="B10277" s="202" t="s">
        <v>7614</v>
      </c>
      <c r="C10277" s="200" t="s">
        <v>307</v>
      </c>
      <c r="D10277" s="204">
        <v>-6500</v>
      </c>
      <c r="E10277" s="201">
        <v>45809</v>
      </c>
      <c r="F10277" s="200" t="s">
        <v>395</v>
      </c>
      <c r="G10277" s="531" t="s">
        <v>395</v>
      </c>
      <c r="H10277" s="200" t="s">
        <v>268</v>
      </c>
      <c r="I10277" s="200" t="s">
        <v>6943</v>
      </c>
    </row>
    <row r="10278" spans="1:9" ht="15" customHeight="1">
      <c r="A10278" s="199">
        <v>45814</v>
      </c>
      <c r="B10278" s="202" t="s">
        <v>7615</v>
      </c>
      <c r="C10278" s="200" t="s">
        <v>307</v>
      </c>
      <c r="D10278" s="204">
        <v>-69000.12</v>
      </c>
      <c r="E10278" s="201">
        <v>45809</v>
      </c>
      <c r="F10278" s="200" t="s">
        <v>395</v>
      </c>
      <c r="G10278" s="531" t="s">
        <v>395</v>
      </c>
      <c r="H10278" s="200" t="s">
        <v>342</v>
      </c>
      <c r="I10278" s="200" t="s">
        <v>6943</v>
      </c>
    </row>
    <row r="10279" spans="1:9" ht="15" customHeight="1">
      <c r="A10279" s="199">
        <v>45814</v>
      </c>
      <c r="B10279" s="202" t="s">
        <v>7616</v>
      </c>
      <c r="C10279" s="200" t="s">
        <v>307</v>
      </c>
      <c r="D10279" s="204">
        <v>-15000</v>
      </c>
      <c r="E10279" s="201">
        <v>45809</v>
      </c>
      <c r="F10279" s="200" t="s">
        <v>395</v>
      </c>
      <c r="G10279" s="531" t="s">
        <v>395</v>
      </c>
      <c r="H10279" s="200" t="s">
        <v>342</v>
      </c>
      <c r="I10279" s="200" t="s">
        <v>6943</v>
      </c>
    </row>
    <row r="10280" spans="1:9" ht="15" customHeight="1">
      <c r="A10280" s="199">
        <v>45814</v>
      </c>
      <c r="B10280" s="202" t="s">
        <v>7617</v>
      </c>
      <c r="C10280" s="200" t="s">
        <v>307</v>
      </c>
      <c r="D10280" s="204">
        <v>-6500</v>
      </c>
      <c r="E10280" s="201">
        <v>45809</v>
      </c>
      <c r="F10280" s="200" t="s">
        <v>296</v>
      </c>
      <c r="G10280" s="200" t="s">
        <v>415</v>
      </c>
      <c r="H10280" s="200" t="s">
        <v>268</v>
      </c>
      <c r="I10280" s="200" t="s">
        <v>6943</v>
      </c>
    </row>
    <row r="10281" spans="1:9" ht="15" customHeight="1">
      <c r="A10281" s="199">
        <v>45814</v>
      </c>
      <c r="B10281" s="202" t="s">
        <v>7618</v>
      </c>
      <c r="C10281" s="200" t="s">
        <v>307</v>
      </c>
      <c r="D10281" s="204">
        <v>-6500</v>
      </c>
      <c r="E10281" s="201">
        <v>45809</v>
      </c>
      <c r="F10281" s="200" t="s">
        <v>296</v>
      </c>
      <c r="G10281" s="200" t="s">
        <v>415</v>
      </c>
      <c r="H10281" s="200" t="s">
        <v>268</v>
      </c>
      <c r="I10281" s="648" t="s">
        <v>329</v>
      </c>
    </row>
    <row r="10282" spans="1:9" ht="15" customHeight="1">
      <c r="A10282" s="199">
        <v>45814</v>
      </c>
      <c r="B10282" s="202" t="s">
        <v>7619</v>
      </c>
      <c r="C10282" s="200" t="s">
        <v>307</v>
      </c>
      <c r="D10282" s="204">
        <v>-51000</v>
      </c>
      <c r="E10282" s="201">
        <v>45809</v>
      </c>
      <c r="F10282" s="200" t="s">
        <v>395</v>
      </c>
      <c r="G10282" s="531" t="s">
        <v>395</v>
      </c>
      <c r="H10282" s="200" t="s">
        <v>268</v>
      </c>
      <c r="I10282" s="200" t="s">
        <v>6943</v>
      </c>
    </row>
    <row r="10283" spans="1:9" ht="15" customHeight="1">
      <c r="A10283" s="199">
        <v>45814</v>
      </c>
      <c r="B10283" s="202" t="s">
        <v>7620</v>
      </c>
      <c r="C10283" s="200" t="s">
        <v>307</v>
      </c>
      <c r="D10283" s="204">
        <v>-7000</v>
      </c>
      <c r="E10283" s="201">
        <v>45809</v>
      </c>
      <c r="F10283" s="200" t="s">
        <v>395</v>
      </c>
      <c r="G10283" s="531" t="s">
        <v>395</v>
      </c>
      <c r="H10283" s="200" t="s">
        <v>268</v>
      </c>
      <c r="I10283" s="200" t="s">
        <v>6943</v>
      </c>
    </row>
    <row r="10284" spans="1:9" ht="15" customHeight="1">
      <c r="A10284" s="199">
        <v>45820</v>
      </c>
      <c r="B10284" s="202" t="s">
        <v>4394</v>
      </c>
      <c r="C10284" s="200" t="s">
        <v>307</v>
      </c>
      <c r="D10284" s="204">
        <v>-49064</v>
      </c>
      <c r="E10284" s="201">
        <v>45809</v>
      </c>
      <c r="F10284" s="200" t="s">
        <v>256</v>
      </c>
      <c r="G10284" s="200" t="s">
        <v>256</v>
      </c>
      <c r="H10284" s="200" t="s">
        <v>268</v>
      </c>
    </row>
    <row r="10285" spans="1:9" ht="15" customHeight="1">
      <c r="A10285" s="199">
        <v>45820</v>
      </c>
      <c r="B10285" s="202" t="s">
        <v>4394</v>
      </c>
      <c r="C10285" s="200" t="s">
        <v>307</v>
      </c>
      <c r="D10285" s="204">
        <v>-28000</v>
      </c>
      <c r="E10285" s="201">
        <v>45809</v>
      </c>
      <c r="F10285" s="200" t="s">
        <v>297</v>
      </c>
      <c r="G10285" s="200" t="s">
        <v>71</v>
      </c>
      <c r="H10285" s="200" t="s">
        <v>268</v>
      </c>
    </row>
    <row r="10286" spans="1:9" ht="15" customHeight="1">
      <c r="A10286" s="199">
        <v>45820</v>
      </c>
      <c r="B10286" s="202" t="s">
        <v>4394</v>
      </c>
      <c r="C10286" s="200" t="s">
        <v>307</v>
      </c>
      <c r="D10286" s="204">
        <v>-7000</v>
      </c>
      <c r="E10286" s="201">
        <v>45809</v>
      </c>
      <c r="F10286" s="200" t="s">
        <v>296</v>
      </c>
      <c r="G10286" s="200" t="s">
        <v>522</v>
      </c>
      <c r="H10286" s="200" t="s">
        <v>326</v>
      </c>
    </row>
    <row r="10287" spans="1:9" ht="15" customHeight="1">
      <c r="A10287" s="199">
        <v>45820</v>
      </c>
      <c r="B10287" s="202" t="s">
        <v>4394</v>
      </c>
      <c r="C10287" s="200" t="s">
        <v>307</v>
      </c>
      <c r="D10287" s="204">
        <v>-21000</v>
      </c>
      <c r="E10287" s="201">
        <v>45809</v>
      </c>
      <c r="F10287" s="200" t="s">
        <v>297</v>
      </c>
      <c r="G10287" s="200" t="s">
        <v>69</v>
      </c>
      <c r="H10287" s="200" t="s">
        <v>268</v>
      </c>
      <c r="I10287" s="648" t="s">
        <v>329</v>
      </c>
    </row>
    <row r="10288" spans="1:9" ht="15" customHeight="1">
      <c r="A10288" s="199">
        <v>45820</v>
      </c>
      <c r="B10288" s="202" t="s">
        <v>4394</v>
      </c>
      <c r="C10288" s="200" t="s">
        <v>307</v>
      </c>
      <c r="D10288" s="204">
        <v>-14000</v>
      </c>
      <c r="E10288" s="201">
        <v>45809</v>
      </c>
      <c r="F10288" s="200" t="s">
        <v>296</v>
      </c>
      <c r="G10288" s="200" t="s">
        <v>2418</v>
      </c>
      <c r="H10288" s="200" t="s">
        <v>268</v>
      </c>
    </row>
    <row r="10289" spans="1:9" ht="15" customHeight="1">
      <c r="A10289" s="199">
        <v>45820</v>
      </c>
      <c r="B10289" s="202" t="s">
        <v>4395</v>
      </c>
      <c r="C10289" s="200" t="s">
        <v>372</v>
      </c>
      <c r="D10289" s="204">
        <v>-1210</v>
      </c>
      <c r="E10289" s="201">
        <v>45809</v>
      </c>
      <c r="F10289" s="200" t="s">
        <v>256</v>
      </c>
      <c r="G10289" s="200" t="s">
        <v>256</v>
      </c>
      <c r="H10289" s="200" t="s">
        <v>268</v>
      </c>
    </row>
    <row r="10290" spans="1:9" ht="15" customHeight="1">
      <c r="A10290" s="199">
        <v>45820</v>
      </c>
      <c r="B10290" s="202" t="s">
        <v>4396</v>
      </c>
      <c r="C10290" s="200" t="s">
        <v>372</v>
      </c>
      <c r="D10290" s="204">
        <v>-726</v>
      </c>
      <c r="E10290" s="201">
        <v>45809</v>
      </c>
      <c r="F10290" s="200" t="s">
        <v>256</v>
      </c>
      <c r="G10290" s="200" t="s">
        <v>256</v>
      </c>
      <c r="H10290" s="200" t="s">
        <v>268</v>
      </c>
    </row>
    <row r="10291" spans="1:9" ht="15" customHeight="1">
      <c r="A10291" s="199">
        <v>45819</v>
      </c>
      <c r="B10291" s="202" t="s">
        <v>7621</v>
      </c>
      <c r="C10291" s="200" t="s">
        <v>307</v>
      </c>
      <c r="D10291" s="204">
        <v>-52000</v>
      </c>
      <c r="E10291" s="201">
        <v>45809</v>
      </c>
      <c r="F10291" s="200" t="s">
        <v>256</v>
      </c>
      <c r="G10291" s="200" t="s">
        <v>256</v>
      </c>
      <c r="H10291" s="200" t="s">
        <v>9</v>
      </c>
    </row>
    <row r="10292" spans="1:9" ht="15" customHeight="1">
      <c r="A10292" s="199">
        <v>45819</v>
      </c>
      <c r="B10292" s="202" t="s">
        <v>7622</v>
      </c>
      <c r="C10292" s="200" t="s">
        <v>307</v>
      </c>
      <c r="D10292" s="204">
        <v>-9000</v>
      </c>
      <c r="E10292" s="201">
        <v>45809</v>
      </c>
      <c r="F10292" s="200" t="s">
        <v>256</v>
      </c>
      <c r="G10292" s="200" t="s">
        <v>256</v>
      </c>
      <c r="H10292" s="200" t="s">
        <v>9</v>
      </c>
    </row>
    <row r="10293" spans="1:9" ht="15" customHeight="1">
      <c r="A10293" s="199">
        <v>45819</v>
      </c>
      <c r="B10293" s="202" t="s">
        <v>7622</v>
      </c>
      <c r="C10293" s="200" t="s">
        <v>307</v>
      </c>
      <c r="D10293" s="204">
        <v>-9000</v>
      </c>
      <c r="E10293" s="201">
        <v>45809</v>
      </c>
      <c r="F10293" s="200" t="s">
        <v>256</v>
      </c>
      <c r="G10293" s="200" t="s">
        <v>256</v>
      </c>
      <c r="H10293" s="200" t="s">
        <v>9</v>
      </c>
    </row>
    <row r="10294" spans="1:9" ht="15" customHeight="1">
      <c r="A10294" s="199">
        <v>45814</v>
      </c>
      <c r="B10294" s="202" t="s">
        <v>7623</v>
      </c>
      <c r="C10294" s="200" t="s">
        <v>307</v>
      </c>
      <c r="D10294" s="204">
        <v>-38000</v>
      </c>
      <c r="E10294" s="201">
        <v>45809</v>
      </c>
      <c r="F10294" s="200" t="s">
        <v>2714</v>
      </c>
      <c r="G10294" s="200" t="s">
        <v>337</v>
      </c>
      <c r="I10294" s="200" t="s">
        <v>7028</v>
      </c>
    </row>
    <row r="10295" spans="1:9" ht="15" customHeight="1">
      <c r="A10295" s="199">
        <v>45814</v>
      </c>
      <c r="B10295" s="200" t="s">
        <v>729</v>
      </c>
      <c r="C10295" s="200" t="s">
        <v>307</v>
      </c>
      <c r="D10295" s="204">
        <v>-10000</v>
      </c>
      <c r="E10295" s="201">
        <v>45809</v>
      </c>
      <c r="F10295" s="200" t="s">
        <v>2714</v>
      </c>
      <c r="G10295" s="200" t="s">
        <v>337</v>
      </c>
      <c r="I10295" s="200" t="s">
        <v>7028</v>
      </c>
    </row>
    <row r="10296" spans="1:9" ht="15" customHeight="1">
      <c r="A10296" s="199">
        <v>45811</v>
      </c>
      <c r="B10296" s="202" t="s">
        <v>7624</v>
      </c>
      <c r="C10296" s="200" t="s">
        <v>307</v>
      </c>
      <c r="D10296" s="204">
        <v>-60177</v>
      </c>
      <c r="E10296" s="201">
        <v>45809</v>
      </c>
      <c r="F10296" s="200" t="s">
        <v>256</v>
      </c>
      <c r="G10296" s="200" t="s">
        <v>256</v>
      </c>
      <c r="H10296" s="200" t="s">
        <v>267</v>
      </c>
      <c r="I10296" s="200" t="s">
        <v>5293</v>
      </c>
    </row>
    <row r="10297" spans="1:9" ht="15" customHeight="1">
      <c r="A10297" s="199">
        <v>45811</v>
      </c>
      <c r="B10297" s="202" t="s">
        <v>7625</v>
      </c>
      <c r="C10297" s="200" t="s">
        <v>307</v>
      </c>
      <c r="D10297" s="204">
        <v>-11900</v>
      </c>
      <c r="E10297" s="201">
        <v>45809</v>
      </c>
      <c r="F10297" s="200" t="s">
        <v>256</v>
      </c>
      <c r="G10297" s="200" t="s">
        <v>256</v>
      </c>
      <c r="H10297" s="200" t="s">
        <v>263</v>
      </c>
      <c r="I10297" s="200" t="s">
        <v>5293</v>
      </c>
    </row>
    <row r="10298" spans="1:9" ht="15" customHeight="1">
      <c r="A10298" s="199">
        <v>45811</v>
      </c>
      <c r="B10298" s="202" t="s">
        <v>7626</v>
      </c>
      <c r="C10298" s="200" t="s">
        <v>307</v>
      </c>
      <c r="D10298" s="204">
        <v>-4200</v>
      </c>
      <c r="E10298" s="201">
        <v>45809</v>
      </c>
      <c r="F10298" s="200" t="s">
        <v>297</v>
      </c>
      <c r="G10298" s="200" t="s">
        <v>71</v>
      </c>
      <c r="H10298" s="200" t="s">
        <v>5384</v>
      </c>
      <c r="I10298" s="200" t="s">
        <v>5293</v>
      </c>
    </row>
    <row r="10299" spans="1:9" ht="15" customHeight="1">
      <c r="A10299" s="199">
        <v>45811</v>
      </c>
      <c r="B10299" s="202" t="s">
        <v>7627</v>
      </c>
      <c r="C10299" s="200" t="s">
        <v>307</v>
      </c>
      <c r="D10299" s="204">
        <v>-31334.400000000001</v>
      </c>
      <c r="E10299" s="201">
        <v>45809</v>
      </c>
      <c r="F10299" s="200" t="s">
        <v>296</v>
      </c>
      <c r="G10299" s="200" t="s">
        <v>3847</v>
      </c>
      <c r="H10299" s="200" t="s">
        <v>5384</v>
      </c>
      <c r="I10299" s="648" t="s">
        <v>329</v>
      </c>
    </row>
    <row r="10300" spans="1:9" ht="15" customHeight="1">
      <c r="A10300" s="199">
        <v>45811</v>
      </c>
      <c r="B10300" s="202" t="s">
        <v>7628</v>
      </c>
      <c r="C10300" s="200" t="s">
        <v>307</v>
      </c>
      <c r="D10300" s="204">
        <v>-78336</v>
      </c>
      <c r="E10300" s="201">
        <v>45809</v>
      </c>
      <c r="F10300" s="200" t="s">
        <v>296</v>
      </c>
      <c r="G10300" s="200" t="s">
        <v>2418</v>
      </c>
      <c r="H10300" s="200" t="s">
        <v>5384</v>
      </c>
      <c r="I10300" s="200" t="s">
        <v>5293</v>
      </c>
    </row>
    <row r="10301" spans="1:9" ht="15" customHeight="1">
      <c r="A10301" s="199">
        <v>45811</v>
      </c>
      <c r="B10301" s="202" t="s">
        <v>7628</v>
      </c>
      <c r="C10301" s="200" t="s">
        <v>307</v>
      </c>
      <c r="D10301" s="204">
        <v>-31334.400000000001</v>
      </c>
      <c r="E10301" s="201">
        <v>45809</v>
      </c>
      <c r="F10301" s="200" t="s">
        <v>296</v>
      </c>
      <c r="G10301" s="200" t="s">
        <v>5424</v>
      </c>
      <c r="H10301" s="200" t="s">
        <v>5384</v>
      </c>
      <c r="I10301" s="200" t="s">
        <v>5293</v>
      </c>
    </row>
    <row r="10302" spans="1:9" ht="15" customHeight="1">
      <c r="A10302" s="199">
        <v>45811</v>
      </c>
      <c r="B10302" s="202" t="s">
        <v>7628</v>
      </c>
      <c r="C10302" s="200" t="s">
        <v>307</v>
      </c>
      <c r="D10302" s="204">
        <v>-15667.2</v>
      </c>
      <c r="E10302" s="201">
        <v>45809</v>
      </c>
      <c r="F10302" s="200" t="s">
        <v>296</v>
      </c>
      <c r="G10302" s="200" t="s">
        <v>5422</v>
      </c>
      <c r="H10302" s="200" t="s">
        <v>5384</v>
      </c>
      <c r="I10302" s="648" t="s">
        <v>329</v>
      </c>
    </row>
    <row r="10303" spans="1:9" ht="15" customHeight="1">
      <c r="A10303" s="199">
        <v>45811</v>
      </c>
      <c r="B10303" s="202" t="s">
        <v>7629</v>
      </c>
      <c r="C10303" s="200" t="s">
        <v>307</v>
      </c>
      <c r="D10303" s="204">
        <v>-6600</v>
      </c>
      <c r="E10303" s="201">
        <v>45809</v>
      </c>
      <c r="F10303" s="200" t="s">
        <v>256</v>
      </c>
      <c r="G10303" s="200" t="s">
        <v>256</v>
      </c>
      <c r="H10303" s="200" t="s">
        <v>263</v>
      </c>
      <c r="I10303" s="200" t="s">
        <v>5293</v>
      </c>
    </row>
    <row r="10304" spans="1:9" ht="15" customHeight="1">
      <c r="A10304" s="199">
        <v>45811</v>
      </c>
      <c r="B10304" s="202" t="s">
        <v>431</v>
      </c>
      <c r="C10304" s="200" t="s">
        <v>307</v>
      </c>
      <c r="D10304" s="204">
        <v>-15200</v>
      </c>
      <c r="E10304" s="201">
        <v>45809</v>
      </c>
      <c r="F10304" s="200" t="s">
        <v>256</v>
      </c>
      <c r="G10304" s="200" t="s">
        <v>256</v>
      </c>
      <c r="H10304" s="200" t="s">
        <v>263</v>
      </c>
      <c r="I10304" s="200" t="s">
        <v>5293</v>
      </c>
    </row>
    <row r="10305" spans="1:9" ht="15" customHeight="1">
      <c r="A10305" s="199">
        <v>45811</v>
      </c>
      <c r="B10305" s="202" t="s">
        <v>7630</v>
      </c>
      <c r="C10305" s="200" t="s">
        <v>307</v>
      </c>
      <c r="D10305" s="204">
        <v>-22000</v>
      </c>
      <c r="E10305" s="201">
        <v>45809</v>
      </c>
      <c r="F10305" s="200" t="s">
        <v>297</v>
      </c>
      <c r="G10305" s="200" t="s">
        <v>3892</v>
      </c>
      <c r="H10305" s="200" t="s">
        <v>346</v>
      </c>
      <c r="I10305" s="200" t="s">
        <v>5293</v>
      </c>
    </row>
    <row r="10306" spans="1:9" ht="15" customHeight="1">
      <c r="A10306" s="199">
        <v>45811</v>
      </c>
      <c r="B10306" s="202" t="s">
        <v>7631</v>
      </c>
      <c r="C10306" s="200" t="s">
        <v>307</v>
      </c>
      <c r="D10306" s="204">
        <v>-22412</v>
      </c>
      <c r="E10306" s="201">
        <v>45809</v>
      </c>
      <c r="F10306" s="200" t="s">
        <v>297</v>
      </c>
      <c r="G10306" s="200" t="s">
        <v>71</v>
      </c>
      <c r="H10306" s="200" t="s">
        <v>5384</v>
      </c>
      <c r="I10306" s="200" t="s">
        <v>5293</v>
      </c>
    </row>
    <row r="10307" spans="1:9" ht="15" customHeight="1">
      <c r="A10307" s="199">
        <v>45817</v>
      </c>
      <c r="B10307" s="202" t="s">
        <v>7632</v>
      </c>
      <c r="C10307" s="200" t="s">
        <v>307</v>
      </c>
      <c r="D10307" s="204">
        <v>-33200</v>
      </c>
      <c r="E10307" s="201">
        <v>45809</v>
      </c>
      <c r="F10307" s="200" t="s">
        <v>256</v>
      </c>
      <c r="G10307" s="200" t="s">
        <v>256</v>
      </c>
      <c r="H10307" s="200" t="s">
        <v>263</v>
      </c>
      <c r="I10307" s="200" t="s">
        <v>5293</v>
      </c>
    </row>
    <row r="10308" spans="1:9" ht="15" customHeight="1">
      <c r="A10308" s="199">
        <v>45817</v>
      </c>
      <c r="B10308" s="202" t="s">
        <v>7633</v>
      </c>
      <c r="C10308" s="200" t="s">
        <v>307</v>
      </c>
      <c r="D10308" s="204">
        <v>-42900</v>
      </c>
      <c r="E10308" s="201">
        <v>45809</v>
      </c>
      <c r="F10308" s="200" t="s">
        <v>297</v>
      </c>
      <c r="G10308" s="200" t="s">
        <v>71</v>
      </c>
      <c r="H10308" s="200" t="s">
        <v>5384</v>
      </c>
      <c r="I10308" s="200" t="s">
        <v>5293</v>
      </c>
    </row>
    <row r="10309" spans="1:9" ht="15" customHeight="1">
      <c r="A10309" s="199">
        <v>45817</v>
      </c>
      <c r="B10309" s="202" t="s">
        <v>431</v>
      </c>
      <c r="C10309" s="200" t="s">
        <v>307</v>
      </c>
      <c r="D10309" s="204">
        <v>-15000</v>
      </c>
      <c r="E10309" s="201">
        <v>45809</v>
      </c>
      <c r="F10309" s="200" t="s">
        <v>256</v>
      </c>
      <c r="G10309" s="200" t="s">
        <v>256</v>
      </c>
      <c r="H10309" s="200" t="s">
        <v>263</v>
      </c>
      <c r="I10309" s="200" t="s">
        <v>5293</v>
      </c>
    </row>
    <row r="10310" spans="1:9" ht="15" customHeight="1">
      <c r="A10310" s="199">
        <v>45818</v>
      </c>
      <c r="B10310" s="202" t="s">
        <v>431</v>
      </c>
      <c r="C10310" s="200" t="s">
        <v>307</v>
      </c>
      <c r="D10310" s="204">
        <v>-15200</v>
      </c>
      <c r="E10310" s="201">
        <v>45809</v>
      </c>
      <c r="F10310" s="200" t="s">
        <v>296</v>
      </c>
      <c r="G10310" s="200" t="s">
        <v>2418</v>
      </c>
      <c r="H10310" s="200" t="s">
        <v>342</v>
      </c>
      <c r="I10310" s="200" t="s">
        <v>5293</v>
      </c>
    </row>
    <row r="10311" spans="1:9" ht="15" customHeight="1">
      <c r="A10311" s="199">
        <v>45819</v>
      </c>
      <c r="B10311" s="202" t="s">
        <v>7634</v>
      </c>
      <c r="C10311" s="200" t="s">
        <v>307</v>
      </c>
      <c r="D10311" s="204">
        <v>-38800</v>
      </c>
      <c r="E10311" s="201">
        <v>45809</v>
      </c>
      <c r="F10311" s="200" t="s">
        <v>296</v>
      </c>
      <c r="G10311" s="200" t="s">
        <v>2418</v>
      </c>
      <c r="H10311" s="200" t="s">
        <v>5384</v>
      </c>
      <c r="I10311" s="648" t="s">
        <v>329</v>
      </c>
    </row>
    <row r="10312" spans="1:9" ht="15" customHeight="1">
      <c r="A10312" s="199">
        <v>45819</v>
      </c>
      <c r="B10312" s="202" t="s">
        <v>7635</v>
      </c>
      <c r="C10312" s="200" t="s">
        <v>307</v>
      </c>
      <c r="D10312" s="204">
        <v>-12000</v>
      </c>
      <c r="E10312" s="201">
        <v>45809</v>
      </c>
      <c r="F10312" s="200" t="s">
        <v>297</v>
      </c>
      <c r="G10312" s="200" t="s">
        <v>3892</v>
      </c>
      <c r="H10312" s="200" t="s">
        <v>346</v>
      </c>
      <c r="I10312" s="200" t="s">
        <v>5293</v>
      </c>
    </row>
    <row r="10313" spans="1:9" ht="15" customHeight="1">
      <c r="A10313" s="199">
        <v>45821</v>
      </c>
      <c r="B10313" s="202" t="s">
        <v>7636</v>
      </c>
      <c r="C10313" s="200" t="s">
        <v>307</v>
      </c>
      <c r="D10313" s="204">
        <v>-189800</v>
      </c>
      <c r="E10313" s="201">
        <v>45809</v>
      </c>
      <c r="F10313" s="202" t="s">
        <v>2714</v>
      </c>
    </row>
    <row r="10314" spans="1:9" ht="15" customHeight="1">
      <c r="A10314" s="199">
        <v>45817</v>
      </c>
      <c r="B10314" s="202" t="s">
        <v>7637</v>
      </c>
      <c r="C10314" s="200" t="s">
        <v>307</v>
      </c>
      <c r="D10314" s="204">
        <v>-20000</v>
      </c>
      <c r="E10314" s="201">
        <v>45809</v>
      </c>
      <c r="F10314" s="200" t="s">
        <v>256</v>
      </c>
      <c r="G10314" s="200" t="s">
        <v>256</v>
      </c>
      <c r="H10314" s="200" t="s">
        <v>9</v>
      </c>
    </row>
    <row r="10315" spans="1:9" ht="15" customHeight="1">
      <c r="A10315" s="199">
        <v>45821</v>
      </c>
      <c r="B10315" s="202" t="s">
        <v>7638</v>
      </c>
      <c r="C10315" s="200" t="s">
        <v>204</v>
      </c>
      <c r="D10315" s="765">
        <v>-1955651.5</v>
      </c>
      <c r="E10315" s="201">
        <v>45809</v>
      </c>
      <c r="F10315" s="200" t="s">
        <v>296</v>
      </c>
      <c r="G10315" s="200" t="s">
        <v>522</v>
      </c>
      <c r="H10315" s="200" t="s">
        <v>442</v>
      </c>
      <c r="I10315" s="648" t="s">
        <v>329</v>
      </c>
    </row>
    <row r="10316" spans="1:9" ht="15" customHeight="1">
      <c r="A10316" s="199">
        <v>45821</v>
      </c>
      <c r="B10316" s="202" t="s">
        <v>7638</v>
      </c>
      <c r="C10316" s="200" t="s">
        <v>204</v>
      </c>
      <c r="D10316" s="765">
        <v>-1955651.5</v>
      </c>
      <c r="E10316" s="201">
        <v>45809</v>
      </c>
      <c r="F10316" s="200" t="s">
        <v>296</v>
      </c>
      <c r="G10316" s="200" t="s">
        <v>807</v>
      </c>
      <c r="H10316" s="200" t="s">
        <v>442</v>
      </c>
      <c r="I10316" s="648" t="s">
        <v>329</v>
      </c>
    </row>
    <row r="10317" spans="1:9" ht="15" customHeight="1">
      <c r="A10317" s="199">
        <v>45821</v>
      </c>
      <c r="B10317" s="202" t="s">
        <v>7639</v>
      </c>
      <c r="C10317" s="200" t="s">
        <v>204</v>
      </c>
      <c r="D10317" s="765">
        <v>-2477484.5</v>
      </c>
      <c r="E10317" s="201">
        <v>45809</v>
      </c>
      <c r="F10317" s="200" t="s">
        <v>296</v>
      </c>
      <c r="G10317" s="200" t="s">
        <v>44</v>
      </c>
      <c r="H10317" s="200" t="s">
        <v>442</v>
      </c>
      <c r="I10317" s="648" t="s">
        <v>329</v>
      </c>
    </row>
    <row r="10318" spans="1:9" ht="15" customHeight="1">
      <c r="A10318" s="199">
        <v>45821</v>
      </c>
      <c r="B10318" s="202" t="s">
        <v>7639</v>
      </c>
      <c r="C10318" s="200" t="s">
        <v>204</v>
      </c>
      <c r="D10318" s="765">
        <v>-2477484.5</v>
      </c>
      <c r="E10318" s="201">
        <v>45809</v>
      </c>
      <c r="F10318" s="200" t="s">
        <v>296</v>
      </c>
      <c r="G10318" s="200" t="s">
        <v>1825</v>
      </c>
      <c r="H10318" s="200" t="s">
        <v>442</v>
      </c>
    </row>
    <row r="10319" spans="1:9" ht="15" customHeight="1">
      <c r="A10319" s="199">
        <v>45821</v>
      </c>
      <c r="B10319" s="202" t="s">
        <v>7640</v>
      </c>
      <c r="C10319" s="200" t="s">
        <v>204</v>
      </c>
      <c r="D10319" s="765">
        <v>-1925000</v>
      </c>
      <c r="E10319" s="201">
        <v>45809</v>
      </c>
      <c r="F10319" s="200" t="s">
        <v>296</v>
      </c>
      <c r="G10319" s="200" t="s">
        <v>1980</v>
      </c>
      <c r="H10319" s="200" t="s">
        <v>442</v>
      </c>
    </row>
    <row r="10320" spans="1:9" ht="15" customHeight="1">
      <c r="A10320" s="199">
        <v>45821</v>
      </c>
      <c r="B10320" s="202" t="s">
        <v>7640</v>
      </c>
      <c r="C10320" s="200" t="s">
        <v>204</v>
      </c>
      <c r="D10320" s="765">
        <v>-1925000</v>
      </c>
      <c r="E10320" s="201">
        <v>45809</v>
      </c>
      <c r="F10320" s="200" t="s">
        <v>296</v>
      </c>
      <c r="G10320" s="200" t="s">
        <v>1983</v>
      </c>
      <c r="H10320" s="200" t="s">
        <v>442</v>
      </c>
    </row>
    <row r="10321" spans="1:9" ht="15" customHeight="1">
      <c r="A10321" s="199">
        <v>45821</v>
      </c>
      <c r="B10321" s="202" t="s">
        <v>7641</v>
      </c>
      <c r="C10321" s="200" t="s">
        <v>204</v>
      </c>
      <c r="D10321" s="765">
        <v>-1930000</v>
      </c>
      <c r="E10321" s="201">
        <v>45809</v>
      </c>
      <c r="F10321" s="200" t="s">
        <v>256</v>
      </c>
      <c r="G10321" s="200" t="s">
        <v>256</v>
      </c>
      <c r="H10321" s="200" t="s">
        <v>257</v>
      </c>
    </row>
    <row r="10322" spans="1:9" ht="15" customHeight="1">
      <c r="A10322" s="199">
        <v>45821</v>
      </c>
      <c r="B10322" s="202" t="s">
        <v>7642</v>
      </c>
      <c r="C10322" s="200" t="s">
        <v>204</v>
      </c>
      <c r="D10322" s="765">
        <v>-4435200</v>
      </c>
      <c r="E10322" s="201">
        <v>45809</v>
      </c>
      <c r="F10322" s="200" t="s">
        <v>256</v>
      </c>
      <c r="G10322" s="200" t="s">
        <v>256</v>
      </c>
      <c r="H10322" s="200" t="s">
        <v>266</v>
      </c>
    </row>
    <row r="10323" spans="1:9" ht="15" customHeight="1">
      <c r="A10323" s="199">
        <v>45821</v>
      </c>
      <c r="B10323" s="202" t="s">
        <v>7643</v>
      </c>
      <c r="C10323" s="200" t="s">
        <v>372</v>
      </c>
      <c r="D10323" s="204">
        <v>-184800</v>
      </c>
      <c r="E10323" s="201">
        <v>45809</v>
      </c>
      <c r="F10323" s="200" t="s">
        <v>256</v>
      </c>
      <c r="G10323" s="200" t="s">
        <v>256</v>
      </c>
      <c r="H10323" s="200" t="s">
        <v>266</v>
      </c>
    </row>
    <row r="10324" spans="1:9" ht="15" customHeight="1">
      <c r="A10324" s="199">
        <v>45821</v>
      </c>
      <c r="B10324" s="202" t="s">
        <v>7644</v>
      </c>
      <c r="C10324" s="200" t="s">
        <v>204</v>
      </c>
      <c r="D10324" s="765">
        <v>-7675161</v>
      </c>
      <c r="E10324" s="201">
        <v>45809</v>
      </c>
      <c r="F10324" s="200" t="s">
        <v>296</v>
      </c>
      <c r="G10324" s="200" t="s">
        <v>1983</v>
      </c>
      <c r="H10324" s="200" t="s">
        <v>811</v>
      </c>
    </row>
    <row r="10325" spans="1:9" ht="15" customHeight="1">
      <c r="A10325" s="199">
        <v>45821</v>
      </c>
      <c r="B10325" s="202" t="s">
        <v>7645</v>
      </c>
      <c r="C10325" s="200" t="s">
        <v>204</v>
      </c>
      <c r="D10325" s="765">
        <v>-600000</v>
      </c>
      <c r="E10325" s="201">
        <v>45809</v>
      </c>
      <c r="F10325" s="200" t="s">
        <v>296</v>
      </c>
      <c r="G10325" s="200" t="s">
        <v>57</v>
      </c>
      <c r="H10325" s="200" t="s">
        <v>100</v>
      </c>
      <c r="I10325" s="648" t="s">
        <v>329</v>
      </c>
    </row>
    <row r="10326" spans="1:9" ht="15" customHeight="1">
      <c r="A10326" s="199">
        <v>45821</v>
      </c>
      <c r="B10326" s="202" t="s">
        <v>7646</v>
      </c>
      <c r="C10326" s="200" t="s">
        <v>204</v>
      </c>
      <c r="D10326" s="765">
        <v>-4403000</v>
      </c>
      <c r="E10326" s="201">
        <v>45809</v>
      </c>
      <c r="F10326" s="200" t="s">
        <v>296</v>
      </c>
      <c r="G10326" s="200" t="s">
        <v>1983</v>
      </c>
      <c r="H10326" s="200" t="s">
        <v>366</v>
      </c>
      <c r="I10326" s="648" t="s">
        <v>329</v>
      </c>
    </row>
    <row r="10327" spans="1:9" ht="15" customHeight="1">
      <c r="A10327" s="199">
        <v>45821</v>
      </c>
      <c r="B10327" s="202" t="s">
        <v>7646</v>
      </c>
      <c r="C10327" s="200" t="s">
        <v>204</v>
      </c>
      <c r="D10327" s="765">
        <v>-3874500</v>
      </c>
      <c r="E10327" s="201">
        <v>45809</v>
      </c>
      <c r="F10327" s="200" t="s">
        <v>296</v>
      </c>
      <c r="G10327" s="200" t="s">
        <v>1980</v>
      </c>
      <c r="H10327" s="200" t="s">
        <v>366</v>
      </c>
      <c r="I10327" s="648" t="s">
        <v>329</v>
      </c>
    </row>
    <row r="10328" spans="1:9" ht="15" customHeight="1">
      <c r="A10328" s="199">
        <v>45821</v>
      </c>
      <c r="B10328" s="202" t="s">
        <v>7647</v>
      </c>
      <c r="C10328" s="200" t="s">
        <v>204</v>
      </c>
      <c r="D10328" s="765">
        <v>-4690188</v>
      </c>
      <c r="E10328" s="201">
        <v>45809</v>
      </c>
      <c r="F10328" s="200" t="s">
        <v>296</v>
      </c>
      <c r="G10328" s="200" t="s">
        <v>5424</v>
      </c>
      <c r="H10328" s="200" t="s">
        <v>375</v>
      </c>
      <c r="I10328" s="648" t="s">
        <v>329</v>
      </c>
    </row>
    <row r="10329" spans="1:9" ht="15" customHeight="1">
      <c r="A10329" s="199">
        <v>37420</v>
      </c>
      <c r="B10329" s="202" t="s">
        <v>7648</v>
      </c>
      <c r="C10329" s="200" t="s">
        <v>204</v>
      </c>
      <c r="D10329" s="765">
        <v>-1250000</v>
      </c>
      <c r="E10329" s="201">
        <v>45809</v>
      </c>
      <c r="F10329" s="200" t="s">
        <v>296</v>
      </c>
      <c r="G10329" s="200" t="s">
        <v>5466</v>
      </c>
      <c r="H10329" s="200" t="s">
        <v>342</v>
      </c>
    </row>
    <row r="10330" spans="1:9" ht="15" customHeight="1">
      <c r="A10330" s="199">
        <v>45821</v>
      </c>
      <c r="B10330" s="202" t="s">
        <v>7649</v>
      </c>
      <c r="C10330" s="200" t="s">
        <v>372</v>
      </c>
      <c r="D10330" s="204">
        <v>-45337</v>
      </c>
      <c r="E10330" s="201">
        <v>45809</v>
      </c>
      <c r="F10330" s="200" t="s">
        <v>296</v>
      </c>
      <c r="G10330" s="200" t="s">
        <v>5466</v>
      </c>
      <c r="H10330" s="200" t="s">
        <v>342</v>
      </c>
      <c r="I10330" s="648" t="s">
        <v>329</v>
      </c>
    </row>
    <row r="10331" spans="1:9" ht="15" customHeight="1">
      <c r="A10331" s="199">
        <v>45821</v>
      </c>
      <c r="B10331" s="202" t="s">
        <v>7650</v>
      </c>
      <c r="C10331" s="200" t="s">
        <v>204</v>
      </c>
      <c r="D10331" s="765">
        <v>-72000</v>
      </c>
      <c r="E10331" s="201">
        <v>45809</v>
      </c>
      <c r="F10331" s="200" t="s">
        <v>297</v>
      </c>
      <c r="G10331" s="200" t="s">
        <v>71</v>
      </c>
      <c r="H10331" s="200" t="s">
        <v>379</v>
      </c>
    </row>
    <row r="10332" spans="1:9" ht="15" customHeight="1">
      <c r="A10332" s="199">
        <v>45821</v>
      </c>
      <c r="B10332" s="202" t="s">
        <v>7651</v>
      </c>
      <c r="C10332" s="200" t="s">
        <v>372</v>
      </c>
      <c r="D10332" s="204">
        <v>-3000</v>
      </c>
      <c r="E10332" s="201">
        <v>45809</v>
      </c>
      <c r="F10332" s="200" t="s">
        <v>297</v>
      </c>
      <c r="G10332" s="200" t="s">
        <v>71</v>
      </c>
      <c r="H10332" s="200" t="s">
        <v>379</v>
      </c>
      <c r="I10332" s="648" t="s">
        <v>329</v>
      </c>
    </row>
    <row r="10333" spans="1:9" ht="15" customHeight="1">
      <c r="A10333" s="199">
        <v>45821</v>
      </c>
      <c r="B10333" s="202" t="s">
        <v>7652</v>
      </c>
      <c r="C10333" s="200" t="s">
        <v>204</v>
      </c>
      <c r="D10333" s="765">
        <v>-613760</v>
      </c>
      <c r="E10333" s="201">
        <v>45809</v>
      </c>
      <c r="F10333" s="200" t="s">
        <v>256</v>
      </c>
      <c r="G10333" s="200" t="s">
        <v>256</v>
      </c>
      <c r="H10333" s="200" t="s">
        <v>269</v>
      </c>
    </row>
    <row r="10334" spans="1:9" ht="15" customHeight="1">
      <c r="A10334" s="199">
        <v>45818</v>
      </c>
      <c r="B10334" s="202" t="s">
        <v>7653</v>
      </c>
      <c r="C10334" s="200" t="s">
        <v>204</v>
      </c>
      <c r="D10334" s="765">
        <v>-9526612</v>
      </c>
      <c r="E10334" s="201">
        <v>45809</v>
      </c>
      <c r="F10334" s="200" t="s">
        <v>7654</v>
      </c>
    </row>
    <row r="10335" spans="1:9" ht="15" customHeight="1">
      <c r="A10335" s="199">
        <v>45814</v>
      </c>
      <c r="B10335" s="202" t="s">
        <v>7240</v>
      </c>
      <c r="C10335" s="200" t="s">
        <v>204</v>
      </c>
      <c r="D10335" s="204">
        <v>200000000</v>
      </c>
      <c r="E10335" s="201">
        <v>45809</v>
      </c>
      <c r="F10335" s="200" t="s">
        <v>652</v>
      </c>
      <c r="G10335" s="200" t="s">
        <v>4577</v>
      </c>
    </row>
    <row r="10336" spans="1:9" ht="15" customHeight="1">
      <c r="A10336" s="199">
        <v>45820</v>
      </c>
      <c r="B10336" s="202" t="s">
        <v>7655</v>
      </c>
      <c r="C10336" s="200" t="s">
        <v>204</v>
      </c>
      <c r="D10336" s="204">
        <v>19500000</v>
      </c>
      <c r="E10336" s="201">
        <v>45809</v>
      </c>
      <c r="F10336" s="200" t="s">
        <v>983</v>
      </c>
      <c r="G10336" s="200" t="s">
        <v>5466</v>
      </c>
    </row>
    <row r="10337" spans="1:9" ht="15" customHeight="1">
      <c r="A10337" s="199">
        <v>45821</v>
      </c>
      <c r="B10337" s="202" t="s">
        <v>5333</v>
      </c>
      <c r="C10337" s="200" t="s">
        <v>204</v>
      </c>
      <c r="D10337" s="204">
        <v>3537533</v>
      </c>
      <c r="E10337" s="201">
        <v>45809</v>
      </c>
      <c r="F10337" s="200" t="s">
        <v>295</v>
      </c>
    </row>
    <row r="10338" spans="1:9" ht="15" customHeight="1">
      <c r="A10338" s="199">
        <v>45819</v>
      </c>
      <c r="B10338" s="202" t="s">
        <v>3473</v>
      </c>
      <c r="C10338" s="200" t="s">
        <v>314</v>
      </c>
      <c r="D10338" s="204">
        <v>416600</v>
      </c>
      <c r="E10338" s="201">
        <v>45809</v>
      </c>
      <c r="F10338" s="200" t="s">
        <v>295</v>
      </c>
    </row>
    <row r="10339" spans="1:9" ht="15" customHeight="1">
      <c r="A10339" s="199">
        <v>45820</v>
      </c>
      <c r="B10339" s="202" t="s">
        <v>7656</v>
      </c>
      <c r="C10339" s="200" t="s">
        <v>136</v>
      </c>
      <c r="D10339" s="658">
        <v>189800</v>
      </c>
      <c r="E10339" s="201">
        <v>45809</v>
      </c>
      <c r="F10339" s="200" t="s">
        <v>256</v>
      </c>
      <c r="G10339" s="200" t="s">
        <v>256</v>
      </c>
      <c r="H10339" s="200" t="s">
        <v>121</v>
      </c>
    </row>
    <row r="10340" spans="1:9" ht="15" customHeight="1">
      <c r="A10340" s="199">
        <v>45820</v>
      </c>
      <c r="B10340" s="202" t="s">
        <v>7005</v>
      </c>
      <c r="C10340" s="200" t="s">
        <v>136</v>
      </c>
      <c r="D10340" s="658">
        <v>7993001.3499999996</v>
      </c>
      <c r="E10340" s="201">
        <v>45809</v>
      </c>
      <c r="F10340" s="200" t="s">
        <v>295</v>
      </c>
    </row>
    <row r="10341" spans="1:9" ht="15" customHeight="1">
      <c r="A10341" s="199">
        <v>45793</v>
      </c>
      <c r="B10341" s="202" t="s">
        <v>7657</v>
      </c>
      <c r="C10341" s="200" t="s">
        <v>307</v>
      </c>
      <c r="D10341" s="204">
        <v>-60000</v>
      </c>
      <c r="E10341" s="201">
        <v>45809</v>
      </c>
      <c r="F10341" s="200" t="s">
        <v>297</v>
      </c>
      <c r="G10341" s="200" t="s">
        <v>3892</v>
      </c>
      <c r="H10341" s="200" t="s">
        <v>268</v>
      </c>
      <c r="I10341" s="200" t="s">
        <v>4979</v>
      </c>
    </row>
    <row r="10342" spans="1:9" ht="15" customHeight="1">
      <c r="A10342" s="199">
        <v>45793</v>
      </c>
      <c r="B10342" s="202" t="s">
        <v>7657</v>
      </c>
      <c r="C10342" s="200" t="s">
        <v>307</v>
      </c>
      <c r="D10342" s="204">
        <v>-60000</v>
      </c>
      <c r="E10342" s="201">
        <v>45809</v>
      </c>
      <c r="F10342" s="200" t="s">
        <v>297</v>
      </c>
      <c r="G10342" s="200" t="s">
        <v>3892</v>
      </c>
      <c r="H10342" s="200" t="s">
        <v>268</v>
      </c>
      <c r="I10342" s="200" t="s">
        <v>4979</v>
      </c>
    </row>
    <row r="10343" spans="1:9" ht="15" customHeight="1">
      <c r="A10343" s="199">
        <v>45795</v>
      </c>
      <c r="B10343" s="202" t="s">
        <v>7657</v>
      </c>
      <c r="C10343" s="200" t="s">
        <v>307</v>
      </c>
      <c r="D10343" s="204">
        <v>-70000</v>
      </c>
      <c r="E10343" s="201">
        <v>45809</v>
      </c>
      <c r="F10343" s="200" t="s">
        <v>297</v>
      </c>
      <c r="G10343" s="200" t="s">
        <v>3892</v>
      </c>
      <c r="H10343" s="200" t="s">
        <v>268</v>
      </c>
      <c r="I10343" s="200" t="s">
        <v>4979</v>
      </c>
    </row>
    <row r="10344" spans="1:9" ht="15" customHeight="1">
      <c r="A10344" s="199">
        <v>45795</v>
      </c>
      <c r="B10344" s="202" t="s">
        <v>7657</v>
      </c>
      <c r="C10344" s="200" t="s">
        <v>307</v>
      </c>
      <c r="D10344" s="204">
        <v>-70000</v>
      </c>
      <c r="E10344" s="201">
        <v>45809</v>
      </c>
      <c r="F10344" s="200" t="s">
        <v>297</v>
      </c>
      <c r="G10344" s="200" t="s">
        <v>3892</v>
      </c>
      <c r="H10344" s="200" t="s">
        <v>268</v>
      </c>
      <c r="I10344" s="200" t="s">
        <v>4979</v>
      </c>
    </row>
    <row r="10345" spans="1:9" ht="15" customHeight="1">
      <c r="A10345" s="199">
        <v>45796</v>
      </c>
      <c r="B10345" s="202" t="s">
        <v>6126</v>
      </c>
      <c r="C10345" s="200" t="s">
        <v>307</v>
      </c>
      <c r="D10345" s="204">
        <v>-20000</v>
      </c>
      <c r="E10345" s="201">
        <v>45809</v>
      </c>
      <c r="F10345" s="200" t="s">
        <v>297</v>
      </c>
      <c r="G10345" s="200" t="s">
        <v>3892</v>
      </c>
      <c r="H10345" s="200" t="s">
        <v>268</v>
      </c>
      <c r="I10345" s="200" t="s">
        <v>4979</v>
      </c>
    </row>
    <row r="10346" spans="1:9" ht="15" customHeight="1">
      <c r="A10346" s="199">
        <v>45796</v>
      </c>
      <c r="B10346" s="202" t="s">
        <v>6124</v>
      </c>
      <c r="C10346" s="200" t="s">
        <v>307</v>
      </c>
      <c r="D10346" s="204">
        <v>-32000</v>
      </c>
      <c r="E10346" s="201">
        <v>45809</v>
      </c>
      <c r="F10346" s="200" t="s">
        <v>297</v>
      </c>
      <c r="G10346" s="200" t="s">
        <v>3892</v>
      </c>
      <c r="H10346" s="200" t="s">
        <v>268</v>
      </c>
      <c r="I10346" s="200" t="s">
        <v>4979</v>
      </c>
    </row>
    <row r="10347" spans="1:9" ht="15" customHeight="1">
      <c r="A10347" s="199">
        <v>45796</v>
      </c>
      <c r="B10347" s="202" t="s">
        <v>6126</v>
      </c>
      <c r="C10347" s="200" t="s">
        <v>307</v>
      </c>
      <c r="D10347" s="204">
        <v>-32000</v>
      </c>
      <c r="E10347" s="201">
        <v>45809</v>
      </c>
      <c r="F10347" s="200" t="s">
        <v>297</v>
      </c>
      <c r="G10347" s="200" t="s">
        <v>3892</v>
      </c>
      <c r="H10347" s="200" t="s">
        <v>268</v>
      </c>
      <c r="I10347" s="200" t="s">
        <v>4979</v>
      </c>
    </row>
    <row r="10348" spans="1:9" ht="15" customHeight="1">
      <c r="A10348" s="199">
        <v>45797</v>
      </c>
      <c r="B10348" s="202" t="s">
        <v>7008</v>
      </c>
      <c r="C10348" s="200" t="s">
        <v>307</v>
      </c>
      <c r="D10348" s="204">
        <v>-32220</v>
      </c>
      <c r="E10348" s="201">
        <v>45809</v>
      </c>
      <c r="F10348" s="200" t="s">
        <v>297</v>
      </c>
      <c r="G10348" s="200" t="s">
        <v>3892</v>
      </c>
      <c r="H10348" s="200" t="s">
        <v>268</v>
      </c>
      <c r="I10348" s="200" t="s">
        <v>4979</v>
      </c>
    </row>
    <row r="10349" spans="1:9" ht="15" customHeight="1">
      <c r="A10349" s="199">
        <v>45797</v>
      </c>
      <c r="B10349" s="202" t="s">
        <v>498</v>
      </c>
      <c r="C10349" s="200" t="s">
        <v>307</v>
      </c>
      <c r="D10349" s="204">
        <v>-76000</v>
      </c>
      <c r="E10349" s="201">
        <v>45809</v>
      </c>
      <c r="F10349" s="200" t="s">
        <v>297</v>
      </c>
      <c r="G10349" s="200" t="s">
        <v>3892</v>
      </c>
      <c r="H10349" s="200" t="s">
        <v>342</v>
      </c>
      <c r="I10349" s="200" t="s">
        <v>4979</v>
      </c>
    </row>
    <row r="10350" spans="1:9" ht="15" customHeight="1">
      <c r="A10350" s="199">
        <v>45797</v>
      </c>
      <c r="B10350" s="202" t="s">
        <v>7658</v>
      </c>
      <c r="C10350" s="200" t="s">
        <v>307</v>
      </c>
      <c r="D10350" s="204">
        <v>-30000</v>
      </c>
      <c r="E10350" s="201">
        <v>45809</v>
      </c>
      <c r="F10350" s="200" t="s">
        <v>297</v>
      </c>
      <c r="G10350" s="200" t="s">
        <v>3892</v>
      </c>
      <c r="H10350" s="200" t="s">
        <v>268</v>
      </c>
      <c r="I10350" s="200" t="s">
        <v>4979</v>
      </c>
    </row>
    <row r="10351" spans="1:9" ht="15" customHeight="1">
      <c r="A10351" s="199">
        <v>45797</v>
      </c>
      <c r="B10351" s="202" t="s">
        <v>7659</v>
      </c>
      <c r="C10351" s="200" t="s">
        <v>307</v>
      </c>
      <c r="D10351" s="204">
        <v>-10000</v>
      </c>
      <c r="E10351" s="201">
        <v>45809</v>
      </c>
      <c r="F10351" s="200" t="s">
        <v>296</v>
      </c>
      <c r="G10351" s="200" t="s">
        <v>1362</v>
      </c>
      <c r="H10351" s="200" t="s">
        <v>268</v>
      </c>
      <c r="I10351" s="200" t="s">
        <v>4979</v>
      </c>
    </row>
    <row r="10352" spans="1:9" ht="15" customHeight="1">
      <c r="A10352" s="199">
        <v>45797</v>
      </c>
      <c r="B10352" s="202" t="s">
        <v>6126</v>
      </c>
      <c r="C10352" s="200" t="s">
        <v>307</v>
      </c>
      <c r="D10352" s="204">
        <v>-25000</v>
      </c>
      <c r="E10352" s="201">
        <v>45809</v>
      </c>
      <c r="F10352" s="200" t="s">
        <v>297</v>
      </c>
      <c r="G10352" s="200" t="s">
        <v>3892</v>
      </c>
      <c r="H10352" s="200" t="s">
        <v>268</v>
      </c>
      <c r="I10352" s="200" t="s">
        <v>4979</v>
      </c>
    </row>
    <row r="10353" spans="1:9" ht="15" customHeight="1">
      <c r="A10353" s="199">
        <v>45798</v>
      </c>
      <c r="B10353" s="202" t="s">
        <v>7008</v>
      </c>
      <c r="C10353" s="200" t="s">
        <v>307</v>
      </c>
      <c r="D10353" s="204">
        <v>-32000</v>
      </c>
      <c r="E10353" s="201">
        <v>45809</v>
      </c>
      <c r="F10353" s="200" t="s">
        <v>297</v>
      </c>
      <c r="G10353" s="200" t="s">
        <v>3892</v>
      </c>
      <c r="H10353" s="200" t="s">
        <v>268</v>
      </c>
      <c r="I10353" s="200" t="s">
        <v>4979</v>
      </c>
    </row>
    <row r="10354" spans="1:9" ht="15" customHeight="1">
      <c r="A10354" s="199">
        <v>45798</v>
      </c>
      <c r="B10354" s="202" t="s">
        <v>6126</v>
      </c>
      <c r="C10354" s="200" t="s">
        <v>307</v>
      </c>
      <c r="D10354" s="204">
        <v>-25000</v>
      </c>
      <c r="E10354" s="201">
        <v>45809</v>
      </c>
      <c r="F10354" s="200" t="s">
        <v>297</v>
      </c>
      <c r="G10354" s="200" t="s">
        <v>3892</v>
      </c>
      <c r="H10354" s="200" t="s">
        <v>268</v>
      </c>
      <c r="I10354" s="200" t="s">
        <v>4979</v>
      </c>
    </row>
    <row r="10355" spans="1:9" ht="15" customHeight="1">
      <c r="A10355" s="199">
        <v>45798</v>
      </c>
      <c r="B10355" s="202" t="s">
        <v>7660</v>
      </c>
      <c r="C10355" s="200" t="s">
        <v>307</v>
      </c>
      <c r="D10355" s="204">
        <v>-22000</v>
      </c>
      <c r="E10355" s="201">
        <v>45809</v>
      </c>
      <c r="F10355" s="200" t="s">
        <v>297</v>
      </c>
      <c r="G10355" s="200" t="s">
        <v>3892</v>
      </c>
      <c r="H10355" s="200" t="s">
        <v>268</v>
      </c>
      <c r="I10355" s="200" t="s">
        <v>4979</v>
      </c>
    </row>
    <row r="10356" spans="1:9" ht="15" customHeight="1">
      <c r="A10356" s="199">
        <v>45798</v>
      </c>
      <c r="B10356" s="202" t="s">
        <v>7660</v>
      </c>
      <c r="C10356" s="200" t="s">
        <v>307</v>
      </c>
      <c r="D10356" s="204">
        <v>-22000</v>
      </c>
      <c r="E10356" s="201">
        <v>45809</v>
      </c>
      <c r="F10356" s="200" t="s">
        <v>297</v>
      </c>
      <c r="G10356" s="200" t="s">
        <v>3892</v>
      </c>
      <c r="H10356" s="200" t="s">
        <v>268</v>
      </c>
      <c r="I10356" s="200" t="s">
        <v>4979</v>
      </c>
    </row>
    <row r="10357" spans="1:9" ht="15" customHeight="1">
      <c r="A10357" s="199">
        <v>45799</v>
      </c>
      <c r="B10357" s="202" t="s">
        <v>7661</v>
      </c>
      <c r="C10357" s="200" t="s">
        <v>307</v>
      </c>
      <c r="D10357" s="204">
        <v>-100000</v>
      </c>
      <c r="E10357" s="201">
        <v>45809</v>
      </c>
      <c r="F10357" s="200" t="s">
        <v>256</v>
      </c>
      <c r="G10357" s="200" t="s">
        <v>107</v>
      </c>
      <c r="H10357" s="200" t="s">
        <v>275</v>
      </c>
      <c r="I10357" s="200" t="s">
        <v>4979</v>
      </c>
    </row>
    <row r="10358" spans="1:9" ht="15" customHeight="1">
      <c r="A10358" s="199">
        <v>45799</v>
      </c>
      <c r="B10358" s="202" t="s">
        <v>7662</v>
      </c>
      <c r="C10358" s="200" t="s">
        <v>307</v>
      </c>
      <c r="D10358" s="204">
        <v>-25000</v>
      </c>
      <c r="E10358" s="201">
        <v>45809</v>
      </c>
      <c r="F10358" s="200" t="s">
        <v>256</v>
      </c>
      <c r="G10358" s="200" t="s">
        <v>107</v>
      </c>
      <c r="H10358" s="200" t="s">
        <v>275</v>
      </c>
      <c r="I10358" s="200" t="s">
        <v>4979</v>
      </c>
    </row>
    <row r="10359" spans="1:9" ht="15" customHeight="1">
      <c r="A10359" s="199">
        <v>45799</v>
      </c>
      <c r="B10359" s="202" t="s">
        <v>7663</v>
      </c>
      <c r="C10359" s="200" t="s">
        <v>307</v>
      </c>
      <c r="D10359" s="204">
        <v>-28000</v>
      </c>
      <c r="E10359" s="201">
        <v>45809</v>
      </c>
      <c r="F10359" s="200" t="s">
        <v>256</v>
      </c>
      <c r="G10359" s="200" t="s">
        <v>107</v>
      </c>
      <c r="H10359" s="200" t="s">
        <v>275</v>
      </c>
      <c r="I10359" s="200" t="s">
        <v>4979</v>
      </c>
    </row>
    <row r="10360" spans="1:9" ht="15" customHeight="1">
      <c r="A10360" s="199">
        <v>45799</v>
      </c>
      <c r="B10360" s="202" t="s">
        <v>7664</v>
      </c>
      <c r="C10360" s="200" t="s">
        <v>307</v>
      </c>
      <c r="D10360" s="204">
        <v>-68000</v>
      </c>
      <c r="E10360" s="201">
        <v>45809</v>
      </c>
      <c r="F10360" s="200" t="s">
        <v>256</v>
      </c>
      <c r="G10360" s="200" t="s">
        <v>107</v>
      </c>
      <c r="H10360" s="200" t="s">
        <v>275</v>
      </c>
      <c r="I10360" s="200" t="s">
        <v>4979</v>
      </c>
    </row>
    <row r="10361" spans="1:9" ht="15" customHeight="1">
      <c r="A10361" s="199">
        <v>45799</v>
      </c>
      <c r="B10361" s="202" t="s">
        <v>7661</v>
      </c>
      <c r="C10361" s="200" t="s">
        <v>307</v>
      </c>
      <c r="D10361" s="204">
        <v>-95490</v>
      </c>
      <c r="E10361" s="201">
        <v>45809</v>
      </c>
      <c r="F10361" s="200" t="s">
        <v>256</v>
      </c>
      <c r="G10361" s="200" t="s">
        <v>107</v>
      </c>
      <c r="H10361" s="200" t="s">
        <v>275</v>
      </c>
      <c r="I10361" s="200" t="s">
        <v>4979</v>
      </c>
    </row>
    <row r="10362" spans="1:9" ht="15" customHeight="1">
      <c r="A10362" s="199">
        <v>45799</v>
      </c>
      <c r="B10362" s="202" t="s">
        <v>7665</v>
      </c>
      <c r="C10362" s="200" t="s">
        <v>307</v>
      </c>
      <c r="D10362" s="204">
        <v>-30000</v>
      </c>
      <c r="E10362" s="201">
        <v>45809</v>
      </c>
      <c r="F10362" s="200" t="s">
        <v>297</v>
      </c>
      <c r="G10362" s="200" t="s">
        <v>3892</v>
      </c>
      <c r="H10362" s="200" t="s">
        <v>268</v>
      </c>
      <c r="I10362" s="200" t="s">
        <v>4979</v>
      </c>
    </row>
    <row r="10363" spans="1:9" ht="15" customHeight="1">
      <c r="A10363" s="199">
        <v>45800</v>
      </c>
      <c r="B10363" s="202" t="s">
        <v>6126</v>
      </c>
      <c r="C10363" s="200" t="s">
        <v>307</v>
      </c>
      <c r="D10363" s="204">
        <v>-22000</v>
      </c>
      <c r="E10363" s="201">
        <v>45809</v>
      </c>
      <c r="F10363" s="200" t="s">
        <v>296</v>
      </c>
      <c r="G10363" s="200" t="s">
        <v>1362</v>
      </c>
      <c r="H10363" s="200" t="s">
        <v>268</v>
      </c>
      <c r="I10363" s="200" t="s">
        <v>4979</v>
      </c>
    </row>
    <row r="10364" spans="1:9" ht="15" customHeight="1">
      <c r="A10364" s="199">
        <v>45800</v>
      </c>
      <c r="B10364" s="202" t="s">
        <v>7242</v>
      </c>
      <c r="C10364" s="200" t="s">
        <v>307</v>
      </c>
      <c r="D10364" s="204">
        <v>-20000</v>
      </c>
      <c r="E10364" s="201">
        <v>45809</v>
      </c>
      <c r="F10364" s="200" t="s">
        <v>296</v>
      </c>
      <c r="G10364" s="200" t="s">
        <v>1362</v>
      </c>
      <c r="H10364" s="200" t="s">
        <v>268</v>
      </c>
      <c r="I10364" s="200" t="s">
        <v>4979</v>
      </c>
    </row>
    <row r="10365" spans="1:9" ht="15" customHeight="1">
      <c r="A10365" s="199">
        <v>45800</v>
      </c>
      <c r="B10365" s="202" t="s">
        <v>7666</v>
      </c>
      <c r="C10365" s="200" t="s">
        <v>307</v>
      </c>
      <c r="D10365" s="204">
        <v>-15000</v>
      </c>
      <c r="E10365" s="201">
        <v>45809</v>
      </c>
      <c r="F10365" s="200" t="s">
        <v>296</v>
      </c>
      <c r="G10365" s="200" t="s">
        <v>1362</v>
      </c>
      <c r="H10365" s="200" t="s">
        <v>268</v>
      </c>
      <c r="I10365" s="200" t="s">
        <v>4979</v>
      </c>
    </row>
    <row r="10366" spans="1:9" ht="15" customHeight="1">
      <c r="A10366" s="199">
        <v>45800</v>
      </c>
      <c r="B10366" s="202" t="s">
        <v>7252</v>
      </c>
      <c r="C10366" s="200" t="s">
        <v>307</v>
      </c>
      <c r="D10366" s="204">
        <v>-15000</v>
      </c>
      <c r="E10366" s="201">
        <v>45809</v>
      </c>
      <c r="F10366" s="200" t="s">
        <v>296</v>
      </c>
      <c r="G10366" s="200" t="s">
        <v>1362</v>
      </c>
      <c r="H10366" s="200" t="s">
        <v>268</v>
      </c>
      <c r="I10366" s="200" t="s">
        <v>4979</v>
      </c>
    </row>
    <row r="10367" spans="1:9" ht="15" customHeight="1">
      <c r="A10367" s="199">
        <v>45800</v>
      </c>
      <c r="B10367" s="202" t="s">
        <v>7242</v>
      </c>
      <c r="C10367" s="200" t="s">
        <v>307</v>
      </c>
      <c r="D10367" s="204">
        <v>-20000</v>
      </c>
      <c r="E10367" s="201">
        <v>45809</v>
      </c>
      <c r="F10367" s="200" t="s">
        <v>296</v>
      </c>
      <c r="G10367" s="200" t="s">
        <v>1362</v>
      </c>
      <c r="H10367" s="200" t="s">
        <v>268</v>
      </c>
      <c r="I10367" s="200" t="s">
        <v>4979</v>
      </c>
    </row>
    <row r="10368" spans="1:9" ht="15" customHeight="1">
      <c r="A10368" s="199">
        <v>45800</v>
      </c>
      <c r="B10368" s="202" t="s">
        <v>355</v>
      </c>
      <c r="C10368" s="200" t="s">
        <v>307</v>
      </c>
      <c r="D10368" s="204">
        <v>-25000</v>
      </c>
      <c r="E10368" s="201">
        <v>45809</v>
      </c>
      <c r="F10368" s="200" t="s">
        <v>296</v>
      </c>
      <c r="G10368" s="200" t="s">
        <v>1362</v>
      </c>
      <c r="H10368" s="200" t="s">
        <v>268</v>
      </c>
      <c r="I10368" s="648" t="s">
        <v>329</v>
      </c>
    </row>
    <row r="10369" spans="1:9" ht="15" customHeight="1">
      <c r="A10369" s="199">
        <v>45800</v>
      </c>
      <c r="B10369" s="202" t="s">
        <v>7667</v>
      </c>
      <c r="C10369" s="200" t="s">
        <v>307</v>
      </c>
      <c r="D10369" s="204">
        <v>-32140</v>
      </c>
      <c r="E10369" s="201">
        <v>45809</v>
      </c>
      <c r="F10369" s="200" t="s">
        <v>297</v>
      </c>
      <c r="G10369" s="200" t="s">
        <v>3892</v>
      </c>
      <c r="H10369" s="200" t="s">
        <v>268</v>
      </c>
      <c r="I10369" s="200" t="s">
        <v>4979</v>
      </c>
    </row>
    <row r="10370" spans="1:9" ht="15" customHeight="1">
      <c r="A10370" s="199">
        <v>45800</v>
      </c>
      <c r="B10370" s="202" t="s">
        <v>7250</v>
      </c>
      <c r="C10370" s="200" t="s">
        <v>307</v>
      </c>
      <c r="D10370" s="204">
        <v>-10000</v>
      </c>
      <c r="E10370" s="201">
        <v>45809</v>
      </c>
      <c r="F10370" s="200" t="s">
        <v>297</v>
      </c>
      <c r="G10370" s="200" t="s">
        <v>3892</v>
      </c>
      <c r="H10370" s="200" t="s">
        <v>268</v>
      </c>
      <c r="I10370" s="200" t="s">
        <v>4979</v>
      </c>
    </row>
    <row r="10371" spans="1:9" ht="15" customHeight="1">
      <c r="A10371" s="199">
        <v>45801</v>
      </c>
      <c r="B10371" s="202" t="s">
        <v>7250</v>
      </c>
      <c r="C10371" s="200" t="s">
        <v>307</v>
      </c>
      <c r="D10371" s="204">
        <v>-45000</v>
      </c>
      <c r="E10371" s="201">
        <v>45809</v>
      </c>
      <c r="F10371" s="200" t="s">
        <v>297</v>
      </c>
      <c r="G10371" s="200" t="s">
        <v>3892</v>
      </c>
      <c r="H10371" s="200" t="s">
        <v>268</v>
      </c>
      <c r="I10371" s="648" t="s">
        <v>329</v>
      </c>
    </row>
    <row r="10372" spans="1:9" ht="15" customHeight="1">
      <c r="A10372" s="199">
        <v>45803</v>
      </c>
      <c r="B10372" s="202" t="s">
        <v>4505</v>
      </c>
      <c r="C10372" s="200" t="s">
        <v>307</v>
      </c>
      <c r="D10372" s="204">
        <v>-11000</v>
      </c>
      <c r="E10372" s="201">
        <v>45809</v>
      </c>
      <c r="F10372" s="200" t="s">
        <v>256</v>
      </c>
      <c r="G10372" s="200" t="s">
        <v>256</v>
      </c>
      <c r="H10372" s="200" t="s">
        <v>269</v>
      </c>
      <c r="I10372" s="200" t="s">
        <v>7668</v>
      </c>
    </row>
    <row r="10373" spans="1:9" ht="15" customHeight="1">
      <c r="A10373" s="199">
        <v>45804</v>
      </c>
      <c r="B10373" s="202" t="s">
        <v>4505</v>
      </c>
      <c r="C10373" s="200" t="s">
        <v>307</v>
      </c>
      <c r="D10373" s="204">
        <v>-27000</v>
      </c>
      <c r="E10373" s="201">
        <v>45809</v>
      </c>
      <c r="F10373" s="200" t="s">
        <v>256</v>
      </c>
      <c r="G10373" s="200" t="s">
        <v>256</v>
      </c>
      <c r="H10373" s="200" t="s">
        <v>269</v>
      </c>
      <c r="I10373" s="200" t="s">
        <v>7668</v>
      </c>
    </row>
    <row r="10374" spans="1:9" ht="15" customHeight="1">
      <c r="A10374" s="199">
        <v>45805</v>
      </c>
      <c r="B10374" s="202" t="s">
        <v>4505</v>
      </c>
      <c r="C10374" s="200" t="s">
        <v>307</v>
      </c>
      <c r="D10374" s="204">
        <v>-11000</v>
      </c>
      <c r="E10374" s="201">
        <v>45809</v>
      </c>
      <c r="F10374" s="200" t="s">
        <v>256</v>
      </c>
      <c r="G10374" s="200" t="s">
        <v>256</v>
      </c>
      <c r="H10374" s="200" t="s">
        <v>269</v>
      </c>
      <c r="I10374" s="200" t="s">
        <v>7668</v>
      </c>
    </row>
    <row r="10375" spans="1:9" ht="15" customHeight="1">
      <c r="A10375" s="199">
        <v>45806</v>
      </c>
      <c r="B10375" s="202" t="s">
        <v>4505</v>
      </c>
      <c r="C10375" s="200" t="s">
        <v>307</v>
      </c>
      <c r="D10375" s="204">
        <v>-10000</v>
      </c>
      <c r="E10375" s="201">
        <v>45809</v>
      </c>
      <c r="F10375" s="200" t="s">
        <v>256</v>
      </c>
      <c r="G10375" s="200" t="s">
        <v>256</v>
      </c>
      <c r="H10375" s="200" t="s">
        <v>269</v>
      </c>
      <c r="I10375" s="200" t="s">
        <v>7668</v>
      </c>
    </row>
    <row r="10376" spans="1:9" ht="15" customHeight="1">
      <c r="A10376" s="199">
        <v>45806</v>
      </c>
      <c r="B10376" s="202" t="s">
        <v>4505</v>
      </c>
      <c r="C10376" s="200" t="s">
        <v>307</v>
      </c>
      <c r="D10376" s="204">
        <v>-11000</v>
      </c>
      <c r="E10376" s="201">
        <v>45809</v>
      </c>
      <c r="F10376" s="200" t="s">
        <v>256</v>
      </c>
      <c r="G10376" s="200" t="s">
        <v>256</v>
      </c>
      <c r="H10376" s="200" t="s">
        <v>269</v>
      </c>
      <c r="I10376" s="200" t="s">
        <v>7668</v>
      </c>
    </row>
    <row r="10377" spans="1:9" ht="15" customHeight="1">
      <c r="A10377" s="199">
        <v>45807</v>
      </c>
      <c r="B10377" s="202" t="s">
        <v>7669</v>
      </c>
      <c r="C10377" s="200" t="s">
        <v>307</v>
      </c>
      <c r="D10377" s="204">
        <v>-24023</v>
      </c>
      <c r="E10377" s="201">
        <v>45809</v>
      </c>
      <c r="F10377" s="200" t="s">
        <v>256</v>
      </c>
      <c r="G10377" s="200" t="s">
        <v>256</v>
      </c>
      <c r="H10377" s="200" t="s">
        <v>269</v>
      </c>
      <c r="I10377" s="200" t="s">
        <v>7668</v>
      </c>
    </row>
    <row r="10378" spans="1:9" ht="15" customHeight="1">
      <c r="A10378" s="199">
        <v>45807</v>
      </c>
      <c r="B10378" s="202" t="s">
        <v>4505</v>
      </c>
      <c r="C10378" s="200" t="s">
        <v>307</v>
      </c>
      <c r="D10378" s="204">
        <v>-30000</v>
      </c>
      <c r="E10378" s="201">
        <v>45809</v>
      </c>
      <c r="F10378" s="200" t="s">
        <v>256</v>
      </c>
      <c r="G10378" s="200" t="s">
        <v>256</v>
      </c>
      <c r="H10378" s="200" t="s">
        <v>269</v>
      </c>
      <c r="I10378" s="200" t="s">
        <v>7668</v>
      </c>
    </row>
    <row r="10379" spans="1:9" ht="15" customHeight="1">
      <c r="A10379" s="199">
        <v>45807</v>
      </c>
      <c r="B10379" s="202" t="s">
        <v>4505</v>
      </c>
      <c r="C10379" s="200" t="s">
        <v>307</v>
      </c>
      <c r="D10379" s="204">
        <v>-10000</v>
      </c>
      <c r="E10379" s="201">
        <v>45809</v>
      </c>
      <c r="F10379" s="200" t="s">
        <v>256</v>
      </c>
      <c r="G10379" s="200" t="s">
        <v>256</v>
      </c>
      <c r="H10379" s="200" t="s">
        <v>269</v>
      </c>
      <c r="I10379" s="200" t="s">
        <v>7668</v>
      </c>
    </row>
    <row r="10380" spans="1:9" ht="15" customHeight="1">
      <c r="A10380" s="199">
        <v>45809</v>
      </c>
      <c r="B10380" s="202" t="s">
        <v>4505</v>
      </c>
      <c r="C10380" s="200" t="s">
        <v>307</v>
      </c>
      <c r="D10380" s="204">
        <v>-66680</v>
      </c>
      <c r="E10380" s="201">
        <v>45809</v>
      </c>
      <c r="F10380" s="200" t="s">
        <v>256</v>
      </c>
      <c r="G10380" s="200" t="s">
        <v>256</v>
      </c>
      <c r="H10380" s="200" t="s">
        <v>269</v>
      </c>
      <c r="I10380" s="200" t="s">
        <v>7668</v>
      </c>
    </row>
    <row r="10381" spans="1:9" ht="15" customHeight="1">
      <c r="A10381" s="199">
        <v>45816</v>
      </c>
      <c r="B10381" s="202" t="s">
        <v>4505</v>
      </c>
      <c r="C10381" s="200" t="s">
        <v>307</v>
      </c>
      <c r="D10381" s="204">
        <v>-47850</v>
      </c>
      <c r="E10381" s="201">
        <v>45809</v>
      </c>
      <c r="F10381" s="200" t="s">
        <v>256</v>
      </c>
      <c r="G10381" s="200" t="s">
        <v>256</v>
      </c>
      <c r="H10381" s="200" t="s">
        <v>269</v>
      </c>
      <c r="I10381" s="200" t="s">
        <v>7668</v>
      </c>
    </row>
    <row r="10382" spans="1:9" ht="15" customHeight="1">
      <c r="A10382" s="199">
        <v>45817</v>
      </c>
      <c r="B10382" s="202" t="s">
        <v>7669</v>
      </c>
      <c r="C10382" s="200" t="s">
        <v>307</v>
      </c>
      <c r="D10382" s="204">
        <v>-20062</v>
      </c>
      <c r="E10382" s="201">
        <v>45809</v>
      </c>
      <c r="F10382" s="200" t="s">
        <v>256</v>
      </c>
      <c r="G10382" s="200" t="s">
        <v>256</v>
      </c>
      <c r="H10382" s="200" t="s">
        <v>269</v>
      </c>
      <c r="I10382" s="200" t="s">
        <v>7668</v>
      </c>
    </row>
    <row r="10383" spans="1:9" ht="15" customHeight="1">
      <c r="A10383" s="199">
        <v>45817</v>
      </c>
      <c r="B10383" s="202" t="s">
        <v>1989</v>
      </c>
      <c r="C10383" s="200" t="s">
        <v>398</v>
      </c>
      <c r="D10383" s="658">
        <v>-95520</v>
      </c>
      <c r="E10383" s="201">
        <v>45809</v>
      </c>
      <c r="F10383" s="200" t="s">
        <v>256</v>
      </c>
      <c r="G10383" s="200" t="s">
        <v>256</v>
      </c>
      <c r="H10383" s="541" t="s">
        <v>266</v>
      </c>
    </row>
    <row r="10384" spans="1:9" ht="15" customHeight="1">
      <c r="A10384" s="199">
        <v>45817</v>
      </c>
      <c r="B10384" s="202" t="s">
        <v>7670</v>
      </c>
      <c r="C10384" s="200" t="s">
        <v>398</v>
      </c>
      <c r="D10384" s="658">
        <v>-19900</v>
      </c>
      <c r="E10384" s="201">
        <v>45809</v>
      </c>
      <c r="F10384" s="200" t="s">
        <v>256</v>
      </c>
      <c r="G10384" s="200" t="s">
        <v>256</v>
      </c>
      <c r="H10384" s="541" t="s">
        <v>266</v>
      </c>
    </row>
    <row r="10385" spans="1:9" ht="15" customHeight="1">
      <c r="A10385" s="199">
        <v>45820</v>
      </c>
      <c r="B10385" s="202" t="s">
        <v>7671</v>
      </c>
      <c r="C10385" s="200" t="s">
        <v>398</v>
      </c>
      <c r="D10385" s="658">
        <v>-422840</v>
      </c>
      <c r="E10385" s="201">
        <v>45809</v>
      </c>
      <c r="F10385" s="200" t="s">
        <v>256</v>
      </c>
      <c r="G10385" s="200" t="s">
        <v>107</v>
      </c>
      <c r="H10385" s="200" t="s">
        <v>277</v>
      </c>
    </row>
    <row r="10386" spans="1:9" ht="15" customHeight="1">
      <c r="A10386" s="199">
        <v>45821</v>
      </c>
      <c r="B10386" s="202" t="s">
        <v>7672</v>
      </c>
      <c r="C10386" s="200" t="s">
        <v>398</v>
      </c>
      <c r="D10386" s="658">
        <v>-323189</v>
      </c>
      <c r="E10386" s="201">
        <v>45809</v>
      </c>
      <c r="F10386" s="200" t="s">
        <v>256</v>
      </c>
      <c r="G10386" s="200" t="s">
        <v>107</v>
      </c>
      <c r="H10386" s="200" t="s">
        <v>277</v>
      </c>
      <c r="I10386" s="648" t="s">
        <v>329</v>
      </c>
    </row>
    <row r="10387" spans="1:9" ht="15" customHeight="1">
      <c r="A10387" s="199">
        <v>45820</v>
      </c>
      <c r="B10387" s="202" t="s">
        <v>6299</v>
      </c>
      <c r="C10387" s="200" t="s">
        <v>398</v>
      </c>
      <c r="D10387" s="204">
        <v>4539246.7300000004</v>
      </c>
      <c r="E10387" s="201">
        <v>45809</v>
      </c>
      <c r="F10387" s="200" t="s">
        <v>295</v>
      </c>
    </row>
    <row r="10388" spans="1:9" ht="15" customHeight="1">
      <c r="A10388" s="199">
        <v>45821</v>
      </c>
      <c r="B10388" s="202" t="s">
        <v>3970</v>
      </c>
      <c r="C10388" s="200" t="s">
        <v>307</v>
      </c>
      <c r="D10388" s="204">
        <v>-169900</v>
      </c>
      <c r="E10388" s="201">
        <v>45809</v>
      </c>
      <c r="F10388" s="200" t="s">
        <v>256</v>
      </c>
      <c r="G10388" s="200" t="s">
        <v>256</v>
      </c>
      <c r="H10388" s="200" t="s">
        <v>263</v>
      </c>
      <c r="I10388" s="648" t="s">
        <v>329</v>
      </c>
    </row>
    <row r="10389" spans="1:9" ht="15" customHeight="1">
      <c r="A10389" s="199">
        <v>45821</v>
      </c>
      <c r="B10389" s="202" t="s">
        <v>7673</v>
      </c>
      <c r="C10389" s="200" t="s">
        <v>307</v>
      </c>
      <c r="D10389" s="204">
        <v>-22800</v>
      </c>
      <c r="E10389" s="201">
        <v>45809</v>
      </c>
      <c r="F10389" s="200" t="s">
        <v>296</v>
      </c>
      <c r="G10389" s="200" t="s">
        <v>1825</v>
      </c>
      <c r="H10389" s="200" t="s">
        <v>442</v>
      </c>
      <c r="I10389" s="648" t="s">
        <v>329</v>
      </c>
    </row>
    <row r="10390" spans="1:9" ht="15" customHeight="1">
      <c r="A10390" s="199">
        <v>45821</v>
      </c>
      <c r="B10390" s="202" t="s">
        <v>6131</v>
      </c>
      <c r="C10390" s="200" t="s">
        <v>204</v>
      </c>
      <c r="D10390" s="765">
        <v>-17500704</v>
      </c>
      <c r="E10390" s="201">
        <v>45809</v>
      </c>
      <c r="F10390" s="200" t="s">
        <v>4520</v>
      </c>
      <c r="G10390" s="200" t="s">
        <v>4521</v>
      </c>
    </row>
    <row r="10391" spans="1:9" ht="15" customHeight="1">
      <c r="A10391" s="199">
        <v>45821</v>
      </c>
      <c r="B10391" s="202" t="s">
        <v>6132</v>
      </c>
      <c r="C10391" s="200" t="s">
        <v>204</v>
      </c>
      <c r="D10391" s="765">
        <v>-57600000</v>
      </c>
      <c r="E10391" s="201">
        <v>45809</v>
      </c>
      <c r="F10391" s="200" t="s">
        <v>1825</v>
      </c>
      <c r="G10391" s="200" t="s">
        <v>4523</v>
      </c>
    </row>
    <row r="10392" spans="1:9" ht="15" customHeight="1">
      <c r="A10392" s="199">
        <v>45821</v>
      </c>
      <c r="B10392" s="202" t="s">
        <v>6133</v>
      </c>
      <c r="C10392" s="200" t="s">
        <v>204</v>
      </c>
      <c r="D10392" s="765">
        <v>-44500000</v>
      </c>
      <c r="E10392" s="201">
        <v>45809</v>
      </c>
      <c r="F10392" s="200" t="s">
        <v>1980</v>
      </c>
      <c r="G10392" s="200" t="s">
        <v>1981</v>
      </c>
    </row>
    <row r="10393" spans="1:9" ht="15" customHeight="1">
      <c r="A10393" s="199">
        <v>45821</v>
      </c>
      <c r="B10393" s="202" t="s">
        <v>6137</v>
      </c>
      <c r="C10393" s="200" t="s">
        <v>204</v>
      </c>
      <c r="D10393" s="765">
        <v>-40200000</v>
      </c>
      <c r="E10393" s="201">
        <v>45809</v>
      </c>
      <c r="F10393" s="200" t="s">
        <v>807</v>
      </c>
      <c r="G10393" s="200" t="s">
        <v>4575</v>
      </c>
    </row>
    <row r="10394" spans="1:9" ht="15" customHeight="1">
      <c r="A10394" s="199">
        <v>45821</v>
      </c>
      <c r="B10394" s="202" t="s">
        <v>6138</v>
      </c>
      <c r="C10394" s="200" t="s">
        <v>204</v>
      </c>
      <c r="D10394" s="765">
        <v>-93750000</v>
      </c>
      <c r="E10394" s="201">
        <v>45809</v>
      </c>
      <c r="F10394" s="200" t="s">
        <v>4577</v>
      </c>
      <c r="G10394" s="200" t="s">
        <v>4578</v>
      </c>
    </row>
    <row r="10395" spans="1:9" ht="15" customHeight="1">
      <c r="A10395" s="199">
        <v>45821</v>
      </c>
      <c r="B10395" s="202" t="s">
        <v>6134</v>
      </c>
      <c r="C10395" s="200" t="s">
        <v>204</v>
      </c>
      <c r="D10395" s="765">
        <v>-582750000</v>
      </c>
      <c r="E10395" s="201">
        <v>45809</v>
      </c>
      <c r="F10395" s="200" t="s">
        <v>6135</v>
      </c>
      <c r="G10395" s="200" t="s">
        <v>6136</v>
      </c>
    </row>
    <row r="10396" spans="1:9" ht="15" customHeight="1">
      <c r="A10396" s="199">
        <v>45790</v>
      </c>
      <c r="B10396" s="202" t="s">
        <v>7674</v>
      </c>
      <c r="C10396" s="200" t="s">
        <v>204</v>
      </c>
      <c r="D10396" s="204">
        <v>500000000</v>
      </c>
      <c r="E10396" s="201">
        <v>45809</v>
      </c>
      <c r="F10396" s="200" t="s">
        <v>652</v>
      </c>
      <c r="G10396" s="200" t="s">
        <v>1980</v>
      </c>
    </row>
    <row r="10397" spans="1:9" s="810" customFormat="1" ht="15" customHeight="1">
      <c r="A10397" s="808">
        <v>45790</v>
      </c>
      <c r="B10397" s="809" t="s">
        <v>7675</v>
      </c>
      <c r="C10397" s="809" t="s">
        <v>204</v>
      </c>
      <c r="D10397" s="765">
        <v>-882000</v>
      </c>
      <c r="E10397" s="811">
        <v>45809</v>
      </c>
      <c r="F10397" s="809" t="s">
        <v>256</v>
      </c>
      <c r="G10397" s="809" t="s">
        <v>256</v>
      </c>
      <c r="H10397" s="809" t="s">
        <v>121</v>
      </c>
      <c r="I10397" s="809"/>
    </row>
    <row r="10398" spans="1:9" ht="15" customHeight="1">
      <c r="A10398" s="199">
        <v>45790</v>
      </c>
      <c r="B10398" s="202" t="s">
        <v>7676</v>
      </c>
      <c r="C10398" s="200" t="s">
        <v>204</v>
      </c>
      <c r="D10398" s="765">
        <v>-2300000</v>
      </c>
      <c r="E10398" s="201">
        <v>45809</v>
      </c>
      <c r="F10398" s="200" t="s">
        <v>256</v>
      </c>
      <c r="G10398" s="200" t="s">
        <v>256</v>
      </c>
      <c r="H10398" s="200" t="s">
        <v>121</v>
      </c>
    </row>
    <row r="10399" spans="1:9" ht="15" customHeight="1">
      <c r="A10399" s="199">
        <v>45790</v>
      </c>
      <c r="B10399" s="202" t="s">
        <v>7677</v>
      </c>
      <c r="C10399" s="200" t="s">
        <v>204</v>
      </c>
      <c r="D10399" s="765">
        <v>-904080</v>
      </c>
      <c r="E10399" s="201">
        <v>45809</v>
      </c>
      <c r="F10399" s="200" t="s">
        <v>256</v>
      </c>
      <c r="G10399" s="200" t="s">
        <v>256</v>
      </c>
      <c r="H10399" s="200" t="s">
        <v>121</v>
      </c>
    </row>
    <row r="10400" spans="1:9" ht="15" customHeight="1">
      <c r="A10400" s="199">
        <v>45790</v>
      </c>
      <c r="B10400" s="202" t="s">
        <v>7678</v>
      </c>
      <c r="C10400" s="200" t="s">
        <v>204</v>
      </c>
      <c r="D10400" s="765">
        <v>-654810</v>
      </c>
      <c r="E10400" s="201">
        <v>45809</v>
      </c>
      <c r="F10400" s="200" t="s">
        <v>256</v>
      </c>
      <c r="G10400" s="200" t="s">
        <v>256</v>
      </c>
      <c r="H10400" s="200" t="s">
        <v>121</v>
      </c>
    </row>
    <row r="10401" spans="1:8" ht="15" customHeight="1">
      <c r="A10401" s="199">
        <v>45790</v>
      </c>
      <c r="B10401" s="202" t="s">
        <v>7679</v>
      </c>
      <c r="C10401" s="200" t="s">
        <v>204</v>
      </c>
      <c r="D10401" s="765">
        <v>-813000</v>
      </c>
      <c r="E10401" s="201">
        <v>45809</v>
      </c>
      <c r="F10401" s="200" t="s">
        <v>256</v>
      </c>
      <c r="G10401" s="200" t="s">
        <v>256</v>
      </c>
      <c r="H10401" s="200" t="s">
        <v>121</v>
      </c>
    </row>
    <row r="10402" spans="1:8" ht="15" customHeight="1">
      <c r="A10402" s="199">
        <v>45790</v>
      </c>
      <c r="B10402" s="202" t="s">
        <v>7680</v>
      </c>
      <c r="C10402" s="200" t="s">
        <v>204</v>
      </c>
      <c r="D10402" s="765">
        <v>-882000</v>
      </c>
      <c r="E10402" s="201">
        <v>45809</v>
      </c>
      <c r="F10402" s="200" t="s">
        <v>256</v>
      </c>
      <c r="G10402" s="200" t="s">
        <v>256</v>
      </c>
      <c r="H10402" s="200" t="s">
        <v>121</v>
      </c>
    </row>
    <row r="10403" spans="1:8" ht="15" customHeight="1">
      <c r="A10403" s="199">
        <v>45790</v>
      </c>
      <c r="B10403" s="202" t="s">
        <v>7681</v>
      </c>
      <c r="C10403" s="200" t="s">
        <v>204</v>
      </c>
      <c r="D10403" s="765">
        <v>-754810</v>
      </c>
      <c r="E10403" s="201">
        <v>45809</v>
      </c>
      <c r="F10403" s="200" t="s">
        <v>256</v>
      </c>
      <c r="G10403" s="200" t="s">
        <v>256</v>
      </c>
      <c r="H10403" s="200" t="s">
        <v>121</v>
      </c>
    </row>
    <row r="10404" spans="1:8" ht="15" customHeight="1">
      <c r="A10404" s="199">
        <v>45790</v>
      </c>
      <c r="B10404" s="202" t="s">
        <v>7682</v>
      </c>
      <c r="C10404" s="200" t="s">
        <v>204</v>
      </c>
      <c r="D10404" s="765">
        <v>-754810</v>
      </c>
      <c r="E10404" s="201">
        <v>45809</v>
      </c>
      <c r="F10404" s="200" t="s">
        <v>256</v>
      </c>
      <c r="G10404" s="200" t="s">
        <v>256</v>
      </c>
      <c r="H10404" s="200" t="s">
        <v>121</v>
      </c>
    </row>
    <row r="10405" spans="1:8" ht="15" customHeight="1">
      <c r="A10405" s="199">
        <v>45790</v>
      </c>
      <c r="B10405" s="202" t="s">
        <v>7683</v>
      </c>
      <c r="C10405" s="200" t="s">
        <v>204</v>
      </c>
      <c r="D10405" s="765">
        <v>-754810</v>
      </c>
      <c r="E10405" s="201">
        <v>45809</v>
      </c>
      <c r="F10405" s="200" t="s">
        <v>256</v>
      </c>
      <c r="G10405" s="200" t="s">
        <v>256</v>
      </c>
      <c r="H10405" s="200" t="s">
        <v>121</v>
      </c>
    </row>
    <row r="10406" spans="1:8" ht="15" customHeight="1">
      <c r="A10406" s="199">
        <v>45790</v>
      </c>
      <c r="B10406" s="202" t="s">
        <v>7684</v>
      </c>
      <c r="C10406" s="200" t="s">
        <v>204</v>
      </c>
      <c r="D10406" s="765">
        <v>-882000</v>
      </c>
      <c r="E10406" s="201">
        <v>45809</v>
      </c>
      <c r="F10406" s="200" t="s">
        <v>256</v>
      </c>
      <c r="G10406" s="200" t="s">
        <v>256</v>
      </c>
      <c r="H10406" s="200" t="s">
        <v>121</v>
      </c>
    </row>
    <row r="10407" spans="1:8" ht="15" customHeight="1">
      <c r="A10407" s="199">
        <v>45790</v>
      </c>
      <c r="B10407" s="202" t="s">
        <v>7685</v>
      </c>
      <c r="C10407" s="200" t="s">
        <v>204</v>
      </c>
      <c r="D10407" s="765">
        <v>-754810</v>
      </c>
      <c r="E10407" s="201">
        <v>45809</v>
      </c>
      <c r="F10407" s="200" t="s">
        <v>256</v>
      </c>
      <c r="G10407" s="200" t="s">
        <v>256</v>
      </c>
      <c r="H10407" s="200" t="s">
        <v>121</v>
      </c>
    </row>
    <row r="10408" spans="1:8" ht="15" customHeight="1">
      <c r="A10408" s="199">
        <v>45790</v>
      </c>
      <c r="B10408" s="202" t="s">
        <v>7686</v>
      </c>
      <c r="C10408" s="200" t="s">
        <v>204</v>
      </c>
      <c r="D10408" s="765">
        <v>-355875</v>
      </c>
      <c r="E10408" s="201">
        <v>45809</v>
      </c>
      <c r="F10408" s="200" t="s">
        <v>256</v>
      </c>
      <c r="G10408" s="200" t="s">
        <v>256</v>
      </c>
      <c r="H10408" s="200" t="s">
        <v>121</v>
      </c>
    </row>
    <row r="10409" spans="1:8" ht="15" customHeight="1">
      <c r="A10409" s="199">
        <v>45790</v>
      </c>
      <c r="B10409" s="202" t="s">
        <v>7687</v>
      </c>
      <c r="C10409" s="200" t="s">
        <v>204</v>
      </c>
      <c r="D10409" s="765">
        <v>-355875</v>
      </c>
      <c r="E10409" s="201">
        <v>45809</v>
      </c>
      <c r="F10409" s="200" t="s">
        <v>256</v>
      </c>
      <c r="G10409" s="200" t="s">
        <v>256</v>
      </c>
      <c r="H10409" s="200" t="s">
        <v>121</v>
      </c>
    </row>
    <row r="10410" spans="1:8" ht="15" customHeight="1">
      <c r="A10410" s="199">
        <v>45790</v>
      </c>
      <c r="B10410" s="202" t="s">
        <v>7688</v>
      </c>
      <c r="C10410" s="200" t="s">
        <v>204</v>
      </c>
      <c r="D10410" s="765">
        <v>-355875</v>
      </c>
      <c r="E10410" s="201">
        <v>45809</v>
      </c>
      <c r="F10410" s="200" t="s">
        <v>256</v>
      </c>
      <c r="G10410" s="200" t="s">
        <v>256</v>
      </c>
      <c r="H10410" s="200" t="s">
        <v>121</v>
      </c>
    </row>
    <row r="10411" spans="1:8" ht="15" customHeight="1">
      <c r="A10411" s="199">
        <v>45790</v>
      </c>
      <c r="B10411" s="202" t="s">
        <v>7689</v>
      </c>
      <c r="C10411" s="200" t="s">
        <v>204</v>
      </c>
      <c r="D10411" s="765">
        <v>-754810</v>
      </c>
      <c r="E10411" s="201">
        <v>45809</v>
      </c>
      <c r="F10411" s="200" t="s">
        <v>256</v>
      </c>
      <c r="G10411" s="200" t="s">
        <v>256</v>
      </c>
      <c r="H10411" s="200" t="s">
        <v>121</v>
      </c>
    </row>
    <row r="10412" spans="1:8" ht="15" customHeight="1">
      <c r="A10412" s="199">
        <v>45790</v>
      </c>
      <c r="B10412" s="202" t="s">
        <v>7690</v>
      </c>
      <c r="C10412" s="200" t="s">
        <v>204</v>
      </c>
      <c r="D10412" s="765">
        <v>-754810</v>
      </c>
      <c r="E10412" s="201">
        <v>45809</v>
      </c>
      <c r="F10412" s="200" t="s">
        <v>256</v>
      </c>
      <c r="G10412" s="200" t="s">
        <v>107</v>
      </c>
      <c r="H10412" s="200" t="s">
        <v>121</v>
      </c>
    </row>
    <row r="10413" spans="1:8" ht="15" customHeight="1">
      <c r="A10413" s="199">
        <v>45790</v>
      </c>
      <c r="B10413" s="202" t="s">
        <v>7691</v>
      </c>
      <c r="C10413" s="200" t="s">
        <v>204</v>
      </c>
      <c r="D10413" s="765">
        <v>-754810</v>
      </c>
      <c r="E10413" s="201">
        <v>45809</v>
      </c>
      <c r="F10413" s="200" t="s">
        <v>256</v>
      </c>
      <c r="G10413" s="200" t="s">
        <v>107</v>
      </c>
      <c r="H10413" s="200" t="s">
        <v>121</v>
      </c>
    </row>
    <row r="10414" spans="1:8" ht="15" customHeight="1">
      <c r="A10414" s="199">
        <v>45790</v>
      </c>
      <c r="B10414" s="202" t="s">
        <v>7692</v>
      </c>
      <c r="C10414" s="200" t="s">
        <v>204</v>
      </c>
      <c r="D10414" s="765">
        <v>-882000</v>
      </c>
      <c r="E10414" s="201">
        <v>45809</v>
      </c>
      <c r="F10414" s="200" t="s">
        <v>256</v>
      </c>
      <c r="G10414" s="200" t="s">
        <v>107</v>
      </c>
      <c r="H10414" s="200" t="s">
        <v>121</v>
      </c>
    </row>
    <row r="10415" spans="1:8" ht="15" customHeight="1">
      <c r="A10415" s="199">
        <v>45790</v>
      </c>
      <c r="B10415" s="202" t="s">
        <v>7693</v>
      </c>
      <c r="C10415" s="200" t="s">
        <v>204</v>
      </c>
      <c r="D10415" s="765">
        <v>-270120</v>
      </c>
      <c r="E10415" s="201">
        <v>45809</v>
      </c>
      <c r="F10415" s="200" t="s">
        <v>296</v>
      </c>
      <c r="G10415" s="200" t="s">
        <v>2418</v>
      </c>
      <c r="H10415" s="200" t="s">
        <v>567</v>
      </c>
    </row>
    <row r="10416" spans="1:8" ht="15" customHeight="1">
      <c r="A10416" s="199">
        <v>45790</v>
      </c>
      <c r="B10416" s="202" t="s">
        <v>7693</v>
      </c>
      <c r="C10416" s="200" t="s">
        <v>204</v>
      </c>
      <c r="D10416" s="765">
        <v>-360160</v>
      </c>
      <c r="E10416" s="201">
        <v>45809</v>
      </c>
      <c r="F10416" s="200" t="s">
        <v>297</v>
      </c>
      <c r="G10416" s="200" t="s">
        <v>71</v>
      </c>
      <c r="H10416" s="200" t="s">
        <v>567</v>
      </c>
    </row>
    <row r="10417" spans="1:8" ht="15" customHeight="1">
      <c r="A10417" s="199">
        <v>45790</v>
      </c>
      <c r="B10417" s="202" t="s">
        <v>7693</v>
      </c>
      <c r="C10417" s="200" t="s">
        <v>204</v>
      </c>
      <c r="D10417" s="765">
        <v>-45020</v>
      </c>
      <c r="E10417" s="201">
        <v>45809</v>
      </c>
      <c r="F10417" s="200" t="s">
        <v>296</v>
      </c>
      <c r="G10417" s="200" t="s">
        <v>1311</v>
      </c>
      <c r="H10417" s="200" t="s">
        <v>567</v>
      </c>
    </row>
    <row r="10418" spans="1:8" ht="15" customHeight="1">
      <c r="A10418" s="199">
        <v>45790</v>
      </c>
      <c r="B10418" s="202" t="s">
        <v>7693</v>
      </c>
      <c r="C10418" s="200" t="s">
        <v>204</v>
      </c>
      <c r="D10418" s="765">
        <v>-225100</v>
      </c>
      <c r="E10418" s="201">
        <v>45809</v>
      </c>
      <c r="F10418" s="200" t="s">
        <v>297</v>
      </c>
      <c r="G10418" s="200" t="s">
        <v>3892</v>
      </c>
      <c r="H10418" s="200" t="s">
        <v>567</v>
      </c>
    </row>
    <row r="10419" spans="1:8" ht="15" customHeight="1">
      <c r="A10419" s="199">
        <v>45790</v>
      </c>
      <c r="B10419" s="202" t="s">
        <v>7694</v>
      </c>
      <c r="C10419" s="200" t="s">
        <v>204</v>
      </c>
      <c r="D10419" s="765">
        <v>-318750</v>
      </c>
      <c r="E10419" s="201">
        <v>45809</v>
      </c>
      <c r="F10419" s="200" t="s">
        <v>296</v>
      </c>
      <c r="G10419" s="200" t="s">
        <v>807</v>
      </c>
      <c r="H10419" s="200" t="s">
        <v>338</v>
      </c>
    </row>
    <row r="10420" spans="1:8" ht="15" customHeight="1">
      <c r="A10420" s="199">
        <v>45790</v>
      </c>
      <c r="B10420" s="202" t="s">
        <v>7694</v>
      </c>
      <c r="C10420" s="200" t="s">
        <v>204</v>
      </c>
      <c r="D10420" s="765">
        <v>-318750</v>
      </c>
      <c r="E10420" s="201">
        <v>45809</v>
      </c>
      <c r="F10420" s="200" t="s">
        <v>296</v>
      </c>
      <c r="G10420" s="200" t="s">
        <v>1825</v>
      </c>
      <c r="H10420" s="200" t="s">
        <v>338</v>
      </c>
    </row>
    <row r="10421" spans="1:8" ht="15" customHeight="1">
      <c r="A10421" s="199">
        <v>45790</v>
      </c>
      <c r="B10421" s="202" t="s">
        <v>7694</v>
      </c>
      <c r="C10421" s="200" t="s">
        <v>204</v>
      </c>
      <c r="D10421" s="765">
        <v>-318750</v>
      </c>
      <c r="E10421" s="201">
        <v>45809</v>
      </c>
      <c r="F10421" s="200" t="s">
        <v>296</v>
      </c>
      <c r="G10421" s="200" t="s">
        <v>1980</v>
      </c>
      <c r="H10421" s="200" t="s">
        <v>338</v>
      </c>
    </row>
    <row r="10422" spans="1:8" ht="15" customHeight="1">
      <c r="A10422" s="199">
        <v>45790</v>
      </c>
      <c r="B10422" s="202" t="s">
        <v>7694</v>
      </c>
      <c r="C10422" s="200" t="s">
        <v>204</v>
      </c>
      <c r="D10422" s="765">
        <v>-318750</v>
      </c>
      <c r="E10422" s="201">
        <v>45809</v>
      </c>
      <c r="F10422" s="200" t="s">
        <v>296</v>
      </c>
      <c r="G10422" s="200" t="s">
        <v>1983</v>
      </c>
      <c r="H10422" s="200" t="s">
        <v>338</v>
      </c>
    </row>
    <row r="10423" spans="1:8" ht="15" customHeight="1">
      <c r="A10423" s="199">
        <v>45790</v>
      </c>
      <c r="B10423" s="202" t="s">
        <v>7695</v>
      </c>
      <c r="C10423" s="200" t="s">
        <v>204</v>
      </c>
      <c r="D10423" s="765">
        <v>-1501000.0000000002</v>
      </c>
      <c r="E10423" s="201">
        <v>45809</v>
      </c>
      <c r="F10423" s="200" t="s">
        <v>296</v>
      </c>
      <c r="G10423" s="200" t="s">
        <v>44</v>
      </c>
      <c r="H10423" s="200" t="s">
        <v>421</v>
      </c>
    </row>
    <row r="10424" spans="1:8" ht="15" customHeight="1">
      <c r="A10424" s="199">
        <v>45790</v>
      </c>
      <c r="B10424" s="202" t="s">
        <v>7696</v>
      </c>
      <c r="C10424" s="200" t="s">
        <v>204</v>
      </c>
      <c r="D10424" s="765">
        <v>-892810</v>
      </c>
      <c r="E10424" s="201">
        <v>45809</v>
      </c>
      <c r="F10424" s="200" t="s">
        <v>296</v>
      </c>
      <c r="G10424" s="200" t="s">
        <v>44</v>
      </c>
      <c r="H10424" s="200" t="s">
        <v>421</v>
      </c>
    </row>
    <row r="10425" spans="1:8" ht="15" customHeight="1">
      <c r="A10425" s="199">
        <v>45790</v>
      </c>
      <c r="B10425" s="202" t="s">
        <v>7697</v>
      </c>
      <c r="C10425" s="200" t="s">
        <v>204</v>
      </c>
      <c r="D10425" s="765">
        <v>-907045</v>
      </c>
      <c r="E10425" s="201">
        <v>45809</v>
      </c>
      <c r="F10425" s="200" t="s">
        <v>296</v>
      </c>
      <c r="G10425" s="200" t="s">
        <v>44</v>
      </c>
      <c r="H10425" s="200" t="s">
        <v>421</v>
      </c>
    </row>
    <row r="10426" spans="1:8" ht="15" customHeight="1">
      <c r="A10426" s="199">
        <v>45790</v>
      </c>
      <c r="B10426" s="202" t="s">
        <v>7698</v>
      </c>
      <c r="C10426" s="200" t="s">
        <v>204</v>
      </c>
      <c r="D10426" s="765">
        <v>-907045</v>
      </c>
      <c r="E10426" s="201">
        <v>45809</v>
      </c>
      <c r="F10426" s="200" t="s">
        <v>296</v>
      </c>
      <c r="G10426" s="200" t="s">
        <v>44</v>
      </c>
      <c r="H10426" s="200" t="s">
        <v>421</v>
      </c>
    </row>
    <row r="10427" spans="1:8" ht="15" customHeight="1">
      <c r="A10427" s="199">
        <v>45790</v>
      </c>
      <c r="B10427" s="202" t="s">
        <v>7699</v>
      </c>
      <c r="C10427" s="200" t="s">
        <v>204</v>
      </c>
      <c r="D10427" s="765">
        <v>-907045</v>
      </c>
      <c r="E10427" s="201">
        <v>45809</v>
      </c>
      <c r="F10427" s="200" t="s">
        <v>296</v>
      </c>
      <c r="G10427" s="200" t="s">
        <v>44</v>
      </c>
      <c r="H10427" s="200" t="s">
        <v>421</v>
      </c>
    </row>
    <row r="10428" spans="1:8" ht="15" customHeight="1">
      <c r="A10428" s="199">
        <v>45790</v>
      </c>
      <c r="B10428" s="202" t="s">
        <v>7700</v>
      </c>
      <c r="C10428" s="200" t="s">
        <v>204</v>
      </c>
      <c r="D10428" s="765">
        <v>-1224999.9999999998</v>
      </c>
      <c r="E10428" s="201">
        <v>45809</v>
      </c>
      <c r="F10428" s="200" t="s">
        <v>296</v>
      </c>
      <c r="G10428" s="200" t="s">
        <v>44</v>
      </c>
      <c r="H10428" s="200" t="s">
        <v>421</v>
      </c>
    </row>
    <row r="10429" spans="1:8" ht="15" customHeight="1">
      <c r="A10429" s="199">
        <v>45790</v>
      </c>
      <c r="B10429" s="202" t="s">
        <v>7701</v>
      </c>
      <c r="C10429" s="200" t="s">
        <v>204</v>
      </c>
      <c r="D10429" s="765">
        <v>-1066000</v>
      </c>
      <c r="E10429" s="201">
        <v>45809</v>
      </c>
      <c r="F10429" s="200" t="s">
        <v>296</v>
      </c>
      <c r="G10429" s="200" t="s">
        <v>1825</v>
      </c>
      <c r="H10429" s="200" t="s">
        <v>429</v>
      </c>
    </row>
    <row r="10430" spans="1:8" ht="15" customHeight="1">
      <c r="A10430" s="199">
        <v>45790</v>
      </c>
      <c r="B10430" s="202" t="s">
        <v>7702</v>
      </c>
      <c r="C10430" s="200" t="s">
        <v>204</v>
      </c>
      <c r="D10430" s="765">
        <v>-899000</v>
      </c>
      <c r="E10430" s="201">
        <v>45809</v>
      </c>
      <c r="F10430" s="200" t="s">
        <v>296</v>
      </c>
      <c r="G10430" s="200" t="s">
        <v>1825</v>
      </c>
      <c r="H10430" s="200" t="s">
        <v>429</v>
      </c>
    </row>
    <row r="10431" spans="1:8" ht="15" customHeight="1">
      <c r="A10431" s="199">
        <v>45790</v>
      </c>
      <c r="B10431" s="202" t="s">
        <v>7703</v>
      </c>
      <c r="C10431" s="200" t="s">
        <v>204</v>
      </c>
      <c r="D10431" s="765">
        <v>-769045</v>
      </c>
      <c r="E10431" s="201">
        <v>45809</v>
      </c>
      <c r="F10431" s="200" t="s">
        <v>296</v>
      </c>
      <c r="G10431" s="200" t="s">
        <v>1825</v>
      </c>
      <c r="H10431" s="200" t="s">
        <v>429</v>
      </c>
    </row>
    <row r="10432" spans="1:8" ht="15" customHeight="1">
      <c r="A10432" s="199">
        <v>45790</v>
      </c>
      <c r="B10432" s="202" t="s">
        <v>7704</v>
      </c>
      <c r="C10432" s="200" t="s">
        <v>204</v>
      </c>
      <c r="D10432" s="765">
        <v>-754810</v>
      </c>
      <c r="E10432" s="201">
        <v>45809</v>
      </c>
      <c r="F10432" s="200" t="s">
        <v>296</v>
      </c>
      <c r="G10432" s="200" t="s">
        <v>1825</v>
      </c>
      <c r="H10432" s="200" t="s">
        <v>429</v>
      </c>
    </row>
    <row r="10433" spans="1:8" ht="15" customHeight="1">
      <c r="A10433" s="199">
        <v>45790</v>
      </c>
      <c r="B10433" s="202" t="s">
        <v>7705</v>
      </c>
      <c r="C10433" s="200" t="s">
        <v>204</v>
      </c>
      <c r="D10433" s="765">
        <v>-754810</v>
      </c>
      <c r="E10433" s="201">
        <v>45809</v>
      </c>
      <c r="F10433" s="200" t="s">
        <v>296</v>
      </c>
      <c r="G10433" s="200" t="s">
        <v>1825</v>
      </c>
      <c r="H10433" s="200" t="s">
        <v>429</v>
      </c>
    </row>
    <row r="10434" spans="1:8" ht="15" customHeight="1">
      <c r="A10434" s="199">
        <v>45790</v>
      </c>
      <c r="B10434" s="202" t="s">
        <v>7706</v>
      </c>
      <c r="C10434" s="200" t="s">
        <v>204</v>
      </c>
      <c r="D10434" s="765">
        <v>-754810</v>
      </c>
      <c r="E10434" s="201">
        <v>45809</v>
      </c>
      <c r="F10434" s="200" t="s">
        <v>296</v>
      </c>
      <c r="G10434" s="200" t="s">
        <v>1825</v>
      </c>
      <c r="H10434" s="200" t="s">
        <v>429</v>
      </c>
    </row>
    <row r="10435" spans="1:8" ht="15" customHeight="1">
      <c r="A10435" s="199">
        <v>45790</v>
      </c>
      <c r="B10435" s="202" t="s">
        <v>7707</v>
      </c>
      <c r="C10435" s="200" t="s">
        <v>204</v>
      </c>
      <c r="D10435" s="765">
        <v>-754810</v>
      </c>
      <c r="E10435" s="201">
        <v>45809</v>
      </c>
      <c r="F10435" s="200" t="s">
        <v>296</v>
      </c>
      <c r="G10435" s="200" t="s">
        <v>1825</v>
      </c>
      <c r="H10435" s="200" t="s">
        <v>429</v>
      </c>
    </row>
    <row r="10436" spans="1:8" ht="15" customHeight="1">
      <c r="A10436" s="199">
        <v>45790</v>
      </c>
      <c r="B10436" s="202" t="s">
        <v>7708</v>
      </c>
      <c r="C10436" s="200" t="s">
        <v>204</v>
      </c>
      <c r="D10436" s="765">
        <v>-754810</v>
      </c>
      <c r="E10436" s="201">
        <v>45809</v>
      </c>
      <c r="F10436" s="200" t="s">
        <v>296</v>
      </c>
      <c r="G10436" s="200" t="s">
        <v>1825</v>
      </c>
      <c r="H10436" s="200" t="s">
        <v>429</v>
      </c>
    </row>
    <row r="10437" spans="1:8" ht="15" customHeight="1">
      <c r="A10437" s="199">
        <v>45790</v>
      </c>
      <c r="B10437" s="202" t="s">
        <v>7709</v>
      </c>
      <c r="C10437" s="200" t="s">
        <v>204</v>
      </c>
      <c r="D10437" s="765">
        <v>-754810</v>
      </c>
      <c r="E10437" s="201">
        <v>45809</v>
      </c>
      <c r="F10437" s="200" t="s">
        <v>296</v>
      </c>
      <c r="G10437" s="200" t="s">
        <v>1825</v>
      </c>
      <c r="H10437" s="200" t="s">
        <v>429</v>
      </c>
    </row>
    <row r="10438" spans="1:8" ht="15" customHeight="1">
      <c r="A10438" s="199">
        <v>45790</v>
      </c>
      <c r="B10438" s="202" t="s">
        <v>7710</v>
      </c>
      <c r="C10438" s="200" t="s">
        <v>204</v>
      </c>
      <c r="D10438" s="765">
        <v>-754810</v>
      </c>
      <c r="E10438" s="201">
        <v>45809</v>
      </c>
      <c r="F10438" s="200" t="s">
        <v>296</v>
      </c>
      <c r="G10438" s="200" t="s">
        <v>1825</v>
      </c>
      <c r="H10438" s="200" t="s">
        <v>429</v>
      </c>
    </row>
    <row r="10439" spans="1:8" ht="15" customHeight="1">
      <c r="A10439" s="199">
        <v>45790</v>
      </c>
      <c r="B10439" s="202" t="s">
        <v>7711</v>
      </c>
      <c r="C10439" s="200" t="s">
        <v>204</v>
      </c>
      <c r="D10439" s="765">
        <v>-754810</v>
      </c>
      <c r="E10439" s="201">
        <v>45809</v>
      </c>
      <c r="F10439" s="200" t="s">
        <v>296</v>
      </c>
      <c r="G10439" s="200" t="s">
        <v>1825</v>
      </c>
      <c r="H10439" s="200" t="s">
        <v>429</v>
      </c>
    </row>
    <row r="10440" spans="1:8" ht="15" customHeight="1">
      <c r="A10440" s="199">
        <v>45790</v>
      </c>
      <c r="B10440" s="202" t="s">
        <v>7712</v>
      </c>
      <c r="C10440" s="200" t="s">
        <v>204</v>
      </c>
      <c r="D10440" s="765">
        <v>-754810</v>
      </c>
      <c r="E10440" s="201">
        <v>45809</v>
      </c>
      <c r="F10440" s="200" t="s">
        <v>296</v>
      </c>
      <c r="G10440" s="200" t="s">
        <v>1825</v>
      </c>
      <c r="H10440" s="200" t="s">
        <v>429</v>
      </c>
    </row>
    <row r="10441" spans="1:8" ht="15" customHeight="1">
      <c r="A10441" s="199">
        <v>45790</v>
      </c>
      <c r="B10441" s="202" t="s">
        <v>7713</v>
      </c>
      <c r="C10441" s="200" t="s">
        <v>204</v>
      </c>
      <c r="D10441" s="765">
        <v>-754810</v>
      </c>
      <c r="E10441" s="201">
        <v>45809</v>
      </c>
      <c r="F10441" s="200" t="s">
        <v>296</v>
      </c>
      <c r="G10441" s="200" t="s">
        <v>1825</v>
      </c>
      <c r="H10441" s="200" t="s">
        <v>429</v>
      </c>
    </row>
    <row r="10442" spans="1:8" ht="15" customHeight="1">
      <c r="A10442" s="199">
        <v>45790</v>
      </c>
      <c r="B10442" s="202" t="s">
        <v>7714</v>
      </c>
      <c r="C10442" s="200" t="s">
        <v>204</v>
      </c>
      <c r="D10442" s="765">
        <v>-754810</v>
      </c>
      <c r="E10442" s="201">
        <v>45809</v>
      </c>
      <c r="F10442" s="200" t="s">
        <v>296</v>
      </c>
      <c r="G10442" s="200" t="s">
        <v>1825</v>
      </c>
      <c r="H10442" s="200" t="s">
        <v>429</v>
      </c>
    </row>
    <row r="10443" spans="1:8" ht="15" customHeight="1">
      <c r="A10443" s="199">
        <v>45790</v>
      </c>
      <c r="B10443" s="202" t="s">
        <v>7715</v>
      </c>
      <c r="C10443" s="200" t="s">
        <v>204</v>
      </c>
      <c r="D10443" s="765">
        <v>-754810</v>
      </c>
      <c r="E10443" s="201">
        <v>45809</v>
      </c>
      <c r="F10443" s="200" t="s">
        <v>296</v>
      </c>
      <c r="G10443" s="200" t="s">
        <v>1825</v>
      </c>
      <c r="H10443" s="200" t="s">
        <v>429</v>
      </c>
    </row>
    <row r="10444" spans="1:8" ht="15" customHeight="1">
      <c r="A10444" s="199">
        <v>45790</v>
      </c>
      <c r="B10444" s="202" t="s">
        <v>7716</v>
      </c>
      <c r="C10444" s="200" t="s">
        <v>204</v>
      </c>
      <c r="D10444" s="765">
        <v>-754810</v>
      </c>
      <c r="E10444" s="201">
        <v>45809</v>
      </c>
      <c r="F10444" s="200" t="s">
        <v>296</v>
      </c>
      <c r="G10444" s="200" t="s">
        <v>1980</v>
      </c>
      <c r="H10444" s="200" t="s">
        <v>429</v>
      </c>
    </row>
    <row r="10445" spans="1:8" ht="15" customHeight="1">
      <c r="A10445" s="199">
        <v>45790</v>
      </c>
      <c r="B10445" s="202" t="s">
        <v>7717</v>
      </c>
      <c r="C10445" s="200" t="s">
        <v>204</v>
      </c>
      <c r="D10445" s="765">
        <v>-882000</v>
      </c>
      <c r="E10445" s="201">
        <v>45809</v>
      </c>
      <c r="F10445" s="200" t="s">
        <v>296</v>
      </c>
      <c r="G10445" s="200" t="s">
        <v>1980</v>
      </c>
      <c r="H10445" s="200" t="s">
        <v>429</v>
      </c>
    </row>
    <row r="10446" spans="1:8" ht="15" customHeight="1">
      <c r="A10446" s="199">
        <v>45790</v>
      </c>
      <c r="B10446" s="202" t="s">
        <v>7718</v>
      </c>
      <c r="C10446" s="200" t="s">
        <v>204</v>
      </c>
      <c r="D10446" s="765">
        <v>-754810</v>
      </c>
      <c r="E10446" s="201">
        <v>45809</v>
      </c>
      <c r="F10446" s="200" t="s">
        <v>296</v>
      </c>
      <c r="G10446" s="200" t="s">
        <v>1980</v>
      </c>
      <c r="H10446" s="200" t="s">
        <v>429</v>
      </c>
    </row>
    <row r="10447" spans="1:8" ht="15" customHeight="1">
      <c r="A10447" s="199">
        <v>45790</v>
      </c>
      <c r="B10447" s="202" t="s">
        <v>7719</v>
      </c>
      <c r="C10447" s="200" t="s">
        <v>204</v>
      </c>
      <c r="D10447" s="765">
        <v>-714810</v>
      </c>
      <c r="E10447" s="201">
        <v>45809</v>
      </c>
      <c r="F10447" s="200" t="s">
        <v>296</v>
      </c>
      <c r="G10447" s="200" t="s">
        <v>1980</v>
      </c>
      <c r="H10447" s="200" t="s">
        <v>429</v>
      </c>
    </row>
    <row r="10448" spans="1:8" ht="15" customHeight="1">
      <c r="A10448" s="199">
        <v>45790</v>
      </c>
      <c r="B10448" s="202" t="s">
        <v>7720</v>
      </c>
      <c r="C10448" s="200" t="s">
        <v>204</v>
      </c>
      <c r="D10448" s="765">
        <v>-754810</v>
      </c>
      <c r="E10448" s="201">
        <v>45809</v>
      </c>
      <c r="F10448" s="200" t="s">
        <v>296</v>
      </c>
      <c r="G10448" s="200" t="s">
        <v>1980</v>
      </c>
      <c r="H10448" s="200" t="s">
        <v>429</v>
      </c>
    </row>
    <row r="10449" spans="1:8" ht="15" customHeight="1">
      <c r="A10449" s="199">
        <v>45790</v>
      </c>
      <c r="B10449" s="202" t="s">
        <v>7721</v>
      </c>
      <c r="C10449" s="200" t="s">
        <v>204</v>
      </c>
      <c r="D10449" s="765">
        <v>-754810</v>
      </c>
      <c r="E10449" s="201">
        <v>45809</v>
      </c>
      <c r="F10449" s="200" t="s">
        <v>296</v>
      </c>
      <c r="G10449" s="200" t="s">
        <v>1980</v>
      </c>
      <c r="H10449" s="200" t="s">
        <v>429</v>
      </c>
    </row>
    <row r="10450" spans="1:8" ht="15" customHeight="1">
      <c r="A10450" s="199">
        <v>45790</v>
      </c>
      <c r="B10450" s="202" t="s">
        <v>7722</v>
      </c>
      <c r="C10450" s="200" t="s">
        <v>204</v>
      </c>
      <c r="D10450" s="765">
        <v>-754810</v>
      </c>
      <c r="E10450" s="201">
        <v>45809</v>
      </c>
      <c r="F10450" s="200" t="s">
        <v>296</v>
      </c>
      <c r="G10450" s="200" t="s">
        <v>1980</v>
      </c>
      <c r="H10450" s="200" t="s">
        <v>429</v>
      </c>
    </row>
    <row r="10451" spans="1:8" ht="15" customHeight="1">
      <c r="A10451" s="199">
        <v>45790</v>
      </c>
      <c r="B10451" s="202" t="s">
        <v>7723</v>
      </c>
      <c r="C10451" s="200" t="s">
        <v>204</v>
      </c>
      <c r="D10451" s="765">
        <v>-754810</v>
      </c>
      <c r="E10451" s="201">
        <v>45809</v>
      </c>
      <c r="F10451" s="200" t="s">
        <v>296</v>
      </c>
      <c r="G10451" s="200" t="s">
        <v>1980</v>
      </c>
      <c r="H10451" s="200" t="s">
        <v>429</v>
      </c>
    </row>
    <row r="10452" spans="1:8" ht="15" customHeight="1">
      <c r="A10452" s="199">
        <v>45790</v>
      </c>
      <c r="B10452" s="202" t="s">
        <v>7724</v>
      </c>
      <c r="C10452" s="200" t="s">
        <v>204</v>
      </c>
      <c r="D10452" s="765">
        <v>-754810</v>
      </c>
      <c r="E10452" s="201">
        <v>45809</v>
      </c>
      <c r="F10452" s="200" t="s">
        <v>296</v>
      </c>
      <c r="G10452" s="200" t="s">
        <v>1980</v>
      </c>
      <c r="H10452" s="200" t="s">
        <v>429</v>
      </c>
    </row>
    <row r="10453" spans="1:8" ht="15" customHeight="1">
      <c r="A10453" s="199">
        <v>45790</v>
      </c>
      <c r="B10453" s="202" t="s">
        <v>7725</v>
      </c>
      <c r="C10453" s="200" t="s">
        <v>204</v>
      </c>
      <c r="D10453" s="765">
        <v>-754810</v>
      </c>
      <c r="E10453" s="201">
        <v>45809</v>
      </c>
      <c r="F10453" s="200" t="s">
        <v>296</v>
      </c>
      <c r="G10453" s="200" t="s">
        <v>1980</v>
      </c>
      <c r="H10453" s="200" t="s">
        <v>429</v>
      </c>
    </row>
    <row r="10454" spans="1:8" ht="15" customHeight="1">
      <c r="A10454" s="199">
        <v>45790</v>
      </c>
      <c r="B10454" s="202" t="s">
        <v>7726</v>
      </c>
      <c r="C10454" s="200" t="s">
        <v>204</v>
      </c>
      <c r="D10454" s="765">
        <v>-754810</v>
      </c>
      <c r="E10454" s="201">
        <v>45809</v>
      </c>
      <c r="F10454" s="200" t="s">
        <v>296</v>
      </c>
      <c r="G10454" s="200" t="s">
        <v>1980</v>
      </c>
      <c r="H10454" s="200" t="s">
        <v>429</v>
      </c>
    </row>
    <row r="10455" spans="1:8" ht="15" customHeight="1">
      <c r="A10455" s="199">
        <v>45790</v>
      </c>
      <c r="B10455" s="202" t="s">
        <v>7727</v>
      </c>
      <c r="C10455" s="200" t="s">
        <v>204</v>
      </c>
      <c r="D10455" s="765">
        <v>-754810</v>
      </c>
      <c r="E10455" s="201">
        <v>45809</v>
      </c>
      <c r="F10455" s="200" t="s">
        <v>296</v>
      </c>
      <c r="G10455" s="200" t="s">
        <v>1980</v>
      </c>
      <c r="H10455" s="200" t="s">
        <v>429</v>
      </c>
    </row>
    <row r="10456" spans="1:8" ht="15" customHeight="1">
      <c r="A10456" s="199">
        <v>45790</v>
      </c>
      <c r="B10456" s="202" t="s">
        <v>7728</v>
      </c>
      <c r="C10456" s="200" t="s">
        <v>204</v>
      </c>
      <c r="D10456" s="765">
        <v>-754810</v>
      </c>
      <c r="E10456" s="201">
        <v>45809</v>
      </c>
      <c r="F10456" s="200" t="s">
        <v>296</v>
      </c>
      <c r="G10456" s="200" t="s">
        <v>1980</v>
      </c>
      <c r="H10456" s="200" t="s">
        <v>429</v>
      </c>
    </row>
    <row r="10457" spans="1:8" ht="15" customHeight="1">
      <c r="A10457" s="199">
        <v>45790</v>
      </c>
      <c r="B10457" s="202" t="s">
        <v>7729</v>
      </c>
      <c r="C10457" s="200" t="s">
        <v>204</v>
      </c>
      <c r="D10457" s="765">
        <v>-734810</v>
      </c>
      <c r="E10457" s="201">
        <v>45809</v>
      </c>
      <c r="F10457" s="200" t="s">
        <v>296</v>
      </c>
      <c r="G10457" s="200" t="s">
        <v>1980</v>
      </c>
      <c r="H10457" s="200" t="s">
        <v>429</v>
      </c>
    </row>
    <row r="10458" spans="1:8" ht="15" customHeight="1">
      <c r="A10458" s="199">
        <v>45790</v>
      </c>
      <c r="B10458" s="202" t="s">
        <v>7730</v>
      </c>
      <c r="C10458" s="200" t="s">
        <v>204</v>
      </c>
      <c r="D10458" s="765">
        <v>-754810</v>
      </c>
      <c r="E10458" s="201">
        <v>45809</v>
      </c>
      <c r="F10458" s="200" t="s">
        <v>296</v>
      </c>
      <c r="G10458" s="200" t="s">
        <v>1980</v>
      </c>
      <c r="H10458" s="200" t="s">
        <v>429</v>
      </c>
    </row>
    <row r="10459" spans="1:8" ht="15" customHeight="1">
      <c r="A10459" s="199">
        <v>45790</v>
      </c>
      <c r="B10459" s="202" t="s">
        <v>7731</v>
      </c>
      <c r="C10459" s="200" t="s">
        <v>204</v>
      </c>
      <c r="D10459" s="765">
        <v>-754810</v>
      </c>
      <c r="E10459" s="201">
        <v>45809</v>
      </c>
      <c r="F10459" s="200" t="s">
        <v>296</v>
      </c>
      <c r="G10459" s="200" t="s">
        <v>1980</v>
      </c>
      <c r="H10459" s="200" t="s">
        <v>429</v>
      </c>
    </row>
    <row r="10460" spans="1:8" ht="15" customHeight="1">
      <c r="A10460" s="199">
        <v>45790</v>
      </c>
      <c r="B10460" s="202" t="s">
        <v>7732</v>
      </c>
      <c r="C10460" s="200" t="s">
        <v>204</v>
      </c>
      <c r="D10460" s="765">
        <v>-754810</v>
      </c>
      <c r="E10460" s="201">
        <v>45809</v>
      </c>
      <c r="F10460" s="200" t="s">
        <v>296</v>
      </c>
      <c r="G10460" s="200" t="s">
        <v>1980</v>
      </c>
      <c r="H10460" s="200" t="s">
        <v>429</v>
      </c>
    </row>
    <row r="10461" spans="1:8" ht="15" customHeight="1">
      <c r="A10461" s="199">
        <v>45790</v>
      </c>
      <c r="B10461" s="202" t="s">
        <v>7733</v>
      </c>
      <c r="C10461" s="200" t="s">
        <v>204</v>
      </c>
      <c r="D10461" s="765">
        <v>-754810</v>
      </c>
      <c r="E10461" s="201">
        <v>45809</v>
      </c>
      <c r="F10461" s="200" t="s">
        <v>296</v>
      </c>
      <c r="G10461" s="200" t="s">
        <v>1983</v>
      </c>
      <c r="H10461" s="200" t="s">
        <v>429</v>
      </c>
    </row>
    <row r="10462" spans="1:8" ht="15" customHeight="1">
      <c r="A10462" s="199">
        <v>45790</v>
      </c>
      <c r="B10462" s="202" t="s">
        <v>7734</v>
      </c>
      <c r="C10462" s="200" t="s">
        <v>204</v>
      </c>
      <c r="D10462" s="765">
        <v>-754810</v>
      </c>
      <c r="E10462" s="201">
        <v>45809</v>
      </c>
      <c r="F10462" s="200" t="s">
        <v>296</v>
      </c>
      <c r="G10462" s="200" t="s">
        <v>1983</v>
      </c>
      <c r="H10462" s="200" t="s">
        <v>429</v>
      </c>
    </row>
    <row r="10463" spans="1:8" ht="15" customHeight="1">
      <c r="A10463" s="199">
        <v>45790</v>
      </c>
      <c r="B10463" s="202" t="s">
        <v>7735</v>
      </c>
      <c r="C10463" s="200" t="s">
        <v>204</v>
      </c>
      <c r="D10463" s="765">
        <v>-754810</v>
      </c>
      <c r="E10463" s="201">
        <v>45809</v>
      </c>
      <c r="F10463" s="200" t="s">
        <v>296</v>
      </c>
      <c r="G10463" s="200" t="s">
        <v>1983</v>
      </c>
      <c r="H10463" s="200" t="s">
        <v>429</v>
      </c>
    </row>
    <row r="10464" spans="1:8" ht="15" customHeight="1">
      <c r="A10464" s="199">
        <v>45790</v>
      </c>
      <c r="B10464" s="202" t="s">
        <v>7736</v>
      </c>
      <c r="C10464" s="200" t="s">
        <v>204</v>
      </c>
      <c r="D10464" s="765">
        <v>-754810</v>
      </c>
      <c r="E10464" s="201">
        <v>45809</v>
      </c>
      <c r="F10464" s="200" t="s">
        <v>296</v>
      </c>
      <c r="G10464" s="200" t="s">
        <v>1983</v>
      </c>
      <c r="H10464" s="200" t="s">
        <v>429</v>
      </c>
    </row>
    <row r="10465" spans="1:8" ht="15" customHeight="1">
      <c r="A10465" s="199">
        <v>45790</v>
      </c>
      <c r="B10465" s="202" t="s">
        <v>7737</v>
      </c>
      <c r="C10465" s="200" t="s">
        <v>204</v>
      </c>
      <c r="D10465" s="765">
        <v>-754810</v>
      </c>
      <c r="E10465" s="201">
        <v>45809</v>
      </c>
      <c r="F10465" s="200" t="s">
        <v>296</v>
      </c>
      <c r="G10465" s="200" t="s">
        <v>1983</v>
      </c>
      <c r="H10465" s="200" t="s">
        <v>429</v>
      </c>
    </row>
    <row r="10466" spans="1:8" ht="15" customHeight="1">
      <c r="A10466" s="199">
        <v>45790</v>
      </c>
      <c r="B10466" s="202" t="s">
        <v>7738</v>
      </c>
      <c r="C10466" s="200" t="s">
        <v>204</v>
      </c>
      <c r="D10466" s="765">
        <v>-754810</v>
      </c>
      <c r="E10466" s="201">
        <v>45809</v>
      </c>
      <c r="F10466" s="200" t="s">
        <v>296</v>
      </c>
      <c r="G10466" s="200" t="s">
        <v>1983</v>
      </c>
      <c r="H10466" s="200" t="s">
        <v>429</v>
      </c>
    </row>
    <row r="10467" spans="1:8" ht="15" customHeight="1">
      <c r="A10467" s="199">
        <v>45790</v>
      </c>
      <c r="B10467" s="202" t="s">
        <v>7739</v>
      </c>
      <c r="C10467" s="200" t="s">
        <v>204</v>
      </c>
      <c r="D10467" s="765">
        <v>-754810</v>
      </c>
      <c r="E10467" s="201">
        <v>45809</v>
      </c>
      <c r="F10467" s="200" t="s">
        <v>296</v>
      </c>
      <c r="G10467" s="200" t="s">
        <v>1983</v>
      </c>
      <c r="H10467" s="200" t="s">
        <v>429</v>
      </c>
    </row>
    <row r="10468" spans="1:8" ht="15" customHeight="1">
      <c r="A10468" s="199">
        <v>45790</v>
      </c>
      <c r="B10468" s="202" t="s">
        <v>7740</v>
      </c>
      <c r="C10468" s="200" t="s">
        <v>204</v>
      </c>
      <c r="D10468" s="765">
        <v>-754810</v>
      </c>
      <c r="E10468" s="201">
        <v>45809</v>
      </c>
      <c r="F10468" s="200" t="s">
        <v>296</v>
      </c>
      <c r="G10468" s="200" t="s">
        <v>1983</v>
      </c>
      <c r="H10468" s="200" t="s">
        <v>429</v>
      </c>
    </row>
    <row r="10469" spans="1:8" ht="15" customHeight="1">
      <c r="A10469" s="199">
        <v>45790</v>
      </c>
      <c r="B10469" s="202" t="s">
        <v>7741</v>
      </c>
      <c r="C10469" s="200" t="s">
        <v>204</v>
      </c>
      <c r="D10469" s="765">
        <v>-754810</v>
      </c>
      <c r="E10469" s="201">
        <v>45809</v>
      </c>
      <c r="F10469" s="200" t="s">
        <v>296</v>
      </c>
      <c r="G10469" s="200" t="s">
        <v>1983</v>
      </c>
      <c r="H10469" s="200" t="s">
        <v>429</v>
      </c>
    </row>
    <row r="10470" spans="1:8" ht="15" customHeight="1">
      <c r="A10470" s="199">
        <v>45790</v>
      </c>
      <c r="B10470" s="202" t="s">
        <v>7742</v>
      </c>
      <c r="C10470" s="200" t="s">
        <v>204</v>
      </c>
      <c r="D10470" s="765">
        <v>-754810</v>
      </c>
      <c r="E10470" s="201">
        <v>45809</v>
      </c>
      <c r="F10470" s="200" t="s">
        <v>296</v>
      </c>
      <c r="G10470" s="200" t="s">
        <v>1983</v>
      </c>
      <c r="H10470" s="200" t="s">
        <v>429</v>
      </c>
    </row>
    <row r="10471" spans="1:8" ht="15" customHeight="1">
      <c r="A10471" s="199">
        <v>45790</v>
      </c>
      <c r="B10471" s="202" t="s">
        <v>7743</v>
      </c>
      <c r="C10471" s="200" t="s">
        <v>204</v>
      </c>
      <c r="D10471" s="765">
        <v>-754810</v>
      </c>
      <c r="E10471" s="201">
        <v>45809</v>
      </c>
      <c r="F10471" s="200" t="s">
        <v>296</v>
      </c>
      <c r="G10471" s="200" t="s">
        <v>1983</v>
      </c>
      <c r="H10471" s="200" t="s">
        <v>429</v>
      </c>
    </row>
    <row r="10472" spans="1:8" ht="15" customHeight="1">
      <c r="A10472" s="199">
        <v>45790</v>
      </c>
      <c r="B10472" s="202" t="s">
        <v>7744</v>
      </c>
      <c r="C10472" s="200" t="s">
        <v>204</v>
      </c>
      <c r="D10472" s="765">
        <v>-754810</v>
      </c>
      <c r="E10472" s="201">
        <v>45809</v>
      </c>
      <c r="F10472" s="200" t="s">
        <v>296</v>
      </c>
      <c r="G10472" s="200" t="s">
        <v>1983</v>
      </c>
      <c r="H10472" s="200" t="s">
        <v>429</v>
      </c>
    </row>
    <row r="10473" spans="1:8" ht="15" customHeight="1">
      <c r="A10473" s="199">
        <v>45790</v>
      </c>
      <c r="B10473" s="202" t="s">
        <v>7745</v>
      </c>
      <c r="C10473" s="200" t="s">
        <v>204</v>
      </c>
      <c r="D10473" s="765">
        <v>-754810</v>
      </c>
      <c r="E10473" s="201">
        <v>45809</v>
      </c>
      <c r="F10473" s="200" t="s">
        <v>296</v>
      </c>
      <c r="G10473" s="200" t="s">
        <v>1983</v>
      </c>
      <c r="H10473" s="200" t="s">
        <v>429</v>
      </c>
    </row>
    <row r="10474" spans="1:8" ht="15" customHeight="1">
      <c r="A10474" s="199">
        <v>45790</v>
      </c>
      <c r="B10474" s="202" t="s">
        <v>7746</v>
      </c>
      <c r="C10474" s="200" t="s">
        <v>204</v>
      </c>
      <c r="D10474" s="765">
        <v>-754810</v>
      </c>
      <c r="E10474" s="201">
        <v>45809</v>
      </c>
      <c r="F10474" s="200" t="s">
        <v>296</v>
      </c>
      <c r="G10474" s="200" t="s">
        <v>1983</v>
      </c>
      <c r="H10474" s="200" t="s">
        <v>429</v>
      </c>
    </row>
    <row r="10475" spans="1:8" ht="15" customHeight="1">
      <c r="A10475" s="199">
        <v>45790</v>
      </c>
      <c r="B10475" s="202" t="s">
        <v>7747</v>
      </c>
      <c r="C10475" s="200" t="s">
        <v>204</v>
      </c>
      <c r="D10475" s="765">
        <v>-815807.5</v>
      </c>
      <c r="E10475" s="201">
        <v>45809</v>
      </c>
      <c r="F10475" s="200" t="s">
        <v>296</v>
      </c>
      <c r="G10475" s="200" t="s">
        <v>807</v>
      </c>
      <c r="H10475" s="200" t="s">
        <v>429</v>
      </c>
    </row>
    <row r="10476" spans="1:8" ht="15" customHeight="1">
      <c r="A10476" s="199">
        <v>45790</v>
      </c>
      <c r="B10476" s="202" t="s">
        <v>7748</v>
      </c>
      <c r="C10476" s="200" t="s">
        <v>204</v>
      </c>
      <c r="D10476" s="765">
        <v>-557600</v>
      </c>
      <c r="E10476" s="201">
        <v>45809</v>
      </c>
      <c r="F10476" s="200" t="s">
        <v>296</v>
      </c>
      <c r="G10476" s="200" t="s">
        <v>807</v>
      </c>
      <c r="H10476" s="200" t="s">
        <v>429</v>
      </c>
    </row>
    <row r="10477" spans="1:8" ht="15" customHeight="1">
      <c r="A10477" s="199">
        <v>45790</v>
      </c>
      <c r="B10477" s="202" t="s">
        <v>7749</v>
      </c>
      <c r="C10477" s="200" t="s">
        <v>204</v>
      </c>
      <c r="D10477" s="765">
        <v>-889515</v>
      </c>
      <c r="E10477" s="201">
        <v>45809</v>
      </c>
      <c r="F10477" s="200" t="s">
        <v>296</v>
      </c>
      <c r="G10477" s="200" t="s">
        <v>807</v>
      </c>
      <c r="H10477" s="200" t="s">
        <v>429</v>
      </c>
    </row>
    <row r="10478" spans="1:8" ht="15" customHeight="1">
      <c r="A10478" s="199">
        <v>45790</v>
      </c>
      <c r="B10478" s="202" t="s">
        <v>7750</v>
      </c>
      <c r="C10478" s="200" t="s">
        <v>204</v>
      </c>
      <c r="D10478" s="765">
        <v>-1250000</v>
      </c>
      <c r="E10478" s="201">
        <v>45809</v>
      </c>
      <c r="F10478" s="200" t="s">
        <v>296</v>
      </c>
      <c r="G10478" s="200" t="s">
        <v>807</v>
      </c>
      <c r="H10478" s="200" t="s">
        <v>429</v>
      </c>
    </row>
    <row r="10479" spans="1:8" ht="15" customHeight="1">
      <c r="A10479" s="199">
        <v>45790</v>
      </c>
      <c r="B10479" s="202" t="s">
        <v>7751</v>
      </c>
      <c r="C10479" s="200" t="s">
        <v>204</v>
      </c>
      <c r="D10479" s="765">
        <v>-817841.83333333337</v>
      </c>
      <c r="E10479" s="201">
        <v>45809</v>
      </c>
      <c r="F10479" s="200" t="s">
        <v>296</v>
      </c>
      <c r="G10479" s="200" t="s">
        <v>807</v>
      </c>
      <c r="H10479" s="200" t="s">
        <v>429</v>
      </c>
    </row>
    <row r="10480" spans="1:8" ht="15" customHeight="1">
      <c r="A10480" s="199">
        <v>45790</v>
      </c>
      <c r="B10480" s="202" t="s">
        <v>7752</v>
      </c>
      <c r="C10480" s="200" t="s">
        <v>204</v>
      </c>
      <c r="D10480" s="765">
        <v>-921280</v>
      </c>
      <c r="E10480" s="201">
        <v>45809</v>
      </c>
      <c r="F10480" s="200" t="s">
        <v>296</v>
      </c>
      <c r="G10480" s="200" t="s">
        <v>807</v>
      </c>
      <c r="H10480" s="200" t="s">
        <v>429</v>
      </c>
    </row>
    <row r="10481" spans="1:8" ht="15" customHeight="1">
      <c r="A10481" s="199">
        <v>45790</v>
      </c>
      <c r="B10481" s="202" t="s">
        <v>7753</v>
      </c>
      <c r="C10481" s="200" t="s">
        <v>204</v>
      </c>
      <c r="D10481" s="765">
        <v>-882397.5</v>
      </c>
      <c r="E10481" s="201">
        <v>45809</v>
      </c>
      <c r="F10481" s="200" t="s">
        <v>296</v>
      </c>
      <c r="G10481" s="200" t="s">
        <v>807</v>
      </c>
      <c r="H10481" s="200" t="s">
        <v>429</v>
      </c>
    </row>
    <row r="10482" spans="1:8" ht="15" customHeight="1">
      <c r="A10482" s="199">
        <v>45790</v>
      </c>
      <c r="B10482" s="202" t="s">
        <v>7754</v>
      </c>
      <c r="C10482" s="200" t="s">
        <v>204</v>
      </c>
      <c r="D10482" s="765">
        <v>-506679.75</v>
      </c>
      <c r="E10482" s="201">
        <v>45809</v>
      </c>
      <c r="F10482" s="200" t="s">
        <v>296</v>
      </c>
      <c r="G10482" s="200" t="s">
        <v>807</v>
      </c>
      <c r="H10482" s="200" t="s">
        <v>429</v>
      </c>
    </row>
    <row r="10483" spans="1:8" ht="15" customHeight="1">
      <c r="A10483" s="199">
        <v>45790</v>
      </c>
      <c r="B10483" s="202" t="s">
        <v>7755</v>
      </c>
      <c r="C10483" s="200" t="s">
        <v>204</v>
      </c>
      <c r="D10483" s="765">
        <v>-1033500.0000000001</v>
      </c>
      <c r="E10483" s="201">
        <v>45809</v>
      </c>
      <c r="F10483" s="200" t="s">
        <v>296</v>
      </c>
      <c r="G10483" s="200" t="s">
        <v>807</v>
      </c>
      <c r="H10483" s="200" t="s">
        <v>429</v>
      </c>
    </row>
    <row r="10484" spans="1:8" ht="15" customHeight="1">
      <c r="A10484" s="199">
        <v>45790</v>
      </c>
      <c r="B10484" s="202" t="s">
        <v>7756</v>
      </c>
      <c r="C10484" s="200" t="s">
        <v>204</v>
      </c>
      <c r="D10484" s="765">
        <v>-861045</v>
      </c>
      <c r="E10484" s="201">
        <v>45809</v>
      </c>
      <c r="F10484" s="200" t="s">
        <v>296</v>
      </c>
      <c r="G10484" s="200" t="s">
        <v>807</v>
      </c>
      <c r="H10484" s="200" t="s">
        <v>429</v>
      </c>
    </row>
    <row r="10485" spans="1:8" ht="15" customHeight="1">
      <c r="A10485" s="199">
        <v>45790</v>
      </c>
      <c r="B10485" s="202" t="s">
        <v>7757</v>
      </c>
      <c r="C10485" s="200" t="s">
        <v>204</v>
      </c>
      <c r="D10485" s="765">
        <v>-882397.5</v>
      </c>
      <c r="E10485" s="201">
        <v>45809</v>
      </c>
      <c r="F10485" s="200" t="s">
        <v>296</v>
      </c>
      <c r="G10485" s="200" t="s">
        <v>807</v>
      </c>
      <c r="H10485" s="200" t="s">
        <v>429</v>
      </c>
    </row>
    <row r="10486" spans="1:8" ht="15" customHeight="1">
      <c r="A10486" s="199">
        <v>45790</v>
      </c>
      <c r="B10486" s="202" t="s">
        <v>7758</v>
      </c>
      <c r="C10486" s="200" t="s">
        <v>204</v>
      </c>
      <c r="D10486" s="765">
        <v>-868162.5</v>
      </c>
      <c r="E10486" s="201">
        <v>45809</v>
      </c>
      <c r="F10486" s="200" t="s">
        <v>296</v>
      </c>
      <c r="G10486" s="200" t="s">
        <v>807</v>
      </c>
      <c r="H10486" s="200" t="s">
        <v>429</v>
      </c>
    </row>
    <row r="10487" spans="1:8" ht="15" customHeight="1">
      <c r="A10487" s="199">
        <v>45790</v>
      </c>
      <c r="B10487" s="202" t="s">
        <v>7759</v>
      </c>
      <c r="C10487" s="200" t="s">
        <v>204</v>
      </c>
      <c r="D10487" s="765">
        <v>-506679.75</v>
      </c>
      <c r="E10487" s="201">
        <v>45809</v>
      </c>
      <c r="F10487" s="200" t="s">
        <v>296</v>
      </c>
      <c r="G10487" s="200" t="s">
        <v>807</v>
      </c>
      <c r="H10487" s="200" t="s">
        <v>429</v>
      </c>
    </row>
    <row r="10488" spans="1:8" ht="15" customHeight="1">
      <c r="A10488" s="199">
        <v>45790</v>
      </c>
      <c r="B10488" s="202" t="s">
        <v>7760</v>
      </c>
      <c r="C10488" s="200" t="s">
        <v>204</v>
      </c>
      <c r="D10488" s="765">
        <v>-264183.5</v>
      </c>
      <c r="E10488" s="201">
        <v>45809</v>
      </c>
      <c r="F10488" s="200" t="s">
        <v>296</v>
      </c>
      <c r="G10488" s="200" t="s">
        <v>807</v>
      </c>
      <c r="H10488" s="200" t="s">
        <v>429</v>
      </c>
    </row>
    <row r="10489" spans="1:8" ht="15" customHeight="1">
      <c r="A10489" s="199">
        <v>45790</v>
      </c>
      <c r="B10489" s="202" t="s">
        <v>7761</v>
      </c>
      <c r="C10489" s="200" t="s">
        <v>204</v>
      </c>
      <c r="D10489" s="765">
        <v>-882397.5</v>
      </c>
      <c r="E10489" s="201">
        <v>45809</v>
      </c>
      <c r="F10489" s="200" t="s">
        <v>296</v>
      </c>
      <c r="G10489" s="200" t="s">
        <v>807</v>
      </c>
      <c r="H10489" s="200" t="s">
        <v>429</v>
      </c>
    </row>
    <row r="10490" spans="1:8" ht="15" customHeight="1">
      <c r="A10490" s="199">
        <v>45790</v>
      </c>
      <c r="B10490" s="202" t="s">
        <v>7762</v>
      </c>
      <c r="C10490" s="200" t="s">
        <v>204</v>
      </c>
      <c r="D10490" s="765">
        <v>-882397.5</v>
      </c>
      <c r="E10490" s="201">
        <v>45809</v>
      </c>
      <c r="F10490" s="200" t="s">
        <v>296</v>
      </c>
      <c r="G10490" s="200" t="s">
        <v>807</v>
      </c>
      <c r="H10490" s="200" t="s">
        <v>429</v>
      </c>
    </row>
    <row r="10491" spans="1:8" ht="15" customHeight="1">
      <c r="A10491" s="199">
        <v>45790</v>
      </c>
      <c r="B10491" s="202" t="s">
        <v>7763</v>
      </c>
      <c r="C10491" s="200" t="s">
        <v>204</v>
      </c>
      <c r="D10491" s="765">
        <v>-846810</v>
      </c>
      <c r="E10491" s="201">
        <v>45809</v>
      </c>
      <c r="F10491" s="200" t="s">
        <v>296</v>
      </c>
      <c r="G10491" s="200" t="s">
        <v>807</v>
      </c>
      <c r="H10491" s="200" t="s">
        <v>429</v>
      </c>
    </row>
    <row r="10492" spans="1:8" ht="15" customHeight="1">
      <c r="A10492" s="199">
        <v>45790</v>
      </c>
      <c r="B10492" s="202" t="s">
        <v>7764</v>
      </c>
      <c r="C10492" s="200" t="s">
        <v>204</v>
      </c>
      <c r="D10492" s="765">
        <v>-868162.5</v>
      </c>
      <c r="E10492" s="201">
        <v>45809</v>
      </c>
      <c r="F10492" s="200" t="s">
        <v>296</v>
      </c>
      <c r="G10492" s="200" t="s">
        <v>807</v>
      </c>
      <c r="H10492" s="200" t="s">
        <v>429</v>
      </c>
    </row>
    <row r="10493" spans="1:8" ht="15" customHeight="1">
      <c r="A10493" s="199">
        <v>45790</v>
      </c>
      <c r="B10493" s="202" t="s">
        <v>7765</v>
      </c>
      <c r="C10493" s="200" t="s">
        <v>204</v>
      </c>
      <c r="D10493" s="765">
        <v>-875280</v>
      </c>
      <c r="E10493" s="201">
        <v>45809</v>
      </c>
      <c r="F10493" s="200" t="s">
        <v>296</v>
      </c>
      <c r="G10493" s="200" t="s">
        <v>807</v>
      </c>
      <c r="H10493" s="200" t="s">
        <v>429</v>
      </c>
    </row>
    <row r="10494" spans="1:8" ht="15" customHeight="1">
      <c r="A10494" s="199">
        <v>45790</v>
      </c>
      <c r="B10494" s="202" t="s">
        <v>7766</v>
      </c>
      <c r="C10494" s="200" t="s">
        <v>204</v>
      </c>
      <c r="D10494" s="765">
        <v>-654810</v>
      </c>
      <c r="E10494" s="201">
        <v>45809</v>
      </c>
      <c r="F10494" s="200" t="s">
        <v>296</v>
      </c>
      <c r="G10494" s="200" t="s">
        <v>807</v>
      </c>
      <c r="H10494" s="200" t="s">
        <v>429</v>
      </c>
    </row>
    <row r="10495" spans="1:8" ht="15" customHeight="1">
      <c r="A10495" s="199">
        <v>45790</v>
      </c>
      <c r="B10495" s="202" t="s">
        <v>7767</v>
      </c>
      <c r="C10495" s="200" t="s">
        <v>204</v>
      </c>
      <c r="D10495" s="765">
        <v>-868162.5</v>
      </c>
      <c r="E10495" s="201">
        <v>45809</v>
      </c>
      <c r="F10495" s="200" t="s">
        <v>296</v>
      </c>
      <c r="G10495" s="200" t="s">
        <v>807</v>
      </c>
      <c r="H10495" s="200" t="s">
        <v>429</v>
      </c>
    </row>
    <row r="10496" spans="1:8" ht="15" customHeight="1">
      <c r="A10496" s="199">
        <v>45790</v>
      </c>
      <c r="B10496" s="202" t="s">
        <v>7768</v>
      </c>
      <c r="C10496" s="200" t="s">
        <v>204</v>
      </c>
      <c r="D10496" s="765">
        <v>-882397.5</v>
      </c>
      <c r="E10496" s="201">
        <v>45809</v>
      </c>
      <c r="F10496" s="200" t="s">
        <v>296</v>
      </c>
      <c r="G10496" s="200" t="s">
        <v>807</v>
      </c>
      <c r="H10496" s="200" t="s">
        <v>429</v>
      </c>
    </row>
    <row r="10497" spans="1:8" ht="15" customHeight="1">
      <c r="A10497" s="199">
        <v>45790</v>
      </c>
      <c r="B10497" s="202" t="s">
        <v>7769</v>
      </c>
      <c r="C10497" s="200" t="s">
        <v>204</v>
      </c>
      <c r="D10497" s="765">
        <v>-861045</v>
      </c>
      <c r="E10497" s="201">
        <v>45809</v>
      </c>
      <c r="F10497" s="200" t="s">
        <v>296</v>
      </c>
      <c r="G10497" s="200" t="s">
        <v>807</v>
      </c>
      <c r="H10497" s="200" t="s">
        <v>429</v>
      </c>
    </row>
    <row r="10498" spans="1:8" ht="15" customHeight="1">
      <c r="A10498" s="199">
        <v>45790</v>
      </c>
      <c r="B10498" s="202" t="s">
        <v>7770</v>
      </c>
      <c r="C10498" s="200" t="s">
        <v>204</v>
      </c>
      <c r="D10498" s="765">
        <v>-928397.5</v>
      </c>
      <c r="E10498" s="201">
        <v>45809</v>
      </c>
      <c r="F10498" s="200" t="s">
        <v>296</v>
      </c>
      <c r="G10498" s="200" t="s">
        <v>807</v>
      </c>
      <c r="H10498" s="200" t="s">
        <v>429</v>
      </c>
    </row>
    <row r="10499" spans="1:8" ht="15" customHeight="1">
      <c r="A10499" s="199">
        <v>45790</v>
      </c>
      <c r="B10499" s="202" t="s">
        <v>7771</v>
      </c>
      <c r="C10499" s="200" t="s">
        <v>204</v>
      </c>
      <c r="D10499" s="765">
        <v>-882397.5</v>
      </c>
      <c r="E10499" s="201">
        <v>45809</v>
      </c>
      <c r="F10499" s="200" t="s">
        <v>296</v>
      </c>
      <c r="G10499" s="200" t="s">
        <v>807</v>
      </c>
      <c r="H10499" s="200" t="s">
        <v>429</v>
      </c>
    </row>
    <row r="10500" spans="1:8" ht="15" customHeight="1">
      <c r="A10500" s="199">
        <v>45790</v>
      </c>
      <c r="B10500" s="202" t="s">
        <v>7772</v>
      </c>
      <c r="C10500" s="200" t="s">
        <v>204</v>
      </c>
      <c r="D10500" s="765">
        <v>-875280</v>
      </c>
      <c r="E10500" s="201">
        <v>45809</v>
      </c>
      <c r="F10500" s="200" t="s">
        <v>296</v>
      </c>
      <c r="G10500" s="200" t="s">
        <v>807</v>
      </c>
      <c r="H10500" s="200" t="s">
        <v>429</v>
      </c>
    </row>
    <row r="10501" spans="1:8" ht="15" customHeight="1">
      <c r="A10501" s="199">
        <v>45790</v>
      </c>
      <c r="B10501" s="202" t="s">
        <v>7773</v>
      </c>
      <c r="C10501" s="200" t="s">
        <v>204</v>
      </c>
      <c r="D10501" s="765">
        <v>-846810</v>
      </c>
      <c r="E10501" s="201">
        <v>45809</v>
      </c>
      <c r="F10501" s="200" t="s">
        <v>296</v>
      </c>
      <c r="G10501" s="200" t="s">
        <v>807</v>
      </c>
      <c r="H10501" s="200" t="s">
        <v>429</v>
      </c>
    </row>
    <row r="10502" spans="1:8" ht="15" customHeight="1">
      <c r="A10502" s="199">
        <v>45790</v>
      </c>
      <c r="B10502" s="202" t="s">
        <v>7774</v>
      </c>
      <c r="C10502" s="200" t="s">
        <v>204</v>
      </c>
      <c r="D10502" s="765">
        <v>-882397.5</v>
      </c>
      <c r="E10502" s="201">
        <v>45809</v>
      </c>
      <c r="F10502" s="200" t="s">
        <v>296</v>
      </c>
      <c r="G10502" s="200" t="s">
        <v>807</v>
      </c>
      <c r="H10502" s="200" t="s">
        <v>429</v>
      </c>
    </row>
    <row r="10503" spans="1:8" ht="15" customHeight="1">
      <c r="A10503" s="199">
        <v>45790</v>
      </c>
      <c r="B10503" s="202" t="s">
        <v>7775</v>
      </c>
      <c r="C10503" s="200" t="s">
        <v>204</v>
      </c>
      <c r="D10503" s="765">
        <v>-861045</v>
      </c>
      <c r="E10503" s="201">
        <v>45809</v>
      </c>
      <c r="F10503" s="200" t="s">
        <v>296</v>
      </c>
      <c r="G10503" s="200" t="s">
        <v>807</v>
      </c>
      <c r="H10503" s="200" t="s">
        <v>429</v>
      </c>
    </row>
    <row r="10504" spans="1:8" ht="15" customHeight="1">
      <c r="A10504" s="199">
        <v>45790</v>
      </c>
      <c r="B10504" s="202" t="s">
        <v>7776</v>
      </c>
      <c r="C10504" s="200" t="s">
        <v>204</v>
      </c>
      <c r="D10504" s="765">
        <v>-928000</v>
      </c>
      <c r="E10504" s="201">
        <v>45809</v>
      </c>
      <c r="F10504" s="200" t="s">
        <v>296</v>
      </c>
      <c r="G10504" s="200" t="s">
        <v>807</v>
      </c>
      <c r="H10504" s="200" t="s">
        <v>429</v>
      </c>
    </row>
    <row r="10505" spans="1:8" ht="15" customHeight="1">
      <c r="A10505" s="199">
        <v>45790</v>
      </c>
      <c r="B10505" s="202" t="s">
        <v>7777</v>
      </c>
      <c r="C10505" s="200" t="s">
        <v>204</v>
      </c>
      <c r="D10505" s="765">
        <v>-882397.5</v>
      </c>
      <c r="E10505" s="201">
        <v>45809</v>
      </c>
      <c r="F10505" s="200" t="s">
        <v>296</v>
      </c>
      <c r="G10505" s="200" t="s">
        <v>807</v>
      </c>
      <c r="H10505" s="200" t="s">
        <v>429</v>
      </c>
    </row>
    <row r="10506" spans="1:8" ht="15" customHeight="1">
      <c r="A10506" s="199">
        <v>45790</v>
      </c>
      <c r="B10506" s="202" t="s">
        <v>7778</v>
      </c>
      <c r="C10506" s="200" t="s">
        <v>204</v>
      </c>
      <c r="D10506" s="765">
        <v>-896632.49999999988</v>
      </c>
      <c r="E10506" s="201">
        <v>45809</v>
      </c>
      <c r="F10506" s="200" t="s">
        <v>296</v>
      </c>
      <c r="G10506" s="200" t="s">
        <v>807</v>
      </c>
      <c r="H10506" s="200" t="s">
        <v>429</v>
      </c>
    </row>
    <row r="10507" spans="1:8" ht="15" customHeight="1">
      <c r="A10507" s="199">
        <v>45790</v>
      </c>
      <c r="B10507" s="202" t="s">
        <v>7779</v>
      </c>
      <c r="C10507" s="200" t="s">
        <v>204</v>
      </c>
      <c r="D10507" s="765">
        <v>-847711.66666666663</v>
      </c>
      <c r="E10507" s="201">
        <v>45809</v>
      </c>
      <c r="F10507" s="200" t="s">
        <v>296</v>
      </c>
      <c r="G10507" s="200" t="s">
        <v>807</v>
      </c>
      <c r="H10507" s="200" t="s">
        <v>429</v>
      </c>
    </row>
    <row r="10508" spans="1:8" ht="15" customHeight="1">
      <c r="A10508" s="199">
        <v>45790</v>
      </c>
      <c r="B10508" s="202" t="s">
        <v>7780</v>
      </c>
      <c r="C10508" s="200" t="s">
        <v>204</v>
      </c>
      <c r="D10508" s="765">
        <v>-882397.5</v>
      </c>
      <c r="E10508" s="201">
        <v>45809</v>
      </c>
      <c r="F10508" s="200" t="s">
        <v>296</v>
      </c>
      <c r="G10508" s="200" t="s">
        <v>807</v>
      </c>
      <c r="H10508" s="200" t="s">
        <v>429</v>
      </c>
    </row>
    <row r="10509" spans="1:8" ht="15" customHeight="1">
      <c r="A10509" s="199">
        <v>45790</v>
      </c>
      <c r="B10509" s="202" t="s">
        <v>7781</v>
      </c>
      <c r="C10509" s="200" t="s">
        <v>204</v>
      </c>
      <c r="D10509" s="765">
        <v>-882397.5</v>
      </c>
      <c r="E10509" s="201">
        <v>45809</v>
      </c>
      <c r="F10509" s="200" t="s">
        <v>296</v>
      </c>
      <c r="G10509" s="200" t="s">
        <v>807</v>
      </c>
      <c r="H10509" s="200" t="s">
        <v>429</v>
      </c>
    </row>
    <row r="10510" spans="1:8" ht="15" customHeight="1">
      <c r="A10510" s="199">
        <v>45790</v>
      </c>
      <c r="B10510" s="202" t="s">
        <v>7747</v>
      </c>
      <c r="C10510" s="200" t="s">
        <v>204</v>
      </c>
      <c r="D10510" s="765">
        <v>-407903.75</v>
      </c>
      <c r="E10510" s="201">
        <v>45809</v>
      </c>
      <c r="F10510" s="200" t="s">
        <v>296</v>
      </c>
      <c r="G10510" s="200" t="s">
        <v>2418</v>
      </c>
      <c r="H10510" s="200" t="s">
        <v>342</v>
      </c>
    </row>
    <row r="10511" spans="1:8" ht="15" customHeight="1">
      <c r="A10511" s="199">
        <v>45790</v>
      </c>
      <c r="B10511" s="202" t="s">
        <v>7748</v>
      </c>
      <c r="C10511" s="200" t="s">
        <v>204</v>
      </c>
      <c r="D10511" s="765">
        <v>-278800</v>
      </c>
      <c r="E10511" s="201">
        <v>45809</v>
      </c>
      <c r="F10511" s="200" t="s">
        <v>296</v>
      </c>
      <c r="G10511" s="200" t="s">
        <v>2418</v>
      </c>
      <c r="H10511" s="200" t="s">
        <v>342</v>
      </c>
    </row>
    <row r="10512" spans="1:8" ht="15" customHeight="1">
      <c r="A10512" s="199">
        <v>45790</v>
      </c>
      <c r="B10512" s="202" t="s">
        <v>7754</v>
      </c>
      <c r="C10512" s="200" t="s">
        <v>204</v>
      </c>
      <c r="D10512" s="765">
        <v>-253339.875</v>
      </c>
      <c r="E10512" s="201">
        <v>45809</v>
      </c>
      <c r="F10512" s="200" t="s">
        <v>296</v>
      </c>
      <c r="G10512" s="200" t="s">
        <v>2418</v>
      </c>
      <c r="H10512" s="200" t="s">
        <v>342</v>
      </c>
    </row>
    <row r="10513" spans="1:8" ht="15" customHeight="1">
      <c r="A10513" s="199">
        <v>45790</v>
      </c>
      <c r="B10513" s="202" t="s">
        <v>7782</v>
      </c>
      <c r="C10513" s="200" t="s">
        <v>204</v>
      </c>
      <c r="D10513" s="765">
        <v>-1303837.5</v>
      </c>
      <c r="E10513" s="201">
        <v>45809</v>
      </c>
      <c r="F10513" s="200" t="s">
        <v>297</v>
      </c>
      <c r="G10513" s="200" t="s">
        <v>3892</v>
      </c>
      <c r="H10513" s="200" t="s">
        <v>342</v>
      </c>
    </row>
    <row r="10514" spans="1:8" ht="15" customHeight="1">
      <c r="A10514" s="199">
        <v>45790</v>
      </c>
      <c r="B10514" s="202" t="s">
        <v>7783</v>
      </c>
      <c r="C10514" s="200" t="s">
        <v>204</v>
      </c>
      <c r="D10514" s="765">
        <v>-872000</v>
      </c>
      <c r="E10514" s="201">
        <v>45809</v>
      </c>
      <c r="F10514" s="200" t="s">
        <v>297</v>
      </c>
      <c r="G10514" s="200" t="s">
        <v>3892</v>
      </c>
      <c r="H10514" s="200" t="s">
        <v>342</v>
      </c>
    </row>
    <row r="10515" spans="1:8" ht="15" customHeight="1">
      <c r="A10515" s="199">
        <v>45790</v>
      </c>
      <c r="B10515" s="202" t="s">
        <v>7784</v>
      </c>
      <c r="C10515" s="200" t="s">
        <v>204</v>
      </c>
      <c r="D10515" s="765">
        <v>-790810</v>
      </c>
      <c r="E10515" s="201">
        <v>45809</v>
      </c>
      <c r="F10515" s="200" t="s">
        <v>297</v>
      </c>
      <c r="G10515" s="200" t="s">
        <v>3892</v>
      </c>
      <c r="H10515" s="200" t="s">
        <v>342</v>
      </c>
    </row>
    <row r="10516" spans="1:8" ht="15" customHeight="1">
      <c r="A10516" s="199">
        <v>45790</v>
      </c>
      <c r="B10516" s="202" t="s">
        <v>7785</v>
      </c>
      <c r="C10516" s="200" t="s">
        <v>204</v>
      </c>
      <c r="D10516" s="765">
        <v>-786838.75000000012</v>
      </c>
      <c r="E10516" s="201">
        <v>45809</v>
      </c>
      <c r="F10516" s="200" t="s">
        <v>297</v>
      </c>
      <c r="G10516" s="200" t="s">
        <v>3892</v>
      </c>
      <c r="H10516" s="200" t="s">
        <v>342</v>
      </c>
    </row>
    <row r="10517" spans="1:8" ht="15" customHeight="1">
      <c r="A10517" s="199">
        <v>45790</v>
      </c>
      <c r="B10517" s="202" t="s">
        <v>7786</v>
      </c>
      <c r="C10517" s="200" t="s">
        <v>204</v>
      </c>
      <c r="D10517" s="765">
        <v>-853480</v>
      </c>
      <c r="E10517" s="201">
        <v>45809</v>
      </c>
      <c r="F10517" s="200" t="s">
        <v>296</v>
      </c>
      <c r="G10517" s="200" t="s">
        <v>5466</v>
      </c>
      <c r="H10517" s="200" t="s">
        <v>342</v>
      </c>
    </row>
    <row r="10518" spans="1:8" ht="15" customHeight="1">
      <c r="A10518" s="199">
        <v>45790</v>
      </c>
      <c r="B10518" s="202" t="s">
        <v>7787</v>
      </c>
      <c r="C10518" s="200" t="s">
        <v>204</v>
      </c>
      <c r="D10518" s="765">
        <v>-853480</v>
      </c>
      <c r="E10518" s="201">
        <v>45809</v>
      </c>
      <c r="F10518" s="200" t="s">
        <v>296</v>
      </c>
      <c r="G10518" s="200" t="s">
        <v>5466</v>
      </c>
      <c r="H10518" s="200" t="s">
        <v>342</v>
      </c>
    </row>
    <row r="10519" spans="1:8" ht="15" customHeight="1">
      <c r="A10519" s="199">
        <v>45790</v>
      </c>
      <c r="B10519" s="202" t="s">
        <v>7788</v>
      </c>
      <c r="C10519" s="200" t="s">
        <v>204</v>
      </c>
      <c r="D10519" s="765">
        <v>-1307500</v>
      </c>
      <c r="E10519" s="201">
        <v>45809</v>
      </c>
      <c r="F10519" s="200" t="s">
        <v>296</v>
      </c>
      <c r="G10519" s="200" t="s">
        <v>5466</v>
      </c>
      <c r="H10519" s="200" t="s">
        <v>342</v>
      </c>
    </row>
    <row r="10520" spans="1:8" ht="15" customHeight="1">
      <c r="A10520" s="199">
        <v>45790</v>
      </c>
      <c r="B10520" s="202" t="s">
        <v>7789</v>
      </c>
      <c r="C10520" s="200" t="s">
        <v>204</v>
      </c>
      <c r="D10520" s="765">
        <v>-853480</v>
      </c>
      <c r="E10520" s="201">
        <v>45809</v>
      </c>
      <c r="F10520" s="200" t="s">
        <v>296</v>
      </c>
      <c r="G10520" s="200" t="s">
        <v>5466</v>
      </c>
      <c r="H10520" s="200" t="s">
        <v>342</v>
      </c>
    </row>
    <row r="10521" spans="1:8" ht="15" customHeight="1">
      <c r="A10521" s="199">
        <v>45790</v>
      </c>
      <c r="B10521" s="202" t="s">
        <v>7747</v>
      </c>
      <c r="C10521" s="200" t="s">
        <v>204</v>
      </c>
      <c r="D10521" s="765">
        <v>-407903.75</v>
      </c>
      <c r="E10521" s="201">
        <v>45809</v>
      </c>
      <c r="F10521" s="200" t="s">
        <v>297</v>
      </c>
      <c r="G10521" s="200" t="s">
        <v>69</v>
      </c>
      <c r="H10521" s="200" t="s">
        <v>342</v>
      </c>
    </row>
    <row r="10522" spans="1:8" ht="15" customHeight="1">
      <c r="A10522" s="199">
        <v>45790</v>
      </c>
      <c r="B10522" s="202" t="s">
        <v>7748</v>
      </c>
      <c r="C10522" s="200" t="s">
        <v>204</v>
      </c>
      <c r="D10522" s="765">
        <v>-278800</v>
      </c>
      <c r="E10522" s="201">
        <v>45809</v>
      </c>
      <c r="F10522" s="200" t="s">
        <v>297</v>
      </c>
      <c r="G10522" s="200" t="s">
        <v>69</v>
      </c>
      <c r="H10522" s="200" t="s">
        <v>342</v>
      </c>
    </row>
    <row r="10523" spans="1:8" ht="15" customHeight="1">
      <c r="A10523" s="199">
        <v>45790</v>
      </c>
      <c r="B10523" s="202" t="s">
        <v>7754</v>
      </c>
      <c r="C10523" s="200" t="s">
        <v>204</v>
      </c>
      <c r="D10523" s="765">
        <v>-253339.875</v>
      </c>
      <c r="E10523" s="201">
        <v>45809</v>
      </c>
      <c r="F10523" s="200" t="s">
        <v>297</v>
      </c>
      <c r="G10523" s="200" t="s">
        <v>69</v>
      </c>
      <c r="H10523" s="200" t="s">
        <v>342</v>
      </c>
    </row>
    <row r="10524" spans="1:8" ht="15" customHeight="1">
      <c r="A10524" s="199">
        <v>45790</v>
      </c>
      <c r="B10524" s="202" t="s">
        <v>7790</v>
      </c>
      <c r="C10524" s="200" t="s">
        <v>204</v>
      </c>
      <c r="D10524" s="765">
        <v>-654168.66666666663</v>
      </c>
      <c r="E10524" s="201">
        <v>45809</v>
      </c>
      <c r="F10524" s="200" t="s">
        <v>297</v>
      </c>
      <c r="G10524" s="200" t="s">
        <v>71</v>
      </c>
      <c r="H10524" s="200" t="s">
        <v>342</v>
      </c>
    </row>
    <row r="10525" spans="1:8" ht="15" customHeight="1">
      <c r="A10525" s="199">
        <v>45790</v>
      </c>
      <c r="B10525" s="202" t="s">
        <v>7791</v>
      </c>
      <c r="C10525" s="200" t="s">
        <v>204</v>
      </c>
      <c r="D10525" s="765">
        <v>-1071024</v>
      </c>
      <c r="E10525" s="201">
        <v>45809</v>
      </c>
      <c r="F10525" s="200" t="s">
        <v>297</v>
      </c>
      <c r="G10525" s="200" t="s">
        <v>71</v>
      </c>
      <c r="H10525" s="200" t="s">
        <v>342</v>
      </c>
    </row>
    <row r="10526" spans="1:8" ht="15" customHeight="1">
      <c r="A10526" s="199">
        <v>45790</v>
      </c>
      <c r="B10526" s="202" t="s">
        <v>7792</v>
      </c>
      <c r="C10526" s="200" t="s">
        <v>204</v>
      </c>
      <c r="D10526" s="765">
        <v>-754810</v>
      </c>
      <c r="E10526" s="201">
        <v>45809</v>
      </c>
      <c r="F10526" s="200" t="s">
        <v>297</v>
      </c>
      <c r="G10526" s="200" t="s">
        <v>71</v>
      </c>
      <c r="H10526" s="200" t="s">
        <v>342</v>
      </c>
    </row>
    <row r="10527" spans="1:8" ht="15" customHeight="1">
      <c r="A10527" s="199">
        <v>45790</v>
      </c>
      <c r="B10527" s="202" t="s">
        <v>7793</v>
      </c>
      <c r="C10527" s="200" t="s">
        <v>204</v>
      </c>
      <c r="D10527" s="765">
        <v>-754810</v>
      </c>
      <c r="E10527" s="201">
        <v>45809</v>
      </c>
      <c r="F10527" s="200" t="s">
        <v>297</v>
      </c>
      <c r="G10527" s="200" t="s">
        <v>71</v>
      </c>
      <c r="H10527" s="200" t="s">
        <v>342</v>
      </c>
    </row>
    <row r="10528" spans="1:8" ht="15" customHeight="1">
      <c r="A10528" s="199">
        <v>45790</v>
      </c>
      <c r="B10528" s="202" t="s">
        <v>7794</v>
      </c>
      <c r="C10528" s="200" t="s">
        <v>204</v>
      </c>
      <c r="D10528" s="765">
        <v>-754810</v>
      </c>
      <c r="E10528" s="201">
        <v>45809</v>
      </c>
      <c r="F10528" s="200" t="s">
        <v>297</v>
      </c>
      <c r="G10528" s="200" t="s">
        <v>71</v>
      </c>
      <c r="H10528" s="200" t="s">
        <v>342</v>
      </c>
    </row>
    <row r="10529" spans="1:8" ht="15" customHeight="1">
      <c r="A10529" s="199">
        <v>45790</v>
      </c>
      <c r="B10529" s="202" t="s">
        <v>7759</v>
      </c>
      <c r="C10529" s="200" t="s">
        <v>204</v>
      </c>
      <c r="D10529" s="765">
        <v>-506679.75</v>
      </c>
      <c r="E10529" s="201">
        <v>45809</v>
      </c>
      <c r="F10529" s="200" t="s">
        <v>297</v>
      </c>
      <c r="G10529" s="200" t="s">
        <v>71</v>
      </c>
      <c r="H10529" s="200" t="s">
        <v>342</v>
      </c>
    </row>
    <row r="10530" spans="1:8" ht="15" customHeight="1">
      <c r="A10530" s="199">
        <v>45790</v>
      </c>
      <c r="B10530" s="202" t="s">
        <v>7795</v>
      </c>
      <c r="C10530" s="200" t="s">
        <v>204</v>
      </c>
      <c r="D10530" s="765">
        <v>-754810</v>
      </c>
      <c r="E10530" s="201">
        <v>45809</v>
      </c>
      <c r="F10530" s="200" t="s">
        <v>297</v>
      </c>
      <c r="G10530" s="200" t="s">
        <v>71</v>
      </c>
      <c r="H10530" s="200" t="s">
        <v>342</v>
      </c>
    </row>
    <row r="10531" spans="1:8" ht="15" customHeight="1">
      <c r="A10531" s="199">
        <v>45790</v>
      </c>
      <c r="B10531" s="202" t="s">
        <v>7760</v>
      </c>
      <c r="C10531" s="200" t="s">
        <v>204</v>
      </c>
      <c r="D10531" s="765">
        <v>-490626.5</v>
      </c>
      <c r="E10531" s="201">
        <v>45809</v>
      </c>
      <c r="F10531" s="200" t="s">
        <v>297</v>
      </c>
      <c r="G10531" s="200" t="s">
        <v>71</v>
      </c>
      <c r="H10531" s="200" t="s">
        <v>342</v>
      </c>
    </row>
    <row r="10532" spans="1:8" ht="15" customHeight="1">
      <c r="A10532" s="199">
        <v>45821</v>
      </c>
      <c r="B10532" s="202" t="s">
        <v>7796</v>
      </c>
      <c r="C10532" s="200" t="s">
        <v>136</v>
      </c>
      <c r="D10532" s="658">
        <v>-1680583</v>
      </c>
      <c r="E10532" s="201">
        <v>45809</v>
      </c>
      <c r="F10532" s="200" t="s">
        <v>296</v>
      </c>
      <c r="G10532" s="200" t="s">
        <v>2418</v>
      </c>
      <c r="H10532" s="200" t="s">
        <v>839</v>
      </c>
    </row>
    <row r="10533" spans="1:8" ht="15" customHeight="1">
      <c r="A10533" s="199">
        <v>45821</v>
      </c>
      <c r="B10533" s="202" t="s">
        <v>7797</v>
      </c>
      <c r="C10533" s="200" t="s">
        <v>372</v>
      </c>
      <c r="D10533" s="204">
        <v>-43092</v>
      </c>
      <c r="E10533" s="201">
        <v>45809</v>
      </c>
      <c r="F10533" s="200" t="s">
        <v>296</v>
      </c>
      <c r="G10533" s="200" t="s">
        <v>2418</v>
      </c>
      <c r="H10533" s="200" t="s">
        <v>839</v>
      </c>
    </row>
    <row r="10534" spans="1:8" ht="15" customHeight="1">
      <c r="A10534" s="199">
        <v>45826</v>
      </c>
      <c r="B10534" s="202" t="s">
        <v>4736</v>
      </c>
      <c r="C10534" s="200" t="s">
        <v>136</v>
      </c>
      <c r="D10534" s="658">
        <v>-113670</v>
      </c>
      <c r="E10534" s="201">
        <v>45809</v>
      </c>
      <c r="F10534" s="200" t="s">
        <v>256</v>
      </c>
      <c r="G10534" s="200" t="s">
        <v>256</v>
      </c>
      <c r="H10534" s="200" t="s">
        <v>265</v>
      </c>
    </row>
    <row r="10535" spans="1:8" ht="15" customHeight="1">
      <c r="A10535" s="199">
        <v>45826</v>
      </c>
      <c r="B10535" s="202" t="s">
        <v>7798</v>
      </c>
      <c r="C10535" s="200" t="s">
        <v>136</v>
      </c>
      <c r="D10535" s="658">
        <v>-19600</v>
      </c>
      <c r="E10535" s="201">
        <v>45809</v>
      </c>
      <c r="F10535" s="200" t="s">
        <v>256</v>
      </c>
      <c r="G10535" s="200" t="s">
        <v>256</v>
      </c>
      <c r="H10535" s="200" t="s">
        <v>265</v>
      </c>
    </row>
    <row r="10536" spans="1:8" ht="15" customHeight="1">
      <c r="A10536" s="199">
        <v>45826</v>
      </c>
      <c r="B10536" s="202" t="s">
        <v>7799</v>
      </c>
      <c r="C10536" s="200" t="s">
        <v>136</v>
      </c>
      <c r="D10536" s="658">
        <v>-721159</v>
      </c>
      <c r="E10536" s="201">
        <v>45809</v>
      </c>
      <c r="F10536" s="200" t="s">
        <v>256</v>
      </c>
      <c r="G10536" s="200" t="s">
        <v>256</v>
      </c>
      <c r="H10536" s="200" t="s">
        <v>263</v>
      </c>
    </row>
    <row r="10537" spans="1:8" ht="15" customHeight="1">
      <c r="A10537" s="199">
        <v>45826</v>
      </c>
      <c r="B10537" s="202" t="s">
        <v>7166</v>
      </c>
      <c r="C10537" s="200" t="s">
        <v>136</v>
      </c>
      <c r="D10537" s="658">
        <v>-29750</v>
      </c>
      <c r="E10537" s="201">
        <v>45809</v>
      </c>
      <c r="F10537" s="200" t="s">
        <v>296</v>
      </c>
      <c r="G10537" s="200" t="s">
        <v>2418</v>
      </c>
      <c r="H10537" s="531" t="s">
        <v>386</v>
      </c>
    </row>
    <row r="10538" spans="1:8" ht="15" customHeight="1">
      <c r="A10538" s="199">
        <v>45826</v>
      </c>
      <c r="B10538" s="202" t="s">
        <v>7800</v>
      </c>
      <c r="C10538" s="200" t="s">
        <v>136</v>
      </c>
      <c r="D10538" s="658">
        <v>-691700</v>
      </c>
      <c r="E10538" s="201">
        <v>45809</v>
      </c>
      <c r="F10538" s="200" t="s">
        <v>256</v>
      </c>
      <c r="G10538" s="200" t="s">
        <v>256</v>
      </c>
      <c r="H10538" s="200" t="s">
        <v>269</v>
      </c>
    </row>
    <row r="10539" spans="1:8" ht="15" customHeight="1">
      <c r="A10539" s="199">
        <v>45826</v>
      </c>
      <c r="B10539" s="202" t="s">
        <v>7801</v>
      </c>
      <c r="C10539" s="200" t="s">
        <v>136</v>
      </c>
      <c r="D10539" s="658">
        <v>-504150</v>
      </c>
      <c r="E10539" s="201">
        <v>45809</v>
      </c>
      <c r="F10539" s="200" t="s">
        <v>296</v>
      </c>
      <c r="G10539" s="200" t="s">
        <v>57</v>
      </c>
      <c r="H10539" s="200" t="s">
        <v>97</v>
      </c>
    </row>
    <row r="10540" spans="1:8" ht="15" customHeight="1">
      <c r="A10540" s="199">
        <v>45826</v>
      </c>
      <c r="B10540" s="202" t="s">
        <v>7802</v>
      </c>
      <c r="C10540" s="200" t="s">
        <v>136</v>
      </c>
      <c r="D10540" s="658">
        <v>-81900</v>
      </c>
      <c r="E10540" s="201">
        <v>45809</v>
      </c>
      <c r="F10540" s="200" t="s">
        <v>256</v>
      </c>
      <c r="G10540" s="200" t="s">
        <v>256</v>
      </c>
      <c r="H10540" s="200" t="s">
        <v>267</v>
      </c>
    </row>
    <row r="10541" spans="1:8" ht="15" customHeight="1">
      <c r="A10541" s="199">
        <v>45827</v>
      </c>
      <c r="B10541" s="202" t="s">
        <v>7803</v>
      </c>
      <c r="C10541" s="200" t="s">
        <v>136</v>
      </c>
      <c r="D10541" s="658">
        <v>-3110400</v>
      </c>
      <c r="E10541" s="201">
        <v>45809</v>
      </c>
      <c r="F10541" s="200" t="s">
        <v>296</v>
      </c>
      <c r="G10541" s="200" t="s">
        <v>57</v>
      </c>
      <c r="H10541" s="200" t="s">
        <v>96</v>
      </c>
    </row>
    <row r="10542" spans="1:8" ht="15" customHeight="1">
      <c r="A10542" s="199">
        <v>45827</v>
      </c>
      <c r="B10542" s="202" t="s">
        <v>7804</v>
      </c>
      <c r="C10542" s="200" t="s">
        <v>372</v>
      </c>
      <c r="D10542" s="204">
        <v>-316800</v>
      </c>
      <c r="E10542" s="201">
        <v>45809</v>
      </c>
      <c r="F10542" s="200" t="s">
        <v>296</v>
      </c>
      <c r="G10542" s="200" t="s">
        <v>57</v>
      </c>
      <c r="H10542" s="200" t="s">
        <v>96</v>
      </c>
    </row>
    <row r="10543" spans="1:8" ht="15" customHeight="1">
      <c r="A10543" s="199">
        <v>45827</v>
      </c>
      <c r="B10543" s="202" t="s">
        <v>7803</v>
      </c>
      <c r="C10543" s="200" t="s">
        <v>136</v>
      </c>
      <c r="D10543" s="658">
        <v>-3110400</v>
      </c>
      <c r="E10543" s="201">
        <v>45809</v>
      </c>
      <c r="F10543" s="200" t="s">
        <v>296</v>
      </c>
      <c r="G10543" s="200" t="s">
        <v>57</v>
      </c>
      <c r="H10543" s="200" t="s">
        <v>96</v>
      </c>
    </row>
    <row r="10544" spans="1:8" ht="15" customHeight="1">
      <c r="A10544" s="199">
        <v>45827</v>
      </c>
      <c r="B10544" s="202" t="s">
        <v>7804</v>
      </c>
      <c r="C10544" s="200" t="s">
        <v>372</v>
      </c>
      <c r="D10544" s="204">
        <v>-316800</v>
      </c>
      <c r="E10544" s="201">
        <v>45809</v>
      </c>
      <c r="F10544" s="200" t="s">
        <v>296</v>
      </c>
      <c r="G10544" s="200" t="s">
        <v>57</v>
      </c>
      <c r="H10544" s="200" t="s">
        <v>96</v>
      </c>
    </row>
    <row r="10545" spans="1:8" ht="15" customHeight="1">
      <c r="A10545" s="199">
        <v>45827</v>
      </c>
      <c r="B10545" s="202" t="s">
        <v>7805</v>
      </c>
      <c r="C10545" s="200" t="s">
        <v>136</v>
      </c>
      <c r="D10545" s="658">
        <v>-1728000</v>
      </c>
      <c r="E10545" s="201">
        <v>45809</v>
      </c>
      <c r="F10545" s="200" t="s">
        <v>296</v>
      </c>
      <c r="G10545" s="200" t="s">
        <v>57</v>
      </c>
      <c r="H10545" s="200" t="s">
        <v>96</v>
      </c>
    </row>
    <row r="10546" spans="1:8" ht="15" customHeight="1">
      <c r="A10546" s="199">
        <v>45827</v>
      </c>
      <c r="B10546" s="202" t="s">
        <v>7804</v>
      </c>
      <c r="C10546" s="200" t="s">
        <v>372</v>
      </c>
      <c r="D10546" s="204">
        <v>-176000</v>
      </c>
      <c r="E10546" s="201">
        <v>45809</v>
      </c>
      <c r="F10546" s="200" t="s">
        <v>296</v>
      </c>
      <c r="G10546" s="200" t="s">
        <v>57</v>
      </c>
      <c r="H10546" s="200" t="s">
        <v>96</v>
      </c>
    </row>
    <row r="10547" spans="1:8" ht="15" customHeight="1">
      <c r="A10547" s="199">
        <v>45827</v>
      </c>
      <c r="B10547" s="202" t="s">
        <v>7806</v>
      </c>
      <c r="C10547" s="200" t="s">
        <v>136</v>
      </c>
      <c r="D10547" s="658">
        <v>-156585</v>
      </c>
      <c r="E10547" s="201">
        <v>45809</v>
      </c>
      <c r="F10547" s="200" t="s">
        <v>296</v>
      </c>
      <c r="G10547" s="200" t="s">
        <v>57</v>
      </c>
      <c r="H10547" s="200" t="s">
        <v>98</v>
      </c>
    </row>
    <row r="10548" spans="1:8" ht="15" customHeight="1">
      <c r="A10548" s="199">
        <v>45827</v>
      </c>
      <c r="B10548" s="202" t="s">
        <v>7807</v>
      </c>
      <c r="C10548" s="200" t="s">
        <v>136</v>
      </c>
      <c r="D10548" s="658">
        <v>-156585</v>
      </c>
      <c r="E10548" s="201">
        <v>45809</v>
      </c>
      <c r="F10548" s="200" t="s">
        <v>296</v>
      </c>
      <c r="G10548" s="200" t="s">
        <v>57</v>
      </c>
      <c r="H10548" s="200" t="s">
        <v>98</v>
      </c>
    </row>
    <row r="10549" spans="1:8" ht="15" customHeight="1">
      <c r="A10549" s="199">
        <v>45827</v>
      </c>
      <c r="B10549" s="202" t="s">
        <v>7808</v>
      </c>
      <c r="C10549" s="200" t="s">
        <v>136</v>
      </c>
      <c r="D10549" s="658">
        <v>-156585</v>
      </c>
      <c r="E10549" s="201">
        <v>45809</v>
      </c>
      <c r="F10549" s="200" t="s">
        <v>296</v>
      </c>
      <c r="G10549" s="200" t="s">
        <v>57</v>
      </c>
      <c r="H10549" s="200" t="s">
        <v>98</v>
      </c>
    </row>
    <row r="10550" spans="1:8" ht="15" customHeight="1">
      <c r="A10550" s="199">
        <v>45821</v>
      </c>
      <c r="B10550" s="202" t="s">
        <v>6726</v>
      </c>
      <c r="C10550" s="200" t="s">
        <v>204</v>
      </c>
      <c r="D10550" s="765">
        <v>-418000</v>
      </c>
      <c r="E10550" s="201">
        <v>45809</v>
      </c>
      <c r="F10550" s="200" t="s">
        <v>296</v>
      </c>
      <c r="G10550" s="200" t="s">
        <v>522</v>
      </c>
      <c r="H10550" s="200" t="s">
        <v>1066</v>
      </c>
    </row>
    <row r="10551" spans="1:8" ht="15" customHeight="1">
      <c r="A10551" s="199">
        <v>45824</v>
      </c>
      <c r="B10551" s="202" t="s">
        <v>7809</v>
      </c>
      <c r="C10551" s="200" t="s">
        <v>204</v>
      </c>
      <c r="D10551" s="765">
        <v>-1430000</v>
      </c>
      <c r="E10551" s="201">
        <v>45809</v>
      </c>
      <c r="F10551" s="200" t="s">
        <v>2714</v>
      </c>
      <c r="G10551" s="200" t="s">
        <v>337</v>
      </c>
      <c r="H10551" s="200" t="s">
        <v>381</v>
      </c>
    </row>
    <row r="10552" spans="1:8" ht="15" customHeight="1">
      <c r="A10552" s="199">
        <v>45824</v>
      </c>
      <c r="B10552" s="202" t="s">
        <v>7810</v>
      </c>
      <c r="C10552" s="200" t="s">
        <v>204</v>
      </c>
      <c r="D10552" s="765">
        <v>-1430000</v>
      </c>
      <c r="E10552" s="201">
        <v>45809</v>
      </c>
      <c r="F10552" s="200" t="s">
        <v>2714</v>
      </c>
      <c r="G10552" s="200" t="s">
        <v>337</v>
      </c>
      <c r="H10552" s="200" t="s">
        <v>381</v>
      </c>
    </row>
    <row r="10553" spans="1:8" ht="15" customHeight="1">
      <c r="A10553" s="199">
        <v>45824</v>
      </c>
      <c r="B10553" s="202" t="s">
        <v>7811</v>
      </c>
      <c r="C10553" s="200" t="s">
        <v>204</v>
      </c>
      <c r="D10553" s="765">
        <v>-1430000</v>
      </c>
      <c r="E10553" s="201">
        <v>45809</v>
      </c>
      <c r="F10553" s="200" t="s">
        <v>296</v>
      </c>
      <c r="G10553" s="200" t="s">
        <v>44</v>
      </c>
      <c r="H10553" s="200" t="s">
        <v>381</v>
      </c>
    </row>
    <row r="10554" spans="1:8" ht="15" customHeight="1">
      <c r="A10554" s="199">
        <v>45824</v>
      </c>
      <c r="B10554" s="202" t="s">
        <v>7812</v>
      </c>
      <c r="C10554" s="200" t="s">
        <v>204</v>
      </c>
      <c r="D10554" s="765">
        <v>-1430000</v>
      </c>
      <c r="E10554" s="201">
        <v>45809</v>
      </c>
      <c r="F10554" s="200" t="s">
        <v>296</v>
      </c>
      <c r="G10554" s="200" t="s">
        <v>1825</v>
      </c>
      <c r="H10554" s="200" t="s">
        <v>381</v>
      </c>
    </row>
    <row r="10555" spans="1:8" ht="15" customHeight="1">
      <c r="A10555" s="199">
        <v>45824</v>
      </c>
      <c r="B10555" s="202" t="s">
        <v>7813</v>
      </c>
      <c r="C10555" s="200" t="s">
        <v>204</v>
      </c>
      <c r="D10555" s="765">
        <v>-544512</v>
      </c>
      <c r="E10555" s="201">
        <v>45809</v>
      </c>
      <c r="F10555" s="200" t="s">
        <v>296</v>
      </c>
      <c r="G10555" s="200" t="s">
        <v>1980</v>
      </c>
      <c r="H10555" s="200" t="s">
        <v>381</v>
      </c>
    </row>
    <row r="10556" spans="1:8" ht="15" customHeight="1">
      <c r="A10556" s="199">
        <v>45824</v>
      </c>
      <c r="B10556" s="202" t="s">
        <v>7813</v>
      </c>
      <c r="C10556" s="200" t="s">
        <v>204</v>
      </c>
      <c r="D10556" s="765">
        <v>-544512</v>
      </c>
      <c r="E10556" s="201">
        <v>45809</v>
      </c>
      <c r="F10556" s="200" t="s">
        <v>296</v>
      </c>
      <c r="G10556" s="200" t="s">
        <v>1983</v>
      </c>
      <c r="H10556" s="200" t="s">
        <v>381</v>
      </c>
    </row>
    <row r="10557" spans="1:8" ht="15" customHeight="1">
      <c r="A10557" s="199">
        <v>45824</v>
      </c>
      <c r="B10557" s="202" t="s">
        <v>7813</v>
      </c>
      <c r="C10557" s="200" t="s">
        <v>204</v>
      </c>
      <c r="D10557" s="765">
        <v>-1830400</v>
      </c>
      <c r="E10557" s="201">
        <v>45809</v>
      </c>
      <c r="F10557" s="200" t="s">
        <v>296</v>
      </c>
      <c r="G10557" s="200" t="s">
        <v>522</v>
      </c>
      <c r="H10557" s="200" t="s">
        <v>381</v>
      </c>
    </row>
    <row r="10558" spans="1:8" ht="15" customHeight="1">
      <c r="A10558" s="199">
        <v>45824</v>
      </c>
      <c r="B10558" s="202" t="s">
        <v>7814</v>
      </c>
      <c r="C10558" s="200" t="s">
        <v>204</v>
      </c>
      <c r="D10558" s="765">
        <v>-1830400</v>
      </c>
      <c r="E10558" s="201">
        <v>45809</v>
      </c>
      <c r="F10558" s="200" t="s">
        <v>296</v>
      </c>
      <c r="G10558" s="200" t="s">
        <v>807</v>
      </c>
      <c r="H10558" s="200" t="s">
        <v>381</v>
      </c>
    </row>
    <row r="10559" spans="1:8" ht="15" customHeight="1">
      <c r="A10559" s="199">
        <v>45824</v>
      </c>
      <c r="B10559" s="202" t="s">
        <v>7815</v>
      </c>
      <c r="C10559" s="200" t="s">
        <v>204</v>
      </c>
      <c r="D10559" s="765">
        <v>-1341353</v>
      </c>
      <c r="E10559" s="201">
        <v>45809</v>
      </c>
      <c r="F10559" s="200" t="s">
        <v>296</v>
      </c>
      <c r="G10559" s="200" t="s">
        <v>1980</v>
      </c>
      <c r="H10559" s="200" t="s">
        <v>381</v>
      </c>
    </row>
    <row r="10560" spans="1:8" ht="15" customHeight="1">
      <c r="A10560" s="199">
        <v>45824</v>
      </c>
      <c r="B10560" s="202" t="s">
        <v>7816</v>
      </c>
      <c r="C10560" s="200" t="s">
        <v>204</v>
      </c>
      <c r="D10560" s="765">
        <v>-915200</v>
      </c>
      <c r="E10560" s="201">
        <v>45809</v>
      </c>
      <c r="F10560" s="200" t="s">
        <v>296</v>
      </c>
      <c r="G10560" s="200" t="s">
        <v>1980</v>
      </c>
      <c r="H10560" s="200" t="s">
        <v>381</v>
      </c>
    </row>
    <row r="10561" spans="1:8" ht="15" customHeight="1">
      <c r="A10561" s="199">
        <v>45824</v>
      </c>
      <c r="B10561" s="202" t="s">
        <v>7816</v>
      </c>
      <c r="C10561" s="200" t="s">
        <v>204</v>
      </c>
      <c r="D10561" s="765">
        <v>-915200</v>
      </c>
      <c r="E10561" s="201">
        <v>45809</v>
      </c>
      <c r="F10561" s="200" t="s">
        <v>296</v>
      </c>
      <c r="G10561" s="200" t="s">
        <v>1983</v>
      </c>
      <c r="H10561" s="200" t="s">
        <v>381</v>
      </c>
    </row>
    <row r="10562" spans="1:8" ht="15" customHeight="1">
      <c r="A10562" s="199">
        <v>45824</v>
      </c>
      <c r="B10562" s="202" t="s">
        <v>7817</v>
      </c>
      <c r="C10562" s="200" t="s">
        <v>204</v>
      </c>
      <c r="D10562" s="765">
        <v>-451105</v>
      </c>
      <c r="E10562" s="201">
        <v>45809</v>
      </c>
      <c r="F10562" s="200" t="s">
        <v>2714</v>
      </c>
      <c r="G10562" s="200" t="s">
        <v>321</v>
      </c>
      <c r="H10562" s="200" t="s">
        <v>381</v>
      </c>
    </row>
    <row r="10563" spans="1:8" ht="15" customHeight="1">
      <c r="A10563" s="199">
        <v>45824</v>
      </c>
      <c r="B10563" s="202" t="s">
        <v>7817</v>
      </c>
      <c r="C10563" s="200" t="s">
        <v>204</v>
      </c>
      <c r="D10563" s="765">
        <v>-451105</v>
      </c>
      <c r="E10563" s="201">
        <v>45809</v>
      </c>
      <c r="F10563" s="200" t="s">
        <v>2714</v>
      </c>
      <c r="G10563" s="200" t="s">
        <v>337</v>
      </c>
      <c r="H10563" s="200" t="s">
        <v>381</v>
      </c>
    </row>
    <row r="10564" spans="1:8" ht="15" customHeight="1">
      <c r="A10564" s="199">
        <v>45824</v>
      </c>
      <c r="B10564" s="202" t="s">
        <v>7818</v>
      </c>
      <c r="C10564" s="200" t="s">
        <v>204</v>
      </c>
      <c r="D10564" s="765">
        <v>-902210</v>
      </c>
      <c r="E10564" s="201">
        <v>45809</v>
      </c>
      <c r="F10564" s="200" t="s">
        <v>296</v>
      </c>
      <c r="G10564" s="200" t="s">
        <v>44</v>
      </c>
      <c r="H10564" s="200" t="s">
        <v>381</v>
      </c>
    </row>
    <row r="10565" spans="1:8" ht="15" customHeight="1">
      <c r="A10565" s="199">
        <v>45824</v>
      </c>
      <c r="B10565" s="202" t="s">
        <v>7819</v>
      </c>
      <c r="C10565" s="200" t="s">
        <v>204</v>
      </c>
      <c r="D10565" s="765">
        <v>-1089025</v>
      </c>
      <c r="E10565" s="201">
        <v>45809</v>
      </c>
      <c r="F10565" s="200" t="s">
        <v>296</v>
      </c>
      <c r="G10565" s="200" t="s">
        <v>522</v>
      </c>
      <c r="H10565" s="200" t="s">
        <v>381</v>
      </c>
    </row>
    <row r="10566" spans="1:8" ht="15" customHeight="1">
      <c r="A10566" s="199">
        <v>45824</v>
      </c>
      <c r="B10566" s="202" t="s">
        <v>7820</v>
      </c>
      <c r="C10566" s="200" t="s">
        <v>204</v>
      </c>
      <c r="D10566" s="765">
        <v>-1073453</v>
      </c>
      <c r="E10566" s="201">
        <v>45809</v>
      </c>
      <c r="F10566" s="200" t="s">
        <v>2714</v>
      </c>
      <c r="G10566" s="200" t="s">
        <v>321</v>
      </c>
      <c r="H10566" s="200" t="s">
        <v>381</v>
      </c>
    </row>
    <row r="10567" spans="1:8" ht="15" customHeight="1">
      <c r="A10567" s="199">
        <v>45824</v>
      </c>
      <c r="B10567" s="202" t="s">
        <v>7821</v>
      </c>
      <c r="C10567" s="200" t="s">
        <v>204</v>
      </c>
      <c r="D10567" s="765">
        <v>-1073453</v>
      </c>
      <c r="E10567" s="201">
        <v>45809</v>
      </c>
      <c r="F10567" s="200" t="s">
        <v>296</v>
      </c>
      <c r="G10567" s="200" t="s">
        <v>44</v>
      </c>
      <c r="H10567" s="200" t="s">
        <v>381</v>
      </c>
    </row>
    <row r="10568" spans="1:8" ht="15" customHeight="1">
      <c r="A10568" s="199">
        <v>45824</v>
      </c>
      <c r="B10568" s="202" t="s">
        <v>7822</v>
      </c>
      <c r="C10568" s="200" t="s">
        <v>204</v>
      </c>
      <c r="D10568" s="765">
        <v>-1490188</v>
      </c>
      <c r="E10568" s="201">
        <v>45809</v>
      </c>
      <c r="F10568" s="200" t="s">
        <v>296</v>
      </c>
      <c r="G10568" s="200" t="s">
        <v>522</v>
      </c>
      <c r="H10568" s="200" t="s">
        <v>381</v>
      </c>
    </row>
    <row r="10569" spans="1:8" ht="15" customHeight="1">
      <c r="A10569" s="199">
        <v>45825</v>
      </c>
      <c r="B10569" s="202" t="s">
        <v>7823</v>
      </c>
      <c r="C10569" s="200" t="s">
        <v>204</v>
      </c>
      <c r="D10569" s="765">
        <v>-21900</v>
      </c>
      <c r="E10569" s="201">
        <v>45809</v>
      </c>
      <c r="F10569" s="200" t="s">
        <v>296</v>
      </c>
      <c r="G10569" s="200" t="s">
        <v>57</v>
      </c>
      <c r="H10569" s="200" t="s">
        <v>98</v>
      </c>
    </row>
    <row r="10570" spans="1:8" ht="15" customHeight="1">
      <c r="A10570" s="199">
        <v>45825</v>
      </c>
      <c r="B10570" s="202" t="s">
        <v>7824</v>
      </c>
      <c r="C10570" s="200" t="s">
        <v>204</v>
      </c>
      <c r="D10570" s="765">
        <v>-21900</v>
      </c>
      <c r="E10570" s="201">
        <v>45809</v>
      </c>
      <c r="F10570" s="200" t="s">
        <v>296</v>
      </c>
      <c r="G10570" s="200" t="s">
        <v>57</v>
      </c>
      <c r="H10570" s="200" t="s">
        <v>98</v>
      </c>
    </row>
    <row r="10571" spans="1:8" ht="15" customHeight="1">
      <c r="A10571" s="199">
        <v>45825</v>
      </c>
      <c r="B10571" s="202" t="s">
        <v>7825</v>
      </c>
      <c r="C10571" s="200" t="s">
        <v>204</v>
      </c>
      <c r="D10571" s="765">
        <v>-21900</v>
      </c>
      <c r="E10571" s="201">
        <v>45809</v>
      </c>
      <c r="F10571" s="200" t="s">
        <v>296</v>
      </c>
      <c r="G10571" s="200" t="s">
        <v>57</v>
      </c>
      <c r="H10571" s="200" t="s">
        <v>98</v>
      </c>
    </row>
    <row r="10572" spans="1:8" ht="15" customHeight="1">
      <c r="A10572" s="199">
        <v>45825</v>
      </c>
      <c r="B10572" s="202" t="s">
        <v>7826</v>
      </c>
      <c r="C10572" s="200" t="s">
        <v>204</v>
      </c>
      <c r="D10572" s="765">
        <v>-1955000</v>
      </c>
      <c r="E10572" s="201">
        <v>45809</v>
      </c>
      <c r="F10572" s="200" t="s">
        <v>256</v>
      </c>
      <c r="G10572" s="200" t="s">
        <v>107</v>
      </c>
      <c r="H10572" s="200" t="s">
        <v>116</v>
      </c>
    </row>
    <row r="10573" spans="1:8" ht="15" customHeight="1">
      <c r="A10573" s="199">
        <v>45825</v>
      </c>
      <c r="B10573" s="202" t="s">
        <v>7827</v>
      </c>
      <c r="C10573" s="200" t="s">
        <v>204</v>
      </c>
      <c r="D10573" s="765">
        <v>-2737000</v>
      </c>
      <c r="E10573" s="201">
        <v>45809</v>
      </c>
      <c r="F10573" s="200" t="s">
        <v>256</v>
      </c>
      <c r="G10573" s="200" t="s">
        <v>107</v>
      </c>
      <c r="H10573" s="200" t="s">
        <v>116</v>
      </c>
    </row>
    <row r="10574" spans="1:8" ht="15" customHeight="1">
      <c r="A10574" s="199">
        <v>45825</v>
      </c>
      <c r="B10574" s="202" t="s">
        <v>7828</v>
      </c>
      <c r="C10574" s="200" t="s">
        <v>204</v>
      </c>
      <c r="D10574" s="765">
        <v>-77200</v>
      </c>
      <c r="E10574" s="201">
        <v>45809</v>
      </c>
      <c r="F10574" s="200" t="s">
        <v>296</v>
      </c>
      <c r="G10574" s="200" t="s">
        <v>57</v>
      </c>
      <c r="H10574" s="200" t="s">
        <v>97</v>
      </c>
    </row>
    <row r="10575" spans="1:8" ht="15" customHeight="1">
      <c r="A10575" s="199">
        <v>45825</v>
      </c>
      <c r="B10575" s="202" t="s">
        <v>7829</v>
      </c>
      <c r="C10575" s="200" t="s">
        <v>204</v>
      </c>
      <c r="D10575" s="765">
        <v>-77200</v>
      </c>
      <c r="E10575" s="201">
        <v>45809</v>
      </c>
      <c r="F10575" s="200" t="s">
        <v>256</v>
      </c>
      <c r="G10575" s="200" t="s">
        <v>107</v>
      </c>
      <c r="H10575" s="200" t="s">
        <v>275</v>
      </c>
    </row>
    <row r="10576" spans="1:8" ht="15" customHeight="1">
      <c r="A10576" s="199">
        <v>45825</v>
      </c>
      <c r="B10576" s="202" t="s">
        <v>6010</v>
      </c>
      <c r="C10576" s="200" t="s">
        <v>204</v>
      </c>
      <c r="D10576" s="765">
        <v>-235600</v>
      </c>
      <c r="E10576" s="201">
        <v>45809</v>
      </c>
      <c r="F10576" s="200" t="s">
        <v>256</v>
      </c>
      <c r="G10576" s="200" t="s">
        <v>256</v>
      </c>
      <c r="H10576" s="200" t="s">
        <v>121</v>
      </c>
    </row>
    <row r="10577" spans="1:8" ht="15" customHeight="1">
      <c r="A10577" s="199">
        <v>45825</v>
      </c>
      <c r="B10577" s="202" t="s">
        <v>7830</v>
      </c>
      <c r="C10577" s="200" t="s">
        <v>204</v>
      </c>
      <c r="D10577" s="765">
        <v>-3474000</v>
      </c>
      <c r="E10577" s="201">
        <v>45809</v>
      </c>
      <c r="F10577" s="200" t="s">
        <v>256</v>
      </c>
      <c r="G10577" s="200" t="s">
        <v>256</v>
      </c>
      <c r="H10577" s="200" t="s">
        <v>257</v>
      </c>
    </row>
    <row r="10578" spans="1:8" ht="15" customHeight="1">
      <c r="A10578" s="199">
        <v>45825</v>
      </c>
      <c r="B10578" s="202" t="s">
        <v>7831</v>
      </c>
      <c r="C10578" s="200" t="s">
        <v>204</v>
      </c>
      <c r="D10578" s="765">
        <v>-99840</v>
      </c>
      <c r="E10578" s="201">
        <v>45809</v>
      </c>
      <c r="F10578" s="200" t="s">
        <v>296</v>
      </c>
      <c r="G10578" s="200" t="s">
        <v>1362</v>
      </c>
      <c r="H10578" s="200" t="s">
        <v>342</v>
      </c>
    </row>
    <row r="10579" spans="1:8" ht="15" customHeight="1">
      <c r="A10579" s="199">
        <v>45825</v>
      </c>
      <c r="B10579" s="202" t="s">
        <v>7832</v>
      </c>
      <c r="C10579" s="200" t="s">
        <v>372</v>
      </c>
      <c r="D10579" s="204">
        <v>-4160</v>
      </c>
      <c r="E10579" s="201">
        <v>45809</v>
      </c>
      <c r="F10579" s="200" t="s">
        <v>296</v>
      </c>
      <c r="G10579" s="200" t="s">
        <v>1362</v>
      </c>
      <c r="H10579" s="200" t="s">
        <v>342</v>
      </c>
    </row>
    <row r="10580" spans="1:8" ht="15" customHeight="1">
      <c r="A10580" s="199">
        <v>45825</v>
      </c>
      <c r="B10580" s="202" t="s">
        <v>7831</v>
      </c>
      <c r="C10580" s="200" t="s">
        <v>204</v>
      </c>
      <c r="D10580" s="765">
        <v>-99840</v>
      </c>
      <c r="E10580" s="201">
        <v>45809</v>
      </c>
      <c r="F10580" s="200" t="s">
        <v>296</v>
      </c>
      <c r="G10580" s="200" t="s">
        <v>1362</v>
      </c>
      <c r="H10580" s="200" t="s">
        <v>342</v>
      </c>
    </row>
    <row r="10581" spans="1:8" ht="15" customHeight="1">
      <c r="A10581" s="199">
        <v>45825</v>
      </c>
      <c r="B10581" s="202" t="s">
        <v>7832</v>
      </c>
      <c r="C10581" s="200" t="s">
        <v>372</v>
      </c>
      <c r="D10581" s="204">
        <v>-4160</v>
      </c>
      <c r="E10581" s="201">
        <v>45809</v>
      </c>
      <c r="F10581" s="200" t="s">
        <v>296</v>
      </c>
      <c r="G10581" s="200" t="s">
        <v>1362</v>
      </c>
      <c r="H10581" s="200" t="s">
        <v>342</v>
      </c>
    </row>
    <row r="10582" spans="1:8" ht="15" customHeight="1">
      <c r="A10582" s="199">
        <v>45825</v>
      </c>
      <c r="B10582" s="202" t="s">
        <v>7833</v>
      </c>
      <c r="C10582" s="200" t="s">
        <v>204</v>
      </c>
      <c r="D10582" s="765">
        <v>-718135</v>
      </c>
      <c r="E10582" s="201">
        <v>45809</v>
      </c>
      <c r="F10582" s="200" t="s">
        <v>296</v>
      </c>
      <c r="G10582" s="200" t="s">
        <v>5466</v>
      </c>
      <c r="H10582" s="200" t="s">
        <v>346</v>
      </c>
    </row>
    <row r="10583" spans="1:8" ht="15" customHeight="1">
      <c r="A10583" s="199">
        <v>45825</v>
      </c>
      <c r="B10583" s="202" t="s">
        <v>7834</v>
      </c>
      <c r="C10583" s="200" t="s">
        <v>372</v>
      </c>
      <c r="D10583" s="204">
        <v>-7254</v>
      </c>
      <c r="E10583" s="201">
        <v>45809</v>
      </c>
      <c r="F10583" s="200" t="s">
        <v>296</v>
      </c>
      <c r="G10583" s="200" t="s">
        <v>5466</v>
      </c>
      <c r="H10583" s="200" t="s">
        <v>346</v>
      </c>
    </row>
    <row r="10584" spans="1:8" ht="15" customHeight="1">
      <c r="A10584" s="199">
        <v>45825</v>
      </c>
      <c r="B10584" s="202" t="s">
        <v>7835</v>
      </c>
      <c r="C10584" s="200" t="s">
        <v>204</v>
      </c>
      <c r="D10584" s="765">
        <v>-640000</v>
      </c>
      <c r="E10584" s="201">
        <v>45809</v>
      </c>
      <c r="F10584" s="200" t="s">
        <v>256</v>
      </c>
      <c r="G10584" s="200" t="s">
        <v>256</v>
      </c>
      <c r="H10584" s="200" t="s">
        <v>267</v>
      </c>
    </row>
    <row r="10585" spans="1:8" ht="15" customHeight="1">
      <c r="A10585" s="199">
        <v>45825</v>
      </c>
      <c r="B10585" s="202" t="s">
        <v>7836</v>
      </c>
      <c r="C10585" s="200" t="s">
        <v>204</v>
      </c>
      <c r="D10585" s="765">
        <v>-2417575</v>
      </c>
      <c r="E10585" s="201">
        <v>45809</v>
      </c>
      <c r="F10585" s="200" t="s">
        <v>256</v>
      </c>
      <c r="G10585" s="200" t="s">
        <v>256</v>
      </c>
      <c r="H10585" s="200" t="s">
        <v>267</v>
      </c>
    </row>
    <row r="10586" spans="1:8" ht="15" customHeight="1">
      <c r="A10586" s="199">
        <v>45825</v>
      </c>
      <c r="B10586" s="202" t="s">
        <v>7837</v>
      </c>
      <c r="C10586" s="200" t="s">
        <v>372</v>
      </c>
      <c r="D10586" s="204">
        <v>-52148</v>
      </c>
      <c r="E10586" s="201">
        <v>45809</v>
      </c>
      <c r="F10586" s="200" t="s">
        <v>256</v>
      </c>
      <c r="G10586" s="200" t="s">
        <v>256</v>
      </c>
      <c r="H10586" s="200" t="s">
        <v>267</v>
      </c>
    </row>
    <row r="10587" spans="1:8" ht="15" customHeight="1">
      <c r="A10587" s="199">
        <v>45825</v>
      </c>
      <c r="B10587" s="202" t="s">
        <v>7838</v>
      </c>
      <c r="C10587" s="200" t="s">
        <v>372</v>
      </c>
      <c r="D10587" s="204">
        <v>-12515</v>
      </c>
      <c r="E10587" s="201">
        <v>45809</v>
      </c>
      <c r="F10587" s="200" t="s">
        <v>256</v>
      </c>
      <c r="G10587" s="200" t="s">
        <v>256</v>
      </c>
      <c r="H10587" s="200" t="s">
        <v>267</v>
      </c>
    </row>
    <row r="10588" spans="1:8" ht="15" customHeight="1">
      <c r="A10588" s="199">
        <v>45825</v>
      </c>
      <c r="B10588" s="202" t="s">
        <v>7836</v>
      </c>
      <c r="C10588" s="200" t="s">
        <v>204</v>
      </c>
      <c r="D10588" s="765">
        <v>-1560035</v>
      </c>
      <c r="E10588" s="201">
        <v>45809</v>
      </c>
      <c r="F10588" s="200" t="s">
        <v>256</v>
      </c>
      <c r="G10588" s="200" t="s">
        <v>256</v>
      </c>
      <c r="H10588" s="200" t="s">
        <v>267</v>
      </c>
    </row>
    <row r="10589" spans="1:8" ht="15" customHeight="1">
      <c r="A10589" s="199">
        <v>45825</v>
      </c>
      <c r="B10589" s="202" t="s">
        <v>7837</v>
      </c>
      <c r="C10589" s="200" t="s">
        <v>372</v>
      </c>
      <c r="D10589" s="204">
        <f>-33650</f>
        <v>-33650</v>
      </c>
      <c r="E10589" s="201">
        <v>45809</v>
      </c>
      <c r="F10589" s="200" t="s">
        <v>256</v>
      </c>
      <c r="G10589" s="200" t="s">
        <v>256</v>
      </c>
      <c r="H10589" s="200" t="s">
        <v>267</v>
      </c>
    </row>
    <row r="10590" spans="1:8" ht="15" customHeight="1">
      <c r="A10590" s="199">
        <v>45825</v>
      </c>
      <c r="B10590" s="202" t="s">
        <v>7838</v>
      </c>
      <c r="C10590" s="200" t="s">
        <v>372</v>
      </c>
      <c r="D10590" s="204">
        <v>-8076</v>
      </c>
      <c r="E10590" s="201">
        <v>45809</v>
      </c>
      <c r="F10590" s="200" t="s">
        <v>256</v>
      </c>
      <c r="G10590" s="200" t="s">
        <v>256</v>
      </c>
      <c r="H10590" s="200" t="s">
        <v>267</v>
      </c>
    </row>
    <row r="10591" spans="1:8" ht="15" customHeight="1">
      <c r="A10591" s="199">
        <v>45825</v>
      </c>
      <c r="B10591" s="202" t="s">
        <v>7839</v>
      </c>
      <c r="C10591" s="200" t="s">
        <v>204</v>
      </c>
      <c r="D10591" s="765">
        <v>-1051365</v>
      </c>
      <c r="E10591" s="201">
        <v>45809</v>
      </c>
      <c r="F10591" s="200" t="s">
        <v>296</v>
      </c>
      <c r="G10591" s="200" t="s">
        <v>1311</v>
      </c>
      <c r="H10591" s="200" t="s">
        <v>5389</v>
      </c>
    </row>
    <row r="10592" spans="1:8" ht="15" customHeight="1">
      <c r="A10592" s="199">
        <v>45825</v>
      </c>
      <c r="B10592" s="202" t="s">
        <v>7840</v>
      </c>
      <c r="C10592" s="200" t="s">
        <v>204</v>
      </c>
      <c r="D10592" s="765">
        <v>-495040</v>
      </c>
      <c r="E10592" s="201">
        <v>45809</v>
      </c>
      <c r="F10592" s="200" t="s">
        <v>297</v>
      </c>
      <c r="G10592" s="200" t="s">
        <v>71</v>
      </c>
      <c r="H10592" s="200" t="s">
        <v>5376</v>
      </c>
    </row>
    <row r="10593" spans="1:8" ht="15" customHeight="1">
      <c r="A10593" s="199">
        <v>45825</v>
      </c>
      <c r="B10593" s="202" t="s">
        <v>7841</v>
      </c>
      <c r="C10593" s="200" t="s">
        <v>204</v>
      </c>
      <c r="D10593" s="765">
        <v>-45699</v>
      </c>
      <c r="E10593" s="201">
        <v>45809</v>
      </c>
      <c r="F10593" s="200" t="s">
        <v>297</v>
      </c>
      <c r="G10593" s="200" t="s">
        <v>71</v>
      </c>
      <c r="H10593" s="200" t="s">
        <v>5384</v>
      </c>
    </row>
    <row r="10594" spans="1:8" ht="15" customHeight="1">
      <c r="A10594" s="199">
        <v>45825</v>
      </c>
      <c r="B10594" s="202" t="s">
        <v>7842</v>
      </c>
      <c r="C10594" s="200" t="s">
        <v>372</v>
      </c>
      <c r="D10594" s="204">
        <v>-681</v>
      </c>
      <c r="E10594" s="201">
        <v>45809</v>
      </c>
      <c r="F10594" s="200" t="s">
        <v>297</v>
      </c>
      <c r="G10594" s="200" t="s">
        <v>71</v>
      </c>
      <c r="H10594" s="200" t="s">
        <v>5384</v>
      </c>
    </row>
    <row r="10595" spans="1:8" ht="15" customHeight="1">
      <c r="A10595" s="199">
        <v>45825</v>
      </c>
      <c r="B10595" s="202" t="s">
        <v>7843</v>
      </c>
      <c r="C10595" s="200" t="s">
        <v>204</v>
      </c>
      <c r="D10595" s="765">
        <v>-237308</v>
      </c>
      <c r="E10595" s="201">
        <v>45809</v>
      </c>
      <c r="F10595" s="200" t="s">
        <v>297</v>
      </c>
      <c r="G10595" s="200" t="s">
        <v>69</v>
      </c>
      <c r="H10595" s="200" t="s">
        <v>5384</v>
      </c>
    </row>
    <row r="10596" spans="1:8" ht="15" customHeight="1">
      <c r="A10596" s="199">
        <v>45825</v>
      </c>
      <c r="B10596" s="202" t="s">
        <v>7844</v>
      </c>
      <c r="C10596" s="200" t="s">
        <v>372</v>
      </c>
      <c r="D10596" s="204">
        <v>-5092</v>
      </c>
      <c r="E10596" s="201">
        <v>45809</v>
      </c>
      <c r="F10596" s="200" t="s">
        <v>297</v>
      </c>
      <c r="G10596" s="200" t="s">
        <v>69</v>
      </c>
      <c r="H10596" s="200" t="s">
        <v>5384</v>
      </c>
    </row>
    <row r="10597" spans="1:8" ht="15" customHeight="1">
      <c r="A10597" s="199">
        <v>45825</v>
      </c>
      <c r="B10597" s="202" t="s">
        <v>7845</v>
      </c>
      <c r="C10597" s="200" t="s">
        <v>204</v>
      </c>
      <c r="D10597" s="765">
        <v>-310419</v>
      </c>
      <c r="E10597" s="201">
        <v>45809</v>
      </c>
      <c r="F10597" s="200" t="s">
        <v>297</v>
      </c>
      <c r="G10597" s="200" t="s">
        <v>69</v>
      </c>
      <c r="H10597" s="200" t="s">
        <v>5384</v>
      </c>
    </row>
    <row r="10598" spans="1:8" ht="15" customHeight="1">
      <c r="A10598" s="199">
        <v>45825</v>
      </c>
      <c r="B10598" s="202" t="s">
        <v>7846</v>
      </c>
      <c r="C10598" s="200" t="s">
        <v>372</v>
      </c>
      <c r="D10598" s="204">
        <v>-6661</v>
      </c>
      <c r="E10598" s="201">
        <v>45809</v>
      </c>
      <c r="F10598" s="200" t="s">
        <v>297</v>
      </c>
      <c r="G10598" s="200" t="s">
        <v>69</v>
      </c>
      <c r="H10598" s="200" t="s">
        <v>5384</v>
      </c>
    </row>
    <row r="10599" spans="1:8" ht="15" customHeight="1">
      <c r="A10599" s="199">
        <v>45825</v>
      </c>
      <c r="B10599" s="202" t="s">
        <v>7847</v>
      </c>
      <c r="C10599" s="200" t="s">
        <v>204</v>
      </c>
      <c r="D10599" s="765">
        <v>-114787593</v>
      </c>
      <c r="E10599" s="201">
        <v>45809</v>
      </c>
      <c r="F10599" s="200" t="s">
        <v>296</v>
      </c>
      <c r="G10599" s="200" t="s">
        <v>4577</v>
      </c>
      <c r="H10599" s="200" t="s">
        <v>670</v>
      </c>
    </row>
    <row r="10600" spans="1:8" ht="15" customHeight="1">
      <c r="A10600" s="199">
        <v>45825</v>
      </c>
      <c r="B10600" s="202" t="s">
        <v>7848</v>
      </c>
      <c r="C10600" s="200" t="s">
        <v>204</v>
      </c>
      <c r="D10600" s="765">
        <v>-1239958</v>
      </c>
      <c r="E10600" s="201">
        <v>45809</v>
      </c>
      <c r="F10600" s="200" t="s">
        <v>296</v>
      </c>
      <c r="G10600" s="200" t="s">
        <v>57</v>
      </c>
      <c r="H10600" s="200" t="s">
        <v>98</v>
      </c>
    </row>
    <row r="10601" spans="1:8" ht="15" customHeight="1">
      <c r="A10601" s="199">
        <v>45825</v>
      </c>
      <c r="B10601" s="202" t="s">
        <v>7849</v>
      </c>
      <c r="C10601" s="200" t="s">
        <v>372</v>
      </c>
      <c r="D10601" s="204">
        <v>-153253</v>
      </c>
      <c r="E10601" s="201">
        <v>45809</v>
      </c>
      <c r="F10601" s="200" t="s">
        <v>296</v>
      </c>
      <c r="G10601" s="200" t="s">
        <v>57</v>
      </c>
      <c r="H10601" s="200" t="s">
        <v>98</v>
      </c>
    </row>
    <row r="10602" spans="1:8" ht="15" customHeight="1">
      <c r="A10602" s="199">
        <v>45825</v>
      </c>
      <c r="B10602" s="202" t="s">
        <v>7850</v>
      </c>
      <c r="C10602" s="200" t="s">
        <v>204</v>
      </c>
      <c r="D10602" s="765">
        <v>-16500</v>
      </c>
      <c r="E10602" s="201">
        <v>45809</v>
      </c>
      <c r="F10602" s="200" t="s">
        <v>256</v>
      </c>
      <c r="G10602" s="200" t="s">
        <v>256</v>
      </c>
      <c r="H10602" s="200" t="s">
        <v>261</v>
      </c>
    </row>
    <row r="10603" spans="1:8" ht="15" customHeight="1">
      <c r="A10603" s="199">
        <v>45825</v>
      </c>
      <c r="B10603" s="202" t="s">
        <v>7851</v>
      </c>
      <c r="C10603" s="200" t="s">
        <v>204</v>
      </c>
      <c r="D10603" s="765">
        <v>-1431430</v>
      </c>
      <c r="E10603" s="201">
        <v>45809</v>
      </c>
      <c r="F10603" s="200" t="s">
        <v>296</v>
      </c>
      <c r="G10603" s="200" t="s">
        <v>807</v>
      </c>
      <c r="H10603" s="200" t="s">
        <v>370</v>
      </c>
    </row>
    <row r="10604" spans="1:8" ht="15" customHeight="1">
      <c r="A10604" s="199">
        <v>45825</v>
      </c>
      <c r="B10604" s="202" t="s">
        <v>7852</v>
      </c>
      <c r="C10604" s="200" t="s">
        <v>372</v>
      </c>
      <c r="D10604" s="204">
        <v>-5200</v>
      </c>
      <c r="E10604" s="201">
        <v>45809</v>
      </c>
      <c r="F10604" s="200" t="s">
        <v>296</v>
      </c>
      <c r="G10604" s="200" t="s">
        <v>807</v>
      </c>
      <c r="H10604" s="200" t="s">
        <v>370</v>
      </c>
    </row>
    <row r="10605" spans="1:8" ht="15" customHeight="1">
      <c r="A10605" s="199">
        <v>45825</v>
      </c>
      <c r="B10605" s="202" t="s">
        <v>7853</v>
      </c>
      <c r="C10605" s="200" t="s">
        <v>372</v>
      </c>
      <c r="D10605" s="204">
        <v>-780</v>
      </c>
      <c r="E10605" s="201">
        <v>45809</v>
      </c>
      <c r="F10605" s="200" t="s">
        <v>296</v>
      </c>
      <c r="G10605" s="200" t="s">
        <v>807</v>
      </c>
      <c r="H10605" s="200" t="s">
        <v>370</v>
      </c>
    </row>
    <row r="10606" spans="1:8" ht="15" customHeight="1">
      <c r="A10606" s="199">
        <v>45825</v>
      </c>
      <c r="B10606" s="202" t="s">
        <v>7851</v>
      </c>
      <c r="C10606" s="200" t="s">
        <v>204</v>
      </c>
      <c r="D10606" s="765">
        <v>-1431430</v>
      </c>
      <c r="E10606" s="201">
        <v>45809</v>
      </c>
      <c r="F10606" s="200" t="s">
        <v>296</v>
      </c>
      <c r="G10606" s="200" t="s">
        <v>1825</v>
      </c>
      <c r="H10606" s="200" t="s">
        <v>370</v>
      </c>
    </row>
    <row r="10607" spans="1:8" ht="15" customHeight="1">
      <c r="A10607" s="199">
        <v>45825</v>
      </c>
      <c r="B10607" s="202" t="s">
        <v>7852</v>
      </c>
      <c r="C10607" s="200" t="s">
        <v>372</v>
      </c>
      <c r="D10607" s="204">
        <v>-5200</v>
      </c>
      <c r="E10607" s="201">
        <v>45809</v>
      </c>
      <c r="F10607" s="200" t="s">
        <v>296</v>
      </c>
      <c r="G10607" s="200" t="s">
        <v>1825</v>
      </c>
      <c r="H10607" s="200" t="s">
        <v>370</v>
      </c>
    </row>
    <row r="10608" spans="1:8" ht="15" customHeight="1">
      <c r="A10608" s="199">
        <v>45825</v>
      </c>
      <c r="B10608" s="202" t="s">
        <v>7853</v>
      </c>
      <c r="C10608" s="200" t="s">
        <v>372</v>
      </c>
      <c r="D10608" s="204">
        <v>-780</v>
      </c>
      <c r="E10608" s="201">
        <v>45809</v>
      </c>
      <c r="F10608" s="200" t="s">
        <v>296</v>
      </c>
      <c r="G10608" s="200" t="s">
        <v>1825</v>
      </c>
      <c r="H10608" s="200" t="s">
        <v>370</v>
      </c>
    </row>
    <row r="10609" spans="1:9" ht="15" customHeight="1">
      <c r="A10609" s="199">
        <v>45825</v>
      </c>
      <c r="B10609" s="202" t="s">
        <v>7854</v>
      </c>
      <c r="C10609" s="200" t="s">
        <v>204</v>
      </c>
      <c r="D10609" s="765">
        <v>-1409730</v>
      </c>
      <c r="E10609" s="201">
        <v>45809</v>
      </c>
      <c r="F10609" s="200" t="s">
        <v>296</v>
      </c>
      <c r="G10609" s="200" t="s">
        <v>2418</v>
      </c>
      <c r="H10609" s="200" t="s">
        <v>379</v>
      </c>
    </row>
    <row r="10610" spans="1:9" ht="15" customHeight="1">
      <c r="A10610" s="199">
        <v>45825</v>
      </c>
      <c r="B10610" s="202" t="s">
        <v>6089</v>
      </c>
      <c r="C10610" s="200" t="s">
        <v>372</v>
      </c>
      <c r="D10610" s="204">
        <v>-51450</v>
      </c>
      <c r="E10610" s="201">
        <v>45809</v>
      </c>
      <c r="F10610" s="200" t="s">
        <v>296</v>
      </c>
      <c r="G10610" s="200" t="s">
        <v>2418</v>
      </c>
      <c r="H10610" s="200" t="s">
        <v>379</v>
      </c>
    </row>
    <row r="10611" spans="1:9" ht="15" customHeight="1">
      <c r="A10611" s="199">
        <v>45825</v>
      </c>
      <c r="B10611" s="202" t="s">
        <v>6090</v>
      </c>
      <c r="C10611" s="200" t="s">
        <v>372</v>
      </c>
      <c r="D10611" s="204">
        <v>-8820</v>
      </c>
      <c r="E10611" s="201">
        <v>45809</v>
      </c>
      <c r="F10611" s="200" t="s">
        <v>296</v>
      </c>
      <c r="G10611" s="200" t="s">
        <v>2418</v>
      </c>
      <c r="H10611" s="200" t="s">
        <v>379</v>
      </c>
    </row>
    <row r="10612" spans="1:9" ht="15" customHeight="1">
      <c r="A10612" s="199">
        <v>45825</v>
      </c>
      <c r="B10612" s="202" t="s">
        <v>7854</v>
      </c>
      <c r="C10612" s="200" t="s">
        <v>204</v>
      </c>
      <c r="D10612" s="765">
        <v>-436345</v>
      </c>
      <c r="E10612" s="201">
        <v>45809</v>
      </c>
      <c r="F10612" s="200" t="s">
        <v>297</v>
      </c>
      <c r="G10612" s="200" t="s">
        <v>3848</v>
      </c>
      <c r="H10612" s="200" t="s">
        <v>379</v>
      </c>
    </row>
    <row r="10613" spans="1:9" ht="15" customHeight="1">
      <c r="A10613" s="199">
        <v>45825</v>
      </c>
      <c r="B10613" s="202" t="s">
        <v>6089</v>
      </c>
      <c r="C10613" s="200" t="s">
        <v>372</v>
      </c>
      <c r="D10613" s="204">
        <v>-15925</v>
      </c>
      <c r="E10613" s="201">
        <v>45809</v>
      </c>
      <c r="F10613" s="200" t="s">
        <v>297</v>
      </c>
      <c r="G10613" s="200" t="s">
        <v>3848</v>
      </c>
      <c r="H10613" s="200" t="s">
        <v>379</v>
      </c>
    </row>
    <row r="10614" spans="1:9" ht="15" customHeight="1">
      <c r="A10614" s="199">
        <v>45825</v>
      </c>
      <c r="B10614" s="202" t="s">
        <v>6090</v>
      </c>
      <c r="C10614" s="200" t="s">
        <v>372</v>
      </c>
      <c r="D10614" s="204">
        <v>-2730</v>
      </c>
      <c r="E10614" s="201">
        <v>45809</v>
      </c>
      <c r="F10614" s="200" t="s">
        <v>297</v>
      </c>
      <c r="G10614" s="200" t="s">
        <v>3848</v>
      </c>
      <c r="H10614" s="200" t="s">
        <v>379</v>
      </c>
    </row>
    <row r="10615" spans="1:9" ht="15" customHeight="1">
      <c r="A10615" s="199">
        <v>45825</v>
      </c>
      <c r="B10615" s="202" t="s">
        <v>7854</v>
      </c>
      <c r="C10615" s="200" t="s">
        <v>204</v>
      </c>
      <c r="D10615" s="765">
        <v>-805560</v>
      </c>
      <c r="E10615" s="201">
        <v>45809</v>
      </c>
      <c r="F10615" s="200" t="s">
        <v>296</v>
      </c>
      <c r="G10615" s="200" t="s">
        <v>3849</v>
      </c>
      <c r="H10615" s="200" t="s">
        <v>379</v>
      </c>
    </row>
    <row r="10616" spans="1:9" ht="15" customHeight="1">
      <c r="A10616" s="199">
        <v>45825</v>
      </c>
      <c r="B10616" s="202" t="s">
        <v>6089</v>
      </c>
      <c r="C10616" s="200" t="s">
        <v>372</v>
      </c>
      <c r="D10616" s="204">
        <v>-29400</v>
      </c>
      <c r="E10616" s="201">
        <v>45809</v>
      </c>
      <c r="F10616" s="200" t="s">
        <v>296</v>
      </c>
      <c r="G10616" s="200" t="s">
        <v>3849</v>
      </c>
      <c r="H10616" s="200" t="s">
        <v>379</v>
      </c>
    </row>
    <row r="10617" spans="1:9" ht="15" customHeight="1">
      <c r="A10617" s="199">
        <v>45825</v>
      </c>
      <c r="B10617" s="202" t="s">
        <v>6090</v>
      </c>
      <c r="C10617" s="200" t="s">
        <v>372</v>
      </c>
      <c r="D10617" s="204">
        <v>-5040</v>
      </c>
      <c r="E10617" s="201">
        <v>45809</v>
      </c>
      <c r="F10617" s="200" t="s">
        <v>296</v>
      </c>
      <c r="G10617" s="200" t="s">
        <v>3849</v>
      </c>
      <c r="H10617" s="200" t="s">
        <v>379</v>
      </c>
      <c r="I10617" s="648" t="s">
        <v>329</v>
      </c>
    </row>
    <row r="10618" spans="1:9" ht="15" customHeight="1">
      <c r="A10618" s="199">
        <v>45825</v>
      </c>
      <c r="B10618" s="202" t="s">
        <v>7854</v>
      </c>
      <c r="C10618" s="200" t="s">
        <v>204</v>
      </c>
      <c r="D10618" s="765">
        <v>-234955</v>
      </c>
      <c r="E10618" s="201">
        <v>45809</v>
      </c>
      <c r="F10618" s="200" t="s">
        <v>296</v>
      </c>
      <c r="G10618" s="200" t="s">
        <v>5424</v>
      </c>
      <c r="H10618" s="200" t="s">
        <v>379</v>
      </c>
    </row>
    <row r="10619" spans="1:9" ht="15" customHeight="1">
      <c r="A10619" s="199">
        <v>45825</v>
      </c>
      <c r="B10619" s="202" t="s">
        <v>6089</v>
      </c>
      <c r="C10619" s="200" t="s">
        <v>372</v>
      </c>
      <c r="D10619" s="204">
        <v>-8575</v>
      </c>
      <c r="E10619" s="201">
        <v>45809</v>
      </c>
      <c r="F10619" s="200" t="s">
        <v>296</v>
      </c>
      <c r="G10619" s="200" t="s">
        <v>5424</v>
      </c>
      <c r="H10619" s="200" t="s">
        <v>379</v>
      </c>
    </row>
    <row r="10620" spans="1:9" ht="15" customHeight="1">
      <c r="A10620" s="199">
        <v>45825</v>
      </c>
      <c r="B10620" s="202" t="s">
        <v>6090</v>
      </c>
      <c r="C10620" s="200" t="s">
        <v>372</v>
      </c>
      <c r="D10620" s="204">
        <v>-1470</v>
      </c>
      <c r="E10620" s="201">
        <v>45809</v>
      </c>
      <c r="F10620" s="200" t="s">
        <v>296</v>
      </c>
      <c r="G10620" s="200" t="s">
        <v>5424</v>
      </c>
      <c r="H10620" s="200" t="s">
        <v>379</v>
      </c>
      <c r="I10620" s="648" t="s">
        <v>329</v>
      </c>
    </row>
    <row r="10621" spans="1:9" ht="15" customHeight="1">
      <c r="A10621" s="199">
        <v>45825</v>
      </c>
      <c r="B10621" s="202" t="s">
        <v>7854</v>
      </c>
      <c r="C10621" s="200" t="s">
        <v>204</v>
      </c>
      <c r="D10621" s="765">
        <v>-100695</v>
      </c>
      <c r="E10621" s="201">
        <v>45809</v>
      </c>
      <c r="F10621" s="200" t="s">
        <v>296</v>
      </c>
      <c r="G10621" s="200" t="s">
        <v>5422</v>
      </c>
      <c r="H10621" s="200" t="s">
        <v>379</v>
      </c>
    </row>
    <row r="10622" spans="1:9" ht="15" customHeight="1">
      <c r="A10622" s="199">
        <v>45825</v>
      </c>
      <c r="B10622" s="202" t="s">
        <v>6089</v>
      </c>
      <c r="C10622" s="200" t="s">
        <v>372</v>
      </c>
      <c r="D10622" s="204">
        <v>-3675</v>
      </c>
      <c r="E10622" s="201">
        <v>45809</v>
      </c>
      <c r="F10622" s="200" t="s">
        <v>296</v>
      </c>
      <c r="G10622" s="200" t="s">
        <v>5422</v>
      </c>
      <c r="H10622" s="200" t="s">
        <v>379</v>
      </c>
    </row>
    <row r="10623" spans="1:9" ht="15" customHeight="1">
      <c r="A10623" s="199">
        <v>45825</v>
      </c>
      <c r="B10623" s="202" t="s">
        <v>6090</v>
      </c>
      <c r="C10623" s="200" t="s">
        <v>372</v>
      </c>
      <c r="D10623" s="204">
        <v>-630</v>
      </c>
      <c r="E10623" s="201">
        <v>45809</v>
      </c>
      <c r="F10623" s="200" t="s">
        <v>296</v>
      </c>
      <c r="G10623" s="200" t="s">
        <v>5422</v>
      </c>
      <c r="H10623" s="200" t="s">
        <v>379</v>
      </c>
      <c r="I10623" s="648" t="s">
        <v>329</v>
      </c>
    </row>
    <row r="10624" spans="1:9" ht="15" customHeight="1">
      <c r="A10624" s="199">
        <v>45825</v>
      </c>
      <c r="B10624" s="202" t="s">
        <v>7854</v>
      </c>
      <c r="C10624" s="200" t="s">
        <v>204</v>
      </c>
      <c r="D10624" s="765">
        <v>-369215</v>
      </c>
      <c r="E10624" s="201">
        <v>45809</v>
      </c>
      <c r="F10624" s="200" t="s">
        <v>256</v>
      </c>
      <c r="G10624" s="200" t="s">
        <v>256</v>
      </c>
      <c r="H10624" s="200" t="s">
        <v>257</v>
      </c>
    </row>
    <row r="10625" spans="1:8" ht="15" customHeight="1">
      <c r="A10625" s="199">
        <v>45825</v>
      </c>
      <c r="B10625" s="202" t="s">
        <v>6089</v>
      </c>
      <c r="C10625" s="200" t="s">
        <v>372</v>
      </c>
      <c r="D10625" s="204">
        <v>-13475</v>
      </c>
      <c r="E10625" s="201">
        <v>45809</v>
      </c>
      <c r="F10625" s="200" t="s">
        <v>256</v>
      </c>
      <c r="G10625" s="200" t="s">
        <v>256</v>
      </c>
      <c r="H10625" s="200" t="s">
        <v>257</v>
      </c>
    </row>
    <row r="10626" spans="1:8" ht="15" customHeight="1">
      <c r="A10626" s="199">
        <v>45825</v>
      </c>
      <c r="B10626" s="202" t="s">
        <v>6090</v>
      </c>
      <c r="C10626" s="200" t="s">
        <v>372</v>
      </c>
      <c r="D10626" s="204">
        <v>-2310</v>
      </c>
      <c r="E10626" s="201">
        <v>45809</v>
      </c>
      <c r="F10626" s="200" t="s">
        <v>256</v>
      </c>
      <c r="G10626" s="200" t="s">
        <v>256</v>
      </c>
      <c r="H10626" s="200" t="s">
        <v>257</v>
      </c>
    </row>
    <row r="10627" spans="1:8" ht="15" customHeight="1">
      <c r="A10627" s="199">
        <v>45825</v>
      </c>
      <c r="B10627" s="202" t="s">
        <v>7855</v>
      </c>
      <c r="C10627" s="200" t="s">
        <v>204</v>
      </c>
      <c r="D10627" s="765">
        <v>-3110400</v>
      </c>
      <c r="E10627" s="201">
        <v>45809</v>
      </c>
      <c r="F10627" s="200" t="s">
        <v>296</v>
      </c>
      <c r="G10627" s="200" t="s">
        <v>57</v>
      </c>
      <c r="H10627" s="200" t="s">
        <v>96</v>
      </c>
    </row>
    <row r="10628" spans="1:8" ht="15" customHeight="1">
      <c r="A10628" s="199">
        <v>45825</v>
      </c>
      <c r="B10628" s="202" t="s">
        <v>7856</v>
      </c>
      <c r="C10628" s="200" t="s">
        <v>372</v>
      </c>
      <c r="D10628" s="204">
        <v>-316800</v>
      </c>
      <c r="E10628" s="201">
        <v>45809</v>
      </c>
      <c r="F10628" s="200" t="s">
        <v>296</v>
      </c>
      <c r="G10628" s="200" t="s">
        <v>57</v>
      </c>
      <c r="H10628" s="200" t="s">
        <v>96</v>
      </c>
    </row>
    <row r="10629" spans="1:8" ht="15" customHeight="1">
      <c r="A10629" s="199">
        <v>45825</v>
      </c>
      <c r="B10629" s="202" t="s">
        <v>7857</v>
      </c>
      <c r="C10629" s="200" t="s">
        <v>204</v>
      </c>
      <c r="D10629" s="765">
        <v>-1205000</v>
      </c>
      <c r="E10629" s="201">
        <v>45809</v>
      </c>
      <c r="F10629" s="200" t="s">
        <v>296</v>
      </c>
      <c r="G10629" s="200" t="s">
        <v>807</v>
      </c>
      <c r="H10629" s="200" t="s">
        <v>326</v>
      </c>
    </row>
    <row r="10630" spans="1:8" ht="15" customHeight="1">
      <c r="A10630" s="199">
        <v>45825</v>
      </c>
      <c r="B10630" s="202" t="s">
        <v>7858</v>
      </c>
      <c r="C10630" s="200" t="s">
        <v>372</v>
      </c>
      <c r="D10630" s="204">
        <v>-43705</v>
      </c>
      <c r="E10630" s="201">
        <v>45809</v>
      </c>
      <c r="F10630" s="200" t="s">
        <v>296</v>
      </c>
      <c r="G10630" s="200" t="s">
        <v>807</v>
      </c>
      <c r="H10630" s="200" t="s">
        <v>326</v>
      </c>
    </row>
    <row r="10631" spans="1:8" ht="15" customHeight="1">
      <c r="A10631" s="199">
        <v>45825</v>
      </c>
      <c r="B10631" s="202" t="s">
        <v>7857</v>
      </c>
      <c r="C10631" s="200" t="s">
        <v>204</v>
      </c>
      <c r="D10631" s="765">
        <v>-1205000</v>
      </c>
      <c r="E10631" s="201">
        <v>45809</v>
      </c>
      <c r="F10631" s="200" t="s">
        <v>296</v>
      </c>
      <c r="G10631" s="200" t="s">
        <v>1825</v>
      </c>
      <c r="H10631" s="200" t="s">
        <v>326</v>
      </c>
    </row>
    <row r="10632" spans="1:8" ht="15" customHeight="1">
      <c r="A10632" s="199">
        <v>45825</v>
      </c>
      <c r="B10632" s="202" t="s">
        <v>7858</v>
      </c>
      <c r="C10632" s="200" t="s">
        <v>372</v>
      </c>
      <c r="D10632" s="204">
        <v>-43705</v>
      </c>
      <c r="E10632" s="201">
        <v>45809</v>
      </c>
      <c r="F10632" s="200" t="s">
        <v>296</v>
      </c>
      <c r="G10632" s="200" t="s">
        <v>1825</v>
      </c>
      <c r="H10632" s="200" t="s">
        <v>326</v>
      </c>
    </row>
    <row r="10633" spans="1:8" ht="15" customHeight="1">
      <c r="A10633" s="199">
        <v>45825</v>
      </c>
      <c r="B10633" s="202" t="s">
        <v>7859</v>
      </c>
      <c r="C10633" s="200" t="s">
        <v>204</v>
      </c>
      <c r="D10633" s="765">
        <v>-1850294</v>
      </c>
      <c r="E10633" s="201">
        <v>45809</v>
      </c>
      <c r="F10633" s="200" t="s">
        <v>296</v>
      </c>
      <c r="G10633" s="200" t="s">
        <v>1825</v>
      </c>
      <c r="H10633" s="200" t="s">
        <v>490</v>
      </c>
    </row>
    <row r="10634" spans="1:8" ht="15" customHeight="1">
      <c r="A10634" s="199">
        <v>45825</v>
      </c>
      <c r="B10634" s="202" t="s">
        <v>7860</v>
      </c>
      <c r="C10634" s="200" t="s">
        <v>372</v>
      </c>
      <c r="D10634" s="204">
        <v>-39706</v>
      </c>
      <c r="E10634" s="201">
        <v>45809</v>
      </c>
      <c r="F10634" s="200" t="s">
        <v>296</v>
      </c>
      <c r="G10634" s="200" t="s">
        <v>1825</v>
      </c>
      <c r="H10634" s="200" t="s">
        <v>490</v>
      </c>
    </row>
    <row r="10635" spans="1:8" ht="15" customHeight="1">
      <c r="A10635" s="199">
        <v>45825</v>
      </c>
      <c r="B10635" s="202" t="s">
        <v>7861</v>
      </c>
      <c r="C10635" s="200" t="s">
        <v>204</v>
      </c>
      <c r="D10635" s="765">
        <v>-443520</v>
      </c>
      <c r="E10635" s="201">
        <v>45809</v>
      </c>
      <c r="F10635" s="200" t="s">
        <v>296</v>
      </c>
      <c r="G10635" s="200" t="s">
        <v>44</v>
      </c>
      <c r="H10635" s="200" t="s">
        <v>326</v>
      </c>
    </row>
    <row r="10636" spans="1:8" ht="15" customHeight="1">
      <c r="A10636" s="199">
        <v>45825</v>
      </c>
      <c r="B10636" s="202" t="s">
        <v>5168</v>
      </c>
      <c r="C10636" s="200" t="s">
        <v>372</v>
      </c>
      <c r="D10636" s="204">
        <v>-4480</v>
      </c>
      <c r="E10636" s="201">
        <v>45809</v>
      </c>
      <c r="F10636" s="200" t="s">
        <v>296</v>
      </c>
      <c r="G10636" s="200" t="s">
        <v>44</v>
      </c>
      <c r="H10636" s="200" t="s">
        <v>326</v>
      </c>
    </row>
    <row r="10637" spans="1:8" ht="15" customHeight="1">
      <c r="A10637" s="199">
        <v>45825</v>
      </c>
      <c r="B10637" s="202" t="s">
        <v>7862</v>
      </c>
      <c r="C10637" s="200" t="s">
        <v>204</v>
      </c>
      <c r="D10637" s="765">
        <v>-332640</v>
      </c>
      <c r="E10637" s="201">
        <v>45809</v>
      </c>
      <c r="F10637" s="200" t="s">
        <v>296</v>
      </c>
      <c r="G10637" s="200" t="s">
        <v>1980</v>
      </c>
      <c r="H10637" s="200" t="s">
        <v>326</v>
      </c>
    </row>
    <row r="10638" spans="1:8" ht="15" customHeight="1">
      <c r="A10638" s="199">
        <v>45825</v>
      </c>
      <c r="B10638" s="202" t="s">
        <v>5168</v>
      </c>
      <c r="C10638" s="200" t="s">
        <v>372</v>
      </c>
      <c r="D10638" s="204">
        <v>-3860</v>
      </c>
      <c r="E10638" s="201">
        <v>45809</v>
      </c>
      <c r="F10638" s="200" t="s">
        <v>296</v>
      </c>
      <c r="G10638" s="200" t="s">
        <v>1980</v>
      </c>
      <c r="H10638" s="200" t="s">
        <v>326</v>
      </c>
    </row>
    <row r="10639" spans="1:8" ht="15" customHeight="1">
      <c r="A10639" s="199">
        <v>45825</v>
      </c>
      <c r="B10639" s="202" t="s">
        <v>7862</v>
      </c>
      <c r="C10639" s="200" t="s">
        <v>204</v>
      </c>
      <c r="D10639" s="765">
        <v>-332640</v>
      </c>
      <c r="E10639" s="201">
        <v>45809</v>
      </c>
      <c r="F10639" s="200" t="s">
        <v>296</v>
      </c>
      <c r="G10639" s="200" t="s">
        <v>1983</v>
      </c>
      <c r="H10639" s="200" t="s">
        <v>326</v>
      </c>
    </row>
    <row r="10640" spans="1:8" ht="15" customHeight="1">
      <c r="A10640" s="199">
        <v>45825</v>
      </c>
      <c r="B10640" s="202" t="s">
        <v>5168</v>
      </c>
      <c r="C10640" s="200" t="s">
        <v>372</v>
      </c>
      <c r="D10640" s="204">
        <v>-3860</v>
      </c>
      <c r="E10640" s="201">
        <v>45809</v>
      </c>
      <c r="F10640" s="200" t="s">
        <v>296</v>
      </c>
      <c r="G10640" s="200" t="s">
        <v>1983</v>
      </c>
      <c r="H10640" s="200" t="s">
        <v>326</v>
      </c>
    </row>
    <row r="10641" spans="1:8" ht="15" customHeight="1">
      <c r="A10641" s="199">
        <v>45825</v>
      </c>
      <c r="B10641" s="202" t="s">
        <v>7863</v>
      </c>
      <c r="C10641" s="200" t="s">
        <v>204</v>
      </c>
      <c r="D10641" s="765">
        <v>-820000</v>
      </c>
      <c r="E10641" s="201">
        <v>45809</v>
      </c>
      <c r="F10641" s="200" t="s">
        <v>296</v>
      </c>
      <c r="G10641" s="200" t="s">
        <v>522</v>
      </c>
      <c r="H10641" s="200" t="s">
        <v>326</v>
      </c>
    </row>
    <row r="10642" spans="1:8" ht="15" customHeight="1">
      <c r="A10642" s="199">
        <v>45825</v>
      </c>
      <c r="B10642" s="202" t="s">
        <v>7864</v>
      </c>
      <c r="C10642" s="200" t="s">
        <v>372</v>
      </c>
      <c r="D10642" s="204">
        <v>-29741</v>
      </c>
      <c r="E10642" s="201">
        <v>45809</v>
      </c>
      <c r="F10642" s="200" t="s">
        <v>296</v>
      </c>
      <c r="G10642" s="200" t="s">
        <v>522</v>
      </c>
      <c r="H10642" s="200" t="s">
        <v>326</v>
      </c>
    </row>
    <row r="10643" spans="1:8" ht="15" customHeight="1">
      <c r="A10643" s="199">
        <v>45825</v>
      </c>
      <c r="B10643" s="202" t="s">
        <v>7865</v>
      </c>
      <c r="C10643" s="200" t="s">
        <v>204</v>
      </c>
      <c r="D10643" s="765">
        <v>-160000</v>
      </c>
      <c r="E10643" s="201">
        <v>45809</v>
      </c>
      <c r="F10643" s="200" t="s">
        <v>296</v>
      </c>
      <c r="G10643" s="200" t="s">
        <v>57</v>
      </c>
      <c r="H10643" s="200" t="s">
        <v>97</v>
      </c>
    </row>
    <row r="10644" spans="1:8" ht="15" customHeight="1">
      <c r="A10644" s="199">
        <v>45825</v>
      </c>
      <c r="B10644" s="202" t="s">
        <v>7866</v>
      </c>
      <c r="C10644" s="200" t="s">
        <v>372</v>
      </c>
      <c r="D10644" s="204">
        <v>-5803</v>
      </c>
      <c r="E10644" s="201">
        <v>45809</v>
      </c>
      <c r="F10644" s="200" t="s">
        <v>296</v>
      </c>
      <c r="G10644" s="200" t="s">
        <v>57</v>
      </c>
      <c r="H10644" s="200" t="s">
        <v>97</v>
      </c>
    </row>
    <row r="10645" spans="1:8" ht="15" customHeight="1">
      <c r="A10645" s="199">
        <v>45825</v>
      </c>
      <c r="B10645" s="202" t="s">
        <v>7867</v>
      </c>
      <c r="C10645" s="200" t="s">
        <v>204</v>
      </c>
      <c r="D10645" s="765">
        <v>-2907948</v>
      </c>
      <c r="E10645" s="201">
        <v>45809</v>
      </c>
      <c r="F10645" s="200" t="s">
        <v>296</v>
      </c>
      <c r="G10645" s="200" t="s">
        <v>1311</v>
      </c>
      <c r="H10645" s="200" t="s">
        <v>5376</v>
      </c>
    </row>
    <row r="10646" spans="1:8" ht="15" customHeight="1">
      <c r="A10646" s="199">
        <v>45825</v>
      </c>
      <c r="B10646" s="202" t="s">
        <v>7868</v>
      </c>
      <c r="C10646" s="200" t="s">
        <v>372</v>
      </c>
      <c r="D10646" s="204">
        <v>-62402</v>
      </c>
      <c r="E10646" s="201">
        <v>45809</v>
      </c>
      <c r="F10646" s="200" t="s">
        <v>296</v>
      </c>
      <c r="G10646" s="200" t="s">
        <v>1311</v>
      </c>
      <c r="H10646" s="200" t="s">
        <v>5376</v>
      </c>
    </row>
    <row r="10647" spans="1:8" ht="15" customHeight="1">
      <c r="A10647" s="199">
        <v>45825</v>
      </c>
      <c r="B10647" s="202" t="s">
        <v>7128</v>
      </c>
      <c r="C10647" s="200" t="s">
        <v>204</v>
      </c>
      <c r="D10647" s="765">
        <v>-409080</v>
      </c>
      <c r="E10647" s="201">
        <v>45809</v>
      </c>
      <c r="F10647" s="200" t="s">
        <v>296</v>
      </c>
      <c r="G10647" s="200" t="s">
        <v>44</v>
      </c>
      <c r="H10647" s="200" t="s">
        <v>421</v>
      </c>
    </row>
    <row r="10648" spans="1:8" ht="15" customHeight="1">
      <c r="A10648" s="199">
        <v>45825</v>
      </c>
      <c r="B10648" s="202" t="s">
        <v>7869</v>
      </c>
      <c r="C10648" s="200" t="s">
        <v>372</v>
      </c>
      <c r="D10648" s="204">
        <v>-40800</v>
      </c>
      <c r="E10648" s="201">
        <v>45809</v>
      </c>
      <c r="F10648" s="200" t="s">
        <v>296</v>
      </c>
      <c r="G10648" s="200" t="s">
        <v>44</v>
      </c>
      <c r="H10648" s="200" t="s">
        <v>421</v>
      </c>
    </row>
    <row r="10649" spans="1:8" ht="15" customHeight="1">
      <c r="A10649" s="199">
        <v>45825</v>
      </c>
      <c r="B10649" s="202" t="s">
        <v>7870</v>
      </c>
      <c r="C10649" s="200" t="s">
        <v>372</v>
      </c>
      <c r="D10649" s="204">
        <v>-12240</v>
      </c>
      <c r="E10649" s="201">
        <v>45809</v>
      </c>
      <c r="F10649" s="200" t="s">
        <v>296</v>
      </c>
      <c r="G10649" s="200" t="s">
        <v>44</v>
      </c>
      <c r="H10649" s="200" t="s">
        <v>421</v>
      </c>
    </row>
    <row r="10650" spans="1:8" ht="15" customHeight="1">
      <c r="A10650" s="199">
        <v>45825</v>
      </c>
      <c r="B10650" s="202" t="s">
        <v>7871</v>
      </c>
      <c r="C10650" s="200" t="s">
        <v>204</v>
      </c>
      <c r="D10650" s="765">
        <v>-9756147</v>
      </c>
      <c r="E10650" s="201">
        <v>45809</v>
      </c>
      <c r="F10650" s="200" t="s">
        <v>297</v>
      </c>
      <c r="G10650" s="200" t="s">
        <v>69</v>
      </c>
      <c r="H10650" s="200" t="s">
        <v>5376</v>
      </c>
    </row>
    <row r="10651" spans="1:8" ht="15" customHeight="1">
      <c r="A10651" s="199">
        <v>45825</v>
      </c>
      <c r="B10651" s="202" t="s">
        <v>7872</v>
      </c>
      <c r="C10651" s="200" t="s">
        <v>204</v>
      </c>
      <c r="D10651" s="765">
        <v>-2199018</v>
      </c>
      <c r="E10651" s="201">
        <v>45809</v>
      </c>
      <c r="F10651" s="200" t="s">
        <v>296</v>
      </c>
      <c r="G10651" s="200" t="s">
        <v>1825</v>
      </c>
      <c r="H10651" s="200" t="s">
        <v>429</v>
      </c>
    </row>
    <row r="10652" spans="1:8" ht="15" customHeight="1">
      <c r="A10652" s="199">
        <v>45825</v>
      </c>
      <c r="B10652" s="202" t="s">
        <v>7873</v>
      </c>
      <c r="C10652" s="200" t="s">
        <v>204</v>
      </c>
      <c r="D10652" s="765">
        <v>-2234304</v>
      </c>
      <c r="E10652" s="201">
        <v>45809</v>
      </c>
      <c r="F10652" s="200" t="s">
        <v>296</v>
      </c>
      <c r="G10652" s="200" t="s">
        <v>1825</v>
      </c>
      <c r="H10652" s="200" t="s">
        <v>429</v>
      </c>
    </row>
    <row r="10653" spans="1:8" ht="15" customHeight="1">
      <c r="A10653" s="199">
        <v>45825</v>
      </c>
      <c r="B10653" s="202" t="s">
        <v>7874</v>
      </c>
      <c r="C10653" s="200" t="s">
        <v>204</v>
      </c>
      <c r="D10653" s="765">
        <v>-2206762</v>
      </c>
      <c r="E10653" s="201">
        <v>45809</v>
      </c>
      <c r="F10653" s="200" t="s">
        <v>296</v>
      </c>
      <c r="G10653" s="200" t="s">
        <v>1825</v>
      </c>
      <c r="H10653" s="200" t="s">
        <v>429</v>
      </c>
    </row>
    <row r="10654" spans="1:8" ht="15" customHeight="1">
      <c r="A10654" s="199">
        <v>45825</v>
      </c>
      <c r="B10654" s="202" t="s">
        <v>7875</v>
      </c>
      <c r="C10654" s="200" t="s">
        <v>204</v>
      </c>
      <c r="D10654" s="765">
        <v>-2555315</v>
      </c>
      <c r="E10654" s="201">
        <v>45809</v>
      </c>
      <c r="F10654" s="200" t="s">
        <v>296</v>
      </c>
      <c r="G10654" s="200" t="s">
        <v>1825</v>
      </c>
      <c r="H10654" s="200" t="s">
        <v>429</v>
      </c>
    </row>
    <row r="10655" spans="1:8" ht="15" customHeight="1">
      <c r="A10655" s="199">
        <v>45825</v>
      </c>
      <c r="B10655" s="202" t="s">
        <v>7876</v>
      </c>
      <c r="C10655" s="200" t="s">
        <v>204</v>
      </c>
      <c r="D10655" s="765">
        <v>-2583719</v>
      </c>
      <c r="E10655" s="201">
        <v>45809</v>
      </c>
      <c r="F10655" s="200" t="s">
        <v>296</v>
      </c>
      <c r="G10655" s="200" t="s">
        <v>807</v>
      </c>
      <c r="H10655" s="200" t="s">
        <v>429</v>
      </c>
    </row>
    <row r="10656" spans="1:8" ht="15" customHeight="1">
      <c r="A10656" s="199">
        <v>45825</v>
      </c>
      <c r="B10656" s="202" t="s">
        <v>7877</v>
      </c>
      <c r="C10656" s="200" t="s">
        <v>204</v>
      </c>
      <c r="D10656" s="765">
        <v>-232700</v>
      </c>
      <c r="E10656" s="201">
        <v>45809</v>
      </c>
      <c r="F10656" s="200" t="s">
        <v>296</v>
      </c>
      <c r="G10656" s="200" t="s">
        <v>522</v>
      </c>
      <c r="H10656" s="200" t="s">
        <v>429</v>
      </c>
    </row>
    <row r="10657" spans="1:9" ht="15" customHeight="1">
      <c r="A10657" s="199">
        <v>45825</v>
      </c>
      <c r="B10657" s="202" t="s">
        <v>7878</v>
      </c>
      <c r="C10657" s="200" t="s">
        <v>204</v>
      </c>
      <c r="D10657" s="765">
        <v>-591000</v>
      </c>
      <c r="E10657" s="201">
        <v>45809</v>
      </c>
      <c r="F10657" s="200" t="s">
        <v>296</v>
      </c>
      <c r="G10657" s="200" t="s">
        <v>807</v>
      </c>
      <c r="H10657" s="200" t="s">
        <v>429</v>
      </c>
    </row>
    <row r="10658" spans="1:9" ht="15" customHeight="1">
      <c r="A10658" s="199">
        <v>45825</v>
      </c>
      <c r="B10658" s="202" t="s">
        <v>7879</v>
      </c>
      <c r="C10658" s="200" t="s">
        <v>204</v>
      </c>
      <c r="D10658" s="765">
        <v>-500000</v>
      </c>
      <c r="E10658" s="201">
        <v>45809</v>
      </c>
      <c r="F10658" s="200" t="s">
        <v>296</v>
      </c>
      <c r="G10658" s="200" t="s">
        <v>4520</v>
      </c>
      <c r="H10658" s="200" t="s">
        <v>322</v>
      </c>
    </row>
    <row r="10659" spans="1:9" ht="15" customHeight="1">
      <c r="A10659" s="199">
        <v>45826</v>
      </c>
      <c r="B10659" s="202" t="s">
        <v>7880</v>
      </c>
      <c r="C10659" s="200" t="s">
        <v>204</v>
      </c>
      <c r="D10659" s="765">
        <v>-782000</v>
      </c>
      <c r="E10659" s="201">
        <v>45809</v>
      </c>
      <c r="F10659" s="200" t="s">
        <v>296</v>
      </c>
      <c r="G10659" s="200" t="s">
        <v>1980</v>
      </c>
      <c r="H10659" s="200" t="s">
        <v>326</v>
      </c>
    </row>
    <row r="10660" spans="1:9" ht="15" customHeight="1">
      <c r="A10660" s="199">
        <v>45826</v>
      </c>
      <c r="B10660" s="202" t="s">
        <v>7881</v>
      </c>
      <c r="C10660" s="200" t="s">
        <v>372</v>
      </c>
      <c r="D10660" s="204">
        <v>-28363</v>
      </c>
      <c r="E10660" s="201">
        <v>45809</v>
      </c>
      <c r="F10660" s="200" t="s">
        <v>296</v>
      </c>
      <c r="G10660" s="200" t="s">
        <v>1980</v>
      </c>
      <c r="H10660" s="200" t="s">
        <v>326</v>
      </c>
    </row>
    <row r="10661" spans="1:9" ht="15" customHeight="1">
      <c r="A10661" s="199">
        <v>45826</v>
      </c>
      <c r="B10661" s="202" t="s">
        <v>7880</v>
      </c>
      <c r="C10661" s="200" t="s">
        <v>204</v>
      </c>
      <c r="D10661" s="765">
        <v>-782000</v>
      </c>
      <c r="E10661" s="201">
        <v>45809</v>
      </c>
      <c r="F10661" s="200" t="s">
        <v>296</v>
      </c>
      <c r="G10661" s="200" t="s">
        <v>1983</v>
      </c>
      <c r="H10661" s="200" t="s">
        <v>326</v>
      </c>
    </row>
    <row r="10662" spans="1:9" ht="15" customHeight="1">
      <c r="A10662" s="199">
        <v>45826</v>
      </c>
      <c r="B10662" s="202" t="s">
        <v>7881</v>
      </c>
      <c r="C10662" s="200" t="s">
        <v>372</v>
      </c>
      <c r="D10662" s="204">
        <v>-28363</v>
      </c>
      <c r="E10662" s="201">
        <v>45809</v>
      </c>
      <c r="F10662" s="200" t="s">
        <v>296</v>
      </c>
      <c r="G10662" s="200" t="s">
        <v>1983</v>
      </c>
      <c r="H10662" s="200" t="s">
        <v>326</v>
      </c>
    </row>
    <row r="10663" spans="1:9" ht="15" customHeight="1">
      <c r="A10663" s="199">
        <v>45826</v>
      </c>
      <c r="B10663" s="202" t="s">
        <v>7882</v>
      </c>
      <c r="C10663" s="200" t="s">
        <v>204</v>
      </c>
      <c r="D10663" s="765">
        <v>-3985200</v>
      </c>
      <c r="E10663" s="201">
        <v>45809</v>
      </c>
      <c r="F10663" s="200" t="s">
        <v>296</v>
      </c>
      <c r="G10663" s="200" t="s">
        <v>807</v>
      </c>
      <c r="H10663" s="200" t="s">
        <v>811</v>
      </c>
    </row>
    <row r="10664" spans="1:9" ht="15" customHeight="1">
      <c r="A10664" s="199">
        <v>45826</v>
      </c>
      <c r="B10664" s="202" t="s">
        <v>7883</v>
      </c>
      <c r="C10664" s="200" t="s">
        <v>372</v>
      </c>
      <c r="D10664" s="204">
        <v>-40500</v>
      </c>
      <c r="E10664" s="201">
        <v>45809</v>
      </c>
      <c r="F10664" s="200" t="s">
        <v>296</v>
      </c>
      <c r="G10664" s="200" t="s">
        <v>807</v>
      </c>
      <c r="H10664" s="200" t="s">
        <v>811</v>
      </c>
    </row>
    <row r="10665" spans="1:9" ht="15" customHeight="1">
      <c r="A10665" s="199">
        <v>45826</v>
      </c>
      <c r="B10665" s="202" t="s">
        <v>7884</v>
      </c>
      <c r="C10665" s="200" t="s">
        <v>372</v>
      </c>
      <c r="D10665" s="204">
        <v>-24300</v>
      </c>
      <c r="E10665" s="201">
        <v>45809</v>
      </c>
      <c r="F10665" s="200" t="s">
        <v>296</v>
      </c>
      <c r="G10665" s="200" t="s">
        <v>807</v>
      </c>
      <c r="H10665" s="200" t="s">
        <v>811</v>
      </c>
    </row>
    <row r="10666" spans="1:9" ht="15" customHeight="1">
      <c r="A10666" s="199">
        <v>45826</v>
      </c>
      <c r="B10666" s="202" t="s">
        <v>7885</v>
      </c>
      <c r="C10666" s="200" t="s">
        <v>204</v>
      </c>
      <c r="D10666" s="765">
        <v>-1918804</v>
      </c>
      <c r="E10666" s="201">
        <v>45809</v>
      </c>
      <c r="F10666" s="200" t="s">
        <v>296</v>
      </c>
      <c r="G10666" s="200" t="s">
        <v>1980</v>
      </c>
      <c r="H10666" s="200" t="s">
        <v>811</v>
      </c>
    </row>
    <row r="10667" spans="1:9" ht="15" customHeight="1">
      <c r="A10667" s="199">
        <v>45826</v>
      </c>
      <c r="B10667" s="202" t="s">
        <v>7886</v>
      </c>
      <c r="C10667" s="200" t="s">
        <v>372</v>
      </c>
      <c r="D10667" s="204">
        <v>-19500</v>
      </c>
      <c r="E10667" s="201">
        <v>45809</v>
      </c>
      <c r="F10667" s="200" t="s">
        <v>296</v>
      </c>
      <c r="G10667" s="200" t="s">
        <v>1980</v>
      </c>
      <c r="H10667" s="200" t="s">
        <v>811</v>
      </c>
    </row>
    <row r="10668" spans="1:9" ht="15" customHeight="1">
      <c r="A10668" s="199">
        <v>45826</v>
      </c>
      <c r="B10668" s="202" t="s">
        <v>7887</v>
      </c>
      <c r="C10668" s="200" t="s">
        <v>372</v>
      </c>
      <c r="D10668" s="204">
        <v>-11700</v>
      </c>
      <c r="E10668" s="201">
        <v>45809</v>
      </c>
      <c r="F10668" s="200" t="s">
        <v>296</v>
      </c>
      <c r="G10668" s="200" t="s">
        <v>1980</v>
      </c>
      <c r="H10668" s="200" t="s">
        <v>811</v>
      </c>
    </row>
    <row r="10669" spans="1:9" ht="15" customHeight="1">
      <c r="A10669" s="199">
        <v>45826</v>
      </c>
      <c r="B10669" s="202" t="s">
        <v>7424</v>
      </c>
      <c r="C10669" s="200" t="s">
        <v>204</v>
      </c>
      <c r="D10669" s="765">
        <v>-572400</v>
      </c>
      <c r="E10669" s="201">
        <v>45809</v>
      </c>
      <c r="F10669" s="200" t="s">
        <v>256</v>
      </c>
      <c r="G10669" s="200" t="s">
        <v>107</v>
      </c>
      <c r="H10669" s="200" t="s">
        <v>116</v>
      </c>
    </row>
    <row r="10670" spans="1:9" ht="15" customHeight="1">
      <c r="A10670" s="199">
        <v>45826</v>
      </c>
      <c r="B10670" s="202" t="s">
        <v>7425</v>
      </c>
      <c r="C10670" s="200" t="s">
        <v>372</v>
      </c>
      <c r="D10670" s="204">
        <v>-24000</v>
      </c>
      <c r="E10670" s="201">
        <v>45809</v>
      </c>
      <c r="F10670" s="200" t="s">
        <v>256</v>
      </c>
      <c r="G10670" s="200" t="s">
        <v>107</v>
      </c>
      <c r="H10670" s="200" t="s">
        <v>116</v>
      </c>
    </row>
    <row r="10671" spans="1:9" ht="15" customHeight="1">
      <c r="A10671" s="199">
        <v>45826</v>
      </c>
      <c r="B10671" s="202" t="s">
        <v>7888</v>
      </c>
      <c r="C10671" s="200" t="s">
        <v>372</v>
      </c>
      <c r="D10671" s="204">
        <v>-3600</v>
      </c>
      <c r="E10671" s="201">
        <v>45809</v>
      </c>
      <c r="F10671" s="200" t="s">
        <v>256</v>
      </c>
      <c r="G10671" s="200" t="s">
        <v>107</v>
      </c>
      <c r="H10671" s="200" t="s">
        <v>116</v>
      </c>
    </row>
    <row r="10672" spans="1:9" ht="15" customHeight="1">
      <c r="A10672" s="199">
        <v>45813</v>
      </c>
      <c r="B10672" s="202" t="s">
        <v>2540</v>
      </c>
      <c r="C10672" s="200" t="s">
        <v>204</v>
      </c>
      <c r="D10672" s="765">
        <v>-19000</v>
      </c>
      <c r="E10672" s="201">
        <v>45809</v>
      </c>
      <c r="F10672" s="200" t="s">
        <v>296</v>
      </c>
      <c r="G10672" s="200" t="s">
        <v>57</v>
      </c>
      <c r="H10672" s="200" t="s">
        <v>97</v>
      </c>
      <c r="I10672" s="200" t="s">
        <v>7889</v>
      </c>
    </row>
    <row r="10673" spans="1:9" ht="15" customHeight="1">
      <c r="A10673" s="199">
        <v>45817</v>
      </c>
      <c r="B10673" s="202" t="s">
        <v>2540</v>
      </c>
      <c r="C10673" s="200" t="s">
        <v>204</v>
      </c>
      <c r="D10673" s="765">
        <v>-27500</v>
      </c>
      <c r="E10673" s="201">
        <v>45809</v>
      </c>
      <c r="F10673" s="200" t="s">
        <v>296</v>
      </c>
      <c r="G10673" s="200" t="s">
        <v>57</v>
      </c>
      <c r="H10673" s="200" t="s">
        <v>97</v>
      </c>
      <c r="I10673" s="200" t="s">
        <v>7889</v>
      </c>
    </row>
    <row r="10674" spans="1:9" ht="15" customHeight="1">
      <c r="A10674" s="199">
        <v>45817</v>
      </c>
      <c r="B10674" s="202" t="s">
        <v>2540</v>
      </c>
      <c r="C10674" s="200" t="s">
        <v>204</v>
      </c>
      <c r="D10674" s="765">
        <v>-14500</v>
      </c>
      <c r="E10674" s="201">
        <v>45809</v>
      </c>
      <c r="F10674" s="200" t="s">
        <v>296</v>
      </c>
      <c r="G10674" s="200" t="s">
        <v>57</v>
      </c>
      <c r="H10674" s="200" t="s">
        <v>97</v>
      </c>
      <c r="I10674" s="200" t="s">
        <v>7889</v>
      </c>
    </row>
    <row r="10675" spans="1:9" ht="15" customHeight="1">
      <c r="A10675" s="199">
        <v>45818</v>
      </c>
      <c r="B10675" s="202" t="s">
        <v>4504</v>
      </c>
      <c r="C10675" s="200" t="s">
        <v>204</v>
      </c>
      <c r="D10675" s="765">
        <v>-44030</v>
      </c>
      <c r="E10675" s="201">
        <v>45809</v>
      </c>
      <c r="F10675" s="200" t="s">
        <v>296</v>
      </c>
      <c r="G10675" s="200" t="s">
        <v>57</v>
      </c>
      <c r="H10675" s="200" t="s">
        <v>97</v>
      </c>
      <c r="I10675" s="200" t="s">
        <v>7889</v>
      </c>
    </row>
    <row r="10676" spans="1:9" ht="15" customHeight="1">
      <c r="A10676" s="199">
        <v>45818</v>
      </c>
      <c r="B10676" s="202" t="s">
        <v>4504</v>
      </c>
      <c r="C10676" s="200" t="s">
        <v>204</v>
      </c>
      <c r="D10676" s="765">
        <v>-52019</v>
      </c>
      <c r="E10676" s="201">
        <v>45809</v>
      </c>
      <c r="F10676" s="200" t="s">
        <v>296</v>
      </c>
      <c r="G10676" s="200" t="s">
        <v>57</v>
      </c>
      <c r="H10676" s="200" t="s">
        <v>97</v>
      </c>
      <c r="I10676" s="200" t="s">
        <v>7889</v>
      </c>
    </row>
    <row r="10677" spans="1:9" ht="15" customHeight="1">
      <c r="A10677" s="199">
        <v>45818</v>
      </c>
      <c r="B10677" s="202" t="s">
        <v>2540</v>
      </c>
      <c r="C10677" s="200" t="s">
        <v>204</v>
      </c>
      <c r="D10677" s="765">
        <v>-39000</v>
      </c>
      <c r="E10677" s="201">
        <v>45809</v>
      </c>
      <c r="F10677" s="200" t="s">
        <v>296</v>
      </c>
      <c r="G10677" s="200" t="s">
        <v>57</v>
      </c>
      <c r="H10677" s="200" t="s">
        <v>97</v>
      </c>
      <c r="I10677" s="200" t="s">
        <v>7889</v>
      </c>
    </row>
    <row r="10678" spans="1:9" ht="15" customHeight="1">
      <c r="A10678" s="199">
        <v>45818</v>
      </c>
      <c r="B10678" s="202" t="s">
        <v>4504</v>
      </c>
      <c r="C10678" s="200" t="s">
        <v>204</v>
      </c>
      <c r="D10678" s="765">
        <v>-14800</v>
      </c>
      <c r="E10678" s="201">
        <v>45809</v>
      </c>
      <c r="F10678" s="200" t="s">
        <v>296</v>
      </c>
      <c r="G10678" s="200" t="s">
        <v>57</v>
      </c>
      <c r="H10678" s="200" t="s">
        <v>97</v>
      </c>
      <c r="I10678" s="200" t="s">
        <v>7889</v>
      </c>
    </row>
    <row r="10679" spans="1:9" ht="15" customHeight="1">
      <c r="A10679" s="199">
        <v>45818</v>
      </c>
      <c r="B10679" s="202" t="s">
        <v>4504</v>
      </c>
      <c r="C10679" s="200" t="s">
        <v>204</v>
      </c>
      <c r="D10679" s="765">
        <v>-14800</v>
      </c>
      <c r="E10679" s="201">
        <v>45809</v>
      </c>
      <c r="F10679" s="200" t="s">
        <v>296</v>
      </c>
      <c r="G10679" s="200" t="s">
        <v>57</v>
      </c>
      <c r="H10679" s="200" t="s">
        <v>97</v>
      </c>
      <c r="I10679" s="200" t="s">
        <v>7889</v>
      </c>
    </row>
    <row r="10680" spans="1:9" ht="15" customHeight="1">
      <c r="A10680" s="199">
        <v>45819</v>
      </c>
      <c r="B10680" s="202" t="s">
        <v>4504</v>
      </c>
      <c r="C10680" s="200" t="s">
        <v>204</v>
      </c>
      <c r="D10680" s="765">
        <v>-60004</v>
      </c>
      <c r="E10680" s="201">
        <v>45809</v>
      </c>
      <c r="F10680" s="200" t="s">
        <v>296</v>
      </c>
      <c r="G10680" s="200" t="s">
        <v>57</v>
      </c>
      <c r="H10680" s="200" t="s">
        <v>97</v>
      </c>
      <c r="I10680" s="200" t="s">
        <v>7889</v>
      </c>
    </row>
    <row r="10681" spans="1:9" ht="15" customHeight="1">
      <c r="A10681" s="199">
        <v>45819</v>
      </c>
      <c r="B10681" s="202" t="s">
        <v>4504</v>
      </c>
      <c r="C10681" s="200" t="s">
        <v>204</v>
      </c>
      <c r="D10681" s="765">
        <v>-12400</v>
      </c>
      <c r="E10681" s="201">
        <v>45809</v>
      </c>
      <c r="F10681" s="200" t="s">
        <v>296</v>
      </c>
      <c r="G10681" s="200" t="s">
        <v>57</v>
      </c>
      <c r="H10681" s="200" t="s">
        <v>97</v>
      </c>
      <c r="I10681" s="200" t="s">
        <v>7889</v>
      </c>
    </row>
    <row r="10682" spans="1:9" ht="15" customHeight="1">
      <c r="A10682" s="199">
        <v>45819</v>
      </c>
      <c r="B10682" s="202" t="s">
        <v>4504</v>
      </c>
      <c r="C10682" s="200" t="s">
        <v>204</v>
      </c>
      <c r="D10682" s="765">
        <v>-12400</v>
      </c>
      <c r="E10682" s="201">
        <v>45809</v>
      </c>
      <c r="F10682" s="200" t="s">
        <v>296</v>
      </c>
      <c r="G10682" s="200" t="s">
        <v>57</v>
      </c>
      <c r="H10682" s="200" t="s">
        <v>97</v>
      </c>
      <c r="I10682" s="200" t="s">
        <v>7889</v>
      </c>
    </row>
    <row r="10683" spans="1:9" ht="15" customHeight="1">
      <c r="A10683" s="199">
        <v>45819</v>
      </c>
      <c r="B10683" s="202" t="s">
        <v>2540</v>
      </c>
      <c r="C10683" s="200" t="s">
        <v>204</v>
      </c>
      <c r="D10683" s="765">
        <v>-10900</v>
      </c>
      <c r="E10683" s="201">
        <v>45809</v>
      </c>
      <c r="F10683" s="200" t="s">
        <v>296</v>
      </c>
      <c r="G10683" s="200" t="s">
        <v>57</v>
      </c>
      <c r="H10683" s="200" t="s">
        <v>97</v>
      </c>
      <c r="I10683" s="200" t="s">
        <v>7889</v>
      </c>
    </row>
    <row r="10684" spans="1:9" ht="15" customHeight="1">
      <c r="A10684" s="199">
        <v>45821</v>
      </c>
      <c r="B10684" s="202" t="s">
        <v>2540</v>
      </c>
      <c r="C10684" s="200" t="s">
        <v>204</v>
      </c>
      <c r="D10684" s="765">
        <v>-36000</v>
      </c>
      <c r="E10684" s="201">
        <v>45809</v>
      </c>
      <c r="F10684" s="200" t="s">
        <v>296</v>
      </c>
      <c r="G10684" s="200" t="s">
        <v>57</v>
      </c>
      <c r="H10684" s="200" t="s">
        <v>97</v>
      </c>
      <c r="I10684" s="200" t="s">
        <v>7889</v>
      </c>
    </row>
    <row r="10685" spans="1:9" ht="15" customHeight="1">
      <c r="A10685" s="199">
        <v>45822</v>
      </c>
      <c r="B10685" s="202" t="s">
        <v>4504</v>
      </c>
      <c r="C10685" s="200" t="s">
        <v>204</v>
      </c>
      <c r="D10685" s="765">
        <v>-60038</v>
      </c>
      <c r="E10685" s="201">
        <v>45809</v>
      </c>
      <c r="F10685" s="200" t="s">
        <v>296</v>
      </c>
      <c r="G10685" s="200" t="s">
        <v>57</v>
      </c>
      <c r="H10685" s="200" t="s">
        <v>97</v>
      </c>
      <c r="I10685" s="200" t="s">
        <v>7889</v>
      </c>
    </row>
    <row r="10686" spans="1:9" ht="15" customHeight="1">
      <c r="A10686" s="199">
        <v>45822</v>
      </c>
      <c r="B10686" s="202" t="s">
        <v>4504</v>
      </c>
      <c r="C10686" s="200" t="s">
        <v>204</v>
      </c>
      <c r="D10686" s="765">
        <v>-14800</v>
      </c>
      <c r="E10686" s="201">
        <v>45809</v>
      </c>
      <c r="F10686" s="200" t="s">
        <v>296</v>
      </c>
      <c r="G10686" s="200" t="s">
        <v>57</v>
      </c>
      <c r="H10686" s="200" t="s">
        <v>97</v>
      </c>
      <c r="I10686" s="200" t="s">
        <v>7889</v>
      </c>
    </row>
    <row r="10687" spans="1:9" ht="15" customHeight="1">
      <c r="A10687" s="199">
        <v>45822</v>
      </c>
      <c r="B10687" s="202" t="s">
        <v>4504</v>
      </c>
      <c r="C10687" s="200" t="s">
        <v>204</v>
      </c>
      <c r="D10687" s="765">
        <v>-14800</v>
      </c>
      <c r="E10687" s="201">
        <v>45809</v>
      </c>
      <c r="F10687" s="200" t="s">
        <v>296</v>
      </c>
      <c r="G10687" s="200" t="s">
        <v>57</v>
      </c>
      <c r="H10687" s="200" t="s">
        <v>97</v>
      </c>
      <c r="I10687" s="200" t="s">
        <v>7889</v>
      </c>
    </row>
    <row r="10688" spans="1:9" ht="15" customHeight="1">
      <c r="A10688" s="199">
        <v>45822</v>
      </c>
      <c r="B10688" s="202" t="s">
        <v>2540</v>
      </c>
      <c r="C10688" s="200" t="s">
        <v>204</v>
      </c>
      <c r="D10688" s="765">
        <v>-18500</v>
      </c>
      <c r="E10688" s="201">
        <v>45809</v>
      </c>
      <c r="F10688" s="200" t="s">
        <v>296</v>
      </c>
      <c r="G10688" s="200" t="s">
        <v>57</v>
      </c>
      <c r="H10688" s="200" t="s">
        <v>97</v>
      </c>
      <c r="I10688" s="200" t="s">
        <v>7889</v>
      </c>
    </row>
    <row r="10689" spans="1:9" ht="15" customHeight="1">
      <c r="A10689" s="199">
        <v>45822</v>
      </c>
      <c r="B10689" s="202" t="s">
        <v>2540</v>
      </c>
      <c r="C10689" s="200" t="s">
        <v>204</v>
      </c>
      <c r="D10689" s="765">
        <v>-97000</v>
      </c>
      <c r="E10689" s="201">
        <v>45809</v>
      </c>
      <c r="F10689" s="200" t="s">
        <v>296</v>
      </c>
      <c r="G10689" s="200" t="s">
        <v>57</v>
      </c>
      <c r="H10689" s="200" t="s">
        <v>97</v>
      </c>
      <c r="I10689" s="200" t="s">
        <v>7889</v>
      </c>
    </row>
    <row r="10690" spans="1:9" ht="15" customHeight="1">
      <c r="A10690" s="199">
        <v>45822</v>
      </c>
      <c r="B10690" s="202" t="s">
        <v>7890</v>
      </c>
      <c r="C10690" s="200" t="s">
        <v>204</v>
      </c>
      <c r="D10690" s="765">
        <v>-185000</v>
      </c>
      <c r="E10690" s="201">
        <v>45809</v>
      </c>
      <c r="F10690" s="200" t="s">
        <v>296</v>
      </c>
      <c r="G10690" s="200" t="s">
        <v>57</v>
      </c>
      <c r="H10690" s="200" t="s">
        <v>97</v>
      </c>
      <c r="I10690" s="200" t="s">
        <v>7889</v>
      </c>
    </row>
    <row r="10691" spans="1:9" ht="15" customHeight="1">
      <c r="A10691" s="199">
        <v>45826</v>
      </c>
      <c r="B10691" s="202" t="s">
        <v>7891</v>
      </c>
      <c r="C10691" s="200" t="s">
        <v>204</v>
      </c>
      <c r="D10691" s="765">
        <v>-861513</v>
      </c>
      <c r="E10691" s="201">
        <v>45809</v>
      </c>
      <c r="F10691" s="200" t="s">
        <v>296</v>
      </c>
      <c r="G10691" s="200" t="s">
        <v>522</v>
      </c>
      <c r="H10691" s="200" t="s">
        <v>488</v>
      </c>
    </row>
    <row r="10692" spans="1:9" ht="15" customHeight="1">
      <c r="A10692" s="199">
        <v>45826</v>
      </c>
      <c r="B10692" s="202" t="s">
        <v>7892</v>
      </c>
      <c r="C10692" s="200" t="s">
        <v>372</v>
      </c>
      <c r="D10692" s="204">
        <v>-18487</v>
      </c>
      <c r="E10692" s="201">
        <v>45809</v>
      </c>
      <c r="F10692" s="200" t="s">
        <v>296</v>
      </c>
      <c r="G10692" s="200" t="s">
        <v>522</v>
      </c>
      <c r="H10692" s="200" t="s">
        <v>488</v>
      </c>
    </row>
    <row r="10693" spans="1:9" ht="15" customHeight="1">
      <c r="A10693" s="199">
        <v>45811</v>
      </c>
      <c r="B10693" s="202" t="s">
        <v>7893</v>
      </c>
      <c r="C10693" s="200" t="s">
        <v>204</v>
      </c>
      <c r="D10693" s="765">
        <v>-129000</v>
      </c>
      <c r="E10693" s="201">
        <v>45809</v>
      </c>
      <c r="F10693" s="200" t="s">
        <v>296</v>
      </c>
      <c r="G10693" s="200" t="s">
        <v>1362</v>
      </c>
      <c r="H10693" s="200" t="s">
        <v>342</v>
      </c>
      <c r="I10693" s="200" t="s">
        <v>5635</v>
      </c>
    </row>
    <row r="10694" spans="1:9" ht="15" customHeight="1">
      <c r="A10694" s="199">
        <v>45811</v>
      </c>
      <c r="B10694" s="202" t="s">
        <v>7894</v>
      </c>
      <c r="C10694" s="200" t="s">
        <v>204</v>
      </c>
      <c r="D10694" s="765">
        <v>-20000</v>
      </c>
      <c r="E10694" s="201">
        <v>45809</v>
      </c>
      <c r="F10694" s="200" t="s">
        <v>296</v>
      </c>
      <c r="G10694" s="200" t="s">
        <v>1362</v>
      </c>
      <c r="H10694" s="200" t="s">
        <v>268</v>
      </c>
      <c r="I10694" s="200" t="s">
        <v>5635</v>
      </c>
    </row>
    <row r="10695" spans="1:9" ht="15" customHeight="1">
      <c r="A10695" s="199">
        <v>45811</v>
      </c>
      <c r="B10695" s="202" t="s">
        <v>7895</v>
      </c>
      <c r="C10695" s="200" t="s">
        <v>204</v>
      </c>
      <c r="D10695" s="765">
        <v>-8000</v>
      </c>
      <c r="E10695" s="201">
        <v>45809</v>
      </c>
      <c r="F10695" s="200" t="s">
        <v>296</v>
      </c>
      <c r="G10695" s="200" t="s">
        <v>1362</v>
      </c>
      <c r="H10695" s="200" t="s">
        <v>268</v>
      </c>
      <c r="I10695" s="200" t="s">
        <v>5635</v>
      </c>
    </row>
    <row r="10696" spans="1:9" ht="15" customHeight="1">
      <c r="A10696" s="199">
        <v>45811</v>
      </c>
      <c r="B10696" s="202" t="s">
        <v>7896</v>
      </c>
      <c r="C10696" s="200" t="s">
        <v>204</v>
      </c>
      <c r="D10696" s="765">
        <v>-9000</v>
      </c>
      <c r="E10696" s="201">
        <v>45809</v>
      </c>
      <c r="F10696" s="200" t="s">
        <v>296</v>
      </c>
      <c r="G10696" s="200" t="s">
        <v>1362</v>
      </c>
      <c r="H10696" s="200" t="s">
        <v>268</v>
      </c>
      <c r="I10696" s="200" t="s">
        <v>5635</v>
      </c>
    </row>
    <row r="10697" spans="1:9" ht="15" customHeight="1">
      <c r="A10697" s="199">
        <v>45811</v>
      </c>
      <c r="B10697" s="202" t="s">
        <v>7897</v>
      </c>
      <c r="C10697" s="200" t="s">
        <v>204</v>
      </c>
      <c r="D10697" s="765">
        <v>-10100</v>
      </c>
      <c r="E10697" s="201">
        <v>45809</v>
      </c>
      <c r="F10697" s="200" t="s">
        <v>296</v>
      </c>
      <c r="G10697" s="200" t="s">
        <v>5466</v>
      </c>
      <c r="H10697" s="200" t="s">
        <v>5384</v>
      </c>
      <c r="I10697" s="200" t="s">
        <v>5635</v>
      </c>
    </row>
    <row r="10698" spans="1:9" ht="15" customHeight="1">
      <c r="A10698" s="199">
        <v>45811</v>
      </c>
      <c r="B10698" s="202" t="s">
        <v>7898</v>
      </c>
      <c r="C10698" s="200" t="s">
        <v>204</v>
      </c>
      <c r="D10698" s="765">
        <v>-6300</v>
      </c>
      <c r="E10698" s="201">
        <v>45809</v>
      </c>
      <c r="F10698" s="200" t="s">
        <v>296</v>
      </c>
      <c r="G10698" s="200" t="s">
        <v>5466</v>
      </c>
      <c r="H10698" s="200" t="s">
        <v>268</v>
      </c>
      <c r="I10698" s="200" t="s">
        <v>5635</v>
      </c>
    </row>
    <row r="10699" spans="1:9" ht="15" customHeight="1">
      <c r="A10699" s="199">
        <v>45811</v>
      </c>
      <c r="B10699" s="202" t="s">
        <v>7899</v>
      </c>
      <c r="C10699" s="200" t="s">
        <v>204</v>
      </c>
      <c r="D10699" s="765">
        <v>-60000</v>
      </c>
      <c r="E10699" s="201">
        <v>45809</v>
      </c>
      <c r="F10699" s="200" t="s">
        <v>296</v>
      </c>
      <c r="G10699" s="200" t="s">
        <v>5466</v>
      </c>
      <c r="H10699" s="200" t="s">
        <v>268</v>
      </c>
      <c r="I10699" s="200" t="s">
        <v>5635</v>
      </c>
    </row>
    <row r="10700" spans="1:9" ht="15" customHeight="1">
      <c r="A10700" s="199">
        <v>45811</v>
      </c>
      <c r="B10700" s="202" t="s">
        <v>7900</v>
      </c>
      <c r="C10700" s="200" t="s">
        <v>204</v>
      </c>
      <c r="D10700" s="765">
        <v>-25400</v>
      </c>
      <c r="E10700" s="201">
        <v>45809</v>
      </c>
      <c r="F10700" s="200" t="s">
        <v>296</v>
      </c>
      <c r="G10700" s="200" t="s">
        <v>5466</v>
      </c>
      <c r="H10700" s="200" t="s">
        <v>268</v>
      </c>
      <c r="I10700" s="200" t="s">
        <v>5635</v>
      </c>
    </row>
    <row r="10701" spans="1:9" ht="15" customHeight="1">
      <c r="A10701" s="199">
        <v>45811</v>
      </c>
      <c r="B10701" s="202" t="s">
        <v>6162</v>
      </c>
      <c r="C10701" s="200" t="s">
        <v>204</v>
      </c>
      <c r="D10701" s="765">
        <v>-45000</v>
      </c>
      <c r="E10701" s="201">
        <v>45809</v>
      </c>
      <c r="F10701" s="200" t="s">
        <v>296</v>
      </c>
      <c r="G10701" s="200" t="s">
        <v>5466</v>
      </c>
      <c r="H10701" s="200" t="s">
        <v>268</v>
      </c>
      <c r="I10701" s="200" t="s">
        <v>5635</v>
      </c>
    </row>
    <row r="10702" spans="1:9" ht="15" customHeight="1">
      <c r="A10702" s="199">
        <v>45811</v>
      </c>
      <c r="B10702" s="202" t="s">
        <v>1521</v>
      </c>
      <c r="C10702" s="200" t="s">
        <v>204</v>
      </c>
      <c r="D10702" s="765">
        <v>-12016</v>
      </c>
      <c r="E10702" s="201">
        <v>45809</v>
      </c>
      <c r="F10702" s="200" t="s">
        <v>296</v>
      </c>
      <c r="G10702" s="200" t="s">
        <v>5466</v>
      </c>
      <c r="H10702" s="200" t="s">
        <v>342</v>
      </c>
      <c r="I10702" s="200" t="s">
        <v>5635</v>
      </c>
    </row>
    <row r="10703" spans="1:9" ht="15" customHeight="1">
      <c r="A10703" s="199">
        <v>45811</v>
      </c>
      <c r="B10703" s="202" t="s">
        <v>7202</v>
      </c>
      <c r="C10703" s="200" t="s">
        <v>204</v>
      </c>
      <c r="D10703" s="765">
        <v>-24973</v>
      </c>
      <c r="E10703" s="201">
        <v>45809</v>
      </c>
      <c r="F10703" s="200" t="s">
        <v>296</v>
      </c>
      <c r="G10703" s="200" t="s">
        <v>5466</v>
      </c>
      <c r="H10703" s="200" t="s">
        <v>342</v>
      </c>
      <c r="I10703" s="200" t="s">
        <v>5635</v>
      </c>
    </row>
    <row r="10704" spans="1:9" ht="15" customHeight="1">
      <c r="A10704" s="199">
        <v>45811</v>
      </c>
      <c r="B10704" s="202" t="s">
        <v>7901</v>
      </c>
      <c r="C10704" s="200" t="s">
        <v>204</v>
      </c>
      <c r="D10704" s="765">
        <v>-6000</v>
      </c>
      <c r="E10704" s="201">
        <v>45809</v>
      </c>
      <c r="F10704" s="200" t="s">
        <v>296</v>
      </c>
      <c r="G10704" s="200" t="s">
        <v>5466</v>
      </c>
      <c r="H10704" s="200" t="s">
        <v>268</v>
      </c>
      <c r="I10704" s="200" t="s">
        <v>5635</v>
      </c>
    </row>
    <row r="10705" spans="1:9" ht="15" customHeight="1">
      <c r="A10705" s="199">
        <v>45811</v>
      </c>
      <c r="B10705" s="202" t="s">
        <v>7902</v>
      </c>
      <c r="C10705" s="200" t="s">
        <v>204</v>
      </c>
      <c r="D10705" s="765">
        <v>-5000</v>
      </c>
      <c r="E10705" s="201">
        <v>45809</v>
      </c>
      <c r="F10705" s="200" t="s">
        <v>296</v>
      </c>
      <c r="G10705" s="200" t="s">
        <v>5466</v>
      </c>
      <c r="H10705" s="200" t="s">
        <v>5384</v>
      </c>
      <c r="I10705" s="200" t="s">
        <v>5635</v>
      </c>
    </row>
    <row r="10706" spans="1:9" ht="15" customHeight="1">
      <c r="A10706" s="199">
        <v>45811</v>
      </c>
      <c r="B10706" s="202" t="s">
        <v>498</v>
      </c>
      <c r="C10706" s="200" t="s">
        <v>204</v>
      </c>
      <c r="D10706" s="765">
        <v>-8800</v>
      </c>
      <c r="E10706" s="201">
        <v>45809</v>
      </c>
      <c r="F10706" s="200" t="s">
        <v>296</v>
      </c>
      <c r="G10706" s="200" t="s">
        <v>5466</v>
      </c>
      <c r="H10706" s="200" t="s">
        <v>342</v>
      </c>
      <c r="I10706" s="200" t="s">
        <v>5635</v>
      </c>
    </row>
    <row r="10707" spans="1:9" ht="15" customHeight="1">
      <c r="A10707" s="199">
        <v>45811</v>
      </c>
      <c r="B10707" s="202" t="s">
        <v>498</v>
      </c>
      <c r="C10707" s="200" t="s">
        <v>204</v>
      </c>
      <c r="D10707" s="765">
        <v>-17300</v>
      </c>
      <c r="E10707" s="201">
        <v>45809</v>
      </c>
      <c r="F10707" s="200" t="s">
        <v>296</v>
      </c>
      <c r="G10707" s="200" t="s">
        <v>5466</v>
      </c>
      <c r="H10707" s="200" t="s">
        <v>342</v>
      </c>
      <c r="I10707" s="200" t="s">
        <v>5635</v>
      </c>
    </row>
    <row r="10708" spans="1:9" ht="15" customHeight="1">
      <c r="A10708" s="199">
        <v>45811</v>
      </c>
      <c r="B10708" s="202" t="s">
        <v>7903</v>
      </c>
      <c r="C10708" s="200" t="s">
        <v>204</v>
      </c>
      <c r="D10708" s="765">
        <v>-6200</v>
      </c>
      <c r="E10708" s="201">
        <v>45809</v>
      </c>
      <c r="F10708" s="200" t="s">
        <v>296</v>
      </c>
      <c r="G10708" s="200" t="s">
        <v>5466</v>
      </c>
      <c r="H10708" s="200" t="s">
        <v>268</v>
      </c>
      <c r="I10708" s="200" t="s">
        <v>5635</v>
      </c>
    </row>
    <row r="10709" spans="1:9" ht="15" customHeight="1">
      <c r="A10709" s="199">
        <v>45811</v>
      </c>
      <c r="B10709" s="202" t="s">
        <v>7904</v>
      </c>
      <c r="C10709" s="200" t="s">
        <v>204</v>
      </c>
      <c r="D10709" s="765">
        <v>-10600</v>
      </c>
      <c r="E10709" s="201">
        <v>45809</v>
      </c>
      <c r="F10709" s="200" t="s">
        <v>296</v>
      </c>
      <c r="G10709" s="200" t="s">
        <v>5466</v>
      </c>
      <c r="H10709" s="200" t="s">
        <v>5384</v>
      </c>
      <c r="I10709" s="200" t="s">
        <v>5635</v>
      </c>
    </row>
    <row r="10710" spans="1:9" ht="15" customHeight="1">
      <c r="A10710" s="199">
        <v>45811</v>
      </c>
      <c r="B10710" s="202" t="s">
        <v>7905</v>
      </c>
      <c r="C10710" s="200" t="s">
        <v>204</v>
      </c>
      <c r="D10710" s="765">
        <v>-10000</v>
      </c>
      <c r="E10710" s="201">
        <v>45809</v>
      </c>
      <c r="F10710" s="200" t="s">
        <v>296</v>
      </c>
      <c r="G10710" s="200" t="s">
        <v>5466</v>
      </c>
      <c r="H10710" s="200" t="s">
        <v>268</v>
      </c>
      <c r="I10710" s="200" t="s">
        <v>5635</v>
      </c>
    </row>
    <row r="10711" spans="1:9" ht="15" customHeight="1">
      <c r="A10711" s="199">
        <v>45811</v>
      </c>
      <c r="B10711" s="202" t="s">
        <v>7906</v>
      </c>
      <c r="C10711" s="200" t="s">
        <v>204</v>
      </c>
      <c r="D10711" s="765">
        <v>-30000</v>
      </c>
      <c r="E10711" s="201">
        <v>45809</v>
      </c>
      <c r="F10711" s="200" t="s">
        <v>296</v>
      </c>
      <c r="G10711" s="200" t="s">
        <v>5466</v>
      </c>
      <c r="H10711" s="200" t="s">
        <v>268</v>
      </c>
      <c r="I10711" s="200" t="s">
        <v>5635</v>
      </c>
    </row>
    <row r="10712" spans="1:9" ht="15" customHeight="1">
      <c r="A10712" s="199">
        <v>45811</v>
      </c>
      <c r="B10712" s="202" t="s">
        <v>436</v>
      </c>
      <c r="C10712" s="200" t="s">
        <v>204</v>
      </c>
      <c r="D10712" s="765">
        <v>-40000</v>
      </c>
      <c r="E10712" s="201">
        <v>45809</v>
      </c>
      <c r="F10712" s="200" t="s">
        <v>296</v>
      </c>
      <c r="G10712" s="200" t="s">
        <v>5466</v>
      </c>
      <c r="H10712" s="200" t="s">
        <v>5384</v>
      </c>
      <c r="I10712" s="200" t="s">
        <v>5635</v>
      </c>
    </row>
    <row r="10713" spans="1:9" ht="15" customHeight="1">
      <c r="A10713" s="199">
        <v>45812</v>
      </c>
      <c r="B10713" s="202" t="s">
        <v>498</v>
      </c>
      <c r="C10713" s="200" t="s">
        <v>204</v>
      </c>
      <c r="D10713" s="765">
        <v>-7100</v>
      </c>
      <c r="E10713" s="201">
        <v>45809</v>
      </c>
      <c r="F10713" s="200" t="s">
        <v>296</v>
      </c>
      <c r="G10713" s="200" t="s">
        <v>5466</v>
      </c>
      <c r="H10713" s="200" t="s">
        <v>342</v>
      </c>
      <c r="I10713" s="200" t="s">
        <v>5635</v>
      </c>
    </row>
    <row r="10714" spans="1:9" ht="15" customHeight="1">
      <c r="A10714" s="199">
        <v>45812</v>
      </c>
      <c r="B10714" s="202" t="s">
        <v>7907</v>
      </c>
      <c r="C10714" s="200" t="s">
        <v>204</v>
      </c>
      <c r="D10714" s="765">
        <v>-13000</v>
      </c>
      <c r="E10714" s="201">
        <v>45809</v>
      </c>
      <c r="F10714" s="200" t="s">
        <v>296</v>
      </c>
      <c r="G10714" s="200" t="s">
        <v>5466</v>
      </c>
      <c r="H10714" s="200" t="s">
        <v>268</v>
      </c>
      <c r="I10714" s="200" t="s">
        <v>5635</v>
      </c>
    </row>
    <row r="10715" spans="1:9" ht="15" customHeight="1">
      <c r="A10715" s="199">
        <v>45812</v>
      </c>
      <c r="B10715" s="202" t="s">
        <v>7908</v>
      </c>
      <c r="C10715" s="200" t="s">
        <v>204</v>
      </c>
      <c r="D10715" s="765">
        <v>-42500</v>
      </c>
      <c r="E10715" s="201">
        <v>45809</v>
      </c>
      <c r="F10715" s="200" t="s">
        <v>296</v>
      </c>
      <c r="G10715" s="200" t="s">
        <v>5466</v>
      </c>
      <c r="H10715" s="200" t="s">
        <v>5384</v>
      </c>
      <c r="I10715" s="200" t="s">
        <v>5635</v>
      </c>
    </row>
    <row r="10716" spans="1:9" ht="15" customHeight="1">
      <c r="A10716" s="199">
        <v>45812</v>
      </c>
      <c r="B10716" s="202" t="s">
        <v>7909</v>
      </c>
      <c r="C10716" s="200" t="s">
        <v>204</v>
      </c>
      <c r="D10716" s="765">
        <v>-10000</v>
      </c>
      <c r="E10716" s="201">
        <v>45809</v>
      </c>
      <c r="F10716" s="200" t="s">
        <v>296</v>
      </c>
      <c r="G10716" s="200" t="s">
        <v>5466</v>
      </c>
      <c r="H10716" s="200" t="s">
        <v>5384</v>
      </c>
      <c r="I10716" s="200" t="s">
        <v>5635</v>
      </c>
    </row>
    <row r="10717" spans="1:9" ht="15" customHeight="1">
      <c r="A10717" s="199">
        <v>45813</v>
      </c>
      <c r="B10717" s="202" t="s">
        <v>7910</v>
      </c>
      <c r="C10717" s="200" t="s">
        <v>204</v>
      </c>
      <c r="D10717" s="765">
        <v>-84000</v>
      </c>
      <c r="E10717" s="201">
        <v>45809</v>
      </c>
      <c r="F10717" s="200" t="s">
        <v>296</v>
      </c>
      <c r="G10717" s="200" t="s">
        <v>5466</v>
      </c>
      <c r="H10717" s="200" t="s">
        <v>5384</v>
      </c>
      <c r="I10717" s="200" t="s">
        <v>5635</v>
      </c>
    </row>
    <row r="10718" spans="1:9" ht="15" customHeight="1">
      <c r="A10718" s="199">
        <v>45813</v>
      </c>
      <c r="B10718" s="202" t="s">
        <v>7911</v>
      </c>
      <c r="C10718" s="200" t="s">
        <v>204</v>
      </c>
      <c r="D10718" s="765">
        <v>-10600</v>
      </c>
      <c r="E10718" s="201">
        <v>45809</v>
      </c>
      <c r="F10718" s="200" t="s">
        <v>296</v>
      </c>
      <c r="G10718" s="200" t="s">
        <v>5466</v>
      </c>
      <c r="H10718" s="200" t="s">
        <v>268</v>
      </c>
      <c r="I10718" s="200" t="s">
        <v>5635</v>
      </c>
    </row>
    <row r="10719" spans="1:9" ht="15" customHeight="1">
      <c r="A10719" s="199">
        <v>45813</v>
      </c>
      <c r="B10719" s="202" t="s">
        <v>729</v>
      </c>
      <c r="C10719" s="200" t="s">
        <v>204</v>
      </c>
      <c r="D10719" s="765">
        <v>-8550</v>
      </c>
      <c r="E10719" s="201">
        <v>45809</v>
      </c>
      <c r="F10719" s="200" t="s">
        <v>296</v>
      </c>
      <c r="G10719" s="200" t="s">
        <v>5466</v>
      </c>
      <c r="H10719" s="200" t="s">
        <v>342</v>
      </c>
      <c r="I10719" s="200" t="s">
        <v>5635</v>
      </c>
    </row>
    <row r="10720" spans="1:9" ht="15" customHeight="1">
      <c r="A10720" s="199">
        <v>45813</v>
      </c>
      <c r="B10720" s="202" t="s">
        <v>729</v>
      </c>
      <c r="C10720" s="200" t="s">
        <v>204</v>
      </c>
      <c r="D10720" s="765">
        <v>-7100</v>
      </c>
      <c r="E10720" s="201">
        <v>45809</v>
      </c>
      <c r="F10720" s="200" t="s">
        <v>296</v>
      </c>
      <c r="G10720" s="200" t="s">
        <v>5466</v>
      </c>
      <c r="H10720" s="200" t="s">
        <v>342</v>
      </c>
      <c r="I10720" s="200" t="s">
        <v>5635</v>
      </c>
    </row>
    <row r="10721" spans="1:9" ht="15" customHeight="1">
      <c r="A10721" s="199">
        <v>45813</v>
      </c>
      <c r="B10721" s="202" t="s">
        <v>7912</v>
      </c>
      <c r="C10721" s="200" t="s">
        <v>204</v>
      </c>
      <c r="D10721" s="765">
        <v>-2900</v>
      </c>
      <c r="E10721" s="201">
        <v>45809</v>
      </c>
      <c r="F10721" s="200" t="s">
        <v>296</v>
      </c>
      <c r="G10721" s="200" t="s">
        <v>5466</v>
      </c>
      <c r="H10721" s="200" t="s">
        <v>5384</v>
      </c>
      <c r="I10721" s="200" t="s">
        <v>5635</v>
      </c>
    </row>
    <row r="10722" spans="1:9" ht="15" customHeight="1">
      <c r="A10722" s="199">
        <v>45813</v>
      </c>
      <c r="B10722" s="202" t="s">
        <v>7913</v>
      </c>
      <c r="C10722" s="200" t="s">
        <v>204</v>
      </c>
      <c r="D10722" s="765">
        <v>-31200</v>
      </c>
      <c r="E10722" s="201">
        <v>45809</v>
      </c>
      <c r="F10722" s="200" t="s">
        <v>296</v>
      </c>
      <c r="G10722" s="200" t="s">
        <v>5466</v>
      </c>
      <c r="H10722" s="200" t="s">
        <v>346</v>
      </c>
      <c r="I10722" s="200" t="s">
        <v>5635</v>
      </c>
    </row>
    <row r="10723" spans="1:9" ht="15" customHeight="1">
      <c r="A10723" s="199">
        <v>45826</v>
      </c>
      <c r="B10723" s="202" t="s">
        <v>7914</v>
      </c>
      <c r="C10723" s="200" t="s">
        <v>204</v>
      </c>
      <c r="D10723" s="765">
        <v>-1808385</v>
      </c>
      <c r="E10723" s="201">
        <v>45809</v>
      </c>
      <c r="F10723" s="200" t="s">
        <v>296</v>
      </c>
      <c r="G10723" s="200" t="s">
        <v>44</v>
      </c>
      <c r="H10723" s="200" t="s">
        <v>421</v>
      </c>
    </row>
    <row r="10724" spans="1:9" ht="15" customHeight="1">
      <c r="A10724" s="199">
        <v>45826</v>
      </c>
      <c r="B10724" s="202" t="s">
        <v>7914</v>
      </c>
      <c r="C10724" s="200" t="s">
        <v>204</v>
      </c>
      <c r="D10724" s="765">
        <v>-1808385</v>
      </c>
      <c r="E10724" s="201">
        <v>45809</v>
      </c>
      <c r="F10724" s="200" t="s">
        <v>296</v>
      </c>
      <c r="G10724" s="200" t="s">
        <v>1825</v>
      </c>
      <c r="H10724" s="200" t="s">
        <v>421</v>
      </c>
    </row>
    <row r="10725" spans="1:9" ht="15" customHeight="1">
      <c r="A10725" s="199">
        <v>45826</v>
      </c>
      <c r="B10725" s="202" t="s">
        <v>7915</v>
      </c>
      <c r="C10725" s="200" t="s">
        <v>204</v>
      </c>
      <c r="D10725" s="765">
        <v>-28000</v>
      </c>
      <c r="E10725" s="201">
        <v>45809</v>
      </c>
      <c r="F10725" s="200" t="s">
        <v>297</v>
      </c>
      <c r="G10725" s="200" t="s">
        <v>1313</v>
      </c>
      <c r="H10725" s="200" t="s">
        <v>268</v>
      </c>
    </row>
    <row r="10726" spans="1:9" ht="15" customHeight="1">
      <c r="A10726" s="199">
        <v>45826</v>
      </c>
      <c r="B10726" s="202" t="s">
        <v>7915</v>
      </c>
      <c r="C10726" s="200" t="s">
        <v>204</v>
      </c>
      <c r="D10726" s="765">
        <v>-86000</v>
      </c>
      <c r="E10726" s="201">
        <v>45809</v>
      </c>
      <c r="F10726" s="200" t="s">
        <v>297</v>
      </c>
      <c r="G10726" s="200" t="s">
        <v>71</v>
      </c>
      <c r="H10726" s="200" t="s">
        <v>268</v>
      </c>
    </row>
    <row r="10727" spans="1:9" ht="15" customHeight="1">
      <c r="A10727" s="199">
        <v>45826</v>
      </c>
      <c r="B10727" s="202" t="s">
        <v>7915</v>
      </c>
      <c r="C10727" s="200" t="s">
        <v>204</v>
      </c>
      <c r="D10727" s="765">
        <v>-10000</v>
      </c>
      <c r="E10727" s="201">
        <v>45809</v>
      </c>
      <c r="F10727" s="200" t="s">
        <v>296</v>
      </c>
      <c r="G10727" s="200" t="s">
        <v>1980</v>
      </c>
      <c r="H10727" s="200" t="s">
        <v>326</v>
      </c>
    </row>
    <row r="10728" spans="1:9" ht="15" customHeight="1">
      <c r="A10728" s="199">
        <v>45826</v>
      </c>
      <c r="B10728" s="202" t="s">
        <v>7915</v>
      </c>
      <c r="C10728" s="200" t="s">
        <v>204</v>
      </c>
      <c r="D10728" s="765">
        <v>-126000</v>
      </c>
      <c r="E10728" s="201">
        <v>45809</v>
      </c>
      <c r="F10728" s="200" t="s">
        <v>256</v>
      </c>
      <c r="G10728" s="200" t="s">
        <v>256</v>
      </c>
      <c r="H10728" s="200" t="s">
        <v>268</v>
      </c>
    </row>
    <row r="10729" spans="1:9" ht="15" customHeight="1">
      <c r="A10729" s="199">
        <v>45826</v>
      </c>
      <c r="B10729" s="202" t="s">
        <v>7915</v>
      </c>
      <c r="C10729" s="200" t="s">
        <v>204</v>
      </c>
      <c r="D10729" s="765">
        <v>-157400</v>
      </c>
      <c r="E10729" s="201">
        <v>45809</v>
      </c>
      <c r="F10729" s="200" t="s">
        <v>296</v>
      </c>
      <c r="G10729" s="200" t="s">
        <v>2418</v>
      </c>
      <c r="H10729" s="200" t="s">
        <v>268</v>
      </c>
    </row>
    <row r="10730" spans="1:9" ht="15" customHeight="1">
      <c r="A10730" s="199">
        <v>45826</v>
      </c>
      <c r="B10730" s="202" t="s">
        <v>7915</v>
      </c>
      <c r="C10730" s="200" t="s">
        <v>204</v>
      </c>
      <c r="D10730" s="765">
        <v>-10000</v>
      </c>
      <c r="E10730" s="201">
        <v>45809</v>
      </c>
      <c r="F10730" s="200" t="s">
        <v>297</v>
      </c>
      <c r="G10730" s="200" t="s">
        <v>3892</v>
      </c>
      <c r="H10730" s="200" t="s">
        <v>268</v>
      </c>
    </row>
    <row r="10731" spans="1:9" ht="15" customHeight="1">
      <c r="A10731" s="199">
        <v>45826</v>
      </c>
      <c r="B10731" s="202" t="s">
        <v>7915</v>
      </c>
      <c r="C10731" s="200" t="s">
        <v>204</v>
      </c>
      <c r="D10731" s="765">
        <v>-40000</v>
      </c>
      <c r="E10731" s="201">
        <v>45809</v>
      </c>
      <c r="F10731" s="200" t="s">
        <v>296</v>
      </c>
      <c r="G10731" s="200" t="s">
        <v>522</v>
      </c>
      <c r="H10731" s="200" t="s">
        <v>326</v>
      </c>
    </row>
    <row r="10732" spans="1:9" ht="15" customHeight="1">
      <c r="A10732" s="199">
        <v>45826</v>
      </c>
      <c r="B10732" s="202" t="s">
        <v>7915</v>
      </c>
      <c r="C10732" s="200" t="s">
        <v>204</v>
      </c>
      <c r="D10732" s="765">
        <v>-10000</v>
      </c>
      <c r="E10732" s="201">
        <v>45809</v>
      </c>
      <c r="F10732" s="200" t="s">
        <v>296</v>
      </c>
      <c r="G10732" s="200" t="s">
        <v>44</v>
      </c>
      <c r="H10732" s="200" t="s">
        <v>326</v>
      </c>
    </row>
    <row r="10733" spans="1:9" ht="15" customHeight="1">
      <c r="A10733" s="199">
        <v>45826</v>
      </c>
      <c r="B10733" s="202" t="s">
        <v>7916</v>
      </c>
      <c r="C10733" s="200" t="s">
        <v>372</v>
      </c>
      <c r="D10733" s="204">
        <v>-2850</v>
      </c>
      <c r="E10733" s="201">
        <v>45809</v>
      </c>
      <c r="F10733" s="200" t="s">
        <v>296</v>
      </c>
      <c r="G10733" s="200" t="s">
        <v>2418</v>
      </c>
      <c r="H10733" s="200" t="s">
        <v>268</v>
      </c>
    </row>
    <row r="10734" spans="1:9" ht="15" customHeight="1">
      <c r="A10734" s="199">
        <v>45826</v>
      </c>
      <c r="B10734" s="202" t="s">
        <v>1927</v>
      </c>
      <c r="C10734" s="200" t="s">
        <v>372</v>
      </c>
      <c r="D10734" s="204">
        <v>-4750</v>
      </c>
      <c r="E10734" s="201">
        <v>45809</v>
      </c>
      <c r="F10734" s="200" t="s">
        <v>296</v>
      </c>
      <c r="G10734" s="200" t="s">
        <v>2418</v>
      </c>
      <c r="H10734" s="200" t="s">
        <v>268</v>
      </c>
    </row>
    <row r="10735" spans="1:9" ht="15" customHeight="1">
      <c r="A10735" s="199">
        <v>45826</v>
      </c>
      <c r="B10735" s="202" t="s">
        <v>7168</v>
      </c>
      <c r="C10735" s="200" t="s">
        <v>204</v>
      </c>
      <c r="D10735" s="765">
        <v>-5290739</v>
      </c>
      <c r="E10735" s="201">
        <v>45809</v>
      </c>
      <c r="F10735" s="200" t="s">
        <v>296</v>
      </c>
      <c r="G10735" s="200" t="s">
        <v>522</v>
      </c>
      <c r="H10735" s="200" t="s">
        <v>366</v>
      </c>
    </row>
    <row r="10736" spans="1:9" ht="15" customHeight="1">
      <c r="A10736" s="199">
        <v>45826</v>
      </c>
      <c r="B10736" s="202" t="s">
        <v>7917</v>
      </c>
      <c r="C10736" s="200" t="s">
        <v>372</v>
      </c>
      <c r="D10736" s="204">
        <v>-113535</v>
      </c>
      <c r="E10736" s="201">
        <v>45809</v>
      </c>
      <c r="F10736" s="200" t="s">
        <v>296</v>
      </c>
      <c r="G10736" s="200" t="s">
        <v>522</v>
      </c>
      <c r="H10736" s="200" t="s">
        <v>366</v>
      </c>
    </row>
    <row r="10737" spans="1:9" ht="15" customHeight="1">
      <c r="A10737" s="199">
        <v>45826</v>
      </c>
      <c r="B10737" s="202" t="s">
        <v>7168</v>
      </c>
      <c r="C10737" s="200" t="s">
        <v>204</v>
      </c>
      <c r="D10737" s="765">
        <v>-5290739</v>
      </c>
      <c r="E10737" s="201">
        <v>45809</v>
      </c>
      <c r="F10737" s="200" t="s">
        <v>296</v>
      </c>
      <c r="G10737" s="200" t="s">
        <v>44</v>
      </c>
      <c r="H10737" s="200" t="s">
        <v>366</v>
      </c>
    </row>
    <row r="10738" spans="1:9" ht="15" customHeight="1">
      <c r="A10738" s="199">
        <v>45826</v>
      </c>
      <c r="B10738" s="202" t="s">
        <v>7917</v>
      </c>
      <c r="C10738" s="200" t="s">
        <v>372</v>
      </c>
      <c r="D10738" s="204">
        <v>-113535</v>
      </c>
      <c r="E10738" s="201">
        <v>45809</v>
      </c>
      <c r="F10738" s="200" t="s">
        <v>296</v>
      </c>
      <c r="G10738" s="200" t="s">
        <v>44</v>
      </c>
      <c r="H10738" s="200" t="s">
        <v>366</v>
      </c>
    </row>
    <row r="10739" spans="1:9" ht="15" customHeight="1">
      <c r="A10739" s="199">
        <v>45826</v>
      </c>
      <c r="B10739" s="202" t="s">
        <v>7168</v>
      </c>
      <c r="C10739" s="200" t="s">
        <v>204</v>
      </c>
      <c r="D10739" s="765">
        <v>-5290739</v>
      </c>
      <c r="E10739" s="201">
        <v>45809</v>
      </c>
      <c r="F10739" s="200" t="s">
        <v>296</v>
      </c>
      <c r="G10739" s="200" t="s">
        <v>1980</v>
      </c>
      <c r="H10739" s="200" t="s">
        <v>366</v>
      </c>
    </row>
    <row r="10740" spans="1:9" ht="15" customHeight="1">
      <c r="A10740" s="199">
        <v>45826</v>
      </c>
      <c r="B10740" s="202" t="s">
        <v>7917</v>
      </c>
      <c r="C10740" s="200" t="s">
        <v>372</v>
      </c>
      <c r="D10740" s="204">
        <v>-113535</v>
      </c>
      <c r="E10740" s="201">
        <v>45809</v>
      </c>
      <c r="F10740" s="200" t="s">
        <v>296</v>
      </c>
      <c r="G10740" s="200" t="s">
        <v>1980</v>
      </c>
      <c r="H10740" s="200" t="s">
        <v>366</v>
      </c>
    </row>
    <row r="10741" spans="1:9" ht="15" customHeight="1">
      <c r="A10741" s="199">
        <v>45826</v>
      </c>
      <c r="B10741" s="202" t="s">
        <v>7918</v>
      </c>
      <c r="C10741" s="200" t="s">
        <v>136</v>
      </c>
      <c r="D10741" s="658">
        <v>-5309244</v>
      </c>
      <c r="E10741" s="201">
        <v>45809</v>
      </c>
      <c r="F10741" s="200" t="s">
        <v>296</v>
      </c>
      <c r="G10741" s="200" t="s">
        <v>44</v>
      </c>
      <c r="H10741" s="200" t="s">
        <v>2659</v>
      </c>
    </row>
    <row r="10742" spans="1:9" ht="15" customHeight="1">
      <c r="A10742" s="199">
        <v>45826</v>
      </c>
      <c r="B10742" s="202" t="s">
        <v>7919</v>
      </c>
      <c r="C10742" s="200" t="s">
        <v>136</v>
      </c>
      <c r="D10742" s="658">
        <v>-763200</v>
      </c>
      <c r="E10742" s="201">
        <v>45809</v>
      </c>
      <c r="F10742" s="200" t="s">
        <v>256</v>
      </c>
      <c r="G10742" s="200" t="s">
        <v>256</v>
      </c>
      <c r="H10742" s="200" t="s">
        <v>9</v>
      </c>
    </row>
    <row r="10743" spans="1:9" ht="15" customHeight="1">
      <c r="A10743" s="199">
        <v>45826</v>
      </c>
      <c r="B10743" s="202" t="s">
        <v>7920</v>
      </c>
      <c r="C10743" s="200" t="s">
        <v>372</v>
      </c>
      <c r="D10743" s="204">
        <v>-32000</v>
      </c>
      <c r="E10743" s="201">
        <v>45809</v>
      </c>
      <c r="F10743" s="200" t="s">
        <v>256</v>
      </c>
      <c r="G10743" s="200" t="s">
        <v>256</v>
      </c>
      <c r="H10743" s="200" t="s">
        <v>9</v>
      </c>
    </row>
    <row r="10744" spans="1:9" ht="15" customHeight="1">
      <c r="A10744" s="199">
        <v>45826</v>
      </c>
      <c r="B10744" s="202" t="s">
        <v>7921</v>
      </c>
      <c r="C10744" s="200" t="s">
        <v>372</v>
      </c>
      <c r="D10744" s="204">
        <v>-4800</v>
      </c>
      <c r="E10744" s="201">
        <v>45809</v>
      </c>
      <c r="F10744" s="200" t="s">
        <v>256</v>
      </c>
      <c r="G10744" s="200" t="s">
        <v>256</v>
      </c>
      <c r="H10744" s="200" t="s">
        <v>9</v>
      </c>
    </row>
    <row r="10745" spans="1:9" ht="15" customHeight="1">
      <c r="A10745" s="199">
        <v>45826</v>
      </c>
      <c r="B10745" s="202" t="s">
        <v>7922</v>
      </c>
      <c r="C10745" s="200" t="s">
        <v>136</v>
      </c>
      <c r="D10745" s="658">
        <v>-792000</v>
      </c>
      <c r="E10745" s="201">
        <v>45809</v>
      </c>
      <c r="F10745" s="200" t="s">
        <v>296</v>
      </c>
      <c r="G10745" s="200" t="s">
        <v>57</v>
      </c>
      <c r="H10745" s="200" t="s">
        <v>97</v>
      </c>
    </row>
    <row r="10746" spans="1:9" ht="15" customHeight="1">
      <c r="A10746" s="199">
        <v>45826</v>
      </c>
      <c r="B10746" s="202" t="s">
        <v>7923</v>
      </c>
      <c r="C10746" s="200" t="s">
        <v>372</v>
      </c>
      <c r="D10746" s="204">
        <v>-8000</v>
      </c>
      <c r="E10746" s="201">
        <v>45809</v>
      </c>
      <c r="F10746" s="200" t="s">
        <v>296</v>
      </c>
      <c r="G10746" s="200" t="s">
        <v>57</v>
      </c>
      <c r="H10746" s="200" t="s">
        <v>97</v>
      </c>
    </row>
    <row r="10747" spans="1:9" ht="15" customHeight="1">
      <c r="A10747" s="199">
        <v>45824</v>
      </c>
      <c r="B10747" s="202" t="s">
        <v>7924</v>
      </c>
      <c r="C10747" s="200" t="s">
        <v>307</v>
      </c>
      <c r="D10747" s="204">
        <v>-139000</v>
      </c>
      <c r="E10747" s="201">
        <v>45809</v>
      </c>
      <c r="F10747" s="200" t="s">
        <v>296</v>
      </c>
      <c r="G10747" s="200" t="s">
        <v>1980</v>
      </c>
      <c r="H10747" s="200" t="s">
        <v>322</v>
      </c>
      <c r="I10747" s="200" t="s">
        <v>7925</v>
      </c>
    </row>
    <row r="10748" spans="1:9" ht="15" customHeight="1">
      <c r="A10748" s="199">
        <v>45811</v>
      </c>
      <c r="B10748" s="202" t="s">
        <v>7926</v>
      </c>
      <c r="C10748" s="200" t="s">
        <v>307</v>
      </c>
      <c r="D10748" s="204">
        <v>-23000</v>
      </c>
      <c r="E10748" s="201">
        <v>45809</v>
      </c>
      <c r="F10748" s="200" t="s">
        <v>296</v>
      </c>
      <c r="G10748" s="200" t="s">
        <v>522</v>
      </c>
      <c r="H10748" s="200" t="s">
        <v>442</v>
      </c>
      <c r="I10748" s="200" t="s">
        <v>5293</v>
      </c>
    </row>
    <row r="10749" spans="1:9" ht="15" customHeight="1">
      <c r="A10749" s="199">
        <v>45811</v>
      </c>
      <c r="B10749" s="202" t="s">
        <v>7927</v>
      </c>
      <c r="C10749" s="200" t="s">
        <v>307</v>
      </c>
      <c r="D10749" s="204">
        <v>-20000</v>
      </c>
      <c r="E10749" s="201">
        <v>45809</v>
      </c>
      <c r="F10749" s="200" t="s">
        <v>296</v>
      </c>
      <c r="G10749" s="200" t="s">
        <v>522</v>
      </c>
      <c r="H10749" s="200" t="s">
        <v>442</v>
      </c>
      <c r="I10749" s="200" t="s">
        <v>5293</v>
      </c>
    </row>
    <row r="10750" spans="1:9" ht="15" customHeight="1">
      <c r="A10750" s="199">
        <v>45812</v>
      </c>
      <c r="B10750" s="202" t="s">
        <v>7928</v>
      </c>
      <c r="C10750" s="200" t="s">
        <v>307</v>
      </c>
      <c r="D10750" s="204">
        <v>-60000</v>
      </c>
      <c r="E10750" s="201">
        <v>45809</v>
      </c>
      <c r="F10750" s="200" t="s">
        <v>256</v>
      </c>
      <c r="G10750" s="200" t="s">
        <v>256</v>
      </c>
      <c r="H10750" s="200" t="s">
        <v>268</v>
      </c>
      <c r="I10750" s="200" t="s">
        <v>5293</v>
      </c>
    </row>
    <row r="10751" spans="1:9" ht="15" customHeight="1">
      <c r="A10751" s="199">
        <v>45812</v>
      </c>
      <c r="B10751" s="202" t="s">
        <v>7929</v>
      </c>
      <c r="C10751" s="200" t="s">
        <v>307</v>
      </c>
      <c r="D10751" s="204">
        <v>-60000</v>
      </c>
      <c r="E10751" s="201">
        <v>45809</v>
      </c>
      <c r="F10751" s="200" t="s">
        <v>256</v>
      </c>
      <c r="G10751" s="200" t="s">
        <v>256</v>
      </c>
      <c r="H10751" s="200" t="s">
        <v>268</v>
      </c>
      <c r="I10751" s="200" t="s">
        <v>5293</v>
      </c>
    </row>
    <row r="10752" spans="1:9" ht="15" customHeight="1">
      <c r="A10752" s="199">
        <v>45813</v>
      </c>
      <c r="B10752" s="202" t="s">
        <v>7930</v>
      </c>
      <c r="C10752" s="200" t="s">
        <v>307</v>
      </c>
      <c r="D10752" s="204">
        <v>-60000</v>
      </c>
      <c r="E10752" s="201">
        <v>45809</v>
      </c>
      <c r="F10752" s="200" t="s">
        <v>296</v>
      </c>
      <c r="G10752" s="200" t="s">
        <v>522</v>
      </c>
      <c r="H10752" s="200" t="s">
        <v>322</v>
      </c>
      <c r="I10752" s="200" t="s">
        <v>5293</v>
      </c>
    </row>
    <row r="10753" spans="1:9" ht="15" customHeight="1">
      <c r="A10753" s="199">
        <v>45814</v>
      </c>
      <c r="B10753" s="202" t="s">
        <v>7931</v>
      </c>
      <c r="C10753" s="200" t="s">
        <v>307</v>
      </c>
      <c r="D10753" s="204">
        <v>-30000</v>
      </c>
      <c r="E10753" s="201">
        <v>45809</v>
      </c>
      <c r="F10753" s="200" t="s">
        <v>256</v>
      </c>
      <c r="G10753" s="200" t="s">
        <v>256</v>
      </c>
      <c r="H10753" s="200" t="s">
        <v>268</v>
      </c>
      <c r="I10753" s="200" t="s">
        <v>5293</v>
      </c>
    </row>
    <row r="10754" spans="1:9" ht="15" customHeight="1">
      <c r="A10754" s="199">
        <v>45814</v>
      </c>
      <c r="B10754" s="202" t="s">
        <v>2983</v>
      </c>
      <c r="C10754" s="200" t="s">
        <v>307</v>
      </c>
      <c r="D10754" s="204">
        <v>-18000</v>
      </c>
      <c r="E10754" s="201">
        <v>45809</v>
      </c>
      <c r="F10754" s="200" t="s">
        <v>296</v>
      </c>
      <c r="G10754" s="200" t="s">
        <v>57</v>
      </c>
      <c r="H10754" s="200" t="s">
        <v>97</v>
      </c>
      <c r="I10754" s="200" t="s">
        <v>5293</v>
      </c>
    </row>
    <row r="10755" spans="1:9" ht="15" customHeight="1">
      <c r="A10755" s="199">
        <v>45817</v>
      </c>
      <c r="B10755" s="202" t="s">
        <v>7932</v>
      </c>
      <c r="C10755" s="200" t="s">
        <v>307</v>
      </c>
      <c r="D10755" s="204">
        <v>-7500</v>
      </c>
      <c r="E10755" s="201">
        <v>45809</v>
      </c>
      <c r="F10755" s="200" t="s">
        <v>256</v>
      </c>
      <c r="G10755" s="200" t="s">
        <v>256</v>
      </c>
      <c r="H10755" s="200" t="s">
        <v>268</v>
      </c>
      <c r="I10755" s="200" t="s">
        <v>5293</v>
      </c>
    </row>
    <row r="10756" spans="1:9" ht="15" customHeight="1">
      <c r="A10756" s="199">
        <v>45817</v>
      </c>
      <c r="B10756" s="202" t="s">
        <v>7932</v>
      </c>
      <c r="C10756" s="200" t="s">
        <v>307</v>
      </c>
      <c r="D10756" s="204">
        <v>-7500</v>
      </c>
      <c r="E10756" s="201">
        <v>45809</v>
      </c>
      <c r="F10756" s="200" t="s">
        <v>296</v>
      </c>
      <c r="G10756" s="200" t="s">
        <v>1980</v>
      </c>
      <c r="H10756" s="200" t="s">
        <v>442</v>
      </c>
      <c r="I10756" s="200" t="s">
        <v>5293</v>
      </c>
    </row>
    <row r="10757" spans="1:9" ht="15" customHeight="1">
      <c r="A10757" s="199">
        <v>45819</v>
      </c>
      <c r="B10757" s="202" t="s">
        <v>7933</v>
      </c>
      <c r="C10757" s="200" t="s">
        <v>307</v>
      </c>
      <c r="D10757" s="204">
        <v>-62000</v>
      </c>
      <c r="E10757" s="201">
        <v>45809</v>
      </c>
      <c r="F10757" s="200" t="s">
        <v>296</v>
      </c>
      <c r="G10757" s="200" t="s">
        <v>522</v>
      </c>
      <c r="H10757" s="200" t="s">
        <v>322</v>
      </c>
      <c r="I10757" s="200" t="s">
        <v>5293</v>
      </c>
    </row>
    <row r="10758" spans="1:9" ht="15" customHeight="1">
      <c r="A10758" s="199">
        <v>45817</v>
      </c>
      <c r="B10758" s="202" t="s">
        <v>7934</v>
      </c>
      <c r="C10758" s="200" t="s">
        <v>307</v>
      </c>
      <c r="D10758" s="204">
        <v>-6000</v>
      </c>
      <c r="E10758" s="201">
        <v>45809</v>
      </c>
      <c r="F10758" s="200" t="s">
        <v>256</v>
      </c>
      <c r="G10758" s="200" t="s">
        <v>256</v>
      </c>
      <c r="H10758" s="200" t="s">
        <v>263</v>
      </c>
      <c r="I10758" s="200" t="s">
        <v>1901</v>
      </c>
    </row>
    <row r="10759" spans="1:9" ht="15" customHeight="1">
      <c r="A10759" s="199">
        <v>45817</v>
      </c>
      <c r="B10759" s="202" t="s">
        <v>7935</v>
      </c>
      <c r="C10759" s="200" t="s">
        <v>307</v>
      </c>
      <c r="D10759" s="204">
        <v>-35600</v>
      </c>
      <c r="E10759" s="201">
        <v>45809</v>
      </c>
      <c r="F10759" s="200" t="s">
        <v>256</v>
      </c>
      <c r="G10759" s="200" t="s">
        <v>256</v>
      </c>
      <c r="H10759" s="200" t="s">
        <v>263</v>
      </c>
      <c r="I10759" s="200" t="s">
        <v>1901</v>
      </c>
    </row>
    <row r="10760" spans="1:9" ht="15" customHeight="1">
      <c r="A10760" s="199">
        <v>45810</v>
      </c>
      <c r="B10760" s="202" t="s">
        <v>7936</v>
      </c>
      <c r="C10760" s="200" t="s">
        <v>307</v>
      </c>
      <c r="D10760" s="204">
        <v>-20000</v>
      </c>
      <c r="E10760" s="201">
        <v>45809</v>
      </c>
      <c r="F10760" s="200" t="s">
        <v>256</v>
      </c>
      <c r="G10760" s="200" t="s">
        <v>256</v>
      </c>
      <c r="H10760" s="200" t="s">
        <v>270</v>
      </c>
      <c r="I10760" s="200" t="s">
        <v>3809</v>
      </c>
    </row>
    <row r="10761" spans="1:9" ht="15" customHeight="1">
      <c r="A10761" s="199">
        <v>45810</v>
      </c>
      <c r="B10761" s="202" t="s">
        <v>7937</v>
      </c>
      <c r="C10761" s="200" t="s">
        <v>307</v>
      </c>
      <c r="D10761" s="204">
        <v>-30000</v>
      </c>
      <c r="E10761" s="201">
        <v>45809</v>
      </c>
      <c r="F10761" s="200" t="s">
        <v>256</v>
      </c>
      <c r="G10761" s="200" t="s">
        <v>256</v>
      </c>
      <c r="H10761" s="200" t="s">
        <v>270</v>
      </c>
      <c r="I10761" s="200" t="s">
        <v>3809</v>
      </c>
    </row>
    <row r="10762" spans="1:9" ht="15" customHeight="1">
      <c r="A10762" s="199">
        <v>45810</v>
      </c>
      <c r="B10762" s="202" t="s">
        <v>7938</v>
      </c>
      <c r="C10762" s="200" t="s">
        <v>307</v>
      </c>
      <c r="D10762" s="204">
        <v>-25000</v>
      </c>
      <c r="E10762" s="201">
        <v>45809</v>
      </c>
      <c r="F10762" s="200" t="s">
        <v>256</v>
      </c>
      <c r="G10762" s="200" t="s">
        <v>256</v>
      </c>
      <c r="H10762" s="200" t="s">
        <v>270</v>
      </c>
      <c r="I10762" s="200" t="s">
        <v>3809</v>
      </c>
    </row>
    <row r="10763" spans="1:9" ht="15" customHeight="1">
      <c r="A10763" s="199">
        <v>45810</v>
      </c>
      <c r="B10763" s="202" t="s">
        <v>7939</v>
      </c>
      <c r="C10763" s="200" t="s">
        <v>307</v>
      </c>
      <c r="D10763" s="204">
        <v>-33600</v>
      </c>
      <c r="E10763" s="201">
        <v>45809</v>
      </c>
      <c r="F10763" s="200" t="s">
        <v>256</v>
      </c>
      <c r="G10763" s="200" t="s">
        <v>256</v>
      </c>
      <c r="H10763" s="200" t="s">
        <v>270</v>
      </c>
      <c r="I10763" s="200" t="s">
        <v>3809</v>
      </c>
    </row>
    <row r="10764" spans="1:9" ht="15" customHeight="1">
      <c r="A10764" s="199">
        <v>45810</v>
      </c>
      <c r="B10764" s="202" t="s">
        <v>7940</v>
      </c>
      <c r="C10764" s="200" t="s">
        <v>307</v>
      </c>
      <c r="D10764" s="204">
        <v>-15000</v>
      </c>
      <c r="E10764" s="201">
        <v>45809</v>
      </c>
      <c r="F10764" s="200" t="s">
        <v>256</v>
      </c>
      <c r="G10764" s="200" t="s">
        <v>256</v>
      </c>
      <c r="H10764" s="200" t="s">
        <v>270</v>
      </c>
      <c r="I10764" s="200" t="s">
        <v>3809</v>
      </c>
    </row>
    <row r="10765" spans="1:9" ht="15" customHeight="1">
      <c r="A10765" s="199">
        <v>45811</v>
      </c>
      <c r="B10765" s="202" t="s">
        <v>7941</v>
      </c>
      <c r="C10765" s="200" t="s">
        <v>307</v>
      </c>
      <c r="D10765" s="204">
        <v>-26000</v>
      </c>
      <c r="E10765" s="201">
        <v>45809</v>
      </c>
      <c r="F10765" s="200" t="s">
        <v>256</v>
      </c>
      <c r="G10765" s="200" t="s">
        <v>256</v>
      </c>
      <c r="H10765" s="200" t="s">
        <v>270</v>
      </c>
      <c r="I10765" s="200" t="s">
        <v>3809</v>
      </c>
    </row>
    <row r="10766" spans="1:9" ht="15" customHeight="1">
      <c r="A10766" s="199">
        <v>45811</v>
      </c>
      <c r="B10766" s="202" t="s">
        <v>7942</v>
      </c>
      <c r="C10766" s="200" t="s">
        <v>307</v>
      </c>
      <c r="D10766" s="204">
        <v>-147600</v>
      </c>
      <c r="E10766" s="201">
        <v>45809</v>
      </c>
      <c r="F10766" s="200" t="s">
        <v>256</v>
      </c>
      <c r="G10766" s="200" t="s">
        <v>256</v>
      </c>
      <c r="H10766" s="200" t="s">
        <v>270</v>
      </c>
      <c r="I10766" s="200" t="s">
        <v>3809</v>
      </c>
    </row>
    <row r="10767" spans="1:9" ht="15" customHeight="1">
      <c r="A10767" s="199">
        <v>45813</v>
      </c>
      <c r="B10767" s="202" t="s">
        <v>7937</v>
      </c>
      <c r="C10767" s="200" t="s">
        <v>307</v>
      </c>
      <c r="D10767" s="204">
        <v>-26000</v>
      </c>
      <c r="E10767" s="201">
        <v>45809</v>
      </c>
      <c r="F10767" s="200" t="s">
        <v>256</v>
      </c>
      <c r="G10767" s="200" t="s">
        <v>256</v>
      </c>
      <c r="H10767" s="200" t="s">
        <v>270</v>
      </c>
      <c r="I10767" s="200" t="s">
        <v>3809</v>
      </c>
    </row>
    <row r="10768" spans="1:9" ht="15" customHeight="1">
      <c r="A10768" s="199">
        <v>45813</v>
      </c>
      <c r="B10768" s="202" t="s">
        <v>7943</v>
      </c>
      <c r="C10768" s="200" t="s">
        <v>307</v>
      </c>
      <c r="D10768" s="204">
        <v>-15000</v>
      </c>
      <c r="E10768" s="201">
        <v>45809</v>
      </c>
      <c r="F10768" s="200" t="s">
        <v>256</v>
      </c>
      <c r="G10768" s="200" t="s">
        <v>256</v>
      </c>
      <c r="H10768" s="200" t="s">
        <v>270</v>
      </c>
      <c r="I10768" s="200" t="s">
        <v>3809</v>
      </c>
    </row>
    <row r="10769" spans="1:9" ht="15" customHeight="1">
      <c r="A10769" s="199">
        <v>45813</v>
      </c>
      <c r="B10769" s="202" t="s">
        <v>7939</v>
      </c>
      <c r="C10769" s="200" t="s">
        <v>307</v>
      </c>
      <c r="D10769" s="204">
        <v>-35000</v>
      </c>
      <c r="E10769" s="201">
        <v>45809</v>
      </c>
      <c r="F10769" s="200" t="s">
        <v>256</v>
      </c>
      <c r="G10769" s="200" t="s">
        <v>256</v>
      </c>
      <c r="H10769" s="200" t="s">
        <v>270</v>
      </c>
      <c r="I10769" s="200" t="s">
        <v>3809</v>
      </c>
    </row>
    <row r="10770" spans="1:9" ht="15" customHeight="1">
      <c r="A10770" s="199">
        <v>45814</v>
      </c>
      <c r="B10770" s="202" t="s">
        <v>7944</v>
      </c>
      <c r="C10770" s="200" t="s">
        <v>307</v>
      </c>
      <c r="D10770" s="204">
        <v>-20000</v>
      </c>
      <c r="E10770" s="201">
        <v>45809</v>
      </c>
      <c r="F10770" s="200" t="s">
        <v>256</v>
      </c>
      <c r="G10770" s="200" t="s">
        <v>256</v>
      </c>
      <c r="H10770" s="200" t="s">
        <v>270</v>
      </c>
      <c r="I10770" s="200" t="s">
        <v>3809</v>
      </c>
    </row>
    <row r="10771" spans="1:9" ht="15" customHeight="1">
      <c r="A10771" s="199">
        <v>45814</v>
      </c>
      <c r="B10771" s="202" t="s">
        <v>7945</v>
      </c>
      <c r="C10771" s="200" t="s">
        <v>307</v>
      </c>
      <c r="D10771" s="204">
        <v>-25000</v>
      </c>
      <c r="E10771" s="201">
        <v>45809</v>
      </c>
      <c r="F10771" s="200" t="s">
        <v>256</v>
      </c>
      <c r="G10771" s="200" t="s">
        <v>256</v>
      </c>
      <c r="H10771" s="200" t="s">
        <v>270</v>
      </c>
      <c r="I10771" s="200" t="s">
        <v>3809</v>
      </c>
    </row>
    <row r="10772" spans="1:9" ht="15" customHeight="1">
      <c r="A10772" s="199">
        <v>45814</v>
      </c>
      <c r="B10772" s="202" t="s">
        <v>7937</v>
      </c>
      <c r="C10772" s="200" t="s">
        <v>307</v>
      </c>
      <c r="D10772" s="204">
        <v>-29600</v>
      </c>
      <c r="E10772" s="201">
        <v>45809</v>
      </c>
      <c r="F10772" s="200" t="s">
        <v>256</v>
      </c>
      <c r="G10772" s="200" t="s">
        <v>256</v>
      </c>
      <c r="H10772" s="200" t="s">
        <v>270</v>
      </c>
      <c r="I10772" s="200" t="s">
        <v>3809</v>
      </c>
    </row>
    <row r="10773" spans="1:9" ht="15" customHeight="1">
      <c r="A10773" s="199">
        <v>45814</v>
      </c>
      <c r="B10773" s="202" t="s">
        <v>7946</v>
      </c>
      <c r="C10773" s="200" t="s">
        <v>307</v>
      </c>
      <c r="D10773" s="204">
        <v>-20000</v>
      </c>
      <c r="E10773" s="201">
        <v>45809</v>
      </c>
      <c r="F10773" s="200" t="s">
        <v>256</v>
      </c>
      <c r="G10773" s="200" t="s">
        <v>256</v>
      </c>
      <c r="H10773" s="200" t="s">
        <v>270</v>
      </c>
      <c r="I10773" s="200" t="s">
        <v>3809</v>
      </c>
    </row>
    <row r="10774" spans="1:9" ht="15" customHeight="1">
      <c r="A10774" s="199">
        <v>45825</v>
      </c>
      <c r="B10774" s="202" t="s">
        <v>2774</v>
      </c>
      <c r="C10774" s="200" t="s">
        <v>307</v>
      </c>
      <c r="D10774" s="204">
        <v>-17000</v>
      </c>
      <c r="E10774" s="201">
        <v>45809</v>
      </c>
      <c r="F10774" s="200" t="s">
        <v>296</v>
      </c>
      <c r="G10774" s="200" t="s">
        <v>415</v>
      </c>
      <c r="H10774" s="200" t="s">
        <v>268</v>
      </c>
      <c r="I10774" s="200" t="s">
        <v>7947</v>
      </c>
    </row>
    <row r="10775" spans="1:9" ht="15" customHeight="1">
      <c r="A10775" s="199">
        <v>45825</v>
      </c>
      <c r="B10775" s="202" t="s">
        <v>7948</v>
      </c>
      <c r="C10775" s="200" t="s">
        <v>307</v>
      </c>
      <c r="D10775" s="204">
        <v>-90000</v>
      </c>
      <c r="E10775" s="201">
        <v>45809</v>
      </c>
      <c r="F10775" s="200" t="s">
        <v>296</v>
      </c>
      <c r="G10775" s="200" t="s">
        <v>415</v>
      </c>
      <c r="H10775" s="200" t="s">
        <v>346</v>
      </c>
      <c r="I10775" s="200" t="s">
        <v>7947</v>
      </c>
    </row>
    <row r="10776" spans="1:9" ht="15" customHeight="1">
      <c r="A10776" s="199">
        <v>45825</v>
      </c>
      <c r="B10776" s="202" t="s">
        <v>6946</v>
      </c>
      <c r="C10776" s="200" t="s">
        <v>307</v>
      </c>
      <c r="D10776" s="204">
        <v>-6500</v>
      </c>
      <c r="E10776" s="201">
        <v>45809</v>
      </c>
      <c r="F10776" s="200" t="s">
        <v>296</v>
      </c>
      <c r="G10776" s="200" t="s">
        <v>415</v>
      </c>
      <c r="H10776" s="200" t="s">
        <v>268</v>
      </c>
      <c r="I10776" s="200" t="s">
        <v>7947</v>
      </c>
    </row>
    <row r="10777" spans="1:9" ht="15" customHeight="1">
      <c r="A10777" s="199">
        <v>45825</v>
      </c>
      <c r="B10777" s="202" t="s">
        <v>7949</v>
      </c>
      <c r="C10777" s="200" t="s">
        <v>307</v>
      </c>
      <c r="D10777" s="204">
        <v>-17000</v>
      </c>
      <c r="E10777" s="201">
        <v>45809</v>
      </c>
      <c r="F10777" s="200" t="s">
        <v>296</v>
      </c>
      <c r="G10777" s="200" t="s">
        <v>415</v>
      </c>
      <c r="H10777" s="200" t="s">
        <v>268</v>
      </c>
      <c r="I10777" s="200" t="s">
        <v>7947</v>
      </c>
    </row>
    <row r="10778" spans="1:9" ht="15" customHeight="1">
      <c r="A10778" s="199">
        <v>45804</v>
      </c>
      <c r="B10778" s="202" t="s">
        <v>7950</v>
      </c>
      <c r="C10778" s="200" t="s">
        <v>307</v>
      </c>
      <c r="D10778" s="204">
        <v>-21424</v>
      </c>
      <c r="E10778" s="201">
        <v>45809</v>
      </c>
      <c r="F10778" s="200" t="s">
        <v>256</v>
      </c>
      <c r="G10778" s="200" t="s">
        <v>256</v>
      </c>
      <c r="H10778" s="200" t="s">
        <v>267</v>
      </c>
      <c r="I10778" s="200" t="s">
        <v>4612</v>
      </c>
    </row>
    <row r="10779" spans="1:9" ht="15" customHeight="1">
      <c r="A10779" s="199">
        <v>45812</v>
      </c>
      <c r="B10779" s="202" t="s">
        <v>5674</v>
      </c>
      <c r="C10779" s="200" t="s">
        <v>307</v>
      </c>
      <c r="D10779" s="204">
        <v>-22300</v>
      </c>
      <c r="E10779" s="201">
        <v>45809</v>
      </c>
      <c r="F10779" s="200" t="s">
        <v>296</v>
      </c>
      <c r="G10779" s="200" t="s">
        <v>5466</v>
      </c>
      <c r="H10779" s="200" t="s">
        <v>342</v>
      </c>
      <c r="I10779" s="200" t="s">
        <v>4612</v>
      </c>
    </row>
    <row r="10780" spans="1:9" ht="15" customHeight="1">
      <c r="A10780" s="199">
        <v>45813</v>
      </c>
      <c r="B10780" s="202" t="s">
        <v>7669</v>
      </c>
      <c r="C10780" s="200" t="s">
        <v>307</v>
      </c>
      <c r="D10780" s="204">
        <v>-48000</v>
      </c>
      <c r="E10780" s="201">
        <v>45809</v>
      </c>
      <c r="F10780" s="200" t="s">
        <v>296</v>
      </c>
      <c r="G10780" s="200" t="s">
        <v>5466</v>
      </c>
      <c r="H10780" s="200" t="s">
        <v>268</v>
      </c>
      <c r="I10780" s="200" t="s">
        <v>4612</v>
      </c>
    </row>
    <row r="10781" spans="1:9" ht="15" customHeight="1">
      <c r="A10781" s="199">
        <v>45813</v>
      </c>
      <c r="B10781" s="202" t="s">
        <v>5674</v>
      </c>
      <c r="C10781" s="200" t="s">
        <v>307</v>
      </c>
      <c r="D10781" s="204">
        <v>-27900</v>
      </c>
      <c r="E10781" s="201">
        <v>45809</v>
      </c>
      <c r="F10781" s="200" t="s">
        <v>296</v>
      </c>
      <c r="G10781" s="200" t="s">
        <v>5466</v>
      </c>
      <c r="H10781" s="200" t="s">
        <v>342</v>
      </c>
      <c r="I10781" s="200" t="s">
        <v>4612</v>
      </c>
    </row>
    <row r="10782" spans="1:9" ht="15" customHeight="1">
      <c r="A10782" s="199">
        <v>45815</v>
      </c>
      <c r="B10782" s="202" t="s">
        <v>7669</v>
      </c>
      <c r="C10782" s="200" t="s">
        <v>307</v>
      </c>
      <c r="D10782" s="204">
        <v>-50000</v>
      </c>
      <c r="E10782" s="201">
        <v>45809</v>
      </c>
      <c r="F10782" s="200" t="s">
        <v>296</v>
      </c>
      <c r="G10782" s="200" t="s">
        <v>5466</v>
      </c>
      <c r="H10782" s="200" t="s">
        <v>268</v>
      </c>
      <c r="I10782" s="200" t="s">
        <v>4612</v>
      </c>
    </row>
    <row r="10783" spans="1:9" ht="15" customHeight="1">
      <c r="A10783" s="199">
        <v>45819</v>
      </c>
      <c r="B10783" s="202" t="s">
        <v>7950</v>
      </c>
      <c r="C10783" s="200" t="s">
        <v>307</v>
      </c>
      <c r="D10783" s="204">
        <v>-22400</v>
      </c>
      <c r="E10783" s="201">
        <v>45809</v>
      </c>
      <c r="F10783" s="200" t="s">
        <v>256</v>
      </c>
      <c r="G10783" s="200" t="s">
        <v>256</v>
      </c>
      <c r="H10783" s="200" t="s">
        <v>267</v>
      </c>
      <c r="I10783" s="200" t="s">
        <v>4612</v>
      </c>
    </row>
    <row r="10784" spans="1:9" ht="15" customHeight="1">
      <c r="A10784" s="199">
        <v>45825</v>
      </c>
      <c r="B10784" s="202" t="s">
        <v>7669</v>
      </c>
      <c r="C10784" s="200" t="s">
        <v>307</v>
      </c>
      <c r="D10784" s="204">
        <v>-40000</v>
      </c>
      <c r="E10784" s="201">
        <v>45809</v>
      </c>
      <c r="F10784" s="200" t="s">
        <v>296</v>
      </c>
      <c r="G10784" s="200" t="s">
        <v>5466</v>
      </c>
      <c r="H10784" s="200" t="s">
        <v>268</v>
      </c>
      <c r="I10784" s="200" t="s">
        <v>4612</v>
      </c>
    </row>
    <row r="10785" spans="1:9" ht="15" customHeight="1">
      <c r="A10785" s="199">
        <v>45827</v>
      </c>
      <c r="B10785" s="202" t="s">
        <v>7951</v>
      </c>
      <c r="C10785" s="200" t="s">
        <v>307</v>
      </c>
      <c r="D10785" s="204">
        <v>-395841</v>
      </c>
      <c r="E10785" s="201">
        <v>45809</v>
      </c>
      <c r="F10785" s="200" t="s">
        <v>297</v>
      </c>
      <c r="G10785" s="200" t="s">
        <v>3892</v>
      </c>
      <c r="H10785" s="200" t="s">
        <v>346</v>
      </c>
    </row>
    <row r="10786" spans="1:9" ht="15" customHeight="1">
      <c r="A10786" s="199">
        <v>45827</v>
      </c>
      <c r="B10786" s="202" t="s">
        <v>7951</v>
      </c>
      <c r="C10786" s="200" t="s">
        <v>307</v>
      </c>
      <c r="D10786" s="204">
        <v>-189000</v>
      </c>
      <c r="E10786" s="201">
        <v>45809</v>
      </c>
      <c r="F10786" s="200" t="s">
        <v>296</v>
      </c>
      <c r="G10786" s="200" t="s">
        <v>1735</v>
      </c>
      <c r="H10786" s="200" t="s">
        <v>346</v>
      </c>
    </row>
    <row r="10787" spans="1:9" ht="15" customHeight="1">
      <c r="A10787" s="199">
        <v>45827</v>
      </c>
      <c r="B10787" s="202" t="s">
        <v>4394</v>
      </c>
      <c r="C10787" s="200" t="s">
        <v>307</v>
      </c>
      <c r="D10787" s="204">
        <v>-45000</v>
      </c>
      <c r="E10787" s="201">
        <v>45809</v>
      </c>
      <c r="F10787" s="200" t="s">
        <v>297</v>
      </c>
      <c r="G10787" s="200" t="s">
        <v>69</v>
      </c>
      <c r="H10787" s="200" t="s">
        <v>268</v>
      </c>
    </row>
    <row r="10788" spans="1:9" ht="15" customHeight="1">
      <c r="A10788" s="199">
        <v>45827</v>
      </c>
      <c r="B10788" s="202" t="s">
        <v>4394</v>
      </c>
      <c r="C10788" s="200" t="s">
        <v>307</v>
      </c>
      <c r="D10788" s="204">
        <v>-71000</v>
      </c>
      <c r="E10788" s="201">
        <v>45809</v>
      </c>
      <c r="F10788" s="200" t="s">
        <v>256</v>
      </c>
      <c r="G10788" s="200" t="s">
        <v>256</v>
      </c>
      <c r="H10788" s="200" t="s">
        <v>268</v>
      </c>
    </row>
    <row r="10789" spans="1:9" ht="15" customHeight="1">
      <c r="A10789" s="199">
        <v>45827</v>
      </c>
      <c r="B10789" s="202" t="s">
        <v>4394</v>
      </c>
      <c r="C10789" s="200" t="s">
        <v>307</v>
      </c>
      <c r="D10789" s="204">
        <v>-58000</v>
      </c>
      <c r="E10789" s="201">
        <v>45809</v>
      </c>
      <c r="F10789" s="200" t="s">
        <v>296</v>
      </c>
      <c r="G10789" s="200" t="s">
        <v>2418</v>
      </c>
      <c r="H10789" s="200" t="s">
        <v>268</v>
      </c>
    </row>
    <row r="10790" spans="1:9" ht="15" customHeight="1">
      <c r="A10790" s="199">
        <v>45827</v>
      </c>
      <c r="B10790" s="202" t="s">
        <v>4394</v>
      </c>
      <c r="C10790" s="200" t="s">
        <v>307</v>
      </c>
      <c r="D10790" s="204">
        <v>-82376</v>
      </c>
      <c r="E10790" s="201">
        <v>45809</v>
      </c>
      <c r="F10790" s="200" t="s">
        <v>297</v>
      </c>
      <c r="G10790" s="200" t="s">
        <v>71</v>
      </c>
      <c r="H10790" s="200" t="s">
        <v>268</v>
      </c>
    </row>
    <row r="10791" spans="1:9" ht="15" customHeight="1">
      <c r="A10791" s="199">
        <v>45827</v>
      </c>
      <c r="B10791" s="202" t="s">
        <v>4394</v>
      </c>
      <c r="C10791" s="200" t="s">
        <v>307</v>
      </c>
      <c r="D10791" s="204">
        <v>-7000</v>
      </c>
      <c r="E10791" s="201">
        <v>45809</v>
      </c>
      <c r="F10791" s="200" t="s">
        <v>296</v>
      </c>
      <c r="G10791" s="200" t="s">
        <v>1825</v>
      </c>
      <c r="H10791" s="200" t="s">
        <v>326</v>
      </c>
    </row>
    <row r="10792" spans="1:9" ht="15" customHeight="1">
      <c r="A10792" s="199">
        <v>45827</v>
      </c>
      <c r="B10792" s="202" t="s">
        <v>4394</v>
      </c>
      <c r="C10792" s="200" t="s">
        <v>307</v>
      </c>
      <c r="D10792" s="204">
        <v>-7000</v>
      </c>
      <c r="E10792" s="201">
        <v>45809</v>
      </c>
      <c r="F10792" s="200" t="s">
        <v>296</v>
      </c>
      <c r="G10792" s="200" t="s">
        <v>5466</v>
      </c>
      <c r="H10792" s="200" t="s">
        <v>268</v>
      </c>
    </row>
    <row r="10793" spans="1:9" ht="15" customHeight="1">
      <c r="A10793" s="199">
        <v>45827</v>
      </c>
      <c r="B10793" s="202" t="s">
        <v>4394</v>
      </c>
      <c r="C10793" s="200" t="s">
        <v>307</v>
      </c>
      <c r="D10793" s="204">
        <v>-7000</v>
      </c>
      <c r="E10793" s="201">
        <v>45809</v>
      </c>
      <c r="F10793" s="200" t="s">
        <v>395</v>
      </c>
      <c r="G10793" s="200" t="s">
        <v>395</v>
      </c>
      <c r="H10793" s="200" t="s">
        <v>268</v>
      </c>
      <c r="I10793" s="200" t="s">
        <v>61</v>
      </c>
    </row>
    <row r="10794" spans="1:9" ht="15" customHeight="1">
      <c r="A10794" s="199">
        <v>45827</v>
      </c>
      <c r="B10794" s="202" t="s">
        <v>4394</v>
      </c>
      <c r="C10794" s="200" t="s">
        <v>307</v>
      </c>
      <c r="D10794" s="204">
        <v>-7000</v>
      </c>
      <c r="E10794" s="201">
        <v>45809</v>
      </c>
      <c r="F10794" s="200" t="s">
        <v>296</v>
      </c>
      <c r="G10794" s="200" t="s">
        <v>807</v>
      </c>
      <c r="H10794" s="200" t="s">
        <v>326</v>
      </c>
    </row>
    <row r="10795" spans="1:9" ht="15" customHeight="1">
      <c r="A10795" s="199">
        <v>45827</v>
      </c>
      <c r="B10795" s="202" t="s">
        <v>4395</v>
      </c>
      <c r="C10795" s="200" t="s">
        <v>372</v>
      </c>
      <c r="D10795" s="204">
        <v>-2890</v>
      </c>
      <c r="E10795" s="201">
        <v>45809</v>
      </c>
      <c r="F10795" s="200" t="s">
        <v>297</v>
      </c>
      <c r="G10795" s="200" t="s">
        <v>71</v>
      </c>
      <c r="H10795" s="200" t="s">
        <v>268</v>
      </c>
    </row>
    <row r="10796" spans="1:9" ht="15" customHeight="1">
      <c r="A10796" s="199">
        <v>45827</v>
      </c>
      <c r="B10796" s="202" t="s">
        <v>4396</v>
      </c>
      <c r="C10796" s="200" t="s">
        <v>372</v>
      </c>
      <c r="D10796" s="204">
        <v>-1734</v>
      </c>
      <c r="E10796" s="201">
        <v>45809</v>
      </c>
      <c r="F10796" s="200" t="s">
        <v>297</v>
      </c>
      <c r="G10796" s="200" t="s">
        <v>71</v>
      </c>
      <c r="H10796" s="200" t="s">
        <v>268</v>
      </c>
    </row>
    <row r="10797" spans="1:9" ht="15" customHeight="1">
      <c r="A10797" s="199">
        <v>45802</v>
      </c>
      <c r="B10797" s="202" t="s">
        <v>7952</v>
      </c>
      <c r="C10797" s="200" t="s">
        <v>307</v>
      </c>
      <c r="D10797" s="204">
        <v>-30000</v>
      </c>
      <c r="E10797" s="201">
        <v>45809</v>
      </c>
      <c r="F10797" s="200" t="s">
        <v>296</v>
      </c>
      <c r="G10797" s="200" t="s">
        <v>1983</v>
      </c>
      <c r="H10797" s="200" t="s">
        <v>326</v>
      </c>
      <c r="I10797" s="200" t="s">
        <v>2951</v>
      </c>
    </row>
    <row r="10798" spans="1:9" ht="15" customHeight="1">
      <c r="A10798" s="199">
        <v>45803</v>
      </c>
      <c r="B10798" s="202" t="s">
        <v>5273</v>
      </c>
      <c r="C10798" s="200" t="s">
        <v>307</v>
      </c>
      <c r="D10798" s="204">
        <v>-85018</v>
      </c>
      <c r="E10798" s="201">
        <v>45809</v>
      </c>
      <c r="F10798" s="200" t="s">
        <v>296</v>
      </c>
      <c r="G10798" s="200" t="s">
        <v>1983</v>
      </c>
      <c r="H10798" s="200" t="s">
        <v>326</v>
      </c>
      <c r="I10798" s="200" t="s">
        <v>2951</v>
      </c>
    </row>
    <row r="10799" spans="1:9" ht="15" customHeight="1">
      <c r="A10799" s="199">
        <v>45804</v>
      </c>
      <c r="B10799" s="202" t="s">
        <v>2955</v>
      </c>
      <c r="C10799" s="200" t="s">
        <v>307</v>
      </c>
      <c r="D10799" s="204">
        <v>-19500</v>
      </c>
      <c r="E10799" s="201">
        <v>45809</v>
      </c>
      <c r="F10799" s="200" t="s">
        <v>296</v>
      </c>
      <c r="G10799" s="200" t="s">
        <v>1983</v>
      </c>
      <c r="H10799" s="200" t="s">
        <v>322</v>
      </c>
      <c r="I10799" s="200" t="s">
        <v>2951</v>
      </c>
    </row>
    <row r="10800" spans="1:9" ht="15" customHeight="1">
      <c r="A10800" s="199">
        <v>45804</v>
      </c>
      <c r="B10800" s="202" t="s">
        <v>2213</v>
      </c>
      <c r="C10800" s="200" t="s">
        <v>307</v>
      </c>
      <c r="D10800" s="204">
        <v>-60000</v>
      </c>
      <c r="E10800" s="201">
        <v>45809</v>
      </c>
      <c r="F10800" s="200" t="s">
        <v>296</v>
      </c>
      <c r="G10800" s="200" t="s">
        <v>1983</v>
      </c>
      <c r="H10800" s="200" t="s">
        <v>326</v>
      </c>
      <c r="I10800" s="200" t="s">
        <v>2951</v>
      </c>
    </row>
    <row r="10801" spans="1:9" ht="15" customHeight="1">
      <c r="A10801" s="199">
        <v>45806</v>
      </c>
      <c r="B10801" s="202" t="s">
        <v>7953</v>
      </c>
      <c r="C10801" s="200" t="s">
        <v>307</v>
      </c>
      <c r="D10801" s="204">
        <v>-650000</v>
      </c>
      <c r="E10801" s="201">
        <v>45809</v>
      </c>
      <c r="F10801" s="200" t="s">
        <v>296</v>
      </c>
      <c r="G10801" s="200" t="s">
        <v>1983</v>
      </c>
      <c r="H10801" s="200" t="s">
        <v>322</v>
      </c>
      <c r="I10801" s="200" t="s">
        <v>2951</v>
      </c>
    </row>
    <row r="10802" spans="1:9" ht="15" customHeight="1">
      <c r="A10802" s="199">
        <v>45806</v>
      </c>
      <c r="B10802" s="202" t="s">
        <v>7954</v>
      </c>
      <c r="C10802" s="200" t="s">
        <v>307</v>
      </c>
      <c r="D10802" s="204">
        <v>-21800</v>
      </c>
      <c r="E10802" s="201">
        <v>45809</v>
      </c>
      <c r="F10802" s="200" t="s">
        <v>296</v>
      </c>
      <c r="G10802" s="200" t="s">
        <v>1983</v>
      </c>
      <c r="H10802" s="200" t="s">
        <v>322</v>
      </c>
      <c r="I10802" s="200" t="s">
        <v>2951</v>
      </c>
    </row>
    <row r="10803" spans="1:9" ht="15" customHeight="1">
      <c r="A10803" s="199">
        <v>45807</v>
      </c>
      <c r="B10803" s="202" t="s">
        <v>6999</v>
      </c>
      <c r="C10803" s="200" t="s">
        <v>307</v>
      </c>
      <c r="D10803" s="204">
        <v>-44000</v>
      </c>
      <c r="E10803" s="201">
        <v>45809</v>
      </c>
      <c r="F10803" s="200" t="s">
        <v>296</v>
      </c>
      <c r="G10803" s="200" t="s">
        <v>1983</v>
      </c>
      <c r="H10803" s="200" t="s">
        <v>326</v>
      </c>
      <c r="I10803" s="200" t="s">
        <v>2951</v>
      </c>
    </row>
    <row r="10804" spans="1:9" ht="15" customHeight="1">
      <c r="A10804" s="199">
        <v>45806</v>
      </c>
      <c r="B10804" s="202" t="s">
        <v>5273</v>
      </c>
      <c r="C10804" s="200" t="s">
        <v>307</v>
      </c>
      <c r="D10804" s="204">
        <v>-130073</v>
      </c>
      <c r="E10804" s="201">
        <v>45809</v>
      </c>
      <c r="F10804" s="200" t="s">
        <v>296</v>
      </c>
      <c r="G10804" s="200" t="s">
        <v>1980</v>
      </c>
      <c r="H10804" s="200" t="s">
        <v>326</v>
      </c>
      <c r="I10804" s="200" t="s">
        <v>2951</v>
      </c>
    </row>
    <row r="10805" spans="1:9" ht="15" customHeight="1">
      <c r="A10805" s="199">
        <v>45806</v>
      </c>
      <c r="B10805" s="202" t="s">
        <v>2954</v>
      </c>
      <c r="C10805" s="200" t="s">
        <v>307</v>
      </c>
      <c r="D10805" s="204">
        <v>-120000</v>
      </c>
      <c r="E10805" s="201">
        <v>45809</v>
      </c>
      <c r="F10805" s="200" t="s">
        <v>296</v>
      </c>
      <c r="G10805" s="200" t="s">
        <v>1980</v>
      </c>
      <c r="H10805" s="200" t="s">
        <v>326</v>
      </c>
      <c r="I10805" s="200" t="s">
        <v>2951</v>
      </c>
    </row>
    <row r="10806" spans="1:9" ht="15" customHeight="1">
      <c r="A10806" s="199">
        <v>45807</v>
      </c>
      <c r="B10806" s="202" t="s">
        <v>2955</v>
      </c>
      <c r="C10806" s="200" t="s">
        <v>307</v>
      </c>
      <c r="D10806" s="851">
        <v>-43700</v>
      </c>
      <c r="E10806" s="852">
        <v>45809</v>
      </c>
      <c r="F10806" s="853" t="s">
        <v>296</v>
      </c>
      <c r="G10806" s="853" t="s">
        <v>1980</v>
      </c>
      <c r="H10806" s="853" t="s">
        <v>326</v>
      </c>
      <c r="I10806" s="200" t="s">
        <v>2951</v>
      </c>
    </row>
    <row r="10807" spans="1:9" ht="15" customHeight="1">
      <c r="A10807" s="199">
        <v>45811</v>
      </c>
      <c r="B10807" s="202" t="s">
        <v>2954</v>
      </c>
      <c r="C10807" s="200" t="s">
        <v>307</v>
      </c>
      <c r="D10807" s="204">
        <v>-65000</v>
      </c>
      <c r="E10807" s="201">
        <v>45809</v>
      </c>
      <c r="F10807" s="200" t="s">
        <v>296</v>
      </c>
      <c r="G10807" s="200" t="s">
        <v>1980</v>
      </c>
      <c r="H10807" s="200" t="s">
        <v>326</v>
      </c>
      <c r="I10807" s="200" t="s">
        <v>2951</v>
      </c>
    </row>
    <row r="10808" spans="1:9" ht="15" customHeight="1">
      <c r="A10808" s="199">
        <v>45813</v>
      </c>
      <c r="B10808" s="202" t="s">
        <v>6996</v>
      </c>
      <c r="C10808" s="200" t="s">
        <v>307</v>
      </c>
      <c r="D10808" s="204">
        <v>-80039</v>
      </c>
      <c r="E10808" s="201">
        <v>45809</v>
      </c>
      <c r="F10808" s="200" t="s">
        <v>296</v>
      </c>
      <c r="G10808" s="200" t="s">
        <v>1980</v>
      </c>
      <c r="H10808" s="200" t="s">
        <v>326</v>
      </c>
      <c r="I10808" s="200" t="s">
        <v>2951</v>
      </c>
    </row>
    <row r="10809" spans="1:9" ht="15" customHeight="1">
      <c r="A10809" s="199">
        <v>45813</v>
      </c>
      <c r="B10809" s="202" t="s">
        <v>7955</v>
      </c>
      <c r="C10809" s="200" t="s">
        <v>307</v>
      </c>
      <c r="D10809" s="204">
        <v>-12000</v>
      </c>
      <c r="E10809" s="201">
        <v>45809</v>
      </c>
      <c r="F10809" s="200" t="s">
        <v>296</v>
      </c>
      <c r="G10809" s="200" t="s">
        <v>1980</v>
      </c>
      <c r="H10809" s="200" t="s">
        <v>326</v>
      </c>
      <c r="I10809" s="200" t="s">
        <v>2951</v>
      </c>
    </row>
    <row r="10810" spans="1:9" ht="15" customHeight="1">
      <c r="A10810" s="199">
        <v>45813</v>
      </c>
      <c r="B10810" s="202" t="s">
        <v>2954</v>
      </c>
      <c r="C10810" s="200" t="s">
        <v>307</v>
      </c>
      <c r="D10810" s="204">
        <v>-60000</v>
      </c>
      <c r="E10810" s="201">
        <v>45809</v>
      </c>
      <c r="F10810" s="200" t="s">
        <v>296</v>
      </c>
      <c r="G10810" s="200" t="s">
        <v>1980</v>
      </c>
      <c r="H10810" s="200" t="s">
        <v>326</v>
      </c>
      <c r="I10810" s="200" t="s">
        <v>2951</v>
      </c>
    </row>
    <row r="10811" spans="1:9" ht="15" customHeight="1">
      <c r="A10811" s="199">
        <v>45814</v>
      </c>
      <c r="B10811" s="202" t="s">
        <v>6993</v>
      </c>
      <c r="C10811" s="200" t="s">
        <v>307</v>
      </c>
      <c r="D10811" s="204">
        <v>-70000</v>
      </c>
      <c r="E10811" s="201">
        <v>45809</v>
      </c>
      <c r="F10811" s="200" t="s">
        <v>296</v>
      </c>
      <c r="G10811" s="200" t="s">
        <v>1980</v>
      </c>
      <c r="H10811" s="200" t="s">
        <v>326</v>
      </c>
      <c r="I10811" s="200" t="s">
        <v>2951</v>
      </c>
    </row>
    <row r="10812" spans="1:9" ht="15" customHeight="1">
      <c r="A10812" s="199">
        <v>45814</v>
      </c>
      <c r="B10812" s="202" t="s">
        <v>6994</v>
      </c>
      <c r="C10812" s="200" t="s">
        <v>307</v>
      </c>
      <c r="D10812" s="204">
        <v>-35000</v>
      </c>
      <c r="E10812" s="201">
        <v>45809</v>
      </c>
      <c r="F10812" s="200" t="s">
        <v>296</v>
      </c>
      <c r="G10812" s="200" t="s">
        <v>1980</v>
      </c>
      <c r="H10812" s="200" t="s">
        <v>326</v>
      </c>
      <c r="I10812" s="200" t="s">
        <v>2951</v>
      </c>
    </row>
    <row r="10813" spans="1:9" ht="15" customHeight="1">
      <c r="A10813" s="199">
        <v>45814</v>
      </c>
      <c r="B10813" s="202" t="s">
        <v>7953</v>
      </c>
      <c r="C10813" s="200" t="s">
        <v>307</v>
      </c>
      <c r="D10813" s="204">
        <v>-380000</v>
      </c>
      <c r="E10813" s="201">
        <v>45809</v>
      </c>
      <c r="F10813" s="200" t="s">
        <v>296</v>
      </c>
      <c r="G10813" s="200" t="s">
        <v>1980</v>
      </c>
      <c r="H10813" s="200" t="s">
        <v>488</v>
      </c>
      <c r="I10813" s="200" t="s">
        <v>2951</v>
      </c>
    </row>
    <row r="10814" spans="1:9" ht="15" customHeight="1">
      <c r="A10814" s="199">
        <v>45815</v>
      </c>
      <c r="B10814" s="202" t="s">
        <v>7956</v>
      </c>
      <c r="C10814" s="200" t="s">
        <v>307</v>
      </c>
      <c r="D10814" s="204">
        <v>-200000</v>
      </c>
      <c r="E10814" s="201">
        <v>45809</v>
      </c>
      <c r="F10814" s="200" t="s">
        <v>296</v>
      </c>
      <c r="G10814" s="200" t="s">
        <v>1980</v>
      </c>
      <c r="H10814" s="200" t="s">
        <v>429</v>
      </c>
      <c r="I10814" s="200" t="s">
        <v>2951</v>
      </c>
    </row>
    <row r="10815" spans="1:9" ht="15" customHeight="1">
      <c r="A10815" s="199">
        <v>45815</v>
      </c>
      <c r="B10815" s="202" t="s">
        <v>7957</v>
      </c>
      <c r="C10815" s="200" t="s">
        <v>307</v>
      </c>
      <c r="D10815" s="204">
        <v>-35000</v>
      </c>
      <c r="E10815" s="201">
        <v>45809</v>
      </c>
      <c r="F10815" s="200" t="s">
        <v>296</v>
      </c>
      <c r="G10815" s="200" t="s">
        <v>1980</v>
      </c>
      <c r="H10815" s="200" t="s">
        <v>442</v>
      </c>
      <c r="I10815" s="200" t="s">
        <v>2951</v>
      </c>
    </row>
    <row r="10816" spans="1:9" ht="15" customHeight="1">
      <c r="A10816" s="199">
        <v>45819</v>
      </c>
      <c r="B10816" s="202" t="s">
        <v>7958</v>
      </c>
      <c r="C10816" s="200" t="s">
        <v>307</v>
      </c>
      <c r="D10816" s="204">
        <v>-26000</v>
      </c>
      <c r="E10816" s="201">
        <v>45809</v>
      </c>
      <c r="F10816" s="200" t="s">
        <v>296</v>
      </c>
      <c r="G10816" s="200" t="s">
        <v>1980</v>
      </c>
      <c r="H10816" s="200" t="s">
        <v>326</v>
      </c>
      <c r="I10816" s="200" t="s">
        <v>2951</v>
      </c>
    </row>
    <row r="10817" spans="1:9" ht="15" customHeight="1">
      <c r="A10817" s="199">
        <v>45820</v>
      </c>
      <c r="B10817" s="202" t="s">
        <v>7959</v>
      </c>
      <c r="C10817" s="200" t="s">
        <v>307</v>
      </c>
      <c r="D10817" s="204">
        <v>-883000</v>
      </c>
      <c r="E10817" s="201">
        <v>45809</v>
      </c>
      <c r="F10817" s="200" t="s">
        <v>296</v>
      </c>
      <c r="G10817" s="200" t="s">
        <v>1980</v>
      </c>
      <c r="H10817" s="200" t="s">
        <v>421</v>
      </c>
      <c r="I10817" s="200" t="s">
        <v>2951</v>
      </c>
    </row>
    <row r="10818" spans="1:9" ht="15" customHeight="1">
      <c r="A10818" s="199">
        <v>45820</v>
      </c>
      <c r="B10818" s="202" t="s">
        <v>7960</v>
      </c>
      <c r="C10818" s="200" t="s">
        <v>307</v>
      </c>
      <c r="D10818" s="204">
        <v>-50000</v>
      </c>
      <c r="E10818" s="201">
        <v>45809</v>
      </c>
      <c r="F10818" s="200" t="s">
        <v>296</v>
      </c>
      <c r="G10818" s="200" t="s">
        <v>1980</v>
      </c>
      <c r="H10818" s="200" t="s">
        <v>326</v>
      </c>
      <c r="I10818" s="200" t="s">
        <v>2951</v>
      </c>
    </row>
    <row r="10819" spans="1:9" ht="15" customHeight="1">
      <c r="A10819" s="199">
        <v>45820</v>
      </c>
      <c r="B10819" s="202" t="s">
        <v>6996</v>
      </c>
      <c r="C10819" s="200" t="s">
        <v>307</v>
      </c>
      <c r="D10819" s="204">
        <v>-50000</v>
      </c>
      <c r="E10819" s="201">
        <v>45809</v>
      </c>
      <c r="F10819" s="200" t="s">
        <v>296</v>
      </c>
      <c r="G10819" s="200" t="s">
        <v>1980</v>
      </c>
      <c r="H10819" s="200" t="s">
        <v>326</v>
      </c>
      <c r="I10819" s="200" t="s">
        <v>2951</v>
      </c>
    </row>
    <row r="10820" spans="1:9" ht="15" customHeight="1">
      <c r="A10820" s="199">
        <v>45820</v>
      </c>
      <c r="B10820" s="202" t="s">
        <v>2954</v>
      </c>
      <c r="C10820" s="200" t="s">
        <v>307</v>
      </c>
      <c r="D10820" s="204">
        <v>-105000</v>
      </c>
      <c r="E10820" s="201">
        <v>45809</v>
      </c>
      <c r="F10820" s="200" t="s">
        <v>296</v>
      </c>
      <c r="G10820" s="200" t="s">
        <v>1980</v>
      </c>
      <c r="H10820" s="200" t="s">
        <v>326</v>
      </c>
      <c r="I10820" s="200" t="s">
        <v>2951</v>
      </c>
    </row>
    <row r="10821" spans="1:9" ht="15" customHeight="1">
      <c r="A10821" s="199">
        <v>45821</v>
      </c>
      <c r="B10821" s="202" t="s">
        <v>6999</v>
      </c>
      <c r="C10821" s="200" t="s">
        <v>307</v>
      </c>
      <c r="D10821" s="204">
        <v>-44000</v>
      </c>
      <c r="E10821" s="201">
        <v>45809</v>
      </c>
      <c r="F10821" s="200" t="s">
        <v>296</v>
      </c>
      <c r="G10821" s="200" t="s">
        <v>1980</v>
      </c>
      <c r="H10821" s="200" t="s">
        <v>326</v>
      </c>
      <c r="I10821" s="200" t="s">
        <v>2951</v>
      </c>
    </row>
    <row r="10822" spans="1:9" ht="15" customHeight="1">
      <c r="A10822" s="199">
        <v>45821</v>
      </c>
      <c r="B10822" s="202" t="s">
        <v>2955</v>
      </c>
      <c r="C10822" s="200" t="s">
        <v>307</v>
      </c>
      <c r="D10822" s="204">
        <v>-7500</v>
      </c>
      <c r="E10822" s="201">
        <v>45809</v>
      </c>
      <c r="F10822" s="200" t="s">
        <v>296</v>
      </c>
      <c r="G10822" s="200" t="s">
        <v>1980</v>
      </c>
      <c r="H10822" s="200" t="s">
        <v>326</v>
      </c>
      <c r="I10822" s="200" t="s">
        <v>2951</v>
      </c>
    </row>
    <row r="10823" spans="1:9" ht="15" customHeight="1">
      <c r="A10823" s="199">
        <v>45821</v>
      </c>
      <c r="B10823" s="202" t="s">
        <v>2952</v>
      </c>
      <c r="C10823" s="200" t="s">
        <v>307</v>
      </c>
      <c r="D10823" s="204">
        <v>-61400</v>
      </c>
      <c r="E10823" s="201">
        <v>45809</v>
      </c>
      <c r="F10823" s="200" t="s">
        <v>296</v>
      </c>
      <c r="G10823" s="200" t="s">
        <v>1980</v>
      </c>
      <c r="H10823" s="200" t="s">
        <v>326</v>
      </c>
      <c r="I10823" s="200" t="s">
        <v>2951</v>
      </c>
    </row>
    <row r="10824" spans="1:9" ht="15" customHeight="1">
      <c r="A10824" s="199">
        <v>45821</v>
      </c>
      <c r="B10824" s="202" t="s">
        <v>7961</v>
      </c>
      <c r="C10824" s="200" t="s">
        <v>307</v>
      </c>
      <c r="D10824" s="204">
        <v>-105000</v>
      </c>
      <c r="E10824" s="201">
        <v>45809</v>
      </c>
      <c r="F10824" s="200" t="s">
        <v>296</v>
      </c>
      <c r="G10824" s="200" t="s">
        <v>1980</v>
      </c>
      <c r="H10824" s="200" t="s">
        <v>421</v>
      </c>
      <c r="I10824" s="200" t="s">
        <v>2951</v>
      </c>
    </row>
    <row r="10825" spans="1:9" ht="15" customHeight="1">
      <c r="A10825" s="199">
        <v>45812</v>
      </c>
      <c r="B10825" s="202" t="s">
        <v>2213</v>
      </c>
      <c r="C10825" s="200" t="s">
        <v>307</v>
      </c>
      <c r="D10825" s="204">
        <v>-60000</v>
      </c>
      <c r="E10825" s="201">
        <v>45809</v>
      </c>
      <c r="F10825" s="200" t="s">
        <v>296</v>
      </c>
      <c r="G10825" s="200" t="s">
        <v>1983</v>
      </c>
      <c r="H10825" s="200" t="s">
        <v>326</v>
      </c>
      <c r="I10825" s="200" t="s">
        <v>2951</v>
      </c>
    </row>
    <row r="10826" spans="1:9" ht="15" customHeight="1">
      <c r="A10826" s="199">
        <v>45813</v>
      </c>
      <c r="B10826" s="202" t="s">
        <v>5273</v>
      </c>
      <c r="C10826" s="200" t="s">
        <v>307</v>
      </c>
      <c r="D10826" s="204">
        <v>-108023</v>
      </c>
      <c r="E10826" s="201">
        <v>45809</v>
      </c>
      <c r="F10826" s="200" t="s">
        <v>296</v>
      </c>
      <c r="G10826" s="200" t="s">
        <v>1983</v>
      </c>
      <c r="H10826" s="200" t="s">
        <v>326</v>
      </c>
      <c r="I10826" s="200" t="s">
        <v>2951</v>
      </c>
    </row>
    <row r="10827" spans="1:9" ht="15" customHeight="1">
      <c r="A10827" s="199">
        <v>45814</v>
      </c>
      <c r="B10827" s="202" t="s">
        <v>2955</v>
      </c>
      <c r="C10827" s="200" t="s">
        <v>307</v>
      </c>
      <c r="D10827" s="204">
        <v>-23000</v>
      </c>
      <c r="E10827" s="201">
        <v>45809</v>
      </c>
      <c r="F10827" s="200" t="s">
        <v>296</v>
      </c>
      <c r="G10827" s="200" t="s">
        <v>1983</v>
      </c>
      <c r="H10827" s="200" t="s">
        <v>326</v>
      </c>
      <c r="I10827" s="200" t="s">
        <v>2951</v>
      </c>
    </row>
    <row r="10828" spans="1:9" ht="15" customHeight="1">
      <c r="A10828" s="199">
        <v>45814</v>
      </c>
      <c r="B10828" s="202" t="s">
        <v>7953</v>
      </c>
      <c r="C10828" s="200" t="s">
        <v>307</v>
      </c>
      <c r="D10828" s="204">
        <v>-383000</v>
      </c>
      <c r="E10828" s="201">
        <v>45809</v>
      </c>
      <c r="F10828" s="200" t="s">
        <v>296</v>
      </c>
      <c r="G10828" s="200" t="s">
        <v>1983</v>
      </c>
      <c r="H10828" s="200" t="s">
        <v>488</v>
      </c>
      <c r="I10828" s="200" t="s">
        <v>2951</v>
      </c>
    </row>
    <row r="10829" spans="1:9" ht="15" customHeight="1">
      <c r="A10829" s="199">
        <v>45815</v>
      </c>
      <c r="B10829" s="202" t="s">
        <v>2213</v>
      </c>
      <c r="C10829" s="200" t="s">
        <v>307</v>
      </c>
      <c r="D10829" s="204">
        <v>-90000</v>
      </c>
      <c r="E10829" s="201">
        <v>45809</v>
      </c>
      <c r="F10829" s="200" t="s">
        <v>296</v>
      </c>
      <c r="G10829" s="200" t="s">
        <v>1983</v>
      </c>
      <c r="H10829" s="200" t="s">
        <v>326</v>
      </c>
      <c r="I10829" s="200" t="s">
        <v>2951</v>
      </c>
    </row>
    <row r="10830" spans="1:9" ht="15" customHeight="1">
      <c r="A10830" s="199">
        <v>45817</v>
      </c>
      <c r="B10830" s="202" t="s">
        <v>7962</v>
      </c>
      <c r="C10830" s="200" t="s">
        <v>307</v>
      </c>
      <c r="D10830" s="204">
        <v>-20000</v>
      </c>
      <c r="E10830" s="201">
        <v>45809</v>
      </c>
      <c r="F10830" s="200" t="s">
        <v>296</v>
      </c>
      <c r="G10830" s="200" t="s">
        <v>1983</v>
      </c>
      <c r="H10830" s="200" t="s">
        <v>326</v>
      </c>
      <c r="I10830" s="200" t="s">
        <v>2951</v>
      </c>
    </row>
    <row r="10831" spans="1:9" ht="15" customHeight="1">
      <c r="A10831" s="199">
        <v>45819</v>
      </c>
      <c r="B10831" s="202" t="s">
        <v>4786</v>
      </c>
      <c r="C10831" s="200" t="s">
        <v>307</v>
      </c>
      <c r="D10831" s="204">
        <v>-45000</v>
      </c>
      <c r="E10831" s="201">
        <v>45809</v>
      </c>
      <c r="F10831" s="200" t="s">
        <v>296</v>
      </c>
      <c r="G10831" s="200" t="s">
        <v>1983</v>
      </c>
      <c r="H10831" s="200" t="s">
        <v>326</v>
      </c>
      <c r="I10831" s="200" t="s">
        <v>2951</v>
      </c>
    </row>
    <row r="10832" spans="1:9" ht="15" customHeight="1">
      <c r="A10832" s="199">
        <v>45820</v>
      </c>
      <c r="B10832" s="202" t="s">
        <v>7963</v>
      </c>
      <c r="C10832" s="200" t="s">
        <v>307</v>
      </c>
      <c r="D10832" s="204">
        <v>-50005</v>
      </c>
      <c r="E10832" s="201">
        <v>45809</v>
      </c>
      <c r="F10832" s="200" t="s">
        <v>296</v>
      </c>
      <c r="G10832" s="200" t="s">
        <v>1983</v>
      </c>
      <c r="H10832" s="200" t="s">
        <v>326</v>
      </c>
      <c r="I10832" s="200" t="s">
        <v>2951</v>
      </c>
    </row>
    <row r="10833" spans="1:9" ht="15" customHeight="1">
      <c r="A10833" s="199">
        <v>45820</v>
      </c>
      <c r="B10833" s="202" t="s">
        <v>7964</v>
      </c>
      <c r="C10833" s="200" t="s">
        <v>307</v>
      </c>
      <c r="D10833" s="204">
        <v>-15000</v>
      </c>
      <c r="E10833" s="201">
        <v>45809</v>
      </c>
      <c r="F10833" s="200" t="s">
        <v>296</v>
      </c>
      <c r="G10833" s="200" t="s">
        <v>1983</v>
      </c>
      <c r="H10833" s="200" t="s">
        <v>326</v>
      </c>
      <c r="I10833" s="200" t="s">
        <v>2951</v>
      </c>
    </row>
    <row r="10834" spans="1:9" ht="15" customHeight="1">
      <c r="A10834" s="199">
        <v>45821</v>
      </c>
      <c r="B10834" s="202" t="s">
        <v>7963</v>
      </c>
      <c r="C10834" s="200" t="s">
        <v>307</v>
      </c>
      <c r="D10834" s="204">
        <v>-139000</v>
      </c>
      <c r="E10834" s="201">
        <v>45809</v>
      </c>
      <c r="F10834" s="200" t="s">
        <v>296</v>
      </c>
      <c r="G10834" s="200" t="s">
        <v>1983</v>
      </c>
      <c r="H10834" s="200" t="s">
        <v>326</v>
      </c>
      <c r="I10834" s="200" t="s">
        <v>2951</v>
      </c>
    </row>
    <row r="10835" spans="1:9" ht="15" customHeight="1">
      <c r="A10835" s="199">
        <v>45821</v>
      </c>
      <c r="B10835" s="202" t="s">
        <v>7965</v>
      </c>
      <c r="C10835" s="200" t="s">
        <v>307</v>
      </c>
      <c r="D10835" s="204">
        <v>-25000</v>
      </c>
      <c r="E10835" s="201">
        <v>45809</v>
      </c>
      <c r="F10835" s="200" t="s">
        <v>296</v>
      </c>
      <c r="G10835" s="200" t="s">
        <v>1983</v>
      </c>
      <c r="H10835" s="200" t="s">
        <v>442</v>
      </c>
      <c r="I10835" s="200" t="s">
        <v>2951</v>
      </c>
    </row>
    <row r="10836" spans="1:9" ht="15" customHeight="1">
      <c r="A10836" s="199">
        <v>45821</v>
      </c>
      <c r="B10836" s="202" t="s">
        <v>7961</v>
      </c>
      <c r="C10836" s="200" t="s">
        <v>307</v>
      </c>
      <c r="D10836" s="204">
        <v>-105000</v>
      </c>
      <c r="E10836" s="201">
        <v>45809</v>
      </c>
      <c r="F10836" s="200" t="s">
        <v>296</v>
      </c>
      <c r="G10836" s="200" t="s">
        <v>1983</v>
      </c>
      <c r="H10836" s="200" t="s">
        <v>421</v>
      </c>
      <c r="I10836" s="200" t="s">
        <v>2951</v>
      </c>
    </row>
    <row r="10837" spans="1:9" ht="15" customHeight="1">
      <c r="A10837" s="199">
        <v>45805</v>
      </c>
      <c r="B10837" s="202" t="s">
        <v>5841</v>
      </c>
      <c r="C10837" s="200" t="s">
        <v>307</v>
      </c>
      <c r="D10837" s="204">
        <v>-40036</v>
      </c>
      <c r="E10837" s="201">
        <v>45809</v>
      </c>
      <c r="F10837" s="200" t="s">
        <v>296</v>
      </c>
      <c r="G10837" s="200" t="s">
        <v>807</v>
      </c>
      <c r="H10837" s="200" t="s">
        <v>429</v>
      </c>
      <c r="I10837" s="200" t="s">
        <v>7966</v>
      </c>
    </row>
    <row r="10838" spans="1:9" ht="15" customHeight="1">
      <c r="A10838" s="199">
        <v>45805</v>
      </c>
      <c r="B10838" s="202" t="s">
        <v>1709</v>
      </c>
      <c r="C10838" s="200" t="s">
        <v>307</v>
      </c>
      <c r="D10838" s="204">
        <v>-70000</v>
      </c>
      <c r="E10838" s="201">
        <v>45809</v>
      </c>
      <c r="F10838" s="200" t="s">
        <v>296</v>
      </c>
      <c r="G10838" s="200" t="s">
        <v>807</v>
      </c>
      <c r="H10838" s="200" t="s">
        <v>429</v>
      </c>
      <c r="I10838" s="200" t="s">
        <v>7966</v>
      </c>
    </row>
    <row r="10839" spans="1:9" ht="15" customHeight="1">
      <c r="A10839" s="199">
        <v>45804</v>
      </c>
      <c r="B10839" s="202" t="s">
        <v>7967</v>
      </c>
      <c r="C10839" s="200" t="s">
        <v>307</v>
      </c>
      <c r="D10839" s="204">
        <v>-200000</v>
      </c>
      <c r="E10839" s="201">
        <v>45809</v>
      </c>
      <c r="F10839" s="200" t="s">
        <v>296</v>
      </c>
      <c r="G10839" s="200" t="s">
        <v>522</v>
      </c>
      <c r="H10839" s="200" t="s">
        <v>326</v>
      </c>
      <c r="I10839" s="200" t="s">
        <v>7966</v>
      </c>
    </row>
    <row r="10840" spans="1:9" ht="15" customHeight="1">
      <c r="A10840" s="199">
        <v>45804</v>
      </c>
      <c r="B10840" s="202" t="s">
        <v>1890</v>
      </c>
      <c r="C10840" s="200" t="s">
        <v>307</v>
      </c>
      <c r="D10840" s="204">
        <v>-14800</v>
      </c>
      <c r="E10840" s="201">
        <v>45809</v>
      </c>
      <c r="F10840" s="200" t="s">
        <v>296</v>
      </c>
      <c r="G10840" s="200" t="s">
        <v>522</v>
      </c>
      <c r="H10840" s="200" t="s">
        <v>326</v>
      </c>
      <c r="I10840" s="200" t="s">
        <v>7966</v>
      </c>
    </row>
    <row r="10841" spans="1:9" ht="15" customHeight="1">
      <c r="A10841" s="199">
        <v>45804</v>
      </c>
      <c r="B10841" s="202" t="s">
        <v>4294</v>
      </c>
      <c r="C10841" s="200" t="s">
        <v>307</v>
      </c>
      <c r="D10841" s="204">
        <v>-158000</v>
      </c>
      <c r="E10841" s="201">
        <v>45809</v>
      </c>
      <c r="F10841" s="200" t="s">
        <v>296</v>
      </c>
      <c r="G10841" s="200" t="s">
        <v>522</v>
      </c>
      <c r="H10841" s="200" t="s">
        <v>326</v>
      </c>
      <c r="I10841" s="200" t="s">
        <v>7966</v>
      </c>
    </row>
    <row r="10842" spans="1:9" ht="15" customHeight="1">
      <c r="A10842" s="199">
        <v>45805</v>
      </c>
      <c r="B10842" s="202" t="s">
        <v>7968</v>
      </c>
      <c r="C10842" s="200" t="s">
        <v>307</v>
      </c>
      <c r="D10842" s="204">
        <v>-40000</v>
      </c>
      <c r="E10842" s="201">
        <v>45809</v>
      </c>
      <c r="F10842" s="200" t="s">
        <v>296</v>
      </c>
      <c r="G10842" s="200" t="s">
        <v>522</v>
      </c>
      <c r="H10842" s="200" t="s">
        <v>326</v>
      </c>
      <c r="I10842" s="200" t="s">
        <v>7966</v>
      </c>
    </row>
    <row r="10843" spans="1:9" ht="15" customHeight="1">
      <c r="A10843" s="199">
        <v>45805</v>
      </c>
      <c r="B10843" s="202" t="s">
        <v>2637</v>
      </c>
      <c r="C10843" s="200" t="s">
        <v>307</v>
      </c>
      <c r="D10843" s="204">
        <v>-23000</v>
      </c>
      <c r="E10843" s="201">
        <v>45809</v>
      </c>
      <c r="F10843" s="200" t="s">
        <v>296</v>
      </c>
      <c r="G10843" s="200" t="s">
        <v>522</v>
      </c>
      <c r="H10843" s="200" t="s">
        <v>326</v>
      </c>
      <c r="I10843" s="200" t="s">
        <v>7966</v>
      </c>
    </row>
    <row r="10844" spans="1:9" ht="15" customHeight="1">
      <c r="A10844" s="199">
        <v>45806</v>
      </c>
      <c r="B10844" s="202" t="s">
        <v>2637</v>
      </c>
      <c r="C10844" s="200" t="s">
        <v>307</v>
      </c>
      <c r="D10844" s="204">
        <v>-23000</v>
      </c>
      <c r="E10844" s="201">
        <v>45809</v>
      </c>
      <c r="F10844" s="200" t="s">
        <v>296</v>
      </c>
      <c r="G10844" s="200" t="s">
        <v>522</v>
      </c>
      <c r="H10844" s="200" t="s">
        <v>326</v>
      </c>
      <c r="I10844" s="200" t="s">
        <v>7966</v>
      </c>
    </row>
    <row r="10845" spans="1:9" ht="15" customHeight="1">
      <c r="A10845" s="199">
        <v>45807</v>
      </c>
      <c r="B10845" s="202" t="s">
        <v>7969</v>
      </c>
      <c r="C10845" s="200" t="s">
        <v>307</v>
      </c>
      <c r="D10845" s="204">
        <v>-20000</v>
      </c>
      <c r="E10845" s="201">
        <v>45809</v>
      </c>
      <c r="F10845" s="200" t="s">
        <v>296</v>
      </c>
      <c r="G10845" s="200" t="s">
        <v>522</v>
      </c>
      <c r="H10845" s="200" t="s">
        <v>326</v>
      </c>
      <c r="I10845" s="200" t="s">
        <v>7966</v>
      </c>
    </row>
    <row r="10846" spans="1:9" ht="15" customHeight="1">
      <c r="A10846" s="199">
        <v>45807</v>
      </c>
      <c r="B10846" s="202" t="s">
        <v>6986</v>
      </c>
      <c r="C10846" s="200" t="s">
        <v>307</v>
      </c>
      <c r="D10846" s="204">
        <v>-20000</v>
      </c>
      <c r="E10846" s="201">
        <v>45809</v>
      </c>
      <c r="F10846" s="200" t="s">
        <v>296</v>
      </c>
      <c r="G10846" s="200" t="s">
        <v>522</v>
      </c>
      <c r="H10846" s="200" t="s">
        <v>326</v>
      </c>
      <c r="I10846" s="200" t="s">
        <v>7966</v>
      </c>
    </row>
    <row r="10847" spans="1:9" ht="15" customHeight="1">
      <c r="A10847" s="199">
        <v>45808</v>
      </c>
      <c r="B10847" s="202" t="s">
        <v>7970</v>
      </c>
      <c r="C10847" s="200" t="s">
        <v>307</v>
      </c>
      <c r="D10847" s="204">
        <v>-230000</v>
      </c>
      <c r="E10847" s="201">
        <v>45809</v>
      </c>
      <c r="F10847" s="200" t="s">
        <v>296</v>
      </c>
      <c r="G10847" s="200" t="s">
        <v>522</v>
      </c>
      <c r="H10847" s="200" t="s">
        <v>326</v>
      </c>
      <c r="I10847" s="200" t="s">
        <v>7966</v>
      </c>
    </row>
    <row r="10848" spans="1:9" ht="15" customHeight="1">
      <c r="A10848" s="199">
        <v>45826</v>
      </c>
      <c r="B10848" s="202" t="s">
        <v>7971</v>
      </c>
      <c r="C10848" s="200" t="s">
        <v>307</v>
      </c>
      <c r="D10848" s="204">
        <v>-87900</v>
      </c>
      <c r="E10848" s="201">
        <v>45809</v>
      </c>
      <c r="F10848" s="200" t="s">
        <v>296</v>
      </c>
      <c r="G10848" s="200" t="s">
        <v>1983</v>
      </c>
      <c r="H10848" s="200" t="s">
        <v>322</v>
      </c>
      <c r="I10848" s="200" t="s">
        <v>7925</v>
      </c>
    </row>
    <row r="10849" spans="1:9" ht="15" customHeight="1">
      <c r="A10849" s="199">
        <v>45828</v>
      </c>
      <c r="B10849" s="202" t="s">
        <v>7972</v>
      </c>
      <c r="C10849" s="200" t="s">
        <v>204</v>
      </c>
      <c r="D10849" s="765">
        <v>-458950</v>
      </c>
      <c r="E10849" s="201">
        <v>45809</v>
      </c>
      <c r="F10849" s="200" t="s">
        <v>256</v>
      </c>
      <c r="G10849" s="200" t="s">
        <v>256</v>
      </c>
      <c r="H10849" s="200" t="s">
        <v>261</v>
      </c>
    </row>
    <row r="10850" spans="1:9" ht="15" customHeight="1">
      <c r="A10850" s="199">
        <v>45828</v>
      </c>
      <c r="B10850" s="202" t="s">
        <v>7972</v>
      </c>
      <c r="C10850" s="200" t="s">
        <v>204</v>
      </c>
      <c r="D10850" s="765">
        <v>-450950</v>
      </c>
      <c r="E10850" s="201">
        <v>45809</v>
      </c>
      <c r="F10850" s="200" t="s">
        <v>256</v>
      </c>
      <c r="G10850" s="200" t="s">
        <v>256</v>
      </c>
      <c r="H10850" s="200" t="s">
        <v>261</v>
      </c>
    </row>
    <row r="10851" spans="1:9" ht="15" customHeight="1">
      <c r="A10851" s="199">
        <v>45828</v>
      </c>
      <c r="B10851" s="202" t="s">
        <v>7973</v>
      </c>
      <c r="C10851" s="200" t="s">
        <v>204</v>
      </c>
      <c r="D10851" s="765">
        <v>-743040</v>
      </c>
      <c r="E10851" s="201">
        <v>45809</v>
      </c>
      <c r="F10851" s="200" t="s">
        <v>296</v>
      </c>
      <c r="G10851" s="200" t="s">
        <v>1362</v>
      </c>
      <c r="H10851" s="200" t="s">
        <v>567</v>
      </c>
    </row>
    <row r="10852" spans="1:9" ht="15" customHeight="1">
      <c r="A10852" s="199">
        <v>45828</v>
      </c>
      <c r="B10852" s="202" t="s">
        <v>7973</v>
      </c>
      <c r="C10852" s="200" t="s">
        <v>204</v>
      </c>
      <c r="D10852" s="765">
        <v>-185760</v>
      </c>
      <c r="E10852" s="201">
        <v>45809</v>
      </c>
      <c r="F10852" s="200" t="s">
        <v>296</v>
      </c>
      <c r="G10852" s="200" t="s">
        <v>5466</v>
      </c>
      <c r="H10852" s="200" t="s">
        <v>567</v>
      </c>
    </row>
    <row r="10853" spans="1:9" ht="15" customHeight="1">
      <c r="A10853" s="199">
        <v>45828</v>
      </c>
      <c r="B10853" s="202" t="s">
        <v>7974</v>
      </c>
      <c r="C10853" s="200" t="s">
        <v>204</v>
      </c>
      <c r="D10853" s="765">
        <v>-687400</v>
      </c>
      <c r="E10853" s="201">
        <v>45809</v>
      </c>
      <c r="F10853" s="200" t="s">
        <v>296</v>
      </c>
      <c r="G10853" s="200" t="s">
        <v>57</v>
      </c>
      <c r="H10853" s="200" t="s">
        <v>121</v>
      </c>
    </row>
    <row r="10854" spans="1:9" ht="15" customHeight="1">
      <c r="A10854" s="199">
        <v>45828</v>
      </c>
      <c r="B10854" s="202" t="s">
        <v>7975</v>
      </c>
      <c r="C10854" s="200" t="s">
        <v>204</v>
      </c>
      <c r="D10854" s="765">
        <v>-102170</v>
      </c>
      <c r="E10854" s="201">
        <v>45809</v>
      </c>
      <c r="F10854" s="200" t="s">
        <v>296</v>
      </c>
      <c r="G10854" s="200" t="s">
        <v>1124</v>
      </c>
      <c r="H10854" s="200" t="s">
        <v>567</v>
      </c>
    </row>
    <row r="10855" spans="1:9" ht="15" customHeight="1">
      <c r="A10855" s="199">
        <v>45828</v>
      </c>
      <c r="B10855" s="202" t="s">
        <v>7975</v>
      </c>
      <c r="C10855" s="200" t="s">
        <v>204</v>
      </c>
      <c r="D10855" s="765">
        <v>-51085</v>
      </c>
      <c r="E10855" s="201">
        <v>45809</v>
      </c>
      <c r="F10855" s="200" t="s">
        <v>296</v>
      </c>
      <c r="G10855" s="200" t="s">
        <v>3360</v>
      </c>
      <c r="H10855" s="200" t="s">
        <v>567</v>
      </c>
    </row>
    <row r="10856" spans="1:9" ht="15" customHeight="1">
      <c r="A10856" s="199">
        <v>45828</v>
      </c>
      <c r="B10856" s="202" t="s">
        <v>7975</v>
      </c>
      <c r="C10856" s="200" t="s">
        <v>204</v>
      </c>
      <c r="D10856" s="765">
        <v>-817360</v>
      </c>
      <c r="E10856" s="201">
        <v>45809</v>
      </c>
      <c r="F10856" s="200" t="s">
        <v>297</v>
      </c>
      <c r="G10856" s="200" t="s">
        <v>3892</v>
      </c>
      <c r="H10856" s="200" t="s">
        <v>567</v>
      </c>
    </row>
    <row r="10857" spans="1:9" ht="15" customHeight="1">
      <c r="A10857" s="199">
        <v>45828</v>
      </c>
      <c r="B10857" s="202" t="s">
        <v>7975</v>
      </c>
      <c r="C10857" s="200" t="s">
        <v>204</v>
      </c>
      <c r="D10857" s="765">
        <v>-51085</v>
      </c>
      <c r="E10857" s="201">
        <v>45809</v>
      </c>
      <c r="F10857" s="200" t="s">
        <v>297</v>
      </c>
      <c r="G10857" s="200" t="s">
        <v>3848</v>
      </c>
      <c r="H10857" s="200" t="s">
        <v>567</v>
      </c>
    </row>
    <row r="10858" spans="1:9" ht="15" customHeight="1">
      <c r="A10858" s="199">
        <v>45828</v>
      </c>
      <c r="B10858" s="202" t="s">
        <v>7976</v>
      </c>
      <c r="C10858" s="200" t="s">
        <v>204</v>
      </c>
      <c r="D10858" s="765">
        <v>-435500</v>
      </c>
      <c r="E10858" s="201">
        <v>45809</v>
      </c>
      <c r="F10858" s="200" t="s">
        <v>296</v>
      </c>
      <c r="G10858" s="200" t="s">
        <v>57</v>
      </c>
      <c r="H10858" s="200" t="s">
        <v>121</v>
      </c>
    </row>
    <row r="10859" spans="1:9" ht="15" customHeight="1">
      <c r="A10859" s="199">
        <v>45828</v>
      </c>
      <c r="B10859" s="202" t="s">
        <v>7977</v>
      </c>
      <c r="C10859" s="200" t="s">
        <v>204</v>
      </c>
      <c r="D10859" s="765">
        <v>-866880</v>
      </c>
      <c r="E10859" s="201">
        <v>45809</v>
      </c>
      <c r="F10859" s="200" t="s">
        <v>296</v>
      </c>
      <c r="G10859" s="200" t="s">
        <v>2418</v>
      </c>
      <c r="H10859" s="200" t="s">
        <v>567</v>
      </c>
    </row>
    <row r="10860" spans="1:9" ht="15" customHeight="1">
      <c r="A10860" s="199">
        <v>45828</v>
      </c>
      <c r="B10860" s="202" t="s">
        <v>7977</v>
      </c>
      <c r="C10860" s="200" t="s">
        <v>204</v>
      </c>
      <c r="D10860" s="765">
        <v>-216720</v>
      </c>
      <c r="E10860" s="201">
        <v>45809</v>
      </c>
      <c r="F10860" s="200" t="s">
        <v>296</v>
      </c>
      <c r="G10860" s="200" t="s">
        <v>3847</v>
      </c>
      <c r="H10860" s="200" t="s">
        <v>567</v>
      </c>
      <c r="I10860" s="648" t="s">
        <v>329</v>
      </c>
    </row>
    <row r="10861" spans="1:9" ht="15" customHeight="1">
      <c r="A10861" s="199">
        <v>45828</v>
      </c>
      <c r="B10861" s="202" t="s">
        <v>7978</v>
      </c>
      <c r="C10861" s="200" t="s">
        <v>204</v>
      </c>
      <c r="D10861" s="765">
        <v>-719100</v>
      </c>
      <c r="E10861" s="201">
        <v>45809</v>
      </c>
      <c r="F10861" s="200" t="s">
        <v>297</v>
      </c>
      <c r="G10861" s="200" t="s">
        <v>3892</v>
      </c>
      <c r="H10861" s="200" t="s">
        <v>567</v>
      </c>
    </row>
    <row r="10862" spans="1:9" ht="15" customHeight="1">
      <c r="A10862" s="199">
        <v>45828</v>
      </c>
      <c r="B10862" s="202" t="s">
        <v>7978</v>
      </c>
      <c r="C10862" s="200" t="s">
        <v>204</v>
      </c>
      <c r="D10862" s="765">
        <v>-719100</v>
      </c>
      <c r="E10862" s="201">
        <v>45809</v>
      </c>
      <c r="F10862" s="200" t="s">
        <v>297</v>
      </c>
      <c r="G10862" s="200" t="s">
        <v>71</v>
      </c>
      <c r="H10862" s="200" t="s">
        <v>567</v>
      </c>
    </row>
    <row r="10863" spans="1:9" ht="15" customHeight="1">
      <c r="A10863" s="199">
        <v>45828</v>
      </c>
      <c r="B10863" s="202" t="s">
        <v>7978</v>
      </c>
      <c r="C10863" s="200" t="s">
        <v>204</v>
      </c>
      <c r="D10863" s="765">
        <v>-719100</v>
      </c>
      <c r="E10863" s="201">
        <v>45809</v>
      </c>
      <c r="F10863" s="200" t="s">
        <v>296</v>
      </c>
      <c r="G10863" s="200" t="s">
        <v>1362</v>
      </c>
      <c r="H10863" s="200" t="s">
        <v>567</v>
      </c>
    </row>
    <row r="10864" spans="1:9" ht="15" customHeight="1">
      <c r="A10864" s="199">
        <v>45828</v>
      </c>
      <c r="B10864" s="202" t="s">
        <v>7978</v>
      </c>
      <c r="C10864" s="200" t="s">
        <v>204</v>
      </c>
      <c r="D10864" s="765">
        <v>-719100</v>
      </c>
      <c r="E10864" s="201">
        <v>45809</v>
      </c>
      <c r="F10864" s="200" t="s">
        <v>296</v>
      </c>
      <c r="G10864" s="200" t="s">
        <v>2418</v>
      </c>
      <c r="H10864" s="200" t="s">
        <v>567</v>
      </c>
    </row>
    <row r="10865" spans="1:9" ht="15" customHeight="1">
      <c r="A10865" s="199">
        <v>45828</v>
      </c>
      <c r="B10865" s="202" t="s">
        <v>7979</v>
      </c>
      <c r="C10865" s="200" t="s">
        <v>204</v>
      </c>
      <c r="D10865" s="765">
        <v>-162860</v>
      </c>
      <c r="E10865" s="201">
        <v>45809</v>
      </c>
      <c r="F10865" s="200" t="s">
        <v>296</v>
      </c>
      <c r="G10865" s="200" t="s">
        <v>2418</v>
      </c>
      <c r="H10865" s="200" t="s">
        <v>567</v>
      </c>
    </row>
    <row r="10866" spans="1:9" ht="15" customHeight="1">
      <c r="A10866" s="199">
        <v>45828</v>
      </c>
      <c r="B10866" s="202" t="s">
        <v>7979</v>
      </c>
      <c r="C10866" s="200" t="s">
        <v>204</v>
      </c>
      <c r="D10866" s="765">
        <v>-162860</v>
      </c>
      <c r="E10866" s="201">
        <v>45809</v>
      </c>
      <c r="F10866" s="200" t="s">
        <v>297</v>
      </c>
      <c r="G10866" s="200" t="s">
        <v>71</v>
      </c>
      <c r="H10866" s="200" t="s">
        <v>567</v>
      </c>
    </row>
    <row r="10867" spans="1:9" ht="15" customHeight="1">
      <c r="A10867" s="199">
        <v>45828</v>
      </c>
      <c r="B10867" s="202" t="s">
        <v>7979</v>
      </c>
      <c r="C10867" s="200" t="s">
        <v>204</v>
      </c>
      <c r="D10867" s="765">
        <v>-81430</v>
      </c>
      <c r="E10867" s="201">
        <v>45809</v>
      </c>
      <c r="F10867" s="200" t="s">
        <v>296</v>
      </c>
      <c r="G10867" s="200" t="s">
        <v>1311</v>
      </c>
      <c r="H10867" s="200" t="s">
        <v>567</v>
      </c>
    </row>
    <row r="10868" spans="1:9" ht="15" customHeight="1">
      <c r="A10868" s="199">
        <v>45828</v>
      </c>
      <c r="B10868" s="202" t="s">
        <v>7979</v>
      </c>
      <c r="C10868" s="200" t="s">
        <v>204</v>
      </c>
      <c r="D10868" s="765">
        <v>-40715</v>
      </c>
      <c r="E10868" s="201">
        <v>45809</v>
      </c>
      <c r="F10868" s="200" t="s">
        <v>297</v>
      </c>
      <c r="G10868" s="200" t="s">
        <v>5404</v>
      </c>
      <c r="H10868" s="200" t="s">
        <v>567</v>
      </c>
    </row>
    <row r="10869" spans="1:9" ht="15" customHeight="1">
      <c r="A10869" s="199">
        <v>45828</v>
      </c>
      <c r="B10869" s="202" t="s">
        <v>7979</v>
      </c>
      <c r="C10869" s="200" t="s">
        <v>204</v>
      </c>
      <c r="D10869" s="765">
        <v>-122145</v>
      </c>
      <c r="E10869" s="201">
        <v>45809</v>
      </c>
      <c r="F10869" s="200" t="s">
        <v>296</v>
      </c>
      <c r="G10869" s="200" t="s">
        <v>2994</v>
      </c>
      <c r="H10869" s="200" t="s">
        <v>567</v>
      </c>
    </row>
    <row r="10870" spans="1:9" ht="15" customHeight="1">
      <c r="A10870" s="199">
        <v>45828</v>
      </c>
      <c r="B10870" s="202" t="s">
        <v>7979</v>
      </c>
      <c r="C10870" s="200" t="s">
        <v>204</v>
      </c>
      <c r="D10870" s="765">
        <v>-81430</v>
      </c>
      <c r="E10870" s="201">
        <v>45809</v>
      </c>
      <c r="F10870" s="200" t="s">
        <v>297</v>
      </c>
      <c r="G10870" s="200" t="s">
        <v>1578</v>
      </c>
      <c r="H10870" s="200" t="s">
        <v>567</v>
      </c>
    </row>
    <row r="10871" spans="1:9" ht="15" customHeight="1">
      <c r="A10871" s="199">
        <v>45828</v>
      </c>
      <c r="B10871" s="202" t="s">
        <v>7979</v>
      </c>
      <c r="C10871" s="200" t="s">
        <v>204</v>
      </c>
      <c r="D10871" s="765">
        <v>-81430</v>
      </c>
      <c r="E10871" s="201">
        <v>45809</v>
      </c>
      <c r="F10871" s="200" t="s">
        <v>296</v>
      </c>
      <c r="G10871" s="200" t="s">
        <v>875</v>
      </c>
      <c r="H10871" s="200" t="s">
        <v>567</v>
      </c>
    </row>
    <row r="10872" spans="1:9" ht="15" customHeight="1">
      <c r="A10872" s="199">
        <v>45828</v>
      </c>
      <c r="B10872" s="202" t="s">
        <v>7979</v>
      </c>
      <c r="C10872" s="200" t="s">
        <v>204</v>
      </c>
      <c r="D10872" s="765">
        <v>-81430</v>
      </c>
      <c r="E10872" s="201">
        <v>45809</v>
      </c>
      <c r="F10872" s="200" t="s">
        <v>296</v>
      </c>
      <c r="G10872" s="200" t="s">
        <v>1735</v>
      </c>
      <c r="H10872" s="200" t="s">
        <v>567</v>
      </c>
      <c r="I10872" s="648" t="s">
        <v>329</v>
      </c>
    </row>
    <row r="10873" spans="1:9" ht="15" customHeight="1">
      <c r="A10873" s="199">
        <v>45828</v>
      </c>
      <c r="B10873" s="202" t="s">
        <v>7980</v>
      </c>
      <c r="C10873" s="200" t="s">
        <v>204</v>
      </c>
      <c r="D10873" s="765">
        <v>-340566.67</v>
      </c>
      <c r="E10873" s="201">
        <v>45809</v>
      </c>
      <c r="F10873" s="200" t="s">
        <v>296</v>
      </c>
      <c r="G10873" s="200" t="s">
        <v>1980</v>
      </c>
      <c r="H10873" s="200" t="s">
        <v>338</v>
      </c>
    </row>
    <row r="10874" spans="1:9" ht="15" customHeight="1">
      <c r="A10874" s="199">
        <v>45828</v>
      </c>
      <c r="B10874" s="202" t="s">
        <v>7980</v>
      </c>
      <c r="C10874" s="200" t="s">
        <v>204</v>
      </c>
      <c r="D10874" s="765">
        <v>-340566.67</v>
      </c>
      <c r="E10874" s="201">
        <v>45809</v>
      </c>
      <c r="F10874" s="200" t="s">
        <v>296</v>
      </c>
      <c r="G10874" s="200" t="s">
        <v>807</v>
      </c>
      <c r="H10874" s="200" t="s">
        <v>338</v>
      </c>
    </row>
    <row r="10875" spans="1:9" ht="15" customHeight="1">
      <c r="A10875" s="199">
        <v>45828</v>
      </c>
      <c r="B10875" s="202" t="s">
        <v>7980</v>
      </c>
      <c r="C10875" s="200" t="s">
        <v>204</v>
      </c>
      <c r="D10875" s="765">
        <v>-340566.66</v>
      </c>
      <c r="E10875" s="201">
        <v>45809</v>
      </c>
      <c r="F10875" s="200" t="s">
        <v>296</v>
      </c>
      <c r="G10875" s="200" t="s">
        <v>1825</v>
      </c>
      <c r="H10875" s="200" t="s">
        <v>338</v>
      </c>
    </row>
    <row r="10876" spans="1:9" ht="15" customHeight="1">
      <c r="A10876" s="199">
        <v>45828</v>
      </c>
      <c r="B10876" s="202" t="s">
        <v>7981</v>
      </c>
      <c r="C10876" s="200" t="s">
        <v>204</v>
      </c>
      <c r="D10876" s="765">
        <v>-440900</v>
      </c>
      <c r="E10876" s="201">
        <v>45809</v>
      </c>
      <c r="F10876" s="200" t="s">
        <v>256</v>
      </c>
      <c r="G10876" s="200" t="s">
        <v>107</v>
      </c>
      <c r="H10876" s="200" t="s">
        <v>121</v>
      </c>
    </row>
    <row r="10877" spans="1:9" ht="15" customHeight="1">
      <c r="A10877" s="199">
        <v>45828</v>
      </c>
      <c r="B10877" s="202" t="s">
        <v>7982</v>
      </c>
      <c r="C10877" s="200" t="s">
        <v>204</v>
      </c>
      <c r="D10877" s="765">
        <v>-92880</v>
      </c>
      <c r="E10877" s="201">
        <v>45809</v>
      </c>
      <c r="F10877" s="200" t="s">
        <v>296</v>
      </c>
      <c r="G10877" s="200" t="s">
        <v>3360</v>
      </c>
      <c r="H10877" s="200" t="s">
        <v>567</v>
      </c>
    </row>
    <row r="10878" spans="1:9" ht="15" customHeight="1">
      <c r="A10878" s="199">
        <v>45828</v>
      </c>
      <c r="B10878" s="202" t="s">
        <v>7982</v>
      </c>
      <c r="C10878" s="200" t="s">
        <v>204</v>
      </c>
      <c r="D10878" s="765">
        <v>-46440</v>
      </c>
      <c r="E10878" s="201">
        <v>45809</v>
      </c>
      <c r="F10878" s="200" t="s">
        <v>297</v>
      </c>
      <c r="G10878" s="200" t="s">
        <v>3892</v>
      </c>
      <c r="H10878" s="200" t="s">
        <v>567</v>
      </c>
    </row>
    <row r="10879" spans="1:9" ht="15" customHeight="1">
      <c r="A10879" s="199">
        <v>45828</v>
      </c>
      <c r="B10879" s="202" t="s">
        <v>7982</v>
      </c>
      <c r="C10879" s="200" t="s">
        <v>204</v>
      </c>
      <c r="D10879" s="765">
        <v>-789480</v>
      </c>
      <c r="E10879" s="201">
        <v>45809</v>
      </c>
      <c r="F10879" s="200" t="s">
        <v>297</v>
      </c>
      <c r="G10879" s="200" t="s">
        <v>3848</v>
      </c>
      <c r="H10879" s="200" t="s">
        <v>567</v>
      </c>
      <c r="I10879" s="648" t="s">
        <v>329</v>
      </c>
    </row>
    <row r="10880" spans="1:9" ht="15" customHeight="1">
      <c r="A10880" s="199">
        <v>45828</v>
      </c>
      <c r="B10880" s="202" t="s">
        <v>7983</v>
      </c>
      <c r="C10880" s="200" t="s">
        <v>204</v>
      </c>
      <c r="D10880" s="765">
        <v>-897900</v>
      </c>
      <c r="E10880" s="201">
        <v>45809</v>
      </c>
      <c r="F10880" s="200" t="s">
        <v>256</v>
      </c>
      <c r="G10880" s="200" t="s">
        <v>107</v>
      </c>
      <c r="H10880" s="200" t="s">
        <v>121</v>
      </c>
    </row>
    <row r="10881" spans="1:9" ht="15" customHeight="1">
      <c r="A10881" s="199">
        <v>45828</v>
      </c>
      <c r="B10881" s="202" t="s">
        <v>7984</v>
      </c>
      <c r="C10881" s="200" t="s">
        <v>204</v>
      </c>
      <c r="D10881" s="765">
        <v>-464400</v>
      </c>
      <c r="E10881" s="201">
        <v>45809</v>
      </c>
      <c r="F10881" s="200" t="s">
        <v>296</v>
      </c>
      <c r="G10881" s="200" t="s">
        <v>1362</v>
      </c>
      <c r="H10881" s="200" t="s">
        <v>567</v>
      </c>
    </row>
    <row r="10882" spans="1:9" ht="15" customHeight="1">
      <c r="A10882" s="199">
        <v>45828</v>
      </c>
      <c r="B10882" s="202" t="s">
        <v>7984</v>
      </c>
      <c r="C10882" s="200" t="s">
        <v>204</v>
      </c>
      <c r="D10882" s="765">
        <v>-464400</v>
      </c>
      <c r="E10882" s="201">
        <v>45809</v>
      </c>
      <c r="F10882" s="200" t="s">
        <v>296</v>
      </c>
      <c r="G10882" s="200" t="s">
        <v>5466</v>
      </c>
      <c r="H10882" s="200" t="s">
        <v>567</v>
      </c>
    </row>
    <row r="10883" spans="1:9" ht="15" customHeight="1">
      <c r="A10883" s="199">
        <v>45828</v>
      </c>
      <c r="B10883" s="202" t="s">
        <v>7985</v>
      </c>
      <c r="C10883" s="200" t="s">
        <v>204</v>
      </c>
      <c r="D10883" s="765">
        <v>-338400</v>
      </c>
      <c r="E10883" s="201">
        <v>45809</v>
      </c>
      <c r="F10883" s="200" t="s">
        <v>296</v>
      </c>
      <c r="G10883" s="200" t="s">
        <v>57</v>
      </c>
      <c r="H10883" s="200" t="s">
        <v>121</v>
      </c>
    </row>
    <row r="10884" spans="1:9" ht="15" customHeight="1">
      <c r="A10884" s="199">
        <v>45828</v>
      </c>
      <c r="B10884" s="202" t="s">
        <v>7986</v>
      </c>
      <c r="C10884" s="200" t="s">
        <v>204</v>
      </c>
      <c r="D10884" s="765">
        <v>-846000</v>
      </c>
      <c r="E10884" s="201">
        <v>45809</v>
      </c>
      <c r="F10884" s="200" t="s">
        <v>296</v>
      </c>
      <c r="G10884" s="200" t="s">
        <v>57</v>
      </c>
      <c r="H10884" s="200" t="s">
        <v>121</v>
      </c>
    </row>
    <row r="10885" spans="1:9" ht="15" customHeight="1">
      <c r="A10885" s="199">
        <v>45828</v>
      </c>
      <c r="B10885" s="202" t="s">
        <v>7987</v>
      </c>
      <c r="C10885" s="200" t="s">
        <v>204</v>
      </c>
      <c r="D10885" s="765">
        <v>-859200</v>
      </c>
      <c r="E10885" s="201">
        <v>45809</v>
      </c>
      <c r="F10885" s="200" t="s">
        <v>296</v>
      </c>
      <c r="G10885" s="200" t="s">
        <v>57</v>
      </c>
      <c r="H10885" s="200" t="s">
        <v>121</v>
      </c>
    </row>
    <row r="10886" spans="1:9" ht="15" customHeight="1">
      <c r="A10886" s="199">
        <v>45828</v>
      </c>
      <c r="B10886" s="202" t="s">
        <v>7988</v>
      </c>
      <c r="C10886" s="200" t="s">
        <v>204</v>
      </c>
      <c r="D10886" s="765">
        <v>-65160</v>
      </c>
      <c r="E10886" s="201">
        <v>45809</v>
      </c>
      <c r="F10886" s="200" t="s">
        <v>296</v>
      </c>
      <c r="G10886" s="200" t="s">
        <v>1311</v>
      </c>
      <c r="H10886" s="200" t="s">
        <v>567</v>
      </c>
    </row>
    <row r="10887" spans="1:9" ht="15" customHeight="1">
      <c r="A10887" s="199">
        <v>45828</v>
      </c>
      <c r="B10887" s="202" t="s">
        <v>7988</v>
      </c>
      <c r="C10887" s="200" t="s">
        <v>204</v>
      </c>
      <c r="D10887" s="765">
        <v>-32580</v>
      </c>
      <c r="E10887" s="201">
        <v>45809</v>
      </c>
      <c r="F10887" s="200" t="s">
        <v>297</v>
      </c>
      <c r="G10887" s="200" t="s">
        <v>5404</v>
      </c>
      <c r="H10887" s="200" t="s">
        <v>567</v>
      </c>
      <c r="I10887" s="648" t="s">
        <v>329</v>
      </c>
    </row>
    <row r="10888" spans="1:9" ht="15" customHeight="1">
      <c r="A10888" s="199">
        <v>45828</v>
      </c>
      <c r="B10888" s="202" t="s">
        <v>7988</v>
      </c>
      <c r="C10888" s="200" t="s">
        <v>204</v>
      </c>
      <c r="D10888" s="765">
        <v>-65160</v>
      </c>
      <c r="E10888" s="201">
        <v>45809</v>
      </c>
      <c r="F10888" s="200" t="s">
        <v>296</v>
      </c>
      <c r="G10888" s="200" t="s">
        <v>2994</v>
      </c>
      <c r="H10888" s="200" t="s">
        <v>567</v>
      </c>
      <c r="I10888" s="648" t="s">
        <v>329</v>
      </c>
    </row>
    <row r="10889" spans="1:9" ht="15" customHeight="1">
      <c r="A10889" s="199">
        <v>45828</v>
      </c>
      <c r="B10889" s="202" t="s">
        <v>7988</v>
      </c>
      <c r="C10889" s="200" t="s">
        <v>204</v>
      </c>
      <c r="D10889" s="765">
        <v>-65160</v>
      </c>
      <c r="E10889" s="201">
        <v>45809</v>
      </c>
      <c r="F10889" s="200" t="s">
        <v>297</v>
      </c>
      <c r="G10889" s="200" t="s">
        <v>1578</v>
      </c>
      <c r="H10889" s="200" t="s">
        <v>567</v>
      </c>
      <c r="I10889" s="648" t="s">
        <v>329</v>
      </c>
    </row>
    <row r="10890" spans="1:9" ht="15" customHeight="1">
      <c r="A10890" s="199">
        <v>45828</v>
      </c>
      <c r="B10890" s="202" t="s">
        <v>7988</v>
      </c>
      <c r="C10890" s="200" t="s">
        <v>204</v>
      </c>
      <c r="D10890" s="765">
        <v>-65160</v>
      </c>
      <c r="E10890" s="201">
        <v>45809</v>
      </c>
      <c r="F10890" s="200" t="s">
        <v>297</v>
      </c>
      <c r="G10890" s="200" t="s">
        <v>1313</v>
      </c>
      <c r="H10890" s="200" t="s">
        <v>567</v>
      </c>
      <c r="I10890" s="648" t="s">
        <v>329</v>
      </c>
    </row>
    <row r="10891" spans="1:9" ht="15" customHeight="1">
      <c r="A10891" s="199">
        <v>45828</v>
      </c>
      <c r="B10891" s="202" t="s">
        <v>7988</v>
      </c>
      <c r="C10891" s="200" t="s">
        <v>204</v>
      </c>
      <c r="D10891" s="765">
        <v>-32580</v>
      </c>
      <c r="E10891" s="201">
        <v>45809</v>
      </c>
      <c r="F10891" s="200" t="s">
        <v>296</v>
      </c>
      <c r="G10891" s="200" t="s">
        <v>984</v>
      </c>
      <c r="H10891" s="200" t="s">
        <v>567</v>
      </c>
      <c r="I10891" s="648" t="s">
        <v>329</v>
      </c>
    </row>
    <row r="10892" spans="1:9" ht="15" customHeight="1">
      <c r="A10892" s="199">
        <v>45828</v>
      </c>
      <c r="B10892" s="202" t="s">
        <v>7988</v>
      </c>
      <c r="C10892" s="200" t="s">
        <v>204</v>
      </c>
      <c r="D10892" s="765">
        <v>-32580</v>
      </c>
      <c r="E10892" s="201">
        <v>45809</v>
      </c>
      <c r="F10892" s="200" t="s">
        <v>296</v>
      </c>
      <c r="G10892" s="200" t="s">
        <v>411</v>
      </c>
      <c r="H10892" s="200" t="s">
        <v>567</v>
      </c>
      <c r="I10892" s="648" t="s">
        <v>329</v>
      </c>
    </row>
    <row r="10893" spans="1:9" ht="15" customHeight="1">
      <c r="A10893" s="199">
        <v>45828</v>
      </c>
      <c r="B10893" s="202" t="s">
        <v>7988</v>
      </c>
      <c r="C10893" s="200" t="s">
        <v>204</v>
      </c>
      <c r="D10893" s="765">
        <v>-65160</v>
      </c>
      <c r="E10893" s="201">
        <v>45809</v>
      </c>
      <c r="F10893" s="200" t="s">
        <v>296</v>
      </c>
      <c r="G10893" s="200" t="s">
        <v>392</v>
      </c>
      <c r="H10893" s="200" t="s">
        <v>567</v>
      </c>
      <c r="I10893" s="648" t="s">
        <v>329</v>
      </c>
    </row>
    <row r="10894" spans="1:9" ht="15" customHeight="1">
      <c r="A10894" s="199">
        <v>45828</v>
      </c>
      <c r="B10894" s="202" t="s">
        <v>7988</v>
      </c>
      <c r="C10894" s="200" t="s">
        <v>204</v>
      </c>
      <c r="D10894" s="765">
        <v>-65160</v>
      </c>
      <c r="E10894" s="201">
        <v>45809</v>
      </c>
      <c r="F10894" s="200" t="s">
        <v>296</v>
      </c>
      <c r="G10894" s="200" t="s">
        <v>875</v>
      </c>
      <c r="H10894" s="200" t="s">
        <v>567</v>
      </c>
      <c r="I10894" s="648" t="s">
        <v>329</v>
      </c>
    </row>
    <row r="10895" spans="1:9" ht="15" customHeight="1">
      <c r="A10895" s="199">
        <v>45828</v>
      </c>
      <c r="B10895" s="202" t="s">
        <v>7988</v>
      </c>
      <c r="C10895" s="200" t="s">
        <v>204</v>
      </c>
      <c r="D10895" s="765">
        <v>-65160</v>
      </c>
      <c r="E10895" s="201">
        <v>45809</v>
      </c>
      <c r="F10895" s="200" t="s">
        <v>296</v>
      </c>
      <c r="G10895" s="200" t="s">
        <v>1124</v>
      </c>
      <c r="H10895" s="200" t="s">
        <v>567</v>
      </c>
      <c r="I10895" s="648" t="s">
        <v>329</v>
      </c>
    </row>
    <row r="10896" spans="1:9" ht="15" customHeight="1">
      <c r="A10896" s="199">
        <v>45828</v>
      </c>
      <c r="B10896" s="202" t="s">
        <v>7988</v>
      </c>
      <c r="C10896" s="200" t="s">
        <v>204</v>
      </c>
      <c r="D10896" s="765">
        <v>-65160</v>
      </c>
      <c r="E10896" s="201">
        <v>45809</v>
      </c>
      <c r="F10896" s="200" t="s">
        <v>296</v>
      </c>
      <c r="G10896" s="200" t="s">
        <v>1362</v>
      </c>
      <c r="H10896" s="200" t="s">
        <v>567</v>
      </c>
    </row>
    <row r="10897" spans="1:9" ht="15" customHeight="1">
      <c r="A10897" s="199">
        <v>45828</v>
      </c>
      <c r="B10897" s="202" t="s">
        <v>7988</v>
      </c>
      <c r="C10897" s="200" t="s">
        <v>204</v>
      </c>
      <c r="D10897" s="765">
        <v>-32580</v>
      </c>
      <c r="E10897" s="201">
        <v>45809</v>
      </c>
      <c r="F10897" s="200" t="s">
        <v>296</v>
      </c>
      <c r="G10897" s="200" t="s">
        <v>3360</v>
      </c>
      <c r="H10897" s="200" t="s">
        <v>567</v>
      </c>
    </row>
    <row r="10898" spans="1:9" ht="15" customHeight="1">
      <c r="A10898" s="199">
        <v>45828</v>
      </c>
      <c r="B10898" s="202" t="s">
        <v>7989</v>
      </c>
      <c r="C10898" s="200" t="s">
        <v>204</v>
      </c>
      <c r="D10898" s="765">
        <v>-1014100</v>
      </c>
      <c r="E10898" s="201">
        <v>45809</v>
      </c>
      <c r="F10898" s="200" t="s">
        <v>256</v>
      </c>
      <c r="G10898" s="200" t="s">
        <v>107</v>
      </c>
      <c r="H10898" s="200" t="s">
        <v>121</v>
      </c>
    </row>
    <row r="10899" spans="1:9" ht="15" customHeight="1">
      <c r="A10899" s="199">
        <v>45828</v>
      </c>
      <c r="B10899" s="202" t="s">
        <v>7990</v>
      </c>
      <c r="C10899" s="200" t="s">
        <v>204</v>
      </c>
      <c r="D10899" s="765">
        <v>-125400</v>
      </c>
      <c r="E10899" s="201">
        <v>45809</v>
      </c>
      <c r="F10899" s="200" t="s">
        <v>296</v>
      </c>
      <c r="G10899" s="200" t="s">
        <v>2418</v>
      </c>
      <c r="H10899" s="200" t="s">
        <v>567</v>
      </c>
    </row>
    <row r="10900" spans="1:9" ht="15" customHeight="1">
      <c r="A10900" s="199">
        <v>45828</v>
      </c>
      <c r="B10900" s="202" t="s">
        <v>7990</v>
      </c>
      <c r="C10900" s="200" t="s">
        <v>204</v>
      </c>
      <c r="D10900" s="765">
        <v>-209000</v>
      </c>
      <c r="E10900" s="201">
        <v>45809</v>
      </c>
      <c r="F10900" s="200" t="s">
        <v>296</v>
      </c>
      <c r="G10900" s="200" t="s">
        <v>415</v>
      </c>
      <c r="H10900" s="200" t="s">
        <v>567</v>
      </c>
      <c r="I10900" s="648" t="s">
        <v>329</v>
      </c>
    </row>
    <row r="10901" spans="1:9" ht="15" customHeight="1">
      <c r="A10901" s="199">
        <v>45828</v>
      </c>
      <c r="B10901" s="202" t="s">
        <v>7990</v>
      </c>
      <c r="C10901" s="200" t="s">
        <v>204</v>
      </c>
      <c r="D10901" s="765">
        <v>-501600</v>
      </c>
      <c r="E10901" s="201">
        <v>45809</v>
      </c>
      <c r="F10901" s="200" t="s">
        <v>297</v>
      </c>
      <c r="G10901" s="200" t="s">
        <v>71</v>
      </c>
      <c r="H10901" s="200" t="s">
        <v>567</v>
      </c>
    </row>
    <row r="10902" spans="1:9" ht="15" customHeight="1">
      <c r="A10902" s="199">
        <v>45828</v>
      </c>
      <c r="B10902" s="202" t="s">
        <v>7991</v>
      </c>
      <c r="C10902" s="200" t="s">
        <v>204</v>
      </c>
      <c r="D10902" s="765">
        <v>-247700</v>
      </c>
      <c r="E10902" s="201">
        <v>45809</v>
      </c>
      <c r="F10902" s="200" t="s">
        <v>296</v>
      </c>
      <c r="G10902" s="200" t="s">
        <v>807</v>
      </c>
      <c r="H10902" s="200" t="s">
        <v>338</v>
      </c>
    </row>
    <row r="10903" spans="1:9" ht="15" customHeight="1">
      <c r="A10903" s="199">
        <v>45828</v>
      </c>
      <c r="B10903" s="202" t="s">
        <v>7991</v>
      </c>
      <c r="C10903" s="200" t="s">
        <v>204</v>
      </c>
      <c r="D10903" s="765">
        <v>-247700</v>
      </c>
      <c r="E10903" s="201">
        <v>45809</v>
      </c>
      <c r="F10903" s="200" t="s">
        <v>296</v>
      </c>
      <c r="G10903" s="200" t="s">
        <v>1825</v>
      </c>
      <c r="H10903" s="200" t="s">
        <v>338</v>
      </c>
    </row>
    <row r="10904" spans="1:9" ht="15" customHeight="1">
      <c r="A10904" s="199">
        <v>45828</v>
      </c>
      <c r="B10904" s="202" t="s">
        <v>7991</v>
      </c>
      <c r="C10904" s="200" t="s">
        <v>204</v>
      </c>
      <c r="D10904" s="765">
        <v>-247700</v>
      </c>
      <c r="E10904" s="201">
        <v>45809</v>
      </c>
      <c r="F10904" s="200" t="s">
        <v>2714</v>
      </c>
      <c r="G10904" s="200" t="s">
        <v>337</v>
      </c>
      <c r="H10904" s="200" t="s">
        <v>338</v>
      </c>
    </row>
    <row r="10905" spans="1:9" ht="15" customHeight="1">
      <c r="A10905" s="199">
        <v>45828</v>
      </c>
      <c r="B10905" s="202" t="s">
        <v>7992</v>
      </c>
      <c r="C10905" s="200" t="s">
        <v>204</v>
      </c>
      <c r="D10905" s="765">
        <v>-161640</v>
      </c>
      <c r="E10905" s="201">
        <v>45809</v>
      </c>
      <c r="F10905" s="200" t="s">
        <v>296</v>
      </c>
      <c r="G10905" s="200" t="s">
        <v>2418</v>
      </c>
      <c r="H10905" s="200" t="s">
        <v>567</v>
      </c>
      <c r="I10905" s="648" t="s">
        <v>329</v>
      </c>
    </row>
    <row r="10906" spans="1:9" ht="15" customHeight="1">
      <c r="A10906" s="199">
        <v>45828</v>
      </c>
      <c r="B10906" s="202" t="s">
        <v>7992</v>
      </c>
      <c r="C10906" s="200" t="s">
        <v>204</v>
      </c>
      <c r="D10906" s="765">
        <v>-215520</v>
      </c>
      <c r="E10906" s="201">
        <v>45809</v>
      </c>
      <c r="F10906" s="200" t="s">
        <v>297</v>
      </c>
      <c r="G10906" s="200" t="s">
        <v>71</v>
      </c>
      <c r="H10906" s="200" t="s">
        <v>567</v>
      </c>
    </row>
    <row r="10907" spans="1:9" ht="15" customHeight="1">
      <c r="A10907" s="199">
        <v>45828</v>
      </c>
      <c r="B10907" s="202" t="s">
        <v>7992</v>
      </c>
      <c r="C10907" s="200" t="s">
        <v>204</v>
      </c>
      <c r="D10907" s="765">
        <v>-26940</v>
      </c>
      <c r="E10907" s="201">
        <v>45809</v>
      </c>
      <c r="F10907" s="200" t="s">
        <v>296</v>
      </c>
      <c r="G10907" s="200" t="s">
        <v>1311</v>
      </c>
      <c r="H10907" s="200" t="s">
        <v>567</v>
      </c>
      <c r="I10907" s="648" t="s">
        <v>329</v>
      </c>
    </row>
    <row r="10908" spans="1:9" ht="15" customHeight="1">
      <c r="A10908" s="199">
        <v>45828</v>
      </c>
      <c r="B10908" s="202" t="s">
        <v>7992</v>
      </c>
      <c r="C10908" s="200" t="s">
        <v>204</v>
      </c>
      <c r="D10908" s="765">
        <v>-134700</v>
      </c>
      <c r="E10908" s="201">
        <v>45809</v>
      </c>
      <c r="F10908" s="200" t="s">
        <v>296</v>
      </c>
      <c r="G10908" s="200" t="s">
        <v>5466</v>
      </c>
      <c r="H10908" s="200" t="s">
        <v>567</v>
      </c>
      <c r="I10908" s="648" t="s">
        <v>329</v>
      </c>
    </row>
    <row r="10909" spans="1:9" ht="15" customHeight="1">
      <c r="A10909" s="199">
        <v>45828</v>
      </c>
      <c r="B10909" s="202" t="s">
        <v>7993</v>
      </c>
      <c r="C10909" s="200" t="s">
        <v>204</v>
      </c>
      <c r="D10909" s="765">
        <v>-526400</v>
      </c>
      <c r="E10909" s="201">
        <v>45809</v>
      </c>
      <c r="F10909" s="200" t="s">
        <v>256</v>
      </c>
      <c r="G10909" s="200" t="s">
        <v>107</v>
      </c>
      <c r="H10909" s="200" t="s">
        <v>121</v>
      </c>
    </row>
    <row r="10910" spans="1:9" ht="15" customHeight="1">
      <c r="A10910" s="199">
        <v>45828</v>
      </c>
      <c r="B10910" s="202" t="s">
        <v>7994</v>
      </c>
      <c r="C10910" s="200" t="s">
        <v>204</v>
      </c>
      <c r="D10910" s="765">
        <v>-1102700</v>
      </c>
      <c r="E10910" s="201">
        <v>45809</v>
      </c>
      <c r="F10910" s="200" t="s">
        <v>256</v>
      </c>
      <c r="G10910" s="200" t="s">
        <v>256</v>
      </c>
      <c r="H10910" s="200" t="s">
        <v>121</v>
      </c>
    </row>
    <row r="10911" spans="1:9" ht="15" customHeight="1">
      <c r="A10911" s="199">
        <v>45828</v>
      </c>
      <c r="B10911" s="202" t="s">
        <v>7995</v>
      </c>
      <c r="C10911" s="200" t="s">
        <v>204</v>
      </c>
      <c r="D10911" s="765">
        <v>-681200</v>
      </c>
      <c r="E10911" s="201">
        <v>45809</v>
      </c>
      <c r="F10911" s="200" t="s">
        <v>256</v>
      </c>
      <c r="G10911" s="200" t="s">
        <v>256</v>
      </c>
      <c r="H10911" s="200" t="s">
        <v>121</v>
      </c>
    </row>
    <row r="10912" spans="1:9" ht="15" customHeight="1">
      <c r="A10912" s="199">
        <v>45828</v>
      </c>
      <c r="B10912" s="202" t="s">
        <v>7996</v>
      </c>
      <c r="C10912" s="200" t="s">
        <v>204</v>
      </c>
      <c r="D10912" s="765">
        <v>-73600</v>
      </c>
      <c r="E10912" s="201">
        <v>45809</v>
      </c>
      <c r="F10912" s="200" t="s">
        <v>256</v>
      </c>
      <c r="G10912" s="200" t="s">
        <v>256</v>
      </c>
      <c r="H10912" s="200" t="s">
        <v>121</v>
      </c>
    </row>
    <row r="10913" spans="1:8" ht="15" customHeight="1">
      <c r="A10913" s="199">
        <v>45828</v>
      </c>
      <c r="B10913" s="202" t="s">
        <v>7997</v>
      </c>
      <c r="C10913" s="200" t="s">
        <v>204</v>
      </c>
      <c r="D10913" s="765">
        <v>-3256400</v>
      </c>
      <c r="E10913" s="201">
        <v>45809</v>
      </c>
      <c r="F10913" s="200" t="s">
        <v>256</v>
      </c>
      <c r="G10913" s="200" t="s">
        <v>107</v>
      </c>
      <c r="H10913" s="200" t="s">
        <v>121</v>
      </c>
    </row>
    <row r="10914" spans="1:8" ht="15" customHeight="1">
      <c r="A10914" s="199">
        <v>45828</v>
      </c>
      <c r="B10914" s="202" t="s">
        <v>7998</v>
      </c>
      <c r="C10914" s="200" t="s">
        <v>204</v>
      </c>
      <c r="D10914" s="765">
        <v>-1292400</v>
      </c>
      <c r="E10914" s="201">
        <v>45809</v>
      </c>
      <c r="F10914" s="200" t="s">
        <v>256</v>
      </c>
      <c r="G10914" s="200" t="s">
        <v>107</v>
      </c>
      <c r="H10914" s="200" t="s">
        <v>121</v>
      </c>
    </row>
    <row r="10915" spans="1:8" ht="15" customHeight="1">
      <c r="A10915" s="199">
        <v>45828</v>
      </c>
      <c r="B10915" s="202" t="s">
        <v>7999</v>
      </c>
      <c r="C10915" s="200" t="s">
        <v>204</v>
      </c>
      <c r="D10915" s="765">
        <v>-613100</v>
      </c>
      <c r="E10915" s="201">
        <v>45809</v>
      </c>
      <c r="F10915" s="200" t="s">
        <v>256</v>
      </c>
      <c r="G10915" s="200" t="s">
        <v>107</v>
      </c>
      <c r="H10915" s="200" t="s">
        <v>121</v>
      </c>
    </row>
    <row r="10916" spans="1:8" ht="15" customHeight="1">
      <c r="A10916" s="199">
        <v>45828</v>
      </c>
      <c r="B10916" s="202" t="s">
        <v>8000</v>
      </c>
      <c r="C10916" s="200" t="s">
        <v>204</v>
      </c>
      <c r="D10916" s="765">
        <v>-441400</v>
      </c>
      <c r="E10916" s="201">
        <v>45809</v>
      </c>
      <c r="F10916" s="200" t="s">
        <v>256</v>
      </c>
      <c r="G10916" s="200" t="s">
        <v>107</v>
      </c>
      <c r="H10916" s="200" t="s">
        <v>121</v>
      </c>
    </row>
    <row r="10917" spans="1:8" ht="15" customHeight="1">
      <c r="A10917" s="199">
        <v>45828</v>
      </c>
      <c r="B10917" s="202" t="s">
        <v>8001</v>
      </c>
      <c r="C10917" s="200" t="s">
        <v>204</v>
      </c>
      <c r="D10917" s="765">
        <v>-380100</v>
      </c>
      <c r="E10917" s="201">
        <v>45809</v>
      </c>
      <c r="F10917" s="200" t="s">
        <v>256</v>
      </c>
      <c r="G10917" s="200" t="s">
        <v>256</v>
      </c>
      <c r="H10917" s="200" t="s">
        <v>121</v>
      </c>
    </row>
    <row r="10918" spans="1:8" ht="15" customHeight="1">
      <c r="A10918" s="199">
        <v>45828</v>
      </c>
      <c r="B10918" s="202" t="s">
        <v>8002</v>
      </c>
      <c r="C10918" s="200" t="s">
        <v>204</v>
      </c>
      <c r="D10918" s="765">
        <v>-440900</v>
      </c>
      <c r="E10918" s="201">
        <v>45809</v>
      </c>
      <c r="F10918" s="200" t="s">
        <v>256</v>
      </c>
      <c r="G10918" s="200" t="s">
        <v>256</v>
      </c>
      <c r="H10918" s="200" t="s">
        <v>121</v>
      </c>
    </row>
    <row r="10919" spans="1:8" ht="15" customHeight="1">
      <c r="A10919" s="199">
        <v>45828</v>
      </c>
      <c r="B10919" s="202" t="s">
        <v>8003</v>
      </c>
      <c r="C10919" s="200" t="s">
        <v>204</v>
      </c>
      <c r="D10919" s="765">
        <v>-3379300</v>
      </c>
      <c r="E10919" s="201">
        <v>45809</v>
      </c>
      <c r="F10919" s="200" t="s">
        <v>256</v>
      </c>
      <c r="G10919" s="200" t="s">
        <v>256</v>
      </c>
      <c r="H10919" s="200" t="s">
        <v>121</v>
      </c>
    </row>
    <row r="10920" spans="1:8" ht="15" customHeight="1">
      <c r="A10920" s="199">
        <v>45828</v>
      </c>
      <c r="B10920" s="202" t="s">
        <v>8004</v>
      </c>
      <c r="C10920" s="200" t="s">
        <v>204</v>
      </c>
      <c r="D10920" s="765">
        <v>-3190300</v>
      </c>
      <c r="E10920" s="201">
        <v>45809</v>
      </c>
      <c r="F10920" s="200" t="s">
        <v>256</v>
      </c>
      <c r="G10920" s="200" t="s">
        <v>256</v>
      </c>
      <c r="H10920" s="200" t="s">
        <v>121</v>
      </c>
    </row>
    <row r="10921" spans="1:8" ht="15" customHeight="1">
      <c r="A10921" s="199">
        <v>45828</v>
      </c>
      <c r="B10921" s="202" t="s">
        <v>8005</v>
      </c>
      <c r="C10921" s="200" t="s">
        <v>204</v>
      </c>
      <c r="D10921" s="765">
        <v>-1226100</v>
      </c>
      <c r="E10921" s="201">
        <v>45809</v>
      </c>
      <c r="F10921" s="200" t="s">
        <v>256</v>
      </c>
      <c r="G10921" s="200" t="s">
        <v>256</v>
      </c>
      <c r="H10921" s="200" t="s">
        <v>121</v>
      </c>
    </row>
    <row r="10922" spans="1:8" ht="15" customHeight="1">
      <c r="A10922" s="199">
        <v>45828</v>
      </c>
      <c r="B10922" s="202" t="s">
        <v>8006</v>
      </c>
      <c r="C10922" s="200" t="s">
        <v>204</v>
      </c>
      <c r="D10922" s="765">
        <v>-735700</v>
      </c>
      <c r="E10922" s="201">
        <v>45809</v>
      </c>
      <c r="F10922" s="200" t="s">
        <v>256</v>
      </c>
      <c r="G10922" s="200" t="s">
        <v>256</v>
      </c>
      <c r="H10922" s="200" t="s">
        <v>121</v>
      </c>
    </row>
    <row r="10923" spans="1:8" ht="15" customHeight="1">
      <c r="A10923" s="199">
        <v>45828</v>
      </c>
      <c r="B10923" s="202" t="s">
        <v>8007</v>
      </c>
      <c r="C10923" s="200" t="s">
        <v>204</v>
      </c>
      <c r="D10923" s="765">
        <v>-678700</v>
      </c>
      <c r="E10923" s="201">
        <v>45809</v>
      </c>
      <c r="F10923" s="200" t="s">
        <v>256</v>
      </c>
      <c r="G10923" s="200" t="s">
        <v>107</v>
      </c>
      <c r="H10923" s="200" t="s">
        <v>121</v>
      </c>
    </row>
    <row r="10924" spans="1:8" ht="15" customHeight="1">
      <c r="A10924" s="199">
        <v>45828</v>
      </c>
      <c r="B10924" s="202" t="s">
        <v>8008</v>
      </c>
      <c r="C10924" s="200" t="s">
        <v>204</v>
      </c>
      <c r="D10924" s="765">
        <v>-349300</v>
      </c>
      <c r="E10924" s="201">
        <v>45809</v>
      </c>
      <c r="F10924" s="200" t="s">
        <v>256</v>
      </c>
      <c r="G10924" s="200" t="s">
        <v>107</v>
      </c>
      <c r="H10924" s="200" t="s">
        <v>121</v>
      </c>
    </row>
    <row r="10925" spans="1:8" ht="15" customHeight="1">
      <c r="A10925" s="199">
        <v>45828</v>
      </c>
      <c r="B10925" s="202" t="s">
        <v>8009</v>
      </c>
      <c r="C10925" s="200" t="s">
        <v>204</v>
      </c>
      <c r="D10925" s="765">
        <v>-71200</v>
      </c>
      <c r="E10925" s="201">
        <v>45809</v>
      </c>
      <c r="F10925" s="200" t="s">
        <v>256</v>
      </c>
      <c r="G10925" s="200" t="s">
        <v>256</v>
      </c>
      <c r="H10925" s="200" t="s">
        <v>121</v>
      </c>
    </row>
    <row r="10926" spans="1:8" ht="15" customHeight="1">
      <c r="A10926" s="199">
        <v>45828</v>
      </c>
      <c r="B10926" s="202" t="s">
        <v>8010</v>
      </c>
      <c r="C10926" s="200" t="s">
        <v>204</v>
      </c>
      <c r="D10926" s="765">
        <v>-71200</v>
      </c>
      <c r="E10926" s="201">
        <v>45809</v>
      </c>
      <c r="F10926" s="200" t="s">
        <v>256</v>
      </c>
      <c r="G10926" s="200" t="s">
        <v>256</v>
      </c>
      <c r="H10926" s="200" t="s">
        <v>121</v>
      </c>
    </row>
    <row r="10927" spans="1:8" ht="15" customHeight="1">
      <c r="A10927" s="199">
        <v>45828</v>
      </c>
      <c r="B10927" s="202" t="s">
        <v>8011</v>
      </c>
      <c r="C10927" s="200" t="s">
        <v>204</v>
      </c>
      <c r="D10927" s="765">
        <v>-1390600</v>
      </c>
      <c r="E10927" s="201">
        <v>45809</v>
      </c>
      <c r="F10927" s="200" t="s">
        <v>256</v>
      </c>
      <c r="G10927" s="200" t="s">
        <v>256</v>
      </c>
      <c r="H10927" s="200" t="s">
        <v>121</v>
      </c>
    </row>
    <row r="10928" spans="1:8" ht="15" customHeight="1">
      <c r="A10928" s="199">
        <v>45828</v>
      </c>
      <c r="B10928" s="202" t="s">
        <v>8012</v>
      </c>
      <c r="C10928" s="200" t="s">
        <v>204</v>
      </c>
      <c r="D10928" s="765">
        <v>-416900</v>
      </c>
      <c r="E10928" s="201">
        <v>45809</v>
      </c>
      <c r="F10928" s="200" t="s">
        <v>256</v>
      </c>
      <c r="G10928" s="200" t="s">
        <v>256</v>
      </c>
      <c r="H10928" s="200" t="s">
        <v>121</v>
      </c>
    </row>
    <row r="10929" spans="1:8" ht="15" customHeight="1">
      <c r="A10929" s="199">
        <v>45828</v>
      </c>
      <c r="B10929" s="202" t="s">
        <v>8013</v>
      </c>
      <c r="C10929" s="200" t="s">
        <v>204</v>
      </c>
      <c r="D10929" s="765">
        <v>-117550</v>
      </c>
      <c r="E10929" s="201">
        <v>45809</v>
      </c>
      <c r="F10929" s="200" t="s">
        <v>296</v>
      </c>
      <c r="G10929" s="200" t="s">
        <v>807</v>
      </c>
      <c r="H10929" s="200" t="s">
        <v>322</v>
      </c>
    </row>
    <row r="10930" spans="1:8" ht="15" customHeight="1">
      <c r="A10930" s="199">
        <v>45828</v>
      </c>
      <c r="B10930" s="202" t="s">
        <v>8013</v>
      </c>
      <c r="C10930" s="200" t="s">
        <v>204</v>
      </c>
      <c r="D10930" s="765">
        <v>-117550</v>
      </c>
      <c r="E10930" s="201">
        <v>45809</v>
      </c>
      <c r="F10930" s="200" t="s">
        <v>296</v>
      </c>
      <c r="G10930" s="200" t="s">
        <v>1825</v>
      </c>
      <c r="H10930" s="200" t="s">
        <v>322</v>
      </c>
    </row>
    <row r="10931" spans="1:8" ht="15" customHeight="1">
      <c r="A10931" s="199">
        <v>45828</v>
      </c>
      <c r="B10931" s="202" t="s">
        <v>8013</v>
      </c>
      <c r="C10931" s="200" t="s">
        <v>204</v>
      </c>
      <c r="D10931" s="765">
        <v>-117550</v>
      </c>
      <c r="E10931" s="201">
        <v>45809</v>
      </c>
      <c r="F10931" s="200" t="s">
        <v>296</v>
      </c>
      <c r="G10931" s="200" t="s">
        <v>1980</v>
      </c>
      <c r="H10931" s="200" t="s">
        <v>322</v>
      </c>
    </row>
    <row r="10932" spans="1:8" ht="15" customHeight="1">
      <c r="A10932" s="199">
        <v>45828</v>
      </c>
      <c r="B10932" s="202" t="s">
        <v>8013</v>
      </c>
      <c r="C10932" s="200" t="s">
        <v>204</v>
      </c>
      <c r="D10932" s="765">
        <v>-117550</v>
      </c>
      <c r="E10932" s="201">
        <v>45809</v>
      </c>
      <c r="F10932" s="200" t="s">
        <v>296</v>
      </c>
      <c r="G10932" s="200" t="s">
        <v>1983</v>
      </c>
      <c r="H10932" s="200" t="s">
        <v>322</v>
      </c>
    </row>
    <row r="10933" spans="1:8" ht="15" customHeight="1">
      <c r="A10933" s="199">
        <v>45828</v>
      </c>
      <c r="B10933" s="202" t="s">
        <v>8014</v>
      </c>
      <c r="C10933" s="200" t="s">
        <v>204</v>
      </c>
      <c r="D10933" s="765">
        <v>-348000</v>
      </c>
      <c r="E10933" s="201">
        <v>45809</v>
      </c>
      <c r="F10933" s="200" t="s">
        <v>256</v>
      </c>
      <c r="G10933" s="200" t="s">
        <v>256</v>
      </c>
      <c r="H10933" s="200" t="s">
        <v>121</v>
      </c>
    </row>
    <row r="10934" spans="1:8" ht="15" customHeight="1">
      <c r="A10934" s="199">
        <v>45828</v>
      </c>
      <c r="B10934" s="202" t="s">
        <v>8015</v>
      </c>
      <c r="C10934" s="200" t="s">
        <v>204</v>
      </c>
      <c r="D10934" s="765">
        <v>-427700</v>
      </c>
      <c r="E10934" s="201">
        <v>45809</v>
      </c>
      <c r="F10934" s="200" t="s">
        <v>256</v>
      </c>
      <c r="G10934" s="200" t="s">
        <v>256</v>
      </c>
      <c r="H10934" s="200" t="s">
        <v>121</v>
      </c>
    </row>
    <row r="10935" spans="1:8" ht="15" customHeight="1">
      <c r="A10935" s="199">
        <v>45828</v>
      </c>
      <c r="B10935" s="202" t="s">
        <v>8016</v>
      </c>
      <c r="C10935" s="200" t="s">
        <v>204</v>
      </c>
      <c r="D10935" s="765">
        <v>-323600</v>
      </c>
      <c r="E10935" s="201">
        <v>45809</v>
      </c>
      <c r="F10935" s="200" t="s">
        <v>256</v>
      </c>
      <c r="G10935" s="200" t="s">
        <v>256</v>
      </c>
      <c r="H10935" s="200" t="s">
        <v>121</v>
      </c>
    </row>
    <row r="10936" spans="1:8" ht="15" customHeight="1">
      <c r="A10936" s="199">
        <v>45828</v>
      </c>
      <c r="B10936" s="202" t="s">
        <v>8017</v>
      </c>
      <c r="C10936" s="200" t="s">
        <v>204</v>
      </c>
      <c r="D10936" s="765">
        <v>-349300</v>
      </c>
      <c r="E10936" s="201">
        <v>45809</v>
      </c>
      <c r="F10936" s="200" t="s">
        <v>256</v>
      </c>
      <c r="G10936" s="200" t="s">
        <v>256</v>
      </c>
      <c r="H10936" s="200" t="s">
        <v>121</v>
      </c>
    </row>
    <row r="10937" spans="1:8" ht="15" customHeight="1">
      <c r="A10937" s="199">
        <v>45828</v>
      </c>
      <c r="B10937" s="202" t="s">
        <v>8018</v>
      </c>
      <c r="C10937" s="200" t="s">
        <v>204</v>
      </c>
      <c r="D10937" s="765">
        <v>-564100</v>
      </c>
      <c r="E10937" s="201">
        <v>45809</v>
      </c>
      <c r="F10937" s="200" t="s">
        <v>256</v>
      </c>
      <c r="G10937" s="200" t="s">
        <v>256</v>
      </c>
      <c r="H10937" s="200" t="s">
        <v>121</v>
      </c>
    </row>
    <row r="10938" spans="1:8" ht="15" customHeight="1">
      <c r="A10938" s="199">
        <v>45828</v>
      </c>
      <c r="B10938" s="202" t="s">
        <v>8019</v>
      </c>
      <c r="C10938" s="200" t="s">
        <v>204</v>
      </c>
      <c r="D10938" s="765">
        <v>-557300</v>
      </c>
      <c r="E10938" s="201">
        <v>45809</v>
      </c>
      <c r="F10938" s="200" t="s">
        <v>256</v>
      </c>
      <c r="G10938" s="200" t="s">
        <v>256</v>
      </c>
      <c r="H10938" s="200" t="s">
        <v>121</v>
      </c>
    </row>
    <row r="10939" spans="1:8" ht="15" customHeight="1">
      <c r="A10939" s="199">
        <v>45828</v>
      </c>
      <c r="B10939" s="202" t="s">
        <v>8020</v>
      </c>
      <c r="C10939" s="200" t="s">
        <v>204</v>
      </c>
      <c r="D10939" s="765">
        <v>-858300</v>
      </c>
      <c r="E10939" s="201">
        <v>45809</v>
      </c>
      <c r="F10939" s="200" t="s">
        <v>256</v>
      </c>
      <c r="G10939" s="200" t="s">
        <v>256</v>
      </c>
      <c r="H10939" s="200" t="s">
        <v>121</v>
      </c>
    </row>
    <row r="10940" spans="1:8" ht="15" customHeight="1">
      <c r="A10940" s="199">
        <v>45828</v>
      </c>
      <c r="B10940" s="202" t="s">
        <v>8021</v>
      </c>
      <c r="C10940" s="200" t="s">
        <v>204</v>
      </c>
      <c r="D10940" s="765">
        <v>-858300</v>
      </c>
      <c r="E10940" s="201">
        <v>45809</v>
      </c>
      <c r="F10940" s="200" t="s">
        <v>256</v>
      </c>
      <c r="G10940" s="200" t="s">
        <v>256</v>
      </c>
      <c r="H10940" s="200" t="s">
        <v>121</v>
      </c>
    </row>
    <row r="10941" spans="1:8" ht="15" customHeight="1">
      <c r="A10941" s="199">
        <v>45828</v>
      </c>
      <c r="B10941" s="202" t="s">
        <v>8022</v>
      </c>
      <c r="C10941" s="200" t="s">
        <v>204</v>
      </c>
      <c r="D10941" s="765">
        <v>-106400</v>
      </c>
      <c r="E10941" s="201">
        <v>45809</v>
      </c>
      <c r="F10941" s="200" t="s">
        <v>256</v>
      </c>
      <c r="G10941" s="200" t="s">
        <v>256</v>
      </c>
      <c r="H10941" s="200" t="s">
        <v>121</v>
      </c>
    </row>
    <row r="10942" spans="1:8" ht="15" customHeight="1">
      <c r="A10942" s="199">
        <v>45828</v>
      </c>
      <c r="B10942" s="202" t="s">
        <v>8023</v>
      </c>
      <c r="C10942" s="200" t="s">
        <v>204</v>
      </c>
      <c r="D10942" s="765">
        <v>-784800</v>
      </c>
      <c r="E10942" s="201">
        <v>45809</v>
      </c>
      <c r="F10942" s="200" t="s">
        <v>256</v>
      </c>
      <c r="G10942" s="200" t="s">
        <v>107</v>
      </c>
      <c r="H10942" s="200" t="s">
        <v>121</v>
      </c>
    </row>
    <row r="10943" spans="1:8" ht="15" customHeight="1">
      <c r="A10943" s="199">
        <v>45828</v>
      </c>
      <c r="B10943" s="202" t="s">
        <v>8024</v>
      </c>
      <c r="C10943" s="200" t="s">
        <v>204</v>
      </c>
      <c r="D10943" s="765">
        <v>-349300</v>
      </c>
      <c r="E10943" s="201">
        <v>45809</v>
      </c>
      <c r="F10943" s="200" t="s">
        <v>256</v>
      </c>
      <c r="G10943" s="200" t="s">
        <v>256</v>
      </c>
      <c r="H10943" s="200" t="s">
        <v>121</v>
      </c>
    </row>
    <row r="10944" spans="1:8" ht="15" customHeight="1">
      <c r="A10944" s="199">
        <v>45828</v>
      </c>
      <c r="B10944" s="202" t="s">
        <v>8025</v>
      </c>
      <c r="C10944" s="200" t="s">
        <v>204</v>
      </c>
      <c r="D10944" s="765">
        <v>-155600</v>
      </c>
      <c r="E10944" s="201">
        <v>45809</v>
      </c>
      <c r="F10944" s="200" t="s">
        <v>256</v>
      </c>
      <c r="G10944" s="200" t="s">
        <v>256</v>
      </c>
      <c r="H10944" s="200" t="s">
        <v>121</v>
      </c>
    </row>
    <row r="10945" spans="1:8" ht="15" customHeight="1">
      <c r="A10945" s="199">
        <v>45828</v>
      </c>
      <c r="B10945" s="202" t="s">
        <v>8026</v>
      </c>
      <c r="C10945" s="200" t="s">
        <v>204</v>
      </c>
      <c r="D10945" s="765">
        <v>-71200</v>
      </c>
      <c r="E10945" s="201">
        <v>45809</v>
      </c>
      <c r="F10945" s="200" t="s">
        <v>256</v>
      </c>
      <c r="G10945" s="200" t="s">
        <v>256</v>
      </c>
      <c r="H10945" s="200" t="s">
        <v>121</v>
      </c>
    </row>
    <row r="10946" spans="1:8" ht="15" customHeight="1">
      <c r="A10946" s="199">
        <v>45828</v>
      </c>
      <c r="B10946" s="202" t="s">
        <v>8027</v>
      </c>
      <c r="C10946" s="200" t="s">
        <v>204</v>
      </c>
      <c r="D10946" s="765">
        <v>-1189700</v>
      </c>
      <c r="E10946" s="201">
        <v>45809</v>
      </c>
      <c r="F10946" s="200" t="s">
        <v>296</v>
      </c>
      <c r="G10946" s="200" t="s">
        <v>57</v>
      </c>
      <c r="H10946" s="200" t="s">
        <v>121</v>
      </c>
    </row>
    <row r="10947" spans="1:8" ht="15" customHeight="1">
      <c r="A10947" s="199">
        <v>45828</v>
      </c>
      <c r="B10947" s="202" t="s">
        <v>8028</v>
      </c>
      <c r="C10947" s="200" t="s">
        <v>204</v>
      </c>
      <c r="D10947" s="765">
        <v>-907400</v>
      </c>
      <c r="E10947" s="201">
        <v>45809</v>
      </c>
      <c r="F10947" s="200" t="s">
        <v>296</v>
      </c>
      <c r="G10947" s="200" t="s">
        <v>57</v>
      </c>
      <c r="H10947" s="200" t="s">
        <v>121</v>
      </c>
    </row>
    <row r="10948" spans="1:8" ht="15" customHeight="1">
      <c r="A10948" s="199">
        <v>45828</v>
      </c>
      <c r="B10948" s="202" t="s">
        <v>8029</v>
      </c>
      <c r="C10948" s="200" t="s">
        <v>204</v>
      </c>
      <c r="D10948" s="765">
        <v>-793100</v>
      </c>
      <c r="E10948" s="201">
        <v>45809</v>
      </c>
      <c r="F10948" s="200" t="s">
        <v>296</v>
      </c>
      <c r="G10948" s="200" t="s">
        <v>57</v>
      </c>
      <c r="H10948" s="200" t="s">
        <v>121</v>
      </c>
    </row>
    <row r="10949" spans="1:8" ht="15" customHeight="1">
      <c r="A10949" s="199">
        <v>45828</v>
      </c>
      <c r="B10949" s="202" t="s">
        <v>8030</v>
      </c>
      <c r="C10949" s="200" t="s">
        <v>204</v>
      </c>
      <c r="D10949" s="765">
        <v>-433000</v>
      </c>
      <c r="E10949" s="201">
        <v>45809</v>
      </c>
      <c r="F10949" s="200" t="s">
        <v>296</v>
      </c>
      <c r="G10949" s="200" t="s">
        <v>807</v>
      </c>
      <c r="H10949" s="200" t="s">
        <v>429</v>
      </c>
    </row>
    <row r="10950" spans="1:8" ht="15" customHeight="1">
      <c r="A10950" s="199">
        <v>45828</v>
      </c>
      <c r="B10950" s="202" t="s">
        <v>8031</v>
      </c>
      <c r="C10950" s="200" t="s">
        <v>204</v>
      </c>
      <c r="D10950" s="765">
        <v>-321400</v>
      </c>
      <c r="E10950" s="201">
        <v>45809</v>
      </c>
      <c r="F10950" s="200" t="s">
        <v>296</v>
      </c>
      <c r="G10950" s="200" t="s">
        <v>807</v>
      </c>
      <c r="H10950" s="200" t="s">
        <v>429</v>
      </c>
    </row>
    <row r="10951" spans="1:8" ht="15" customHeight="1">
      <c r="A10951" s="199">
        <v>45828</v>
      </c>
      <c r="B10951" s="202" t="s">
        <v>8032</v>
      </c>
      <c r="C10951" s="200" t="s">
        <v>204</v>
      </c>
      <c r="D10951" s="765">
        <v>-445700</v>
      </c>
      <c r="E10951" s="201">
        <v>45809</v>
      </c>
      <c r="F10951" s="200" t="s">
        <v>296</v>
      </c>
      <c r="G10951" s="200" t="s">
        <v>807</v>
      </c>
      <c r="H10951" s="200" t="s">
        <v>429</v>
      </c>
    </row>
    <row r="10952" spans="1:8" ht="15" customHeight="1">
      <c r="A10952" s="199">
        <v>45828</v>
      </c>
      <c r="B10952" s="202" t="s">
        <v>8033</v>
      </c>
      <c r="C10952" s="200" t="s">
        <v>204</v>
      </c>
      <c r="D10952" s="765">
        <v>-440900</v>
      </c>
      <c r="E10952" s="201">
        <v>45809</v>
      </c>
      <c r="F10952" s="200" t="s">
        <v>296</v>
      </c>
      <c r="G10952" s="200" t="s">
        <v>1825</v>
      </c>
      <c r="H10952" s="200" t="s">
        <v>429</v>
      </c>
    </row>
    <row r="10953" spans="1:8" ht="15" customHeight="1">
      <c r="A10953" s="199">
        <v>45828</v>
      </c>
      <c r="B10953" s="202" t="s">
        <v>8034</v>
      </c>
      <c r="C10953" s="200" t="s">
        <v>204</v>
      </c>
      <c r="D10953" s="765">
        <v>-264600</v>
      </c>
      <c r="E10953" s="201">
        <v>45809</v>
      </c>
      <c r="F10953" s="200" t="s">
        <v>296</v>
      </c>
      <c r="G10953" s="200" t="s">
        <v>807</v>
      </c>
      <c r="H10953" s="200" t="s">
        <v>429</v>
      </c>
    </row>
    <row r="10954" spans="1:8" ht="15" customHeight="1">
      <c r="A10954" s="199">
        <v>45828</v>
      </c>
      <c r="B10954" s="202" t="s">
        <v>8035</v>
      </c>
      <c r="C10954" s="200" t="s">
        <v>204</v>
      </c>
      <c r="D10954" s="765">
        <v>-445700</v>
      </c>
      <c r="E10954" s="201">
        <v>45809</v>
      </c>
      <c r="F10954" s="200" t="s">
        <v>296</v>
      </c>
      <c r="G10954" s="200" t="s">
        <v>807</v>
      </c>
      <c r="H10954" s="200" t="s">
        <v>429</v>
      </c>
    </row>
    <row r="10955" spans="1:8" ht="15" customHeight="1">
      <c r="A10955" s="199">
        <v>45828</v>
      </c>
      <c r="B10955" s="202" t="s">
        <v>8036</v>
      </c>
      <c r="C10955" s="200" t="s">
        <v>204</v>
      </c>
      <c r="D10955" s="765">
        <v>-444300</v>
      </c>
      <c r="E10955" s="201">
        <v>45809</v>
      </c>
      <c r="F10955" s="200" t="s">
        <v>296</v>
      </c>
      <c r="G10955" s="200" t="s">
        <v>807</v>
      </c>
      <c r="H10955" s="200" t="s">
        <v>429</v>
      </c>
    </row>
    <row r="10956" spans="1:8" ht="15" customHeight="1">
      <c r="A10956" s="199">
        <v>45828</v>
      </c>
      <c r="B10956" s="202" t="s">
        <v>8037</v>
      </c>
      <c r="C10956" s="200" t="s">
        <v>204</v>
      </c>
      <c r="D10956" s="765">
        <v>-897900</v>
      </c>
      <c r="E10956" s="201">
        <v>45809</v>
      </c>
      <c r="F10956" s="200" t="s">
        <v>296</v>
      </c>
      <c r="G10956" s="200" t="s">
        <v>44</v>
      </c>
      <c r="H10956" s="200" t="s">
        <v>429</v>
      </c>
    </row>
    <row r="10957" spans="1:8" ht="15" customHeight="1">
      <c r="A10957" s="199">
        <v>45828</v>
      </c>
      <c r="B10957" s="202" t="s">
        <v>8038</v>
      </c>
      <c r="C10957" s="200" t="s">
        <v>204</v>
      </c>
      <c r="D10957" s="765">
        <v>-774000</v>
      </c>
      <c r="E10957" s="201">
        <v>45809</v>
      </c>
      <c r="F10957" s="200" t="s">
        <v>296</v>
      </c>
      <c r="G10957" s="200" t="s">
        <v>522</v>
      </c>
      <c r="H10957" s="200" t="s">
        <v>429</v>
      </c>
    </row>
    <row r="10958" spans="1:8" ht="15" customHeight="1">
      <c r="A10958" s="199">
        <v>45828</v>
      </c>
      <c r="B10958" s="202" t="s">
        <v>8039</v>
      </c>
      <c r="C10958" s="200" t="s">
        <v>204</v>
      </c>
      <c r="D10958" s="765">
        <v>-526400</v>
      </c>
      <c r="E10958" s="201">
        <v>45809</v>
      </c>
      <c r="F10958" s="200" t="s">
        <v>296</v>
      </c>
      <c r="G10958" s="200" t="s">
        <v>1825</v>
      </c>
      <c r="H10958" s="200" t="s">
        <v>429</v>
      </c>
    </row>
    <row r="10959" spans="1:8" ht="15" customHeight="1">
      <c r="A10959" s="199">
        <v>45828</v>
      </c>
      <c r="B10959" s="202" t="s">
        <v>8040</v>
      </c>
      <c r="C10959" s="200" t="s">
        <v>204</v>
      </c>
      <c r="D10959" s="765">
        <v>-440900</v>
      </c>
      <c r="E10959" s="201">
        <v>45809</v>
      </c>
      <c r="F10959" s="200" t="s">
        <v>296</v>
      </c>
      <c r="G10959" s="200" t="s">
        <v>1825</v>
      </c>
      <c r="H10959" s="200" t="s">
        <v>429</v>
      </c>
    </row>
    <row r="10960" spans="1:8" ht="15" customHeight="1">
      <c r="A10960" s="199">
        <v>45828</v>
      </c>
      <c r="B10960" s="202" t="s">
        <v>8041</v>
      </c>
      <c r="C10960" s="200" t="s">
        <v>204</v>
      </c>
      <c r="D10960" s="765">
        <v>-440900</v>
      </c>
      <c r="E10960" s="201">
        <v>45809</v>
      </c>
      <c r="F10960" s="200" t="s">
        <v>296</v>
      </c>
      <c r="G10960" s="200" t="s">
        <v>1825</v>
      </c>
      <c r="H10960" s="200" t="s">
        <v>429</v>
      </c>
    </row>
    <row r="10961" spans="1:8" ht="15" customHeight="1">
      <c r="A10961" s="199">
        <v>45828</v>
      </c>
      <c r="B10961" s="202" t="s">
        <v>8042</v>
      </c>
      <c r="C10961" s="200" t="s">
        <v>204</v>
      </c>
      <c r="D10961" s="765">
        <v>-653900</v>
      </c>
      <c r="E10961" s="201">
        <v>45809</v>
      </c>
      <c r="F10961" s="200" t="s">
        <v>296</v>
      </c>
      <c r="G10961" s="200" t="s">
        <v>44</v>
      </c>
      <c r="H10961" s="200" t="s">
        <v>429</v>
      </c>
    </row>
    <row r="10962" spans="1:8" ht="15" customHeight="1">
      <c r="A10962" s="199">
        <v>45828</v>
      </c>
      <c r="B10962" s="202" t="s">
        <v>8043</v>
      </c>
      <c r="C10962" s="200" t="s">
        <v>204</v>
      </c>
      <c r="D10962" s="765">
        <v>-440900</v>
      </c>
      <c r="E10962" s="201">
        <v>45809</v>
      </c>
      <c r="F10962" s="200" t="s">
        <v>296</v>
      </c>
      <c r="G10962" s="200" t="s">
        <v>1825</v>
      </c>
      <c r="H10962" s="200" t="s">
        <v>429</v>
      </c>
    </row>
    <row r="10963" spans="1:8" ht="15" customHeight="1">
      <c r="A10963" s="199">
        <v>45828</v>
      </c>
      <c r="B10963" s="202" t="s">
        <v>8044</v>
      </c>
      <c r="C10963" s="200" t="s">
        <v>204</v>
      </c>
      <c r="D10963" s="765">
        <v>-443300</v>
      </c>
      <c r="E10963" s="201">
        <v>45809</v>
      </c>
      <c r="F10963" s="200" t="s">
        <v>296</v>
      </c>
      <c r="G10963" s="200" t="s">
        <v>807</v>
      </c>
      <c r="H10963" s="200" t="s">
        <v>429</v>
      </c>
    </row>
    <row r="10964" spans="1:8" ht="15" customHeight="1">
      <c r="A10964" s="199">
        <v>45828</v>
      </c>
      <c r="B10964" s="202" t="s">
        <v>8045</v>
      </c>
      <c r="C10964" s="200" t="s">
        <v>204</v>
      </c>
      <c r="D10964" s="765">
        <v>-440900</v>
      </c>
      <c r="E10964" s="201">
        <v>45809</v>
      </c>
      <c r="F10964" s="200" t="s">
        <v>296</v>
      </c>
      <c r="G10964" s="200" t="s">
        <v>1825</v>
      </c>
      <c r="H10964" s="200" t="s">
        <v>429</v>
      </c>
    </row>
    <row r="10965" spans="1:8" ht="15" customHeight="1">
      <c r="A10965" s="199">
        <v>45828</v>
      </c>
      <c r="B10965" s="202" t="s">
        <v>8046</v>
      </c>
      <c r="C10965" s="200" t="s">
        <v>204</v>
      </c>
      <c r="D10965" s="765">
        <v>-382100</v>
      </c>
      <c r="E10965" s="201">
        <v>45809</v>
      </c>
      <c r="F10965" s="200" t="s">
        <v>296</v>
      </c>
      <c r="G10965" s="200" t="s">
        <v>522</v>
      </c>
      <c r="H10965" s="200" t="s">
        <v>429</v>
      </c>
    </row>
    <row r="10966" spans="1:8" ht="15" customHeight="1">
      <c r="A10966" s="199">
        <v>45828</v>
      </c>
      <c r="B10966" s="202" t="s">
        <v>8047</v>
      </c>
      <c r="C10966" s="200" t="s">
        <v>204</v>
      </c>
      <c r="D10966" s="765">
        <v>-264600</v>
      </c>
      <c r="E10966" s="201">
        <v>45809</v>
      </c>
      <c r="F10966" s="200" t="s">
        <v>296</v>
      </c>
      <c r="G10966" s="200" t="s">
        <v>807</v>
      </c>
      <c r="H10966" s="200" t="s">
        <v>429</v>
      </c>
    </row>
    <row r="10967" spans="1:8" ht="15" customHeight="1">
      <c r="A10967" s="199">
        <v>45828</v>
      </c>
      <c r="B10967" s="202" t="s">
        <v>8048</v>
      </c>
      <c r="C10967" s="200" t="s">
        <v>204</v>
      </c>
      <c r="D10967" s="765">
        <v>-653900</v>
      </c>
      <c r="E10967" s="201">
        <v>45809</v>
      </c>
      <c r="F10967" s="200" t="s">
        <v>296</v>
      </c>
      <c r="G10967" s="200" t="s">
        <v>1825</v>
      </c>
      <c r="H10967" s="200" t="s">
        <v>429</v>
      </c>
    </row>
    <row r="10968" spans="1:8" ht="15" customHeight="1">
      <c r="A10968" s="199">
        <v>45828</v>
      </c>
      <c r="B10968" s="202" t="s">
        <v>8049</v>
      </c>
      <c r="C10968" s="200" t="s">
        <v>204</v>
      </c>
      <c r="D10968" s="765">
        <v>-448000</v>
      </c>
      <c r="E10968" s="201">
        <v>45809</v>
      </c>
      <c r="F10968" s="200" t="s">
        <v>296</v>
      </c>
      <c r="G10968" s="200" t="s">
        <v>1825</v>
      </c>
      <c r="H10968" s="200" t="s">
        <v>429</v>
      </c>
    </row>
    <row r="10969" spans="1:8" ht="15" customHeight="1">
      <c r="A10969" s="199">
        <v>45828</v>
      </c>
      <c r="B10969" s="202" t="s">
        <v>8050</v>
      </c>
      <c r="C10969" s="200" t="s">
        <v>204</v>
      </c>
      <c r="D10969" s="765">
        <v>-443300</v>
      </c>
      <c r="E10969" s="201">
        <v>45809</v>
      </c>
      <c r="F10969" s="200" t="s">
        <v>296</v>
      </c>
      <c r="G10969" s="200" t="s">
        <v>807</v>
      </c>
      <c r="H10969" s="200" t="s">
        <v>429</v>
      </c>
    </row>
    <row r="10970" spans="1:8" ht="15" customHeight="1">
      <c r="A10970" s="199">
        <v>45828</v>
      </c>
      <c r="B10970" s="202" t="s">
        <v>8051</v>
      </c>
      <c r="C10970" s="200" t="s">
        <v>204</v>
      </c>
      <c r="D10970" s="765">
        <v>-473400</v>
      </c>
      <c r="E10970" s="201">
        <v>45809</v>
      </c>
      <c r="F10970" s="200" t="s">
        <v>296</v>
      </c>
      <c r="G10970" s="200" t="s">
        <v>1980</v>
      </c>
      <c r="H10970" s="200" t="s">
        <v>488</v>
      </c>
    </row>
    <row r="10971" spans="1:8" ht="15" customHeight="1">
      <c r="A10971" s="199">
        <v>45828</v>
      </c>
      <c r="B10971" s="202" t="s">
        <v>8052</v>
      </c>
      <c r="C10971" s="200" t="s">
        <v>204</v>
      </c>
      <c r="D10971" s="765">
        <v>-264600</v>
      </c>
      <c r="E10971" s="201">
        <v>45809</v>
      </c>
      <c r="F10971" s="200" t="s">
        <v>296</v>
      </c>
      <c r="G10971" s="200" t="s">
        <v>807</v>
      </c>
      <c r="H10971" s="200" t="s">
        <v>429</v>
      </c>
    </row>
    <row r="10972" spans="1:8" ht="15" customHeight="1">
      <c r="A10972" s="199">
        <v>45828</v>
      </c>
      <c r="B10972" s="202" t="s">
        <v>8053</v>
      </c>
      <c r="C10972" s="200" t="s">
        <v>204</v>
      </c>
      <c r="D10972" s="765">
        <v>-436300</v>
      </c>
      <c r="E10972" s="201">
        <v>45809</v>
      </c>
      <c r="F10972" s="200" t="s">
        <v>296</v>
      </c>
      <c r="G10972" s="200" t="s">
        <v>44</v>
      </c>
      <c r="H10972" s="200" t="s">
        <v>429</v>
      </c>
    </row>
    <row r="10973" spans="1:8" ht="15" customHeight="1">
      <c r="A10973" s="199">
        <v>45828</v>
      </c>
      <c r="B10973" s="202" t="s">
        <v>8054</v>
      </c>
      <c r="C10973" s="200" t="s">
        <v>204</v>
      </c>
      <c r="D10973" s="765">
        <v>-445700</v>
      </c>
      <c r="E10973" s="201">
        <v>45809</v>
      </c>
      <c r="F10973" s="200" t="s">
        <v>296</v>
      </c>
      <c r="G10973" s="200" t="s">
        <v>807</v>
      </c>
      <c r="H10973" s="200" t="s">
        <v>429</v>
      </c>
    </row>
    <row r="10974" spans="1:8" ht="15" customHeight="1">
      <c r="A10974" s="199">
        <v>45828</v>
      </c>
      <c r="B10974" s="202" t="s">
        <v>8055</v>
      </c>
      <c r="C10974" s="200" t="s">
        <v>204</v>
      </c>
      <c r="D10974" s="765">
        <v>-443300</v>
      </c>
      <c r="E10974" s="201">
        <v>45809</v>
      </c>
      <c r="F10974" s="200" t="s">
        <v>296</v>
      </c>
      <c r="G10974" s="200" t="s">
        <v>1825</v>
      </c>
      <c r="H10974" s="200" t="s">
        <v>429</v>
      </c>
    </row>
    <row r="10975" spans="1:8" ht="15" customHeight="1">
      <c r="A10975" s="199">
        <v>45828</v>
      </c>
      <c r="B10975" s="202" t="s">
        <v>8056</v>
      </c>
      <c r="C10975" s="200" t="s">
        <v>204</v>
      </c>
      <c r="D10975" s="765">
        <v>-443300</v>
      </c>
      <c r="E10975" s="201">
        <v>45809</v>
      </c>
      <c r="F10975" s="200" t="s">
        <v>296</v>
      </c>
      <c r="G10975" s="200" t="s">
        <v>1825</v>
      </c>
      <c r="H10975" s="200" t="s">
        <v>429</v>
      </c>
    </row>
    <row r="10976" spans="1:8" ht="15" customHeight="1">
      <c r="A10976" s="199">
        <v>45828</v>
      </c>
      <c r="B10976" s="202" t="s">
        <v>8057</v>
      </c>
      <c r="C10976" s="200" t="s">
        <v>204</v>
      </c>
      <c r="D10976" s="765">
        <v>-382100</v>
      </c>
      <c r="E10976" s="201">
        <v>45809</v>
      </c>
      <c r="F10976" s="200" t="s">
        <v>296</v>
      </c>
      <c r="G10976" s="200" t="s">
        <v>807</v>
      </c>
      <c r="H10976" s="200" t="s">
        <v>429</v>
      </c>
    </row>
    <row r="10977" spans="1:9" ht="15" customHeight="1">
      <c r="A10977" s="199">
        <v>45828</v>
      </c>
      <c r="B10977" s="202" t="s">
        <v>8058</v>
      </c>
      <c r="C10977" s="200" t="s">
        <v>204</v>
      </c>
      <c r="D10977" s="765">
        <v>-433800</v>
      </c>
      <c r="E10977" s="201">
        <v>45809</v>
      </c>
      <c r="F10977" s="200" t="s">
        <v>296</v>
      </c>
      <c r="G10977" s="200" t="s">
        <v>522</v>
      </c>
      <c r="H10977" s="200" t="s">
        <v>429</v>
      </c>
    </row>
    <row r="10978" spans="1:9" ht="15" customHeight="1">
      <c r="A10978" s="199">
        <v>45828</v>
      </c>
      <c r="B10978" s="202" t="s">
        <v>8059</v>
      </c>
      <c r="C10978" s="200" t="s">
        <v>204</v>
      </c>
      <c r="D10978" s="765">
        <v>-445700</v>
      </c>
      <c r="E10978" s="201">
        <v>45809</v>
      </c>
      <c r="F10978" s="200" t="s">
        <v>296</v>
      </c>
      <c r="G10978" s="200" t="s">
        <v>807</v>
      </c>
      <c r="H10978" s="200" t="s">
        <v>429</v>
      </c>
    </row>
    <row r="10979" spans="1:9" ht="15" customHeight="1">
      <c r="A10979" s="199">
        <v>45828</v>
      </c>
      <c r="B10979" s="202" t="s">
        <v>8060</v>
      </c>
      <c r="C10979" s="200" t="s">
        <v>204</v>
      </c>
      <c r="D10979" s="765">
        <v>-430500</v>
      </c>
      <c r="E10979" s="201">
        <v>45809</v>
      </c>
      <c r="F10979" s="200" t="s">
        <v>296</v>
      </c>
      <c r="G10979" s="200" t="s">
        <v>44</v>
      </c>
      <c r="H10979" s="200" t="s">
        <v>429</v>
      </c>
    </row>
    <row r="10980" spans="1:9" ht="15" customHeight="1">
      <c r="A10980" s="199">
        <v>45828</v>
      </c>
      <c r="B10980" s="202" t="s">
        <v>8061</v>
      </c>
      <c r="C10980" s="200" t="s">
        <v>204</v>
      </c>
      <c r="D10980" s="765">
        <v>-443300</v>
      </c>
      <c r="E10980" s="201">
        <v>45809</v>
      </c>
      <c r="F10980" s="200" t="s">
        <v>296</v>
      </c>
      <c r="G10980" s="200" t="s">
        <v>44</v>
      </c>
      <c r="H10980" s="200" t="s">
        <v>429</v>
      </c>
    </row>
    <row r="10981" spans="1:9" ht="15" customHeight="1">
      <c r="A10981" s="199">
        <v>45828</v>
      </c>
      <c r="B10981" s="202" t="s">
        <v>8062</v>
      </c>
      <c r="C10981" s="200" t="s">
        <v>204</v>
      </c>
      <c r="D10981" s="765">
        <v>-445700</v>
      </c>
      <c r="E10981" s="201">
        <v>45809</v>
      </c>
      <c r="F10981" s="200" t="s">
        <v>296</v>
      </c>
      <c r="G10981" s="200" t="s">
        <v>807</v>
      </c>
      <c r="H10981" s="200" t="s">
        <v>429</v>
      </c>
    </row>
    <row r="10982" spans="1:9" ht="15" customHeight="1">
      <c r="A10982" s="199">
        <v>45828</v>
      </c>
      <c r="B10982" s="202" t="s">
        <v>8063</v>
      </c>
      <c r="C10982" s="200" t="s">
        <v>204</v>
      </c>
      <c r="D10982" s="765">
        <v>-440900</v>
      </c>
      <c r="E10982" s="201">
        <v>45809</v>
      </c>
      <c r="F10982" s="200" t="s">
        <v>296</v>
      </c>
      <c r="G10982" s="200" t="s">
        <v>1825</v>
      </c>
      <c r="H10982" s="200" t="s">
        <v>429</v>
      </c>
    </row>
    <row r="10983" spans="1:9" ht="15" customHeight="1">
      <c r="A10983" s="199">
        <v>45828</v>
      </c>
      <c r="B10983" s="202" t="s">
        <v>8064</v>
      </c>
      <c r="C10983" s="200" t="s">
        <v>204</v>
      </c>
      <c r="D10983" s="765">
        <v>-440900</v>
      </c>
      <c r="E10983" s="201">
        <v>45809</v>
      </c>
      <c r="F10983" s="200" t="s">
        <v>296</v>
      </c>
      <c r="G10983" s="200" t="s">
        <v>807</v>
      </c>
      <c r="H10983" s="200" t="s">
        <v>429</v>
      </c>
    </row>
    <row r="10984" spans="1:9" ht="15" customHeight="1">
      <c r="A10984" s="199">
        <v>45828</v>
      </c>
      <c r="B10984" s="202" t="s">
        <v>8065</v>
      </c>
      <c r="C10984" s="200" t="s">
        <v>204</v>
      </c>
      <c r="D10984" s="765">
        <v>-443300</v>
      </c>
      <c r="E10984" s="201">
        <v>45809</v>
      </c>
      <c r="F10984" s="200" t="s">
        <v>296</v>
      </c>
      <c r="G10984" s="200" t="s">
        <v>44</v>
      </c>
      <c r="H10984" s="200" t="s">
        <v>429</v>
      </c>
      <c r="I10984" s="648" t="s">
        <v>329</v>
      </c>
    </row>
    <row r="10985" spans="1:9" ht="15" customHeight="1">
      <c r="A10985" s="199">
        <v>45828</v>
      </c>
      <c r="B10985" s="202" t="s">
        <v>8066</v>
      </c>
      <c r="C10985" s="200" t="s">
        <v>204</v>
      </c>
      <c r="D10985" s="765">
        <v>-58900</v>
      </c>
      <c r="E10985" s="201">
        <v>45809</v>
      </c>
      <c r="F10985" s="200" t="s">
        <v>296</v>
      </c>
      <c r="G10985" s="200" t="s">
        <v>522</v>
      </c>
      <c r="H10985" s="200" t="s">
        <v>1079</v>
      </c>
    </row>
    <row r="10986" spans="1:9" ht="15" customHeight="1">
      <c r="A10986" s="199">
        <v>45828</v>
      </c>
      <c r="B10986" s="202" t="s">
        <v>8067</v>
      </c>
      <c r="C10986" s="200" t="s">
        <v>204</v>
      </c>
      <c r="D10986" s="765">
        <v>-382100</v>
      </c>
      <c r="E10986" s="201">
        <v>45809</v>
      </c>
      <c r="F10986" s="200" t="s">
        <v>296</v>
      </c>
      <c r="G10986" s="200" t="s">
        <v>522</v>
      </c>
      <c r="H10986" s="200" t="s">
        <v>429</v>
      </c>
    </row>
    <row r="10987" spans="1:9" ht="15" customHeight="1">
      <c r="A10987" s="199">
        <v>45828</v>
      </c>
      <c r="B10987" s="202" t="s">
        <v>8068</v>
      </c>
      <c r="C10987" s="200" t="s">
        <v>204</v>
      </c>
      <c r="D10987" s="765">
        <v>-928800</v>
      </c>
      <c r="E10987" s="201">
        <v>45809</v>
      </c>
      <c r="F10987" s="200" t="s">
        <v>296</v>
      </c>
      <c r="G10987" s="200" t="s">
        <v>522</v>
      </c>
      <c r="H10987" s="200" t="s">
        <v>338</v>
      </c>
    </row>
    <row r="10988" spans="1:9" ht="15" customHeight="1">
      <c r="A10988" s="199">
        <v>45828</v>
      </c>
      <c r="B10988" s="202" t="s">
        <v>8069</v>
      </c>
      <c r="C10988" s="200" t="s">
        <v>204</v>
      </c>
      <c r="D10988" s="765">
        <v>-387000</v>
      </c>
      <c r="E10988" s="201">
        <v>45809</v>
      </c>
      <c r="F10988" s="200" t="s">
        <v>296</v>
      </c>
      <c r="G10988" s="200" t="s">
        <v>522</v>
      </c>
      <c r="H10988" s="200" t="s">
        <v>338</v>
      </c>
    </row>
    <row r="10989" spans="1:9" ht="15" customHeight="1">
      <c r="A10989" s="199">
        <v>45828</v>
      </c>
      <c r="B10989" s="202" t="s">
        <v>8069</v>
      </c>
      <c r="C10989" s="200" t="s">
        <v>204</v>
      </c>
      <c r="D10989" s="765">
        <v>-387000</v>
      </c>
      <c r="E10989" s="201">
        <v>45809</v>
      </c>
      <c r="F10989" s="200" t="s">
        <v>296</v>
      </c>
      <c r="G10989" s="200" t="s">
        <v>1825</v>
      </c>
      <c r="H10989" s="200" t="s">
        <v>338</v>
      </c>
    </row>
    <row r="10990" spans="1:9" ht="15" customHeight="1">
      <c r="A10990" s="199">
        <v>45828</v>
      </c>
      <c r="B10990" s="202" t="s">
        <v>8070</v>
      </c>
      <c r="C10990" s="200" t="s">
        <v>204</v>
      </c>
      <c r="D10990" s="765">
        <v>-332650</v>
      </c>
      <c r="E10990" s="201">
        <v>45809</v>
      </c>
      <c r="F10990" s="200" t="s">
        <v>296</v>
      </c>
      <c r="G10990" s="200" t="s">
        <v>807</v>
      </c>
      <c r="H10990" s="200" t="s">
        <v>338</v>
      </c>
    </row>
    <row r="10991" spans="1:9" ht="15" customHeight="1">
      <c r="A10991" s="199">
        <v>45828</v>
      </c>
      <c r="B10991" s="202" t="s">
        <v>8070</v>
      </c>
      <c r="C10991" s="200" t="s">
        <v>204</v>
      </c>
      <c r="D10991" s="765">
        <v>-332650</v>
      </c>
      <c r="E10991" s="201">
        <v>45809</v>
      </c>
      <c r="F10991" s="200" t="s">
        <v>296</v>
      </c>
      <c r="G10991" s="200" t="s">
        <v>1825</v>
      </c>
      <c r="H10991" s="200" t="s">
        <v>338</v>
      </c>
    </row>
    <row r="10992" spans="1:9" ht="15" customHeight="1">
      <c r="A10992" s="199">
        <v>45828</v>
      </c>
      <c r="B10992" s="202" t="s">
        <v>8070</v>
      </c>
      <c r="C10992" s="200" t="s">
        <v>204</v>
      </c>
      <c r="D10992" s="765">
        <v>-332650</v>
      </c>
      <c r="E10992" s="201">
        <v>45809</v>
      </c>
      <c r="F10992" s="200" t="s">
        <v>296</v>
      </c>
      <c r="G10992" s="200" t="s">
        <v>1980</v>
      </c>
      <c r="H10992" s="200" t="s">
        <v>338</v>
      </c>
    </row>
    <row r="10993" spans="1:8" ht="15" customHeight="1">
      <c r="A10993" s="199">
        <v>45828</v>
      </c>
      <c r="B10993" s="202" t="s">
        <v>8070</v>
      </c>
      <c r="C10993" s="200" t="s">
        <v>204</v>
      </c>
      <c r="D10993" s="765">
        <v>-332650</v>
      </c>
      <c r="E10993" s="201">
        <v>45809</v>
      </c>
      <c r="F10993" s="200" t="s">
        <v>296</v>
      </c>
      <c r="G10993" s="200" t="s">
        <v>1983</v>
      </c>
      <c r="H10993" s="200" t="s">
        <v>338</v>
      </c>
    </row>
    <row r="10994" spans="1:8" ht="15" customHeight="1">
      <c r="A10994" s="199">
        <v>45828</v>
      </c>
      <c r="B10994" s="202" t="s">
        <v>8071</v>
      </c>
      <c r="C10994" s="200" t="s">
        <v>204</v>
      </c>
      <c r="D10994" s="765">
        <v>-443900</v>
      </c>
      <c r="E10994" s="201">
        <v>45809</v>
      </c>
      <c r="F10994" s="200" t="s">
        <v>296</v>
      </c>
      <c r="G10994" s="200" t="s">
        <v>807</v>
      </c>
      <c r="H10994" s="200" t="s">
        <v>429</v>
      </c>
    </row>
    <row r="10995" spans="1:8" ht="15" customHeight="1">
      <c r="A10995" s="199">
        <v>45828</v>
      </c>
      <c r="B10995" s="202" t="s">
        <v>8072</v>
      </c>
      <c r="C10995" s="200" t="s">
        <v>204</v>
      </c>
      <c r="D10995" s="765">
        <v>-445700</v>
      </c>
      <c r="E10995" s="201">
        <v>45809</v>
      </c>
      <c r="F10995" s="200" t="s">
        <v>296</v>
      </c>
      <c r="G10995" s="200" t="s">
        <v>1825</v>
      </c>
      <c r="H10995" s="200" t="s">
        <v>429</v>
      </c>
    </row>
    <row r="10996" spans="1:8" ht="15" customHeight="1">
      <c r="A10996" s="199">
        <v>45828</v>
      </c>
      <c r="B10996" s="202" t="s">
        <v>8073</v>
      </c>
      <c r="C10996" s="200" t="s">
        <v>204</v>
      </c>
      <c r="D10996" s="765">
        <v>-443300</v>
      </c>
      <c r="E10996" s="201">
        <v>45809</v>
      </c>
      <c r="F10996" s="200" t="s">
        <v>296</v>
      </c>
      <c r="G10996" s="200" t="s">
        <v>522</v>
      </c>
      <c r="H10996" s="200" t="s">
        <v>429</v>
      </c>
    </row>
    <row r="10997" spans="1:8" ht="15" customHeight="1">
      <c r="A10997" s="199">
        <v>45828</v>
      </c>
      <c r="B10997" s="202" t="s">
        <v>8074</v>
      </c>
      <c r="C10997" s="200" t="s">
        <v>204</v>
      </c>
      <c r="D10997" s="765">
        <v>-532300</v>
      </c>
      <c r="E10997" s="201">
        <v>45809</v>
      </c>
      <c r="F10997" s="200" t="s">
        <v>296</v>
      </c>
      <c r="G10997" s="200" t="s">
        <v>807</v>
      </c>
      <c r="H10997" s="200" t="s">
        <v>429</v>
      </c>
    </row>
    <row r="10998" spans="1:8" ht="15" customHeight="1">
      <c r="A10998" s="199">
        <v>45828</v>
      </c>
      <c r="B10998" s="202" t="s">
        <v>8075</v>
      </c>
      <c r="C10998" s="200" t="s">
        <v>204</v>
      </c>
      <c r="D10998" s="765">
        <v>-447000</v>
      </c>
      <c r="E10998" s="201">
        <v>45809</v>
      </c>
      <c r="F10998" s="200" t="s">
        <v>296</v>
      </c>
      <c r="G10998" s="200" t="s">
        <v>807</v>
      </c>
      <c r="H10998" s="200" t="s">
        <v>429</v>
      </c>
    </row>
    <row r="10999" spans="1:8" ht="15" customHeight="1">
      <c r="A10999" s="199">
        <v>45828</v>
      </c>
      <c r="B10999" s="202" t="s">
        <v>8076</v>
      </c>
      <c r="C10999" s="200" t="s">
        <v>204</v>
      </c>
      <c r="D10999" s="765">
        <v>-445700</v>
      </c>
      <c r="E10999" s="201">
        <v>45809</v>
      </c>
      <c r="F10999" s="200" t="s">
        <v>296</v>
      </c>
      <c r="G10999" s="200" t="s">
        <v>807</v>
      </c>
      <c r="H10999" s="200" t="s">
        <v>429</v>
      </c>
    </row>
    <row r="11000" spans="1:8" ht="15" customHeight="1">
      <c r="A11000" s="199">
        <v>45828</v>
      </c>
      <c r="B11000" s="202" t="s">
        <v>8077</v>
      </c>
      <c r="C11000" s="200" t="s">
        <v>204</v>
      </c>
      <c r="D11000" s="765">
        <v>-440900</v>
      </c>
      <c r="E11000" s="201">
        <v>45809</v>
      </c>
      <c r="F11000" s="200" t="s">
        <v>296</v>
      </c>
      <c r="G11000" s="200" t="s">
        <v>1825</v>
      </c>
      <c r="H11000" s="200" t="s">
        <v>429</v>
      </c>
    </row>
    <row r="11001" spans="1:8" ht="15" customHeight="1">
      <c r="A11001" s="199">
        <v>45828</v>
      </c>
      <c r="B11001" s="202" t="s">
        <v>8078</v>
      </c>
      <c r="C11001" s="200" t="s">
        <v>204</v>
      </c>
      <c r="D11001" s="765">
        <v>-446500</v>
      </c>
      <c r="E11001" s="201">
        <v>45809</v>
      </c>
      <c r="F11001" s="200" t="s">
        <v>296</v>
      </c>
      <c r="G11001" s="200" t="s">
        <v>807</v>
      </c>
      <c r="H11001" s="200" t="s">
        <v>429</v>
      </c>
    </row>
    <row r="11002" spans="1:8" ht="15" customHeight="1">
      <c r="A11002" s="199">
        <v>45828</v>
      </c>
      <c r="B11002" s="202" t="s">
        <v>8079</v>
      </c>
      <c r="C11002" s="200" t="s">
        <v>204</v>
      </c>
      <c r="D11002" s="765">
        <v>-440900</v>
      </c>
      <c r="E11002" s="201">
        <v>45809</v>
      </c>
      <c r="F11002" s="200" t="s">
        <v>296</v>
      </c>
      <c r="G11002" s="200" t="s">
        <v>522</v>
      </c>
      <c r="H11002" s="200" t="s">
        <v>429</v>
      </c>
    </row>
    <row r="11003" spans="1:8" ht="15" customHeight="1">
      <c r="A11003" s="199">
        <v>45828</v>
      </c>
      <c r="B11003" s="202" t="s">
        <v>8080</v>
      </c>
      <c r="C11003" s="200" t="s">
        <v>204</v>
      </c>
      <c r="D11003" s="765">
        <v>-440900</v>
      </c>
      <c r="E11003" s="201">
        <v>45809</v>
      </c>
      <c r="F11003" s="200" t="s">
        <v>296</v>
      </c>
      <c r="G11003" s="200" t="s">
        <v>1825</v>
      </c>
      <c r="H11003" s="200" t="s">
        <v>429</v>
      </c>
    </row>
    <row r="11004" spans="1:8" ht="15" customHeight="1">
      <c r="A11004" s="199">
        <v>45828</v>
      </c>
      <c r="B11004" s="202" t="s">
        <v>8081</v>
      </c>
      <c r="C11004" s="200" t="s">
        <v>204</v>
      </c>
      <c r="D11004" s="765">
        <v>-445700</v>
      </c>
      <c r="E11004" s="201">
        <v>45809</v>
      </c>
      <c r="F11004" s="200" t="s">
        <v>296</v>
      </c>
      <c r="G11004" s="200" t="s">
        <v>807</v>
      </c>
      <c r="H11004" s="200" t="s">
        <v>429</v>
      </c>
    </row>
    <row r="11005" spans="1:8" ht="15" customHeight="1">
      <c r="A11005" s="199">
        <v>45828</v>
      </c>
      <c r="B11005" s="202" t="s">
        <v>8082</v>
      </c>
      <c r="C11005" s="200" t="s">
        <v>204</v>
      </c>
      <c r="D11005" s="765">
        <v>-440900</v>
      </c>
      <c r="E11005" s="201">
        <v>45809</v>
      </c>
      <c r="F11005" s="200" t="s">
        <v>296</v>
      </c>
      <c r="G11005" s="200" t="s">
        <v>1825</v>
      </c>
      <c r="H11005" s="200" t="s">
        <v>429</v>
      </c>
    </row>
    <row r="11006" spans="1:8" ht="15" customHeight="1">
      <c r="A11006" s="199">
        <v>45828</v>
      </c>
      <c r="B11006" s="202" t="s">
        <v>8083</v>
      </c>
      <c r="C11006" s="200" t="s">
        <v>204</v>
      </c>
      <c r="D11006" s="765">
        <v>-928800</v>
      </c>
      <c r="E11006" s="201">
        <v>45809</v>
      </c>
      <c r="F11006" s="200" t="s">
        <v>296</v>
      </c>
      <c r="G11006" s="200" t="s">
        <v>1980</v>
      </c>
      <c r="H11006" s="200" t="s">
        <v>338</v>
      </c>
    </row>
    <row r="11007" spans="1:8" ht="15" customHeight="1">
      <c r="A11007" s="199">
        <v>45828</v>
      </c>
      <c r="B11007" s="202" t="s">
        <v>8084</v>
      </c>
      <c r="C11007" s="200" t="s">
        <v>204</v>
      </c>
      <c r="D11007" s="765">
        <v>-264600</v>
      </c>
      <c r="E11007" s="201">
        <v>45809</v>
      </c>
      <c r="F11007" s="200" t="s">
        <v>296</v>
      </c>
      <c r="G11007" s="200" t="s">
        <v>807</v>
      </c>
      <c r="H11007" s="200" t="s">
        <v>429</v>
      </c>
    </row>
    <row r="11008" spans="1:8" ht="15" customHeight="1">
      <c r="A11008" s="199">
        <v>45828</v>
      </c>
      <c r="B11008" s="202" t="s">
        <v>8085</v>
      </c>
      <c r="C11008" s="200" t="s">
        <v>204</v>
      </c>
      <c r="D11008" s="765">
        <v>-1021700</v>
      </c>
      <c r="E11008" s="201">
        <v>45809</v>
      </c>
      <c r="F11008" s="200" t="s">
        <v>296</v>
      </c>
      <c r="G11008" s="200" t="s">
        <v>1825</v>
      </c>
      <c r="H11008" s="200" t="s">
        <v>338</v>
      </c>
    </row>
    <row r="11009" spans="1:8" ht="15" customHeight="1">
      <c r="A11009" s="199">
        <v>45828</v>
      </c>
      <c r="B11009" s="202" t="s">
        <v>8086</v>
      </c>
      <c r="C11009" s="200" t="s">
        <v>204</v>
      </c>
      <c r="D11009" s="765">
        <v>-440900</v>
      </c>
      <c r="E11009" s="201">
        <v>45809</v>
      </c>
      <c r="F11009" s="200" t="s">
        <v>296</v>
      </c>
      <c r="G11009" s="200" t="s">
        <v>1825</v>
      </c>
      <c r="H11009" s="200" t="s">
        <v>429</v>
      </c>
    </row>
    <row r="11010" spans="1:8" ht="15" customHeight="1">
      <c r="A11010" s="199">
        <v>45828</v>
      </c>
      <c r="B11010" s="202" t="s">
        <v>8087</v>
      </c>
      <c r="C11010" s="200" t="s">
        <v>204</v>
      </c>
      <c r="D11010" s="765">
        <v>-443300</v>
      </c>
      <c r="E11010" s="201">
        <v>45809</v>
      </c>
      <c r="F11010" s="200" t="s">
        <v>296</v>
      </c>
      <c r="G11010" s="200" t="s">
        <v>1825</v>
      </c>
      <c r="H11010" s="200" t="s">
        <v>429</v>
      </c>
    </row>
    <row r="11011" spans="1:8" ht="15" customHeight="1">
      <c r="A11011" s="199">
        <v>45828</v>
      </c>
      <c r="B11011" s="202" t="s">
        <v>8088</v>
      </c>
      <c r="C11011" s="200" t="s">
        <v>204</v>
      </c>
      <c r="D11011" s="765">
        <v>-440900</v>
      </c>
      <c r="E11011" s="201">
        <v>45809</v>
      </c>
      <c r="F11011" s="200" t="s">
        <v>296</v>
      </c>
      <c r="G11011" s="200" t="s">
        <v>1980</v>
      </c>
      <c r="H11011" s="200" t="s">
        <v>488</v>
      </c>
    </row>
    <row r="11012" spans="1:8" ht="15" customHeight="1">
      <c r="A11012" s="199">
        <v>45828</v>
      </c>
      <c r="B11012" s="202" t="s">
        <v>8089</v>
      </c>
      <c r="C11012" s="200" t="s">
        <v>204</v>
      </c>
      <c r="D11012" s="765">
        <v>-284900</v>
      </c>
      <c r="E11012" s="201">
        <v>45809</v>
      </c>
      <c r="F11012" s="200" t="s">
        <v>296</v>
      </c>
      <c r="G11012" s="200" t="s">
        <v>807</v>
      </c>
      <c r="H11012" s="200" t="s">
        <v>429</v>
      </c>
    </row>
    <row r="11013" spans="1:8" ht="15" customHeight="1">
      <c r="A11013" s="199">
        <v>45828</v>
      </c>
      <c r="B11013" s="202" t="s">
        <v>8090</v>
      </c>
      <c r="C11013" s="200" t="s">
        <v>204</v>
      </c>
      <c r="D11013" s="765">
        <v>-445700</v>
      </c>
      <c r="E11013" s="201">
        <v>45809</v>
      </c>
      <c r="F11013" s="200" t="s">
        <v>296</v>
      </c>
      <c r="G11013" s="200" t="s">
        <v>522</v>
      </c>
      <c r="H11013" s="200" t="s">
        <v>429</v>
      </c>
    </row>
    <row r="11014" spans="1:8" ht="15" customHeight="1">
      <c r="A11014" s="199">
        <v>45828</v>
      </c>
      <c r="B11014" s="202" t="s">
        <v>8091</v>
      </c>
      <c r="C11014" s="200" t="s">
        <v>204</v>
      </c>
      <c r="D11014" s="765">
        <v>-440900</v>
      </c>
      <c r="E11014" s="201">
        <v>45809</v>
      </c>
      <c r="F11014" s="200" t="s">
        <v>296</v>
      </c>
      <c r="G11014" s="200" t="s">
        <v>1825</v>
      </c>
      <c r="H11014" s="200" t="s">
        <v>429</v>
      </c>
    </row>
    <row r="11015" spans="1:8" ht="15" customHeight="1">
      <c r="A11015" s="199">
        <v>45828</v>
      </c>
      <c r="B11015" s="202" t="s">
        <v>8092</v>
      </c>
      <c r="C11015" s="200" t="s">
        <v>204</v>
      </c>
      <c r="D11015" s="765">
        <v>-445700</v>
      </c>
      <c r="E11015" s="201">
        <v>45809</v>
      </c>
      <c r="F11015" s="200" t="s">
        <v>296</v>
      </c>
      <c r="G11015" s="200" t="s">
        <v>807</v>
      </c>
      <c r="H11015" s="200" t="s">
        <v>429</v>
      </c>
    </row>
    <row r="11016" spans="1:8" ht="15" customHeight="1">
      <c r="A11016" s="199">
        <v>45828</v>
      </c>
      <c r="B11016" s="202" t="s">
        <v>8093</v>
      </c>
      <c r="C11016" s="200" t="s">
        <v>204</v>
      </c>
      <c r="D11016" s="765">
        <v>-384600</v>
      </c>
      <c r="E11016" s="201">
        <v>45809</v>
      </c>
      <c r="F11016" s="200" t="s">
        <v>296</v>
      </c>
      <c r="G11016" s="200" t="s">
        <v>1825</v>
      </c>
      <c r="H11016" s="200" t="s">
        <v>429</v>
      </c>
    </row>
    <row r="11017" spans="1:8" ht="15" customHeight="1">
      <c r="A11017" s="199">
        <v>45828</v>
      </c>
      <c r="B11017" s="202" t="s">
        <v>8094</v>
      </c>
      <c r="C11017" s="200" t="s">
        <v>204</v>
      </c>
      <c r="D11017" s="765">
        <v>-440900</v>
      </c>
      <c r="E11017" s="201">
        <v>45809</v>
      </c>
      <c r="F11017" s="200" t="s">
        <v>296</v>
      </c>
      <c r="G11017" s="200" t="s">
        <v>1980</v>
      </c>
      <c r="H11017" s="200" t="s">
        <v>488</v>
      </c>
    </row>
    <row r="11018" spans="1:8" ht="15" customHeight="1">
      <c r="A11018" s="199">
        <v>45828</v>
      </c>
      <c r="B11018" s="202" t="s">
        <v>8095</v>
      </c>
      <c r="C11018" s="200" t="s">
        <v>204</v>
      </c>
      <c r="D11018" s="765">
        <v>-483000</v>
      </c>
      <c r="E11018" s="201">
        <v>45809</v>
      </c>
      <c r="F11018" s="200" t="s">
        <v>296</v>
      </c>
      <c r="G11018" s="200" t="s">
        <v>522</v>
      </c>
      <c r="H11018" s="200" t="s">
        <v>429</v>
      </c>
    </row>
    <row r="11019" spans="1:8" ht="15" customHeight="1">
      <c r="A11019" s="199">
        <v>45828</v>
      </c>
      <c r="B11019" s="202" t="s">
        <v>8096</v>
      </c>
      <c r="C11019" s="200" t="s">
        <v>204</v>
      </c>
      <c r="D11019" s="765">
        <v>-440900</v>
      </c>
      <c r="E11019" s="201">
        <v>45809</v>
      </c>
      <c r="F11019" s="200" t="s">
        <v>296</v>
      </c>
      <c r="G11019" s="200" t="s">
        <v>1980</v>
      </c>
      <c r="H11019" s="200" t="s">
        <v>488</v>
      </c>
    </row>
    <row r="11020" spans="1:8" ht="15" customHeight="1">
      <c r="A11020" s="199">
        <v>45828</v>
      </c>
      <c r="B11020" s="202" t="s">
        <v>8097</v>
      </c>
      <c r="C11020" s="200" t="s">
        <v>204</v>
      </c>
      <c r="D11020" s="765">
        <v>-264600</v>
      </c>
      <c r="E11020" s="201">
        <v>45809</v>
      </c>
      <c r="F11020" s="200" t="s">
        <v>296</v>
      </c>
      <c r="G11020" s="200" t="s">
        <v>1983</v>
      </c>
      <c r="H11020" s="200" t="s">
        <v>429</v>
      </c>
    </row>
    <row r="11021" spans="1:8" ht="15" customHeight="1">
      <c r="A11021" s="199">
        <v>45828</v>
      </c>
      <c r="B11021" s="202" t="s">
        <v>8098</v>
      </c>
      <c r="C11021" s="200" t="s">
        <v>204</v>
      </c>
      <c r="D11021" s="765">
        <v>-440900</v>
      </c>
      <c r="E11021" s="201">
        <v>45809</v>
      </c>
      <c r="F11021" s="200" t="s">
        <v>296</v>
      </c>
      <c r="G11021" s="200" t="s">
        <v>1980</v>
      </c>
      <c r="H11021" s="200" t="s">
        <v>488</v>
      </c>
    </row>
    <row r="11022" spans="1:8" ht="15" customHeight="1">
      <c r="A11022" s="199">
        <v>45828</v>
      </c>
      <c r="B11022" s="202" t="s">
        <v>8099</v>
      </c>
      <c r="C11022" s="200" t="s">
        <v>204</v>
      </c>
      <c r="D11022" s="765">
        <v>-443300</v>
      </c>
      <c r="E11022" s="201">
        <v>45809</v>
      </c>
      <c r="F11022" s="200" t="s">
        <v>296</v>
      </c>
      <c r="G11022" s="200" t="s">
        <v>1980</v>
      </c>
      <c r="H11022" s="200" t="s">
        <v>488</v>
      </c>
    </row>
    <row r="11023" spans="1:8" ht="15" customHeight="1">
      <c r="A11023" s="199">
        <v>45828</v>
      </c>
      <c r="B11023" s="202" t="s">
        <v>8100</v>
      </c>
      <c r="C11023" s="200" t="s">
        <v>204</v>
      </c>
      <c r="D11023" s="765">
        <v>-382100</v>
      </c>
      <c r="E11023" s="201">
        <v>45809</v>
      </c>
      <c r="F11023" s="200" t="s">
        <v>296</v>
      </c>
      <c r="G11023" s="200" t="s">
        <v>1980</v>
      </c>
      <c r="H11023" s="200" t="s">
        <v>488</v>
      </c>
    </row>
    <row r="11024" spans="1:8" ht="15" customHeight="1">
      <c r="A11024" s="199">
        <v>45828</v>
      </c>
      <c r="B11024" s="202" t="s">
        <v>8101</v>
      </c>
      <c r="C11024" s="200" t="s">
        <v>204</v>
      </c>
      <c r="D11024" s="765">
        <v>-440900</v>
      </c>
      <c r="E11024" s="201">
        <v>45809</v>
      </c>
      <c r="F11024" s="200" t="s">
        <v>296</v>
      </c>
      <c r="G11024" s="200" t="s">
        <v>1980</v>
      </c>
      <c r="H11024" s="200" t="s">
        <v>488</v>
      </c>
    </row>
    <row r="11025" spans="1:8" ht="15" customHeight="1">
      <c r="A11025" s="199">
        <v>45828</v>
      </c>
      <c r="B11025" s="202" t="s">
        <v>8102</v>
      </c>
      <c r="C11025" s="200" t="s">
        <v>204</v>
      </c>
      <c r="D11025" s="765">
        <v>-440900</v>
      </c>
      <c r="E11025" s="201">
        <v>45809</v>
      </c>
      <c r="F11025" s="200" t="s">
        <v>296</v>
      </c>
      <c r="G11025" s="200" t="s">
        <v>1980</v>
      </c>
      <c r="H11025" s="200" t="s">
        <v>488</v>
      </c>
    </row>
    <row r="11026" spans="1:8" ht="15" customHeight="1">
      <c r="A11026" s="199">
        <v>45828</v>
      </c>
      <c r="B11026" s="202" t="s">
        <v>8103</v>
      </c>
      <c r="C11026" s="200" t="s">
        <v>204</v>
      </c>
      <c r="D11026" s="765">
        <v>-375000</v>
      </c>
      <c r="E11026" s="201">
        <v>45809</v>
      </c>
      <c r="F11026" s="200" t="s">
        <v>296</v>
      </c>
      <c r="G11026" s="200" t="s">
        <v>1983</v>
      </c>
      <c r="H11026" s="200" t="s">
        <v>429</v>
      </c>
    </row>
    <row r="11027" spans="1:8" ht="15" customHeight="1">
      <c r="A11027" s="199">
        <v>45828</v>
      </c>
      <c r="B11027" s="202" t="s">
        <v>8104</v>
      </c>
      <c r="C11027" s="200" t="s">
        <v>204</v>
      </c>
      <c r="D11027" s="765">
        <v>-440900</v>
      </c>
      <c r="E11027" s="201">
        <v>45809</v>
      </c>
      <c r="F11027" s="200" t="s">
        <v>296</v>
      </c>
      <c r="G11027" s="200" t="s">
        <v>1980</v>
      </c>
      <c r="H11027" s="200" t="s">
        <v>488</v>
      </c>
    </row>
    <row r="11028" spans="1:8" ht="15" customHeight="1">
      <c r="A11028" s="199">
        <v>45828</v>
      </c>
      <c r="B11028" s="202" t="s">
        <v>8105</v>
      </c>
      <c r="C11028" s="200" t="s">
        <v>204</v>
      </c>
      <c r="D11028" s="765">
        <v>-264600</v>
      </c>
      <c r="E11028" s="201">
        <v>45809</v>
      </c>
      <c r="F11028" s="200" t="s">
        <v>296</v>
      </c>
      <c r="G11028" s="200" t="s">
        <v>1980</v>
      </c>
      <c r="H11028" s="200" t="s">
        <v>488</v>
      </c>
    </row>
    <row r="11029" spans="1:8" ht="15" customHeight="1">
      <c r="A11029" s="199">
        <v>45828</v>
      </c>
      <c r="B11029" s="202" t="s">
        <v>8106</v>
      </c>
      <c r="C11029" s="200" t="s">
        <v>204</v>
      </c>
      <c r="D11029" s="765">
        <v>-420100</v>
      </c>
      <c r="E11029" s="201">
        <v>45809</v>
      </c>
      <c r="F11029" s="200" t="s">
        <v>296</v>
      </c>
      <c r="G11029" s="200" t="s">
        <v>1980</v>
      </c>
      <c r="H11029" s="200" t="s">
        <v>488</v>
      </c>
    </row>
    <row r="11030" spans="1:8" ht="15" customHeight="1">
      <c r="A11030" s="199">
        <v>45828</v>
      </c>
      <c r="B11030" s="202" t="s">
        <v>8107</v>
      </c>
      <c r="C11030" s="200" t="s">
        <v>204</v>
      </c>
      <c r="D11030" s="765">
        <v>-264600</v>
      </c>
      <c r="E11030" s="201">
        <v>45809</v>
      </c>
      <c r="F11030" s="200" t="s">
        <v>296</v>
      </c>
      <c r="G11030" s="200" t="s">
        <v>1983</v>
      </c>
      <c r="H11030" s="200" t="s">
        <v>429</v>
      </c>
    </row>
    <row r="11031" spans="1:8" ht="15" customHeight="1">
      <c r="A11031" s="199">
        <v>45828</v>
      </c>
      <c r="B11031" s="202" t="s">
        <v>8108</v>
      </c>
      <c r="C11031" s="200" t="s">
        <v>204</v>
      </c>
      <c r="D11031" s="765">
        <v>-264600</v>
      </c>
      <c r="E11031" s="201">
        <v>45809</v>
      </c>
      <c r="F11031" s="200" t="s">
        <v>296</v>
      </c>
      <c r="G11031" s="200" t="s">
        <v>1983</v>
      </c>
      <c r="H11031" s="200" t="s">
        <v>429</v>
      </c>
    </row>
    <row r="11032" spans="1:8" ht="15" customHeight="1">
      <c r="A11032" s="199">
        <v>45828</v>
      </c>
      <c r="B11032" s="202" t="s">
        <v>8109</v>
      </c>
      <c r="C11032" s="200" t="s">
        <v>204</v>
      </c>
      <c r="D11032" s="765">
        <v>-404600</v>
      </c>
      <c r="E11032" s="201">
        <v>45809</v>
      </c>
      <c r="F11032" s="200" t="s">
        <v>296</v>
      </c>
      <c r="G11032" s="200" t="s">
        <v>1980</v>
      </c>
      <c r="H11032" s="200" t="s">
        <v>488</v>
      </c>
    </row>
    <row r="11033" spans="1:8" ht="15" customHeight="1">
      <c r="A11033" s="199">
        <v>45828</v>
      </c>
      <c r="B11033" s="202" t="s">
        <v>8110</v>
      </c>
      <c r="C11033" s="200" t="s">
        <v>204</v>
      </c>
      <c r="D11033" s="765">
        <v>-366600</v>
      </c>
      <c r="E11033" s="201">
        <v>45809</v>
      </c>
      <c r="F11033" s="200" t="s">
        <v>296</v>
      </c>
      <c r="G11033" s="200" t="s">
        <v>1983</v>
      </c>
      <c r="H11033" s="200" t="s">
        <v>429</v>
      </c>
    </row>
    <row r="11034" spans="1:8" ht="15" customHeight="1">
      <c r="A11034" s="199">
        <v>45828</v>
      </c>
      <c r="B11034" s="202" t="s">
        <v>8111</v>
      </c>
      <c r="C11034" s="200" t="s">
        <v>204</v>
      </c>
      <c r="D11034" s="765">
        <v>-382100</v>
      </c>
      <c r="E11034" s="201">
        <v>45809</v>
      </c>
      <c r="F11034" s="200" t="s">
        <v>296</v>
      </c>
      <c r="G11034" s="200" t="s">
        <v>1980</v>
      </c>
      <c r="H11034" s="200" t="s">
        <v>488</v>
      </c>
    </row>
    <row r="11035" spans="1:8" ht="15" customHeight="1">
      <c r="A11035" s="199">
        <v>45828</v>
      </c>
      <c r="B11035" s="202" t="s">
        <v>8112</v>
      </c>
      <c r="C11035" s="200" t="s">
        <v>204</v>
      </c>
      <c r="D11035" s="765">
        <v>-443300</v>
      </c>
      <c r="E11035" s="201">
        <v>45809</v>
      </c>
      <c r="F11035" s="200" t="s">
        <v>296</v>
      </c>
      <c r="G11035" s="200" t="s">
        <v>1980</v>
      </c>
      <c r="H11035" s="200" t="s">
        <v>488</v>
      </c>
    </row>
    <row r="11036" spans="1:8" ht="15" customHeight="1">
      <c r="A11036" s="199">
        <v>45828</v>
      </c>
      <c r="B11036" s="202" t="s">
        <v>8113</v>
      </c>
      <c r="C11036" s="200" t="s">
        <v>204</v>
      </c>
      <c r="D11036" s="765">
        <v>-440900</v>
      </c>
      <c r="E11036" s="201">
        <v>45809</v>
      </c>
      <c r="F11036" s="200" t="s">
        <v>296</v>
      </c>
      <c r="G11036" s="200" t="s">
        <v>1980</v>
      </c>
      <c r="H11036" s="200" t="s">
        <v>488</v>
      </c>
    </row>
    <row r="11037" spans="1:8" ht="15" customHeight="1">
      <c r="A11037" s="199">
        <v>45828</v>
      </c>
      <c r="B11037" s="202" t="s">
        <v>8114</v>
      </c>
      <c r="C11037" s="200" t="s">
        <v>204</v>
      </c>
      <c r="D11037" s="765">
        <v>-433800</v>
      </c>
      <c r="E11037" s="201">
        <v>45809</v>
      </c>
      <c r="F11037" s="200" t="s">
        <v>296</v>
      </c>
      <c r="G11037" s="200" t="s">
        <v>1980</v>
      </c>
      <c r="H11037" s="200" t="s">
        <v>488</v>
      </c>
    </row>
    <row r="11038" spans="1:8" ht="15" customHeight="1">
      <c r="A11038" s="199">
        <v>45828</v>
      </c>
      <c r="B11038" s="202" t="s">
        <v>8115</v>
      </c>
      <c r="C11038" s="200" t="s">
        <v>204</v>
      </c>
      <c r="D11038" s="765">
        <v>-371800</v>
      </c>
      <c r="E11038" s="201">
        <v>45809</v>
      </c>
      <c r="F11038" s="200" t="s">
        <v>296</v>
      </c>
      <c r="G11038" s="200" t="s">
        <v>1980</v>
      </c>
      <c r="H11038" s="200" t="s">
        <v>488</v>
      </c>
    </row>
    <row r="11039" spans="1:8" ht="15" customHeight="1">
      <c r="A11039" s="199">
        <v>45828</v>
      </c>
      <c r="B11039" s="202" t="s">
        <v>8116</v>
      </c>
      <c r="C11039" s="200" t="s">
        <v>204</v>
      </c>
      <c r="D11039" s="765">
        <v>-430500</v>
      </c>
      <c r="E11039" s="201">
        <v>45809</v>
      </c>
      <c r="F11039" s="200" t="s">
        <v>296</v>
      </c>
      <c r="G11039" s="200" t="s">
        <v>1980</v>
      </c>
      <c r="H11039" s="200" t="s">
        <v>488</v>
      </c>
    </row>
    <row r="11040" spans="1:8" ht="15" customHeight="1">
      <c r="A11040" s="199">
        <v>45828</v>
      </c>
      <c r="B11040" s="202" t="s">
        <v>8117</v>
      </c>
      <c r="C11040" s="200" t="s">
        <v>204</v>
      </c>
      <c r="D11040" s="765">
        <v>-264600</v>
      </c>
      <c r="E11040" s="201">
        <v>45809</v>
      </c>
      <c r="F11040" s="200" t="s">
        <v>296</v>
      </c>
      <c r="G11040" s="200" t="s">
        <v>1983</v>
      </c>
      <c r="H11040" s="200" t="s">
        <v>429</v>
      </c>
    </row>
    <row r="11041" spans="1:9" ht="15" customHeight="1">
      <c r="A11041" s="199">
        <v>45828</v>
      </c>
      <c r="B11041" s="202" t="s">
        <v>8118</v>
      </c>
      <c r="C11041" s="200" t="s">
        <v>204</v>
      </c>
      <c r="D11041" s="765">
        <v>-440900</v>
      </c>
      <c r="E11041" s="201">
        <v>45809</v>
      </c>
      <c r="F11041" s="200" t="s">
        <v>296</v>
      </c>
      <c r="G11041" s="200" t="s">
        <v>1980</v>
      </c>
      <c r="H11041" s="200" t="s">
        <v>488</v>
      </c>
    </row>
    <row r="11042" spans="1:9" ht="15" customHeight="1">
      <c r="A11042" s="199">
        <v>45828</v>
      </c>
      <c r="B11042" s="202" t="s">
        <v>8119</v>
      </c>
      <c r="C11042" s="200" t="s">
        <v>204</v>
      </c>
      <c r="D11042" s="765">
        <v>-440900</v>
      </c>
      <c r="E11042" s="201">
        <v>45809</v>
      </c>
      <c r="F11042" s="200" t="s">
        <v>296</v>
      </c>
      <c r="G11042" s="200" t="s">
        <v>1980</v>
      </c>
      <c r="H11042" s="200" t="s">
        <v>488</v>
      </c>
    </row>
    <row r="11043" spans="1:9" ht="15" customHeight="1">
      <c r="A11043" s="199">
        <v>45828</v>
      </c>
      <c r="B11043" s="202" t="s">
        <v>8120</v>
      </c>
      <c r="C11043" s="200" t="s">
        <v>204</v>
      </c>
      <c r="D11043" s="765">
        <v>-264600</v>
      </c>
      <c r="E11043" s="201">
        <v>45809</v>
      </c>
      <c r="F11043" s="200" t="s">
        <v>296</v>
      </c>
      <c r="G11043" s="200" t="s">
        <v>1980</v>
      </c>
      <c r="H11043" s="200" t="s">
        <v>488</v>
      </c>
    </row>
    <row r="11044" spans="1:9" ht="15" customHeight="1">
      <c r="A11044" s="199">
        <v>45828</v>
      </c>
      <c r="B11044" s="202" t="s">
        <v>8121</v>
      </c>
      <c r="C11044" s="200" t="s">
        <v>204</v>
      </c>
      <c r="D11044" s="765">
        <v>-399400</v>
      </c>
      <c r="E11044" s="201">
        <v>45809</v>
      </c>
      <c r="F11044" s="200" t="s">
        <v>296</v>
      </c>
      <c r="G11044" s="200" t="s">
        <v>1980</v>
      </c>
      <c r="H11044" s="200" t="s">
        <v>488</v>
      </c>
    </row>
    <row r="11045" spans="1:9" ht="15" customHeight="1">
      <c r="A11045" s="199">
        <v>45828</v>
      </c>
      <c r="B11045" s="202" t="s">
        <v>8122</v>
      </c>
      <c r="C11045" s="200" t="s">
        <v>204</v>
      </c>
      <c r="D11045" s="765">
        <v>-440900</v>
      </c>
      <c r="E11045" s="201">
        <v>45809</v>
      </c>
      <c r="F11045" s="200" t="s">
        <v>296</v>
      </c>
      <c r="G11045" s="200" t="s">
        <v>1980</v>
      </c>
      <c r="H11045" s="200" t="s">
        <v>488</v>
      </c>
    </row>
    <row r="11046" spans="1:9" ht="15" customHeight="1">
      <c r="A11046" s="199">
        <v>45828</v>
      </c>
      <c r="B11046" s="202" t="s">
        <v>8123</v>
      </c>
      <c r="C11046" s="200" t="s">
        <v>204</v>
      </c>
      <c r="D11046" s="765">
        <v>-440900</v>
      </c>
      <c r="E11046" s="201">
        <v>45809</v>
      </c>
      <c r="F11046" s="200" t="s">
        <v>296</v>
      </c>
      <c r="G11046" s="200" t="s">
        <v>1980</v>
      </c>
      <c r="H11046" s="200" t="s">
        <v>488</v>
      </c>
    </row>
    <row r="11047" spans="1:9" ht="15" customHeight="1">
      <c r="A11047" s="199">
        <v>45828</v>
      </c>
      <c r="B11047" s="202" t="s">
        <v>8124</v>
      </c>
      <c r="C11047" s="200" t="s">
        <v>204</v>
      </c>
      <c r="D11047" s="765">
        <v>-440900</v>
      </c>
      <c r="E11047" s="201">
        <v>45809</v>
      </c>
      <c r="F11047" s="200" t="s">
        <v>296</v>
      </c>
      <c r="G11047" s="200" t="s">
        <v>1983</v>
      </c>
      <c r="H11047" s="200" t="s">
        <v>429</v>
      </c>
    </row>
    <row r="11048" spans="1:9" ht="15" customHeight="1">
      <c r="A11048" s="199">
        <v>45828</v>
      </c>
      <c r="B11048" s="202" t="s">
        <v>8125</v>
      </c>
      <c r="C11048" s="200" t="s">
        <v>204</v>
      </c>
      <c r="D11048" s="765">
        <v>-382100</v>
      </c>
      <c r="E11048" s="201">
        <v>45809</v>
      </c>
      <c r="F11048" s="200" t="s">
        <v>296</v>
      </c>
      <c r="G11048" s="200" t="s">
        <v>1983</v>
      </c>
      <c r="H11048" s="200" t="s">
        <v>429</v>
      </c>
      <c r="I11048" s="648" t="s">
        <v>329</v>
      </c>
    </row>
    <row r="11049" spans="1:9" ht="15" customHeight="1">
      <c r="A11049" s="199">
        <v>45828</v>
      </c>
      <c r="B11049" s="202" t="s">
        <v>8126</v>
      </c>
      <c r="C11049" s="200" t="s">
        <v>204</v>
      </c>
      <c r="D11049" s="765">
        <v>-440900</v>
      </c>
      <c r="E11049" s="201">
        <v>45809</v>
      </c>
      <c r="F11049" s="200" t="s">
        <v>297</v>
      </c>
      <c r="G11049" s="200" t="s">
        <v>3892</v>
      </c>
      <c r="H11049" s="200" t="s">
        <v>342</v>
      </c>
    </row>
    <row r="11050" spans="1:9" ht="15" customHeight="1">
      <c r="A11050" s="199">
        <v>45828</v>
      </c>
      <c r="B11050" s="202" t="s">
        <v>8127</v>
      </c>
      <c r="C11050" s="200" t="s">
        <v>204</v>
      </c>
      <c r="D11050" s="765">
        <v>-440900</v>
      </c>
      <c r="E11050" s="201">
        <v>45809</v>
      </c>
      <c r="F11050" s="200" t="s">
        <v>297</v>
      </c>
      <c r="G11050" s="200" t="s">
        <v>3892</v>
      </c>
      <c r="H11050" s="200" t="s">
        <v>342</v>
      </c>
    </row>
    <row r="11051" spans="1:9" ht="15" customHeight="1">
      <c r="A11051" s="199">
        <v>45828</v>
      </c>
      <c r="B11051" s="202" t="s">
        <v>8128</v>
      </c>
      <c r="C11051" s="200" t="s">
        <v>204</v>
      </c>
      <c r="D11051" s="765">
        <v>-507400</v>
      </c>
      <c r="E11051" s="201">
        <v>45809</v>
      </c>
      <c r="F11051" s="200" t="s">
        <v>297</v>
      </c>
      <c r="G11051" s="200" t="s">
        <v>3892</v>
      </c>
      <c r="H11051" s="200" t="s">
        <v>342</v>
      </c>
    </row>
    <row r="11052" spans="1:9" ht="15" customHeight="1">
      <c r="A11052" s="199">
        <v>45828</v>
      </c>
      <c r="B11052" s="202" t="s">
        <v>8129</v>
      </c>
      <c r="C11052" s="200" t="s">
        <v>204</v>
      </c>
      <c r="D11052" s="765">
        <v>-487620</v>
      </c>
      <c r="E11052" s="201">
        <v>45809</v>
      </c>
      <c r="F11052" s="200" t="s">
        <v>297</v>
      </c>
      <c r="G11052" s="200" t="s">
        <v>3892</v>
      </c>
      <c r="H11052" s="200" t="s">
        <v>342</v>
      </c>
    </row>
    <row r="11053" spans="1:9" ht="15" customHeight="1">
      <c r="A11053" s="199">
        <v>45828</v>
      </c>
      <c r="B11053" s="202" t="s">
        <v>8129</v>
      </c>
      <c r="C11053" s="200" t="s">
        <v>204</v>
      </c>
      <c r="D11053" s="765">
        <v>-325080</v>
      </c>
      <c r="E11053" s="201">
        <v>45809</v>
      </c>
      <c r="F11053" s="200" t="s">
        <v>296</v>
      </c>
      <c r="G11053" s="200" t="s">
        <v>1362</v>
      </c>
      <c r="H11053" s="200" t="s">
        <v>342</v>
      </c>
    </row>
    <row r="11054" spans="1:9" ht="15" customHeight="1">
      <c r="A11054" s="199">
        <v>45828</v>
      </c>
      <c r="B11054" s="202" t="s">
        <v>8130</v>
      </c>
      <c r="C11054" s="200" t="s">
        <v>204</v>
      </c>
      <c r="D11054" s="765">
        <v>-507400</v>
      </c>
      <c r="E11054" s="201">
        <v>45809</v>
      </c>
      <c r="F11054" s="200" t="s">
        <v>297</v>
      </c>
      <c r="G11054" s="200" t="s">
        <v>3892</v>
      </c>
      <c r="H11054" s="200" t="s">
        <v>342</v>
      </c>
    </row>
    <row r="11055" spans="1:9" ht="15" customHeight="1">
      <c r="A11055" s="199">
        <v>45828</v>
      </c>
      <c r="B11055" s="202" t="s">
        <v>8131</v>
      </c>
      <c r="C11055" s="200" t="s">
        <v>204</v>
      </c>
      <c r="D11055" s="765">
        <v>-304440</v>
      </c>
      <c r="E11055" s="201">
        <v>45809</v>
      </c>
      <c r="F11055" s="200" t="s">
        <v>297</v>
      </c>
      <c r="G11055" s="200" t="s">
        <v>3892</v>
      </c>
      <c r="H11055" s="200" t="s">
        <v>342</v>
      </c>
    </row>
    <row r="11056" spans="1:9" ht="15" customHeight="1">
      <c r="A11056" s="199">
        <v>45828</v>
      </c>
      <c r="B11056" s="202" t="s">
        <v>8131</v>
      </c>
      <c r="C11056" s="200" t="s">
        <v>204</v>
      </c>
      <c r="D11056" s="765">
        <v>-202960</v>
      </c>
      <c r="E11056" s="201">
        <v>45809</v>
      </c>
      <c r="F11056" s="200" t="s">
        <v>296</v>
      </c>
      <c r="G11056" s="200" t="s">
        <v>1362</v>
      </c>
      <c r="H11056" s="200" t="s">
        <v>342</v>
      </c>
      <c r="I11056" s="648" t="s">
        <v>329</v>
      </c>
    </row>
    <row r="11057" spans="1:9" ht="15" customHeight="1">
      <c r="A11057" s="199">
        <v>45828</v>
      </c>
      <c r="B11057" s="202" t="s">
        <v>8132</v>
      </c>
      <c r="C11057" s="200" t="s">
        <v>204</v>
      </c>
      <c r="D11057" s="765">
        <v>-437600</v>
      </c>
      <c r="E11057" s="201">
        <v>45809</v>
      </c>
      <c r="F11057" s="200" t="s">
        <v>297</v>
      </c>
      <c r="G11057" s="200" t="s">
        <v>71</v>
      </c>
      <c r="H11057" s="200" t="s">
        <v>8133</v>
      </c>
    </row>
    <row r="11058" spans="1:9" ht="15" customHeight="1">
      <c r="A11058" s="199">
        <v>45828</v>
      </c>
      <c r="B11058" s="202" t="s">
        <v>8134</v>
      </c>
      <c r="C11058" s="200" t="s">
        <v>204</v>
      </c>
      <c r="D11058" s="765">
        <v>-492000</v>
      </c>
      <c r="E11058" s="201">
        <v>45809</v>
      </c>
      <c r="F11058" s="200" t="s">
        <v>296</v>
      </c>
      <c r="G11058" s="200" t="s">
        <v>522</v>
      </c>
      <c r="H11058" s="200" t="s">
        <v>429</v>
      </c>
    </row>
    <row r="11059" spans="1:9" ht="15" customHeight="1">
      <c r="A11059" s="199">
        <v>45828</v>
      </c>
      <c r="B11059" s="202" t="s">
        <v>8135</v>
      </c>
      <c r="C11059" s="200" t="s">
        <v>204</v>
      </c>
      <c r="D11059" s="765">
        <v>-495400</v>
      </c>
      <c r="E11059" s="201">
        <v>45809</v>
      </c>
      <c r="F11059" s="200" t="s">
        <v>297</v>
      </c>
      <c r="G11059" s="200" t="s">
        <v>3892</v>
      </c>
      <c r="H11059" s="200" t="s">
        <v>342</v>
      </c>
    </row>
    <row r="11060" spans="1:9" ht="15" customHeight="1">
      <c r="A11060" s="199">
        <v>45828</v>
      </c>
      <c r="B11060" s="202" t="s">
        <v>8136</v>
      </c>
      <c r="C11060" s="200" t="s">
        <v>204</v>
      </c>
      <c r="D11060" s="765">
        <v>-422000</v>
      </c>
      <c r="E11060" s="201">
        <v>45809</v>
      </c>
      <c r="F11060" s="200" t="s">
        <v>297</v>
      </c>
      <c r="G11060" s="200" t="s">
        <v>71</v>
      </c>
      <c r="H11060" s="200" t="s">
        <v>342</v>
      </c>
    </row>
    <row r="11061" spans="1:9" ht="15" customHeight="1">
      <c r="A11061" s="199">
        <v>45828</v>
      </c>
      <c r="B11061" s="202" t="s">
        <v>8137</v>
      </c>
      <c r="C11061" s="200" t="s">
        <v>204</v>
      </c>
      <c r="D11061" s="765">
        <v>-437600</v>
      </c>
      <c r="E11061" s="201">
        <v>45809</v>
      </c>
      <c r="F11061" s="200" t="s">
        <v>296</v>
      </c>
      <c r="G11061" s="200" t="s">
        <v>522</v>
      </c>
      <c r="H11061" s="200" t="s">
        <v>429</v>
      </c>
    </row>
    <row r="11062" spans="1:9" ht="15" customHeight="1">
      <c r="A11062" s="199">
        <v>45828</v>
      </c>
      <c r="B11062" s="202" t="s">
        <v>8138</v>
      </c>
      <c r="C11062" s="200" t="s">
        <v>204</v>
      </c>
      <c r="D11062" s="765">
        <v>-437600</v>
      </c>
      <c r="E11062" s="201">
        <v>45809</v>
      </c>
      <c r="F11062" s="200" t="s">
        <v>296</v>
      </c>
      <c r="G11062" s="200" t="s">
        <v>522</v>
      </c>
      <c r="H11062" s="200" t="s">
        <v>429</v>
      </c>
    </row>
    <row r="11063" spans="1:9" ht="15" customHeight="1">
      <c r="A11063" s="199">
        <v>45828</v>
      </c>
      <c r="B11063" s="202" t="s">
        <v>8139</v>
      </c>
      <c r="C11063" s="200" t="s">
        <v>204</v>
      </c>
      <c r="D11063" s="765">
        <v>-526400</v>
      </c>
      <c r="E11063" s="201">
        <v>45809</v>
      </c>
      <c r="F11063" s="200" t="s">
        <v>256</v>
      </c>
      <c r="G11063" s="200" t="s">
        <v>256</v>
      </c>
      <c r="H11063" s="200" t="s">
        <v>121</v>
      </c>
    </row>
    <row r="11064" spans="1:9" ht="15" customHeight="1">
      <c r="A11064" s="199">
        <v>45828</v>
      </c>
      <c r="B11064" s="202" t="s">
        <v>8140</v>
      </c>
      <c r="C11064" s="200" t="s">
        <v>204</v>
      </c>
      <c r="D11064" s="765">
        <v>-440900</v>
      </c>
      <c r="E11064" s="201">
        <v>45809</v>
      </c>
      <c r="F11064" s="200" t="s">
        <v>297</v>
      </c>
      <c r="G11064" s="200" t="s">
        <v>71</v>
      </c>
      <c r="H11064" s="200" t="s">
        <v>342</v>
      </c>
    </row>
    <row r="11065" spans="1:9" ht="15" customHeight="1">
      <c r="A11065" s="199">
        <v>45828</v>
      </c>
      <c r="B11065" s="202" t="s">
        <v>8141</v>
      </c>
      <c r="C11065" s="200" t="s">
        <v>204</v>
      </c>
      <c r="D11065" s="765">
        <v>-657800</v>
      </c>
      <c r="E11065" s="201">
        <v>45809</v>
      </c>
      <c r="F11065" s="200" t="s">
        <v>297</v>
      </c>
      <c r="G11065" s="200" t="s">
        <v>71</v>
      </c>
      <c r="H11065" s="200" t="s">
        <v>342</v>
      </c>
    </row>
    <row r="11066" spans="1:9" ht="15" customHeight="1">
      <c r="A11066" s="199">
        <v>45828</v>
      </c>
      <c r="B11066" s="202" t="s">
        <v>8142</v>
      </c>
      <c r="C11066" s="200" t="s">
        <v>204</v>
      </c>
      <c r="D11066" s="765">
        <v>-772500</v>
      </c>
      <c r="E11066" s="201">
        <v>45809</v>
      </c>
      <c r="F11066" s="200" t="s">
        <v>297</v>
      </c>
      <c r="G11066" s="200" t="s">
        <v>3892</v>
      </c>
      <c r="H11066" s="200" t="s">
        <v>342</v>
      </c>
    </row>
    <row r="11067" spans="1:9" ht="15" customHeight="1">
      <c r="A11067" s="199">
        <v>45828</v>
      </c>
      <c r="B11067" s="202" t="s">
        <v>8143</v>
      </c>
      <c r="C11067" s="200" t="s">
        <v>204</v>
      </c>
      <c r="D11067" s="765">
        <v>-416900</v>
      </c>
      <c r="E11067" s="201">
        <v>45809</v>
      </c>
      <c r="F11067" s="200" t="s">
        <v>256</v>
      </c>
      <c r="G11067" s="200" t="s">
        <v>256</v>
      </c>
      <c r="H11067" s="200" t="s">
        <v>121</v>
      </c>
    </row>
    <row r="11068" spans="1:9" ht="15" customHeight="1">
      <c r="A11068" s="199">
        <v>45828</v>
      </c>
      <c r="B11068" s="202" t="s">
        <v>8144</v>
      </c>
      <c r="C11068" s="200" t="s">
        <v>204</v>
      </c>
      <c r="D11068" s="765">
        <v>-440900</v>
      </c>
      <c r="E11068" s="201">
        <v>45809</v>
      </c>
      <c r="F11068" s="200" t="s">
        <v>296</v>
      </c>
      <c r="G11068" s="200" t="s">
        <v>522</v>
      </c>
      <c r="H11068" s="200" t="s">
        <v>429</v>
      </c>
    </row>
    <row r="11069" spans="1:9" ht="15" customHeight="1">
      <c r="A11069" s="199">
        <v>45828</v>
      </c>
      <c r="B11069" s="202" t="s">
        <v>8145</v>
      </c>
      <c r="C11069" s="200" t="s">
        <v>204</v>
      </c>
      <c r="D11069" s="765">
        <v>-311700</v>
      </c>
      <c r="E11069" s="201">
        <v>45809</v>
      </c>
      <c r="F11069" s="200" t="s">
        <v>297</v>
      </c>
      <c r="G11069" s="200" t="s">
        <v>71</v>
      </c>
      <c r="H11069" s="200" t="s">
        <v>342</v>
      </c>
    </row>
    <row r="11070" spans="1:9" ht="15" customHeight="1">
      <c r="A11070" s="199">
        <v>45828</v>
      </c>
      <c r="B11070" s="202" t="s">
        <v>8146</v>
      </c>
      <c r="C11070" s="200" t="s">
        <v>204</v>
      </c>
      <c r="D11070" s="765">
        <v>-440900</v>
      </c>
      <c r="E11070" s="201">
        <v>45809</v>
      </c>
      <c r="F11070" s="200" t="s">
        <v>297</v>
      </c>
      <c r="G11070" s="200" t="s">
        <v>71</v>
      </c>
      <c r="H11070" s="200" t="s">
        <v>342</v>
      </c>
    </row>
    <row r="11071" spans="1:9" ht="15" customHeight="1">
      <c r="A11071" s="199">
        <v>45828</v>
      </c>
      <c r="B11071" s="202" t="s">
        <v>8147</v>
      </c>
      <c r="C11071" s="200" t="s">
        <v>204</v>
      </c>
      <c r="D11071" s="765">
        <v>-440900</v>
      </c>
      <c r="E11071" s="201">
        <v>45809</v>
      </c>
      <c r="F11071" s="200" t="s">
        <v>297</v>
      </c>
      <c r="G11071" s="200" t="s">
        <v>71</v>
      </c>
      <c r="H11071" s="200" t="s">
        <v>342</v>
      </c>
      <c r="I11071" s="648" t="s">
        <v>329</v>
      </c>
    </row>
    <row r="11072" spans="1:9" ht="15" customHeight="1">
      <c r="A11072" s="199">
        <v>45828</v>
      </c>
      <c r="B11072" s="202" t="s">
        <v>8148</v>
      </c>
      <c r="C11072" s="200" t="s">
        <v>204</v>
      </c>
      <c r="D11072" s="765">
        <v>-767000</v>
      </c>
      <c r="E11072" s="201">
        <v>45809</v>
      </c>
      <c r="F11072" s="200" t="s">
        <v>296</v>
      </c>
      <c r="G11072" s="200" t="s">
        <v>522</v>
      </c>
      <c r="H11072" s="200" t="s">
        <v>429</v>
      </c>
      <c r="I11072" s="648" t="s">
        <v>329</v>
      </c>
    </row>
    <row r="11073" spans="1:9" ht="15" customHeight="1">
      <c r="A11073" s="199">
        <v>45828</v>
      </c>
      <c r="B11073" s="202" t="s">
        <v>8149</v>
      </c>
      <c r="C11073" s="200" t="s">
        <v>204</v>
      </c>
      <c r="D11073" s="765">
        <v>-4000000</v>
      </c>
      <c r="E11073" s="201">
        <v>45809</v>
      </c>
      <c r="F11073" s="200" t="s">
        <v>296</v>
      </c>
      <c r="G11073" s="200" t="s">
        <v>1825</v>
      </c>
      <c r="H11073" s="200" t="s">
        <v>488</v>
      </c>
    </row>
    <row r="11074" spans="1:9" ht="15" customHeight="1">
      <c r="A11074" s="199">
        <v>45828</v>
      </c>
      <c r="B11074" s="202" t="s">
        <v>8149</v>
      </c>
      <c r="C11074" s="200" t="s">
        <v>204</v>
      </c>
      <c r="D11074" s="765">
        <v>-4000000</v>
      </c>
      <c r="E11074" s="201">
        <v>45809</v>
      </c>
      <c r="F11074" s="200" t="s">
        <v>296</v>
      </c>
      <c r="G11074" s="200" t="s">
        <v>1980</v>
      </c>
      <c r="H11074" s="200" t="s">
        <v>488</v>
      </c>
      <c r="I11074" s="648" t="s">
        <v>329</v>
      </c>
    </row>
    <row r="11075" spans="1:9" ht="15" customHeight="1">
      <c r="A11075" s="199">
        <v>45828</v>
      </c>
      <c r="B11075" s="202" t="s">
        <v>8149</v>
      </c>
      <c r="C11075" s="200" t="s">
        <v>204</v>
      </c>
      <c r="D11075" s="765">
        <v>-4000000</v>
      </c>
      <c r="E11075" s="201">
        <v>45809</v>
      </c>
      <c r="F11075" s="200" t="s">
        <v>296</v>
      </c>
      <c r="G11075" s="200" t="s">
        <v>807</v>
      </c>
      <c r="H11075" s="200" t="s">
        <v>488</v>
      </c>
      <c r="I11075" s="648" t="s">
        <v>329</v>
      </c>
    </row>
    <row r="11076" spans="1:9" ht="15" customHeight="1">
      <c r="A11076" s="199">
        <v>45828</v>
      </c>
      <c r="B11076" s="202" t="s">
        <v>6084</v>
      </c>
      <c r="C11076" s="200" t="s">
        <v>204</v>
      </c>
      <c r="D11076" s="765">
        <v>-3000000</v>
      </c>
      <c r="E11076" s="201">
        <v>45809</v>
      </c>
      <c r="F11076" s="200" t="s">
        <v>297</v>
      </c>
      <c r="G11076" s="200" t="s">
        <v>69</v>
      </c>
      <c r="H11076" s="200" t="s">
        <v>5376</v>
      </c>
      <c r="I11076" s="648" t="s">
        <v>329</v>
      </c>
    </row>
    <row r="11077" spans="1:9" ht="15" customHeight="1">
      <c r="A11077" s="199">
        <v>45812</v>
      </c>
      <c r="B11077" s="202" t="s">
        <v>1514</v>
      </c>
      <c r="C11077" s="200" t="s">
        <v>204</v>
      </c>
      <c r="D11077" s="765">
        <v>-12700</v>
      </c>
      <c r="E11077" s="201">
        <v>45809</v>
      </c>
      <c r="F11077" s="200" t="s">
        <v>256</v>
      </c>
      <c r="G11077" s="200" t="s">
        <v>107</v>
      </c>
      <c r="H11077" s="200" t="s">
        <v>275</v>
      </c>
      <c r="I11077" s="200" t="s">
        <v>1515</v>
      </c>
    </row>
    <row r="11078" spans="1:9" ht="15" customHeight="1">
      <c r="A11078" s="199">
        <v>45812</v>
      </c>
      <c r="B11078" s="202" t="s">
        <v>5618</v>
      </c>
      <c r="C11078" s="200" t="s">
        <v>204</v>
      </c>
      <c r="D11078" s="765">
        <v>-12700</v>
      </c>
      <c r="E11078" s="201">
        <v>45809</v>
      </c>
      <c r="F11078" s="200" t="s">
        <v>256</v>
      </c>
      <c r="G11078" s="200" t="s">
        <v>107</v>
      </c>
      <c r="H11078" s="200" t="s">
        <v>275</v>
      </c>
      <c r="I11078" s="200" t="s">
        <v>1515</v>
      </c>
    </row>
    <row r="11079" spans="1:9" ht="15" customHeight="1">
      <c r="A11079" s="199">
        <v>45812</v>
      </c>
      <c r="B11079" s="202" t="s">
        <v>1521</v>
      </c>
      <c r="C11079" s="200" t="s">
        <v>204</v>
      </c>
      <c r="D11079" s="765">
        <v>-69647</v>
      </c>
      <c r="E11079" s="201">
        <v>45809</v>
      </c>
      <c r="F11079" s="200" t="s">
        <v>256</v>
      </c>
      <c r="G11079" s="200" t="s">
        <v>107</v>
      </c>
      <c r="H11079" s="200" t="s">
        <v>275</v>
      </c>
      <c r="I11079" s="200" t="s">
        <v>1515</v>
      </c>
    </row>
    <row r="11080" spans="1:9" ht="15" customHeight="1">
      <c r="A11080" s="199">
        <v>45821</v>
      </c>
      <c r="B11080" s="202" t="s">
        <v>1514</v>
      </c>
      <c r="C11080" s="200" t="s">
        <v>204</v>
      </c>
      <c r="D11080" s="765">
        <v>-12700</v>
      </c>
      <c r="E11080" s="201">
        <v>45809</v>
      </c>
      <c r="F11080" s="200" t="s">
        <v>256</v>
      </c>
      <c r="G11080" s="200" t="s">
        <v>107</v>
      </c>
      <c r="H11080" s="200" t="s">
        <v>275</v>
      </c>
      <c r="I11080" s="200" t="s">
        <v>1515</v>
      </c>
    </row>
    <row r="11081" spans="1:9" ht="15" customHeight="1">
      <c r="A11081" s="199">
        <v>45821</v>
      </c>
      <c r="B11081" s="202" t="s">
        <v>8150</v>
      </c>
      <c r="C11081" s="200" t="s">
        <v>204</v>
      </c>
      <c r="D11081" s="765">
        <v>-12600</v>
      </c>
      <c r="E11081" s="201">
        <v>45809</v>
      </c>
      <c r="F11081" s="200" t="s">
        <v>256</v>
      </c>
      <c r="G11081" s="200" t="s">
        <v>107</v>
      </c>
      <c r="H11081" s="200" t="s">
        <v>275</v>
      </c>
      <c r="I11081" s="200" t="s">
        <v>1515</v>
      </c>
    </row>
    <row r="11082" spans="1:9" ht="15" customHeight="1">
      <c r="A11082" s="199">
        <v>45821</v>
      </c>
      <c r="B11082" s="202" t="s">
        <v>1521</v>
      </c>
      <c r="C11082" s="200" t="s">
        <v>204</v>
      </c>
      <c r="D11082" s="765">
        <v>-48900</v>
      </c>
      <c r="E11082" s="201">
        <v>45809</v>
      </c>
      <c r="F11082" s="200" t="s">
        <v>256</v>
      </c>
      <c r="G11082" s="200" t="s">
        <v>107</v>
      </c>
      <c r="H11082" s="200" t="s">
        <v>275</v>
      </c>
      <c r="I11082" s="200" t="s">
        <v>1515</v>
      </c>
    </row>
    <row r="11083" spans="1:9" ht="15" customHeight="1">
      <c r="A11083" s="199">
        <v>45825</v>
      </c>
      <c r="B11083" s="202" t="s">
        <v>1514</v>
      </c>
      <c r="C11083" s="200" t="s">
        <v>204</v>
      </c>
      <c r="D11083" s="765">
        <v>-12700</v>
      </c>
      <c r="E11083" s="201">
        <v>45809</v>
      </c>
      <c r="F11083" s="200" t="s">
        <v>256</v>
      </c>
      <c r="G11083" s="200" t="s">
        <v>107</v>
      </c>
      <c r="H11083" s="200" t="s">
        <v>275</v>
      </c>
      <c r="I11083" s="200" t="s">
        <v>1515</v>
      </c>
    </row>
    <row r="11084" spans="1:9" ht="15" customHeight="1">
      <c r="A11084" s="199">
        <v>45825</v>
      </c>
      <c r="B11084" s="202" t="s">
        <v>5618</v>
      </c>
      <c r="C11084" s="200" t="s">
        <v>204</v>
      </c>
      <c r="D11084" s="765">
        <v>-12700</v>
      </c>
      <c r="E11084" s="201">
        <v>45809</v>
      </c>
      <c r="F11084" s="200" t="s">
        <v>256</v>
      </c>
      <c r="G11084" s="200" t="s">
        <v>107</v>
      </c>
      <c r="H11084" s="200" t="s">
        <v>275</v>
      </c>
      <c r="I11084" s="200" t="s">
        <v>1515</v>
      </c>
    </row>
    <row r="11085" spans="1:9" ht="15" customHeight="1">
      <c r="A11085" s="199">
        <v>45825</v>
      </c>
      <c r="B11085" s="202" t="s">
        <v>1521</v>
      </c>
      <c r="C11085" s="200" t="s">
        <v>204</v>
      </c>
      <c r="D11085" s="765">
        <v>-45915</v>
      </c>
      <c r="E11085" s="201">
        <v>45809</v>
      </c>
      <c r="F11085" s="200" t="s">
        <v>256</v>
      </c>
      <c r="G11085" s="200" t="s">
        <v>107</v>
      </c>
      <c r="H11085" s="200" t="s">
        <v>275</v>
      </c>
      <c r="I11085" s="200" t="s">
        <v>1515</v>
      </c>
    </row>
    <row r="11086" spans="1:9" ht="15" customHeight="1">
      <c r="A11086" s="199">
        <v>45825</v>
      </c>
      <c r="B11086" s="202" t="s">
        <v>1523</v>
      </c>
      <c r="C11086" s="200" t="s">
        <v>204</v>
      </c>
      <c r="D11086" s="765">
        <v>-17700</v>
      </c>
      <c r="E11086" s="201">
        <v>45809</v>
      </c>
      <c r="F11086" s="200" t="s">
        <v>256</v>
      </c>
      <c r="G11086" s="200" t="s">
        <v>107</v>
      </c>
      <c r="H11086" s="200" t="s">
        <v>275</v>
      </c>
      <c r="I11086" s="200" t="s">
        <v>1515</v>
      </c>
    </row>
    <row r="11087" spans="1:9" ht="15" customHeight="1">
      <c r="A11087" s="199">
        <v>45828</v>
      </c>
      <c r="B11087" s="202" t="s">
        <v>8151</v>
      </c>
      <c r="C11087" s="200" t="s">
        <v>204</v>
      </c>
      <c r="D11087" s="765">
        <v>-1953240</v>
      </c>
      <c r="E11087" s="201">
        <v>45809</v>
      </c>
      <c r="F11087" s="200" t="s">
        <v>296</v>
      </c>
      <c r="G11087" s="200" t="s">
        <v>1825</v>
      </c>
      <c r="H11087" s="200" t="s">
        <v>811</v>
      </c>
    </row>
    <row r="11088" spans="1:9" ht="15" customHeight="1">
      <c r="A11088" s="199">
        <v>45828</v>
      </c>
      <c r="B11088" s="202" t="s">
        <v>8152</v>
      </c>
      <c r="C11088" s="200" t="s">
        <v>372</v>
      </c>
      <c r="D11088" s="204">
        <v>-19850</v>
      </c>
      <c r="E11088" s="201">
        <v>45809</v>
      </c>
      <c r="F11088" s="200" t="s">
        <v>296</v>
      </c>
      <c r="G11088" s="200" t="s">
        <v>1825</v>
      </c>
      <c r="H11088" s="200" t="s">
        <v>811</v>
      </c>
    </row>
    <row r="11089" spans="1:9" ht="15" customHeight="1">
      <c r="A11089" s="199">
        <v>45828</v>
      </c>
      <c r="B11089" s="202" t="s">
        <v>8153</v>
      </c>
      <c r="C11089" s="200" t="s">
        <v>372</v>
      </c>
      <c r="D11089" s="204">
        <v>-11910</v>
      </c>
      <c r="E11089" s="201">
        <v>45809</v>
      </c>
      <c r="F11089" s="200" t="s">
        <v>296</v>
      </c>
      <c r="G11089" s="200" t="s">
        <v>1825</v>
      </c>
      <c r="H11089" s="200" t="s">
        <v>811</v>
      </c>
      <c r="I11089" s="648" t="s">
        <v>329</v>
      </c>
    </row>
    <row r="11090" spans="1:9" ht="15" customHeight="1">
      <c r="A11090" s="199">
        <v>45827</v>
      </c>
      <c r="B11090" s="202" t="s">
        <v>8154</v>
      </c>
      <c r="C11090" s="200" t="s">
        <v>136</v>
      </c>
      <c r="D11090" s="658">
        <v>-114219</v>
      </c>
      <c r="E11090" s="201">
        <v>45809</v>
      </c>
      <c r="F11090" s="200" t="s">
        <v>256</v>
      </c>
      <c r="G11090" s="200" t="s">
        <v>256</v>
      </c>
      <c r="H11090" s="200" t="s">
        <v>267</v>
      </c>
    </row>
    <row r="11091" spans="1:9" ht="15" customHeight="1">
      <c r="A11091" s="199">
        <v>45827</v>
      </c>
      <c r="B11091" s="202" t="s">
        <v>8155</v>
      </c>
      <c r="C11091" s="200" t="s">
        <v>136</v>
      </c>
      <c r="D11091" s="658">
        <v>-203742</v>
      </c>
      <c r="E11091" s="201">
        <v>45809</v>
      </c>
      <c r="F11091" s="200" t="s">
        <v>256</v>
      </c>
      <c r="G11091" s="200" t="s">
        <v>256</v>
      </c>
      <c r="H11091" s="200" t="s">
        <v>267</v>
      </c>
    </row>
    <row r="11092" spans="1:9" ht="15" customHeight="1">
      <c r="A11092" s="199">
        <v>45827</v>
      </c>
      <c r="B11092" s="202" t="s">
        <v>8156</v>
      </c>
      <c r="C11092" s="200" t="s">
        <v>372</v>
      </c>
      <c r="D11092" s="204">
        <v>-4158</v>
      </c>
      <c r="E11092" s="201">
        <v>45809</v>
      </c>
      <c r="F11092" s="200" t="s">
        <v>256</v>
      </c>
      <c r="G11092" s="200" t="s">
        <v>256</v>
      </c>
      <c r="H11092" s="200" t="s">
        <v>267</v>
      </c>
    </row>
    <row r="11093" spans="1:9" ht="15" customHeight="1">
      <c r="A11093" s="199">
        <v>45827</v>
      </c>
      <c r="B11093" s="202" t="s">
        <v>8157</v>
      </c>
      <c r="C11093" s="200" t="s">
        <v>136</v>
      </c>
      <c r="D11093" s="658">
        <v>-1440000</v>
      </c>
      <c r="E11093" s="201">
        <v>45809</v>
      </c>
      <c r="F11093" s="200" t="s">
        <v>296</v>
      </c>
      <c r="G11093" s="200" t="s">
        <v>57</v>
      </c>
      <c r="H11093" s="200" t="s">
        <v>97</v>
      </c>
    </row>
    <row r="11094" spans="1:9" ht="15" customHeight="1">
      <c r="A11094" s="199">
        <v>45811</v>
      </c>
      <c r="B11094" s="202" t="s">
        <v>8158</v>
      </c>
      <c r="C11094" s="200" t="s">
        <v>136</v>
      </c>
      <c r="D11094" s="658">
        <v>-100000</v>
      </c>
      <c r="E11094" s="201">
        <v>45809</v>
      </c>
      <c r="F11094" s="200" t="s">
        <v>256</v>
      </c>
      <c r="G11094" s="200" t="s">
        <v>256</v>
      </c>
      <c r="H11094" s="200" t="s">
        <v>8159</v>
      </c>
      <c r="I11094" s="200" t="s">
        <v>1920</v>
      </c>
    </row>
    <row r="11095" spans="1:9" ht="15" customHeight="1">
      <c r="A11095" s="199">
        <v>45811</v>
      </c>
      <c r="B11095" s="202" t="s">
        <v>8160</v>
      </c>
      <c r="C11095" s="200" t="s">
        <v>136</v>
      </c>
      <c r="D11095" s="658">
        <v>-60000</v>
      </c>
      <c r="E11095" s="201">
        <v>45809</v>
      </c>
      <c r="F11095" s="200" t="s">
        <v>256</v>
      </c>
      <c r="G11095" s="200" t="s">
        <v>256</v>
      </c>
      <c r="H11095" s="200" t="s">
        <v>8159</v>
      </c>
      <c r="I11095" s="200" t="s">
        <v>1920</v>
      </c>
    </row>
    <row r="11096" spans="1:9" ht="15" customHeight="1">
      <c r="A11096" s="199">
        <v>45813</v>
      </c>
      <c r="B11096" s="202" t="s">
        <v>8161</v>
      </c>
      <c r="C11096" s="200" t="s">
        <v>136</v>
      </c>
      <c r="D11096" s="658">
        <v>-27000</v>
      </c>
      <c r="E11096" s="201">
        <v>45809</v>
      </c>
      <c r="F11096" s="200" t="s">
        <v>256</v>
      </c>
      <c r="G11096" s="200" t="s">
        <v>256</v>
      </c>
      <c r="H11096" s="200" t="s">
        <v>8159</v>
      </c>
      <c r="I11096" s="200" t="s">
        <v>1920</v>
      </c>
    </row>
    <row r="11097" spans="1:9" ht="15" customHeight="1">
      <c r="A11097" s="199">
        <v>45813</v>
      </c>
      <c r="B11097" s="202" t="s">
        <v>8162</v>
      </c>
      <c r="C11097" s="200" t="s">
        <v>136</v>
      </c>
      <c r="D11097" s="658">
        <v>-100000</v>
      </c>
      <c r="E11097" s="201">
        <v>45809</v>
      </c>
      <c r="F11097" s="200" t="s">
        <v>256</v>
      </c>
      <c r="G11097" s="200" t="s">
        <v>256</v>
      </c>
      <c r="H11097" s="200" t="s">
        <v>8159</v>
      </c>
      <c r="I11097" s="200" t="s">
        <v>1920</v>
      </c>
    </row>
    <row r="11098" spans="1:9" ht="15" customHeight="1">
      <c r="A11098" s="199">
        <v>45813</v>
      </c>
      <c r="B11098" s="202" t="s">
        <v>8158</v>
      </c>
      <c r="C11098" s="200" t="s">
        <v>136</v>
      </c>
      <c r="D11098" s="658">
        <v>-20000</v>
      </c>
      <c r="E11098" s="201">
        <v>45809</v>
      </c>
      <c r="F11098" s="200" t="s">
        <v>256</v>
      </c>
      <c r="G11098" s="200" t="s">
        <v>256</v>
      </c>
      <c r="H11098" s="200" t="s">
        <v>8159</v>
      </c>
      <c r="I11098" s="200" t="s">
        <v>1920</v>
      </c>
    </row>
    <row r="11099" spans="1:9" ht="15" customHeight="1">
      <c r="A11099" s="199">
        <v>45828</v>
      </c>
      <c r="B11099" s="202" t="s">
        <v>8163</v>
      </c>
      <c r="C11099" s="200" t="s">
        <v>136</v>
      </c>
      <c r="D11099" s="658">
        <v>-850000</v>
      </c>
      <c r="E11099" s="201">
        <v>45809</v>
      </c>
      <c r="F11099" s="200" t="s">
        <v>256</v>
      </c>
      <c r="G11099" s="200" t="s">
        <v>107</v>
      </c>
      <c r="H11099" s="200" t="s">
        <v>116</v>
      </c>
    </row>
    <row r="11100" spans="1:9" ht="15" customHeight="1">
      <c r="A11100" s="199">
        <v>45824</v>
      </c>
      <c r="B11100" s="202" t="s">
        <v>8164</v>
      </c>
      <c r="C11100" s="200" t="s">
        <v>136</v>
      </c>
      <c r="D11100" s="204">
        <v>1571465</v>
      </c>
      <c r="E11100" s="201">
        <v>45809</v>
      </c>
      <c r="F11100" s="200" t="s">
        <v>295</v>
      </c>
    </row>
    <row r="11101" spans="1:9" ht="15" customHeight="1">
      <c r="A11101" s="199">
        <v>45824</v>
      </c>
      <c r="B11101" s="202" t="s">
        <v>8164</v>
      </c>
      <c r="C11101" s="200" t="s">
        <v>136</v>
      </c>
      <c r="D11101" s="204">
        <v>476948</v>
      </c>
      <c r="E11101" s="201">
        <v>45809</v>
      </c>
      <c r="F11101" s="200" t="s">
        <v>295</v>
      </c>
    </row>
    <row r="11102" spans="1:9" ht="15" customHeight="1">
      <c r="A11102" s="199">
        <v>45825</v>
      </c>
      <c r="B11102" s="202" t="s">
        <v>8165</v>
      </c>
      <c r="C11102" s="200" t="s">
        <v>136</v>
      </c>
      <c r="D11102" s="204">
        <v>1145700</v>
      </c>
      <c r="E11102" s="201">
        <v>45809</v>
      </c>
      <c r="F11102" s="200" t="s">
        <v>295</v>
      </c>
    </row>
    <row r="11103" spans="1:9" ht="15" customHeight="1">
      <c r="A11103" s="199">
        <v>45825</v>
      </c>
      <c r="B11103" s="202" t="s">
        <v>5638</v>
      </c>
      <c r="C11103" s="200" t="s">
        <v>136</v>
      </c>
      <c r="D11103" s="204">
        <v>783496.81</v>
      </c>
      <c r="E11103" s="201">
        <v>45809</v>
      </c>
      <c r="F11103" s="200" t="s">
        <v>295</v>
      </c>
    </row>
    <row r="11104" spans="1:9" ht="15" customHeight="1">
      <c r="A11104" s="199">
        <v>45825</v>
      </c>
      <c r="B11104" s="202" t="s">
        <v>8164</v>
      </c>
      <c r="C11104" s="200" t="s">
        <v>136</v>
      </c>
      <c r="D11104" s="204">
        <v>1308653</v>
      </c>
      <c r="E11104" s="201">
        <v>45809</v>
      </c>
      <c r="F11104" s="200" t="s">
        <v>295</v>
      </c>
    </row>
    <row r="11105" spans="1:8" ht="15" customHeight="1">
      <c r="A11105" s="199">
        <v>45825</v>
      </c>
      <c r="B11105" s="202" t="s">
        <v>8166</v>
      </c>
      <c r="C11105" s="200" t="s">
        <v>136</v>
      </c>
      <c r="D11105" s="204">
        <v>5978700</v>
      </c>
      <c r="E11105" s="201">
        <v>45809</v>
      </c>
      <c r="F11105" s="200" t="s">
        <v>256</v>
      </c>
      <c r="G11105" s="200" t="s">
        <v>256</v>
      </c>
      <c r="H11105" s="200" t="s">
        <v>121</v>
      </c>
    </row>
    <row r="11106" spans="1:8" ht="15" customHeight="1">
      <c r="A11106" s="199">
        <v>45827</v>
      </c>
      <c r="B11106" s="202" t="s">
        <v>8167</v>
      </c>
      <c r="C11106" s="200" t="s">
        <v>136</v>
      </c>
      <c r="D11106" s="204">
        <v>18590001</v>
      </c>
      <c r="E11106" s="201">
        <v>45809</v>
      </c>
      <c r="F11106" s="200" t="s">
        <v>2786</v>
      </c>
    </row>
    <row r="11107" spans="1:8" ht="15" customHeight="1">
      <c r="A11107" s="199">
        <v>45828</v>
      </c>
      <c r="B11107" s="202" t="s">
        <v>8168</v>
      </c>
      <c r="C11107" s="200" t="s">
        <v>314</v>
      </c>
      <c r="D11107" s="765">
        <v>-99100</v>
      </c>
      <c r="E11107" s="201">
        <v>45809</v>
      </c>
      <c r="F11107" s="200" t="s">
        <v>256</v>
      </c>
      <c r="G11107" s="200" t="s">
        <v>256</v>
      </c>
      <c r="H11107" s="200" t="s">
        <v>263</v>
      </c>
    </row>
    <row r="11108" spans="1:8" ht="15" customHeight="1">
      <c r="A11108" s="199">
        <v>45828</v>
      </c>
      <c r="B11108" s="202" t="s">
        <v>8169</v>
      </c>
      <c r="C11108" s="200" t="s">
        <v>314</v>
      </c>
      <c r="D11108" s="765">
        <v>-2349900</v>
      </c>
      <c r="E11108" s="201">
        <v>45809</v>
      </c>
      <c r="F11108" s="200" t="s">
        <v>256</v>
      </c>
      <c r="G11108" s="200" t="s">
        <v>256</v>
      </c>
      <c r="H11108" s="200" t="s">
        <v>263</v>
      </c>
    </row>
    <row r="11109" spans="1:8" ht="15" customHeight="1">
      <c r="A11109" s="199">
        <v>45824</v>
      </c>
      <c r="B11109" s="202" t="s">
        <v>8170</v>
      </c>
      <c r="C11109" s="200" t="s">
        <v>314</v>
      </c>
      <c r="D11109" s="204">
        <v>2500000</v>
      </c>
      <c r="E11109" s="201">
        <v>45809</v>
      </c>
      <c r="F11109" s="200" t="s">
        <v>295</v>
      </c>
    </row>
    <row r="11110" spans="1:8" ht="15" customHeight="1">
      <c r="A11110" s="199">
        <v>45826</v>
      </c>
      <c r="B11110" s="202" t="s">
        <v>8171</v>
      </c>
      <c r="C11110" s="200" t="s">
        <v>314</v>
      </c>
      <c r="D11110" s="204">
        <v>1182648</v>
      </c>
      <c r="E11110" s="201">
        <v>45809</v>
      </c>
      <c r="F11110" s="200" t="s">
        <v>295</v>
      </c>
    </row>
    <row r="11111" spans="1:8" ht="15" customHeight="1">
      <c r="A11111" s="199">
        <v>45825</v>
      </c>
      <c r="B11111" s="202" t="s">
        <v>8172</v>
      </c>
      <c r="C11111" s="200" t="s">
        <v>204</v>
      </c>
      <c r="D11111" s="204">
        <v>1000000000</v>
      </c>
      <c r="E11111" s="201">
        <v>45809</v>
      </c>
      <c r="F11111" s="200" t="s">
        <v>652</v>
      </c>
      <c r="G11111" s="200" t="s">
        <v>6135</v>
      </c>
    </row>
    <row r="11112" spans="1:8" ht="15" customHeight="1">
      <c r="A11112" s="199">
        <v>45825</v>
      </c>
      <c r="B11112" s="202" t="s">
        <v>8173</v>
      </c>
      <c r="C11112" s="200" t="s">
        <v>204</v>
      </c>
      <c r="D11112" s="204">
        <v>800000000</v>
      </c>
      <c r="E11112" s="201">
        <v>45809</v>
      </c>
      <c r="F11112" s="200" t="s">
        <v>652</v>
      </c>
      <c r="G11112" s="200" t="s">
        <v>4577</v>
      </c>
    </row>
    <row r="11113" spans="1:8" ht="15" customHeight="1">
      <c r="A11113" s="199">
        <v>45825</v>
      </c>
      <c r="B11113" s="202" t="s">
        <v>8174</v>
      </c>
      <c r="C11113" s="200" t="s">
        <v>204</v>
      </c>
      <c r="D11113" s="204">
        <v>100000000</v>
      </c>
      <c r="E11113" s="201">
        <v>45809</v>
      </c>
      <c r="F11113" s="200" t="s">
        <v>652</v>
      </c>
      <c r="G11113" s="200" t="s">
        <v>1980</v>
      </c>
    </row>
    <row r="11114" spans="1:8" ht="15" customHeight="1">
      <c r="A11114" s="199">
        <v>45828</v>
      </c>
      <c r="B11114" s="202" t="s">
        <v>8175</v>
      </c>
      <c r="C11114" s="200" t="s">
        <v>204</v>
      </c>
      <c r="D11114" s="204">
        <v>200000000</v>
      </c>
      <c r="E11114" s="201">
        <v>45809</v>
      </c>
      <c r="F11114" s="200" t="s">
        <v>652</v>
      </c>
      <c r="G11114" s="200" t="s">
        <v>4577</v>
      </c>
    </row>
    <row r="11115" spans="1:8" ht="15" customHeight="1">
      <c r="A11115" s="199">
        <v>45826</v>
      </c>
      <c r="B11115" s="202" t="s">
        <v>8176</v>
      </c>
      <c r="C11115" s="200" t="s">
        <v>204</v>
      </c>
      <c r="D11115" s="204">
        <v>1241131</v>
      </c>
      <c r="E11115" s="201">
        <v>45809</v>
      </c>
      <c r="F11115" s="200" t="s">
        <v>295</v>
      </c>
    </row>
    <row r="11116" spans="1:8" ht="15" customHeight="1">
      <c r="A11116" s="199">
        <v>45826</v>
      </c>
      <c r="B11116" s="202" t="s">
        <v>8177</v>
      </c>
      <c r="C11116" s="200" t="s">
        <v>204</v>
      </c>
      <c r="D11116" s="204">
        <v>3698812</v>
      </c>
      <c r="E11116" s="201">
        <v>45809</v>
      </c>
      <c r="F11116" s="200" t="s">
        <v>295</v>
      </c>
    </row>
    <row r="11117" spans="1:8" ht="15" customHeight="1">
      <c r="A11117" s="199">
        <v>45828</v>
      </c>
      <c r="B11117" s="202" t="s">
        <v>8178</v>
      </c>
      <c r="C11117" s="200" t="s">
        <v>307</v>
      </c>
      <c r="D11117" s="204">
        <v>-40250</v>
      </c>
      <c r="E11117" s="201">
        <v>45809</v>
      </c>
      <c r="F11117" s="200" t="s">
        <v>296</v>
      </c>
      <c r="G11117" s="200" t="s">
        <v>1311</v>
      </c>
      <c r="H11117" s="200" t="s">
        <v>346</v>
      </c>
    </row>
    <row r="11118" spans="1:8" ht="15" customHeight="1">
      <c r="A11118" s="199">
        <v>45828</v>
      </c>
      <c r="B11118" s="202" t="s">
        <v>8178</v>
      </c>
      <c r="C11118" s="200" t="s">
        <v>307</v>
      </c>
      <c r="D11118" s="204">
        <v>-40250</v>
      </c>
      <c r="E11118" s="201">
        <v>45809</v>
      </c>
      <c r="F11118" s="200" t="s">
        <v>297</v>
      </c>
      <c r="G11118" s="200" t="s">
        <v>3892</v>
      </c>
      <c r="H11118" s="200" t="s">
        <v>346</v>
      </c>
    </row>
    <row r="11119" spans="1:8" ht="15" customHeight="1">
      <c r="A11119" s="199">
        <v>45828</v>
      </c>
      <c r="B11119" s="202" t="s">
        <v>8179</v>
      </c>
      <c r="C11119" s="200" t="s">
        <v>307</v>
      </c>
      <c r="D11119" s="204">
        <v>-14000</v>
      </c>
      <c r="E11119" s="201">
        <v>45809</v>
      </c>
      <c r="F11119" s="200" t="s">
        <v>256</v>
      </c>
      <c r="G11119" s="200" t="s">
        <v>256</v>
      </c>
      <c r="H11119" s="200" t="s">
        <v>268</v>
      </c>
    </row>
    <row r="11120" spans="1:8" ht="15" customHeight="1">
      <c r="A11120" s="199">
        <v>45827</v>
      </c>
      <c r="B11120" s="202" t="s">
        <v>8180</v>
      </c>
      <c r="C11120" s="200" t="s">
        <v>307</v>
      </c>
      <c r="D11120" s="204">
        <v>-29100</v>
      </c>
      <c r="E11120" s="201">
        <v>45809</v>
      </c>
      <c r="F11120" s="200" t="s">
        <v>256</v>
      </c>
      <c r="G11120" s="200" t="s">
        <v>107</v>
      </c>
      <c r="H11120" s="200" t="s">
        <v>275</v>
      </c>
    </row>
    <row r="11121" spans="1:9" ht="15" customHeight="1">
      <c r="A11121" s="199">
        <v>45825</v>
      </c>
      <c r="B11121" s="202" t="s">
        <v>8180</v>
      </c>
      <c r="C11121" s="200" t="s">
        <v>307</v>
      </c>
      <c r="D11121" s="204">
        <v>-64463</v>
      </c>
      <c r="E11121" s="201">
        <v>45809</v>
      </c>
      <c r="F11121" s="200" t="s">
        <v>256</v>
      </c>
      <c r="G11121" s="200" t="s">
        <v>107</v>
      </c>
      <c r="H11121" s="200" t="s">
        <v>275</v>
      </c>
    </row>
    <row r="11122" spans="1:9" ht="15" customHeight="1">
      <c r="A11122" s="199">
        <v>45827</v>
      </c>
      <c r="B11122" s="202" t="s">
        <v>8181</v>
      </c>
      <c r="C11122" s="200" t="s">
        <v>307</v>
      </c>
      <c r="D11122" s="204">
        <v>-27000</v>
      </c>
      <c r="E11122" s="201">
        <v>45809</v>
      </c>
      <c r="F11122" s="200" t="s">
        <v>256</v>
      </c>
      <c r="G11122" s="200" t="s">
        <v>107</v>
      </c>
      <c r="H11122" s="200" t="s">
        <v>275</v>
      </c>
    </row>
    <row r="11123" spans="1:9" ht="15" customHeight="1">
      <c r="A11123" s="199">
        <v>45825</v>
      </c>
      <c r="B11123" s="202" t="s">
        <v>8181</v>
      </c>
      <c r="C11123" s="200" t="s">
        <v>307</v>
      </c>
      <c r="D11123" s="204">
        <v>-40900</v>
      </c>
      <c r="E11123" s="201">
        <v>45809</v>
      </c>
      <c r="F11123" s="200" t="s">
        <v>256</v>
      </c>
      <c r="G11123" s="200" t="s">
        <v>107</v>
      </c>
      <c r="H11123" s="200" t="s">
        <v>275</v>
      </c>
    </row>
    <row r="11124" spans="1:9" ht="15" customHeight="1">
      <c r="A11124" s="199">
        <v>45827</v>
      </c>
      <c r="B11124" s="202" t="s">
        <v>8181</v>
      </c>
      <c r="C11124" s="200" t="s">
        <v>307</v>
      </c>
      <c r="D11124" s="204">
        <v>-70000</v>
      </c>
      <c r="E11124" s="201">
        <v>45809</v>
      </c>
      <c r="F11124" s="200" t="s">
        <v>256</v>
      </c>
      <c r="G11124" s="200" t="s">
        <v>107</v>
      </c>
      <c r="H11124" s="200" t="s">
        <v>275</v>
      </c>
    </row>
    <row r="11125" spans="1:9" ht="15" customHeight="1">
      <c r="A11125" s="199">
        <v>45828</v>
      </c>
      <c r="B11125" s="202" t="s">
        <v>8182</v>
      </c>
      <c r="C11125" s="200" t="s">
        <v>204</v>
      </c>
      <c r="D11125" s="765">
        <v>-302269224.19999999</v>
      </c>
      <c r="E11125" s="201">
        <v>45809</v>
      </c>
      <c r="F11125" s="200" t="s">
        <v>296</v>
      </c>
      <c r="G11125" s="200" t="s">
        <v>8183</v>
      </c>
      <c r="H11125" s="200" t="s">
        <v>8184</v>
      </c>
    </row>
    <row r="11126" spans="1:9" ht="15" customHeight="1">
      <c r="A11126" s="199">
        <v>45828</v>
      </c>
      <c r="B11126" s="202" t="s">
        <v>8182</v>
      </c>
      <c r="C11126" s="200" t="s">
        <v>204</v>
      </c>
      <c r="D11126" s="765">
        <v>-604538448.39999998</v>
      </c>
      <c r="E11126" s="201">
        <v>45809</v>
      </c>
      <c r="F11126" s="200" t="s">
        <v>296</v>
      </c>
      <c r="G11126" s="200" t="s">
        <v>6135</v>
      </c>
      <c r="H11126" s="200" t="s">
        <v>8184</v>
      </c>
    </row>
    <row r="11127" spans="1:9" ht="15" customHeight="1">
      <c r="A11127" s="199">
        <v>45828</v>
      </c>
      <c r="B11127" s="202" t="s">
        <v>8182</v>
      </c>
      <c r="C11127" s="200" t="s">
        <v>204</v>
      </c>
      <c r="D11127" s="765">
        <v>-302269224.19999999</v>
      </c>
      <c r="E11127" s="201">
        <v>45809</v>
      </c>
      <c r="F11127" s="200" t="s">
        <v>296</v>
      </c>
      <c r="G11127" s="200" t="s">
        <v>4520</v>
      </c>
      <c r="H11127" s="200" t="s">
        <v>8184</v>
      </c>
    </row>
    <row r="11128" spans="1:9" ht="15" customHeight="1">
      <c r="A11128" s="199">
        <v>45828</v>
      </c>
      <c r="B11128" s="202" t="s">
        <v>8182</v>
      </c>
      <c r="C11128" s="200" t="s">
        <v>204</v>
      </c>
      <c r="D11128" s="765">
        <v>-302269224.19999999</v>
      </c>
      <c r="E11128" s="201">
        <v>45809</v>
      </c>
      <c r="F11128" s="200" t="s">
        <v>296</v>
      </c>
      <c r="G11128" s="200" t="s">
        <v>4577</v>
      </c>
      <c r="H11128" s="200" t="s">
        <v>8184</v>
      </c>
    </row>
    <row r="11129" spans="1:9" ht="15" customHeight="1">
      <c r="A11129" s="199">
        <v>45807</v>
      </c>
      <c r="B11129" s="202" t="s">
        <v>4999</v>
      </c>
      <c r="C11129" s="200" t="s">
        <v>307</v>
      </c>
      <c r="D11129" s="204">
        <v>-20019</v>
      </c>
      <c r="E11129" s="201">
        <v>45809</v>
      </c>
      <c r="F11129" s="200" t="s">
        <v>297</v>
      </c>
      <c r="G11129" s="200" t="s">
        <v>3892</v>
      </c>
      <c r="H11129" s="200" t="s">
        <v>268</v>
      </c>
      <c r="I11129" s="200" t="s">
        <v>4979</v>
      </c>
    </row>
    <row r="11130" spans="1:9" ht="15" customHeight="1">
      <c r="A11130" s="199">
        <v>45811</v>
      </c>
      <c r="B11130" s="202" t="s">
        <v>2773</v>
      </c>
      <c r="C11130" s="200" t="s">
        <v>307</v>
      </c>
      <c r="D11130" s="204">
        <v>-22000</v>
      </c>
      <c r="E11130" s="201">
        <v>45809</v>
      </c>
      <c r="F11130" s="200" t="s">
        <v>296</v>
      </c>
      <c r="G11130" s="200" t="s">
        <v>3360</v>
      </c>
      <c r="H11130" s="200" t="s">
        <v>268</v>
      </c>
      <c r="I11130" s="200" t="s">
        <v>4979</v>
      </c>
    </row>
    <row r="11131" spans="1:9" ht="15" customHeight="1">
      <c r="A11131" s="199">
        <v>45811</v>
      </c>
      <c r="B11131" s="202" t="s">
        <v>8185</v>
      </c>
      <c r="C11131" s="200" t="s">
        <v>307</v>
      </c>
      <c r="D11131" s="204">
        <v>-25000</v>
      </c>
      <c r="E11131" s="201">
        <v>45809</v>
      </c>
      <c r="F11131" s="200" t="s">
        <v>296</v>
      </c>
      <c r="G11131" s="200" t="s">
        <v>3360</v>
      </c>
      <c r="H11131" s="200" t="s">
        <v>268</v>
      </c>
      <c r="I11131" s="200" t="s">
        <v>4979</v>
      </c>
    </row>
    <row r="11132" spans="1:9" ht="15" customHeight="1">
      <c r="A11132" s="199">
        <v>45811</v>
      </c>
      <c r="B11132" s="202" t="s">
        <v>8186</v>
      </c>
      <c r="C11132" s="200" t="s">
        <v>307</v>
      </c>
      <c r="D11132" s="204">
        <v>-25000</v>
      </c>
      <c r="E11132" s="201">
        <v>45809</v>
      </c>
      <c r="F11132" s="200" t="s">
        <v>296</v>
      </c>
      <c r="G11132" s="200" t="s">
        <v>3360</v>
      </c>
      <c r="H11132" s="200" t="s">
        <v>268</v>
      </c>
      <c r="I11132" s="200" t="s">
        <v>4979</v>
      </c>
    </row>
    <row r="11133" spans="1:9" ht="15" customHeight="1">
      <c r="A11133" s="199">
        <v>45811</v>
      </c>
      <c r="B11133" s="202" t="s">
        <v>8187</v>
      </c>
      <c r="C11133" s="200" t="s">
        <v>307</v>
      </c>
      <c r="D11133" s="204">
        <v>-22000</v>
      </c>
      <c r="E11133" s="201">
        <v>45809</v>
      </c>
      <c r="F11133" s="200" t="s">
        <v>296</v>
      </c>
      <c r="G11133" s="200" t="s">
        <v>3360</v>
      </c>
      <c r="H11133" s="200" t="s">
        <v>268</v>
      </c>
      <c r="I11133" s="200" t="s">
        <v>4979</v>
      </c>
    </row>
    <row r="11134" spans="1:9" ht="15" customHeight="1">
      <c r="A11134" s="199">
        <v>45811</v>
      </c>
      <c r="B11134" s="202" t="s">
        <v>8188</v>
      </c>
      <c r="C11134" s="200" t="s">
        <v>307</v>
      </c>
      <c r="D11134" s="204">
        <v>-20000</v>
      </c>
      <c r="E11134" s="201">
        <v>45809</v>
      </c>
      <c r="F11134" s="200" t="s">
        <v>297</v>
      </c>
      <c r="G11134" s="200" t="s">
        <v>3892</v>
      </c>
      <c r="H11134" s="200" t="s">
        <v>268</v>
      </c>
      <c r="I11134" s="200" t="s">
        <v>4979</v>
      </c>
    </row>
    <row r="11135" spans="1:9" ht="15" customHeight="1">
      <c r="A11135" s="199">
        <v>45811</v>
      </c>
      <c r="B11135" s="202" t="s">
        <v>8189</v>
      </c>
      <c r="C11135" s="200" t="s">
        <v>307</v>
      </c>
      <c r="D11135" s="204">
        <v>-95600</v>
      </c>
      <c r="E11135" s="201">
        <v>45809</v>
      </c>
      <c r="F11135" s="200" t="s">
        <v>297</v>
      </c>
      <c r="G11135" s="200" t="s">
        <v>3892</v>
      </c>
      <c r="H11135" s="200" t="s">
        <v>5384</v>
      </c>
      <c r="I11135" s="200" t="s">
        <v>4979</v>
      </c>
    </row>
    <row r="11136" spans="1:9" ht="15" customHeight="1">
      <c r="A11136" s="199">
        <v>45811</v>
      </c>
      <c r="B11136" s="202" t="s">
        <v>8190</v>
      </c>
      <c r="C11136" s="200" t="s">
        <v>307</v>
      </c>
      <c r="D11136" s="204">
        <v>-28000</v>
      </c>
      <c r="E11136" s="201">
        <v>45809</v>
      </c>
      <c r="F11136" s="200" t="s">
        <v>296</v>
      </c>
      <c r="G11136" s="200" t="s">
        <v>3360</v>
      </c>
      <c r="H11136" s="200" t="s">
        <v>268</v>
      </c>
      <c r="I11136" s="200" t="s">
        <v>4979</v>
      </c>
    </row>
    <row r="11137" spans="1:9" ht="15" customHeight="1">
      <c r="A11137" s="199">
        <v>45811</v>
      </c>
      <c r="B11137" s="202" t="s">
        <v>8191</v>
      </c>
      <c r="C11137" s="200" t="s">
        <v>307</v>
      </c>
      <c r="D11137" s="204">
        <v>-18000</v>
      </c>
      <c r="E11137" s="201">
        <v>45809</v>
      </c>
      <c r="F11137" s="200" t="s">
        <v>296</v>
      </c>
      <c r="G11137" s="200" t="s">
        <v>3360</v>
      </c>
      <c r="H11137" s="200" t="s">
        <v>268</v>
      </c>
      <c r="I11137" s="200" t="s">
        <v>4979</v>
      </c>
    </row>
    <row r="11138" spans="1:9" ht="15" customHeight="1">
      <c r="A11138" s="199">
        <v>45812</v>
      </c>
      <c r="B11138" s="202" t="s">
        <v>8192</v>
      </c>
      <c r="C11138" s="200" t="s">
        <v>307</v>
      </c>
      <c r="D11138" s="204">
        <v>-22000</v>
      </c>
      <c r="E11138" s="201">
        <v>45809</v>
      </c>
      <c r="F11138" s="200" t="s">
        <v>297</v>
      </c>
      <c r="G11138" s="200" t="s">
        <v>3892</v>
      </c>
      <c r="H11138" s="200" t="s">
        <v>268</v>
      </c>
      <c r="I11138" s="200" t="s">
        <v>4979</v>
      </c>
    </row>
    <row r="11139" spans="1:9" ht="15" customHeight="1">
      <c r="A11139" s="199">
        <v>45812</v>
      </c>
      <c r="B11139" s="202" t="s">
        <v>7247</v>
      </c>
      <c r="C11139" s="200" t="s">
        <v>307</v>
      </c>
      <c r="D11139" s="204">
        <v>-32000</v>
      </c>
      <c r="E11139" s="201">
        <v>45809</v>
      </c>
      <c r="F11139" s="200" t="s">
        <v>297</v>
      </c>
      <c r="G11139" s="200" t="s">
        <v>3892</v>
      </c>
      <c r="H11139" s="200" t="s">
        <v>268</v>
      </c>
      <c r="I11139" s="200" t="s">
        <v>4979</v>
      </c>
    </row>
    <row r="11140" spans="1:9" ht="15" customHeight="1">
      <c r="A11140" s="199">
        <v>45812</v>
      </c>
      <c r="B11140" s="202" t="s">
        <v>6126</v>
      </c>
      <c r="C11140" s="200" t="s">
        <v>307</v>
      </c>
      <c r="D11140" s="204">
        <v>-20000</v>
      </c>
      <c r="E11140" s="201">
        <v>45809</v>
      </c>
      <c r="F11140" s="200" t="s">
        <v>297</v>
      </c>
      <c r="G11140" s="200" t="s">
        <v>3892</v>
      </c>
      <c r="H11140" s="200" t="s">
        <v>268</v>
      </c>
      <c r="I11140" s="200" t="s">
        <v>4979</v>
      </c>
    </row>
    <row r="11141" spans="1:9" ht="15" customHeight="1">
      <c r="A11141" s="199">
        <v>45812</v>
      </c>
      <c r="B11141" s="202" t="s">
        <v>8193</v>
      </c>
      <c r="C11141" s="200" t="s">
        <v>307</v>
      </c>
      <c r="D11141" s="204">
        <v>-48360</v>
      </c>
      <c r="E11141" s="201">
        <v>45809</v>
      </c>
      <c r="F11141" s="200" t="s">
        <v>297</v>
      </c>
      <c r="G11141" s="200" t="s">
        <v>3892</v>
      </c>
      <c r="H11141" s="200" t="s">
        <v>5384</v>
      </c>
      <c r="I11141" s="200" t="s">
        <v>4979</v>
      </c>
    </row>
    <row r="11142" spans="1:9" ht="15" customHeight="1">
      <c r="A11142" s="199">
        <v>45813</v>
      </c>
      <c r="B11142" s="202" t="s">
        <v>8194</v>
      </c>
      <c r="C11142" s="200" t="s">
        <v>307</v>
      </c>
      <c r="D11142" s="204">
        <v>-25000</v>
      </c>
      <c r="E11142" s="201">
        <v>45809</v>
      </c>
      <c r="F11142" s="200" t="s">
        <v>297</v>
      </c>
      <c r="G11142" s="200" t="s">
        <v>3892</v>
      </c>
      <c r="H11142" s="200" t="s">
        <v>268</v>
      </c>
      <c r="I11142" s="200" t="s">
        <v>4979</v>
      </c>
    </row>
    <row r="11143" spans="1:9" ht="15" customHeight="1">
      <c r="A11143" s="199">
        <v>45813</v>
      </c>
      <c r="B11143" s="202" t="s">
        <v>7253</v>
      </c>
      <c r="C11143" s="200" t="s">
        <v>307</v>
      </c>
      <c r="D11143" s="204">
        <v>-43062</v>
      </c>
      <c r="E11143" s="201">
        <v>45809</v>
      </c>
      <c r="F11143" s="200" t="s">
        <v>297</v>
      </c>
      <c r="G11143" s="200" t="s">
        <v>3892</v>
      </c>
      <c r="H11143" s="200" t="s">
        <v>268</v>
      </c>
      <c r="I11143" s="200" t="s">
        <v>4979</v>
      </c>
    </row>
    <row r="11144" spans="1:9" ht="15" customHeight="1">
      <c r="A11144" s="199">
        <v>45813</v>
      </c>
      <c r="B11144" s="202" t="s">
        <v>8194</v>
      </c>
      <c r="C11144" s="200" t="s">
        <v>307</v>
      </c>
      <c r="D11144" s="204">
        <v>-21000</v>
      </c>
      <c r="E11144" s="201">
        <v>45809</v>
      </c>
      <c r="F11144" s="200" t="s">
        <v>297</v>
      </c>
      <c r="G11144" s="200" t="s">
        <v>3892</v>
      </c>
      <c r="H11144" s="200" t="s">
        <v>268</v>
      </c>
      <c r="I11144" s="200" t="s">
        <v>4979</v>
      </c>
    </row>
    <row r="11145" spans="1:9" ht="15" customHeight="1">
      <c r="A11145" s="199">
        <v>45814</v>
      </c>
      <c r="B11145" s="202" t="s">
        <v>8195</v>
      </c>
      <c r="C11145" s="200" t="s">
        <v>307</v>
      </c>
      <c r="D11145" s="204">
        <v>-32000</v>
      </c>
      <c r="E11145" s="201">
        <v>45809</v>
      </c>
      <c r="F11145" s="200" t="s">
        <v>297</v>
      </c>
      <c r="G11145" s="200" t="s">
        <v>3892</v>
      </c>
      <c r="H11145" s="200" t="s">
        <v>268</v>
      </c>
      <c r="I11145" s="200" t="s">
        <v>4979</v>
      </c>
    </row>
    <row r="11146" spans="1:9" ht="15" customHeight="1">
      <c r="A11146" s="199">
        <v>45814</v>
      </c>
      <c r="B11146" s="202" t="s">
        <v>6126</v>
      </c>
      <c r="C11146" s="200" t="s">
        <v>307</v>
      </c>
      <c r="D11146" s="204">
        <v>-22000</v>
      </c>
      <c r="E11146" s="201">
        <v>45809</v>
      </c>
      <c r="F11146" s="200" t="s">
        <v>297</v>
      </c>
      <c r="G11146" s="200" t="s">
        <v>3892</v>
      </c>
      <c r="H11146" s="200" t="s">
        <v>268</v>
      </c>
      <c r="I11146" s="200" t="s">
        <v>4979</v>
      </c>
    </row>
    <row r="11147" spans="1:9" ht="15" customHeight="1">
      <c r="A11147" s="199">
        <v>45814</v>
      </c>
      <c r="B11147" s="202" t="s">
        <v>8196</v>
      </c>
      <c r="C11147" s="200" t="s">
        <v>307</v>
      </c>
      <c r="D11147" s="204">
        <v>-32000</v>
      </c>
      <c r="E11147" s="201">
        <v>45809</v>
      </c>
      <c r="F11147" s="200" t="s">
        <v>297</v>
      </c>
      <c r="G11147" s="200" t="s">
        <v>3892</v>
      </c>
      <c r="H11147" s="200" t="s">
        <v>268</v>
      </c>
      <c r="I11147" s="200" t="s">
        <v>4979</v>
      </c>
    </row>
    <row r="11148" spans="1:9" ht="15" customHeight="1">
      <c r="A11148" s="199">
        <v>45814</v>
      </c>
      <c r="B11148" s="202" t="s">
        <v>8197</v>
      </c>
      <c r="C11148" s="200" t="s">
        <v>307</v>
      </c>
      <c r="D11148" s="204">
        <v>-142800</v>
      </c>
      <c r="E11148" s="201">
        <v>45809</v>
      </c>
      <c r="F11148" s="200" t="s">
        <v>297</v>
      </c>
      <c r="G11148" s="200" t="s">
        <v>3892</v>
      </c>
      <c r="H11148" s="200" t="s">
        <v>5384</v>
      </c>
      <c r="I11148" s="200" t="s">
        <v>4979</v>
      </c>
    </row>
    <row r="11149" spans="1:9" ht="15" customHeight="1">
      <c r="A11149" s="199">
        <v>45817</v>
      </c>
      <c r="B11149" s="202" t="s">
        <v>8198</v>
      </c>
      <c r="C11149" s="200" t="s">
        <v>307</v>
      </c>
      <c r="D11149" s="204">
        <v>-40000</v>
      </c>
      <c r="E11149" s="201">
        <v>45809</v>
      </c>
      <c r="F11149" s="200" t="s">
        <v>296</v>
      </c>
      <c r="G11149" s="200" t="s">
        <v>3360</v>
      </c>
      <c r="H11149" s="200" t="s">
        <v>346</v>
      </c>
      <c r="I11149" s="200" t="s">
        <v>4979</v>
      </c>
    </row>
    <row r="11150" spans="1:9" ht="15" customHeight="1">
      <c r="A11150" s="199">
        <v>45817</v>
      </c>
      <c r="B11150" s="202" t="s">
        <v>2773</v>
      </c>
      <c r="C11150" s="200" t="s">
        <v>307</v>
      </c>
      <c r="D11150" s="204">
        <v>-20000</v>
      </c>
      <c r="E11150" s="201">
        <v>45809</v>
      </c>
      <c r="F11150" s="200" t="s">
        <v>296</v>
      </c>
      <c r="G11150" s="200" t="s">
        <v>3360</v>
      </c>
      <c r="H11150" s="200" t="s">
        <v>268</v>
      </c>
      <c r="I11150" s="200" t="s">
        <v>4979</v>
      </c>
    </row>
    <row r="11151" spans="1:9" ht="15" customHeight="1">
      <c r="A11151" s="199">
        <v>45817</v>
      </c>
      <c r="B11151" s="202" t="s">
        <v>7242</v>
      </c>
      <c r="C11151" s="200" t="s">
        <v>307</v>
      </c>
      <c r="D11151" s="204">
        <v>-20000</v>
      </c>
      <c r="E11151" s="201">
        <v>45809</v>
      </c>
      <c r="F11151" s="200" t="s">
        <v>296</v>
      </c>
      <c r="G11151" s="200" t="s">
        <v>3360</v>
      </c>
      <c r="H11151" s="200" t="s">
        <v>268</v>
      </c>
      <c r="I11151" s="200" t="s">
        <v>4979</v>
      </c>
    </row>
    <row r="11152" spans="1:9" ht="15" customHeight="1">
      <c r="A11152" s="199">
        <v>45817</v>
      </c>
      <c r="B11152" s="202" t="s">
        <v>8185</v>
      </c>
      <c r="C11152" s="200" t="s">
        <v>307</v>
      </c>
      <c r="D11152" s="204">
        <v>-25000</v>
      </c>
      <c r="E11152" s="201">
        <v>45809</v>
      </c>
      <c r="F11152" s="200" t="s">
        <v>296</v>
      </c>
      <c r="G11152" s="200" t="s">
        <v>3360</v>
      </c>
      <c r="H11152" s="200" t="s">
        <v>268</v>
      </c>
      <c r="I11152" s="200" t="s">
        <v>4979</v>
      </c>
    </row>
    <row r="11153" spans="1:9" ht="15" customHeight="1">
      <c r="A11153" s="199">
        <v>45817</v>
      </c>
      <c r="B11153" s="202" t="s">
        <v>8186</v>
      </c>
      <c r="C11153" s="200" t="s">
        <v>307</v>
      </c>
      <c r="D11153" s="204">
        <v>-25000</v>
      </c>
      <c r="E11153" s="201">
        <v>45809</v>
      </c>
      <c r="F11153" s="200" t="s">
        <v>296</v>
      </c>
      <c r="G11153" s="200" t="s">
        <v>3360</v>
      </c>
      <c r="H11153" s="200" t="s">
        <v>268</v>
      </c>
      <c r="I11153" s="200" t="s">
        <v>4979</v>
      </c>
    </row>
    <row r="11154" spans="1:9" ht="15" customHeight="1">
      <c r="A11154" s="199">
        <v>45817</v>
      </c>
      <c r="B11154" s="202" t="s">
        <v>8187</v>
      </c>
      <c r="C11154" s="200" t="s">
        <v>307</v>
      </c>
      <c r="D11154" s="204">
        <v>-22000</v>
      </c>
      <c r="E11154" s="201">
        <v>45809</v>
      </c>
      <c r="F11154" s="200" t="s">
        <v>296</v>
      </c>
      <c r="G11154" s="200" t="s">
        <v>3360</v>
      </c>
      <c r="H11154" s="200" t="s">
        <v>268</v>
      </c>
      <c r="I11154" s="200" t="s">
        <v>4979</v>
      </c>
    </row>
    <row r="11155" spans="1:9" ht="15" customHeight="1">
      <c r="A11155" s="199">
        <v>45817</v>
      </c>
      <c r="B11155" s="202" t="s">
        <v>7242</v>
      </c>
      <c r="C11155" s="200" t="s">
        <v>307</v>
      </c>
      <c r="D11155" s="204">
        <v>-20000</v>
      </c>
      <c r="E11155" s="201">
        <v>45809</v>
      </c>
      <c r="F11155" s="200" t="s">
        <v>296</v>
      </c>
      <c r="G11155" s="200" t="s">
        <v>3360</v>
      </c>
      <c r="H11155" s="200" t="s">
        <v>268</v>
      </c>
      <c r="I11155" s="200" t="s">
        <v>4979</v>
      </c>
    </row>
    <row r="11156" spans="1:9" ht="15" customHeight="1">
      <c r="A11156" s="199">
        <v>45817</v>
      </c>
      <c r="B11156" s="202" t="s">
        <v>8188</v>
      </c>
      <c r="C11156" s="200" t="s">
        <v>307</v>
      </c>
      <c r="D11156" s="204">
        <v>-26000</v>
      </c>
      <c r="E11156" s="201">
        <v>45809</v>
      </c>
      <c r="F11156" s="200" t="s">
        <v>297</v>
      </c>
      <c r="G11156" s="200" t="s">
        <v>3892</v>
      </c>
      <c r="H11156" s="200" t="s">
        <v>268</v>
      </c>
      <c r="I11156" s="200" t="s">
        <v>4979</v>
      </c>
    </row>
    <row r="11157" spans="1:9" ht="15" customHeight="1">
      <c r="A11157" s="199">
        <v>45817</v>
      </c>
      <c r="B11157" s="202" t="s">
        <v>8199</v>
      </c>
      <c r="C11157" s="200" t="s">
        <v>307</v>
      </c>
      <c r="D11157" s="204">
        <v>-41780</v>
      </c>
      <c r="E11157" s="201">
        <v>45809</v>
      </c>
      <c r="F11157" s="200" t="s">
        <v>296</v>
      </c>
      <c r="G11157" s="200" t="s">
        <v>3360</v>
      </c>
      <c r="H11157" s="200" t="s">
        <v>5384</v>
      </c>
      <c r="I11157" s="648" t="s">
        <v>329</v>
      </c>
    </row>
    <row r="11158" spans="1:9" ht="15" customHeight="1">
      <c r="A11158" s="199">
        <v>45817</v>
      </c>
      <c r="B11158" s="202" t="s">
        <v>7247</v>
      </c>
      <c r="C11158" s="200" t="s">
        <v>307</v>
      </c>
      <c r="D11158" s="204">
        <v>-32000</v>
      </c>
      <c r="E11158" s="201">
        <v>45809</v>
      </c>
      <c r="F11158" s="200" t="s">
        <v>297</v>
      </c>
      <c r="G11158" s="200" t="s">
        <v>3892</v>
      </c>
      <c r="H11158" s="200" t="s">
        <v>268</v>
      </c>
      <c r="I11158" s="200" t="s">
        <v>4979</v>
      </c>
    </row>
    <row r="11159" spans="1:9" ht="15" customHeight="1">
      <c r="A11159" s="199">
        <v>45818</v>
      </c>
      <c r="B11159" s="202" t="s">
        <v>268</v>
      </c>
      <c r="C11159" s="200" t="s">
        <v>307</v>
      </c>
      <c r="D11159" s="204">
        <v>-20000</v>
      </c>
      <c r="E11159" s="201">
        <v>45809</v>
      </c>
      <c r="F11159" s="200" t="s">
        <v>297</v>
      </c>
      <c r="G11159" s="200" t="s">
        <v>3892</v>
      </c>
      <c r="H11159" s="200" t="s">
        <v>268</v>
      </c>
      <c r="I11159" s="200" t="s">
        <v>4979</v>
      </c>
    </row>
    <row r="11160" spans="1:9" ht="15" customHeight="1">
      <c r="A11160" s="199">
        <v>45818</v>
      </c>
      <c r="B11160" s="202" t="s">
        <v>8200</v>
      </c>
      <c r="C11160" s="200" t="s">
        <v>307</v>
      </c>
      <c r="D11160" s="204">
        <v>-22000</v>
      </c>
      <c r="E11160" s="201">
        <v>45809</v>
      </c>
      <c r="F11160" s="200" t="s">
        <v>297</v>
      </c>
      <c r="G11160" s="200" t="s">
        <v>3892</v>
      </c>
      <c r="H11160" s="200" t="s">
        <v>268</v>
      </c>
      <c r="I11160" s="200" t="s">
        <v>4979</v>
      </c>
    </row>
    <row r="11161" spans="1:9" ht="15" customHeight="1">
      <c r="A11161" s="199">
        <v>45818</v>
      </c>
      <c r="B11161" s="202" t="s">
        <v>8201</v>
      </c>
      <c r="C11161" s="200" t="s">
        <v>307</v>
      </c>
      <c r="D11161" s="204">
        <v>-25000</v>
      </c>
      <c r="E11161" s="201">
        <v>45809</v>
      </c>
      <c r="F11161" s="200" t="s">
        <v>297</v>
      </c>
      <c r="G11161" s="200" t="s">
        <v>3892</v>
      </c>
      <c r="H11161" s="200" t="s">
        <v>268</v>
      </c>
      <c r="I11161" s="200" t="s">
        <v>4979</v>
      </c>
    </row>
    <row r="11162" spans="1:9" ht="15" customHeight="1">
      <c r="A11162" s="199">
        <v>45818</v>
      </c>
      <c r="B11162" s="202" t="s">
        <v>7247</v>
      </c>
      <c r="C11162" s="200" t="s">
        <v>307</v>
      </c>
      <c r="D11162" s="204">
        <v>-40000</v>
      </c>
      <c r="E11162" s="201">
        <v>45809</v>
      </c>
      <c r="F11162" s="200" t="s">
        <v>297</v>
      </c>
      <c r="G11162" s="200" t="s">
        <v>3892</v>
      </c>
      <c r="H11162" s="200" t="s">
        <v>268</v>
      </c>
      <c r="I11162" s="200" t="s">
        <v>4979</v>
      </c>
    </row>
    <row r="11163" spans="1:9" ht="15" customHeight="1">
      <c r="A11163" s="199">
        <v>45818</v>
      </c>
      <c r="B11163" s="202" t="s">
        <v>8202</v>
      </c>
      <c r="C11163" s="200" t="s">
        <v>307</v>
      </c>
      <c r="D11163" s="204">
        <v>-98000</v>
      </c>
      <c r="E11163" s="201">
        <v>45809</v>
      </c>
      <c r="F11163" s="200" t="s">
        <v>297</v>
      </c>
      <c r="G11163" s="200" t="s">
        <v>3892</v>
      </c>
      <c r="H11163" s="200" t="s">
        <v>5384</v>
      </c>
      <c r="I11163" s="200" t="s">
        <v>4979</v>
      </c>
    </row>
    <row r="11164" spans="1:9" ht="15" customHeight="1">
      <c r="A11164" s="199">
        <v>45818</v>
      </c>
      <c r="B11164" s="202" t="s">
        <v>268</v>
      </c>
      <c r="C11164" s="200" t="s">
        <v>307</v>
      </c>
      <c r="D11164" s="204">
        <v>-28000</v>
      </c>
      <c r="E11164" s="201">
        <v>45809</v>
      </c>
      <c r="F11164" s="200" t="s">
        <v>297</v>
      </c>
      <c r="G11164" s="200" t="s">
        <v>3892</v>
      </c>
      <c r="H11164" s="200" t="s">
        <v>268</v>
      </c>
      <c r="I11164" s="200" t="s">
        <v>4979</v>
      </c>
    </row>
    <row r="11165" spans="1:9" ht="15" customHeight="1">
      <c r="A11165" s="199">
        <v>45819</v>
      </c>
      <c r="B11165" s="202" t="s">
        <v>8203</v>
      </c>
      <c r="C11165" s="200" t="s">
        <v>307</v>
      </c>
      <c r="D11165" s="204">
        <v>-76000</v>
      </c>
      <c r="E11165" s="201">
        <v>45809</v>
      </c>
      <c r="F11165" s="200" t="s">
        <v>297</v>
      </c>
      <c r="G11165" s="200" t="s">
        <v>3892</v>
      </c>
      <c r="H11165" s="200" t="s">
        <v>5384</v>
      </c>
      <c r="I11165" s="200" t="s">
        <v>4979</v>
      </c>
    </row>
    <row r="11166" spans="1:9" ht="15" customHeight="1">
      <c r="A11166" s="199">
        <v>45819</v>
      </c>
      <c r="B11166" s="202" t="s">
        <v>8204</v>
      </c>
      <c r="C11166" s="200" t="s">
        <v>307</v>
      </c>
      <c r="D11166" s="204">
        <v>-60000</v>
      </c>
      <c r="E11166" s="201">
        <v>45809</v>
      </c>
      <c r="F11166" s="200" t="s">
        <v>297</v>
      </c>
      <c r="G11166" s="200" t="s">
        <v>3892</v>
      </c>
      <c r="H11166" s="200" t="s">
        <v>268</v>
      </c>
      <c r="I11166" s="200" t="s">
        <v>4979</v>
      </c>
    </row>
    <row r="11167" spans="1:9" ht="15" customHeight="1">
      <c r="A11167" s="199">
        <v>45819</v>
      </c>
      <c r="B11167" s="202" t="s">
        <v>8204</v>
      </c>
      <c r="C11167" s="200" t="s">
        <v>307</v>
      </c>
      <c r="D11167" s="204">
        <v>-60000</v>
      </c>
      <c r="E11167" s="201">
        <v>45809</v>
      </c>
      <c r="F11167" s="200" t="s">
        <v>297</v>
      </c>
      <c r="G11167" s="200" t="s">
        <v>3892</v>
      </c>
      <c r="H11167" s="200" t="s">
        <v>268</v>
      </c>
      <c r="I11167" s="200" t="s">
        <v>4979</v>
      </c>
    </row>
    <row r="11168" spans="1:9" ht="15" customHeight="1">
      <c r="A11168" s="199">
        <v>45819</v>
      </c>
      <c r="B11168" s="202" t="s">
        <v>8205</v>
      </c>
      <c r="C11168" s="200" t="s">
        <v>307</v>
      </c>
      <c r="D11168" s="204">
        <v>-40000</v>
      </c>
      <c r="E11168" s="201">
        <v>45809</v>
      </c>
      <c r="F11168" s="200" t="s">
        <v>297</v>
      </c>
      <c r="G11168" s="200" t="s">
        <v>3892</v>
      </c>
      <c r="H11168" s="200" t="s">
        <v>268</v>
      </c>
      <c r="I11168" s="200" t="s">
        <v>4979</v>
      </c>
    </row>
    <row r="11169" spans="1:9" ht="15" customHeight="1">
      <c r="A11169" s="199">
        <v>45819</v>
      </c>
      <c r="B11169" s="202" t="s">
        <v>7247</v>
      </c>
      <c r="C11169" s="200" t="s">
        <v>307</v>
      </c>
      <c r="D11169" s="204">
        <v>-32000</v>
      </c>
      <c r="E11169" s="201">
        <v>45809</v>
      </c>
      <c r="F11169" s="200" t="s">
        <v>297</v>
      </c>
      <c r="G11169" s="200" t="s">
        <v>3892</v>
      </c>
      <c r="H11169" s="200" t="s">
        <v>268</v>
      </c>
      <c r="I11169" s="200" t="s">
        <v>4979</v>
      </c>
    </row>
    <row r="11170" spans="1:9" ht="15" customHeight="1">
      <c r="A11170" s="199">
        <v>45819</v>
      </c>
      <c r="B11170" s="202" t="s">
        <v>8206</v>
      </c>
      <c r="C11170" s="200" t="s">
        <v>307</v>
      </c>
      <c r="D11170" s="204">
        <v>-25000</v>
      </c>
      <c r="E11170" s="201">
        <v>45809</v>
      </c>
      <c r="F11170" s="200" t="s">
        <v>297</v>
      </c>
      <c r="G11170" s="200" t="s">
        <v>3892</v>
      </c>
      <c r="H11170" s="200" t="s">
        <v>268</v>
      </c>
      <c r="I11170" s="200" t="s">
        <v>4979</v>
      </c>
    </row>
    <row r="11171" spans="1:9" ht="15" customHeight="1">
      <c r="A11171" s="199">
        <v>45820</v>
      </c>
      <c r="B11171" s="202" t="s">
        <v>8206</v>
      </c>
      <c r="C11171" s="200" t="s">
        <v>307</v>
      </c>
      <c r="D11171" s="204">
        <v>-20000</v>
      </c>
      <c r="E11171" s="201">
        <v>45809</v>
      </c>
      <c r="F11171" s="200" t="s">
        <v>297</v>
      </c>
      <c r="G11171" s="200" t="s">
        <v>3892</v>
      </c>
      <c r="H11171" s="200" t="s">
        <v>268</v>
      </c>
      <c r="I11171" s="200" t="s">
        <v>4979</v>
      </c>
    </row>
    <row r="11172" spans="1:9" ht="15" customHeight="1">
      <c r="A11172" s="199">
        <v>45820</v>
      </c>
      <c r="B11172" s="202" t="s">
        <v>7247</v>
      </c>
      <c r="C11172" s="200" t="s">
        <v>307</v>
      </c>
      <c r="D11172" s="204">
        <v>-32000</v>
      </c>
      <c r="E11172" s="201">
        <v>45809</v>
      </c>
      <c r="F11172" s="200" t="s">
        <v>297</v>
      </c>
      <c r="G11172" s="200" t="s">
        <v>3892</v>
      </c>
      <c r="H11172" s="200" t="s">
        <v>268</v>
      </c>
      <c r="I11172" s="200" t="s">
        <v>4979</v>
      </c>
    </row>
    <row r="11173" spans="1:9" ht="15" customHeight="1">
      <c r="A11173" s="199">
        <v>45821</v>
      </c>
      <c r="B11173" s="202" t="s">
        <v>8207</v>
      </c>
      <c r="C11173" s="200" t="s">
        <v>307</v>
      </c>
      <c r="D11173" s="204">
        <v>-45000</v>
      </c>
      <c r="E11173" s="201">
        <v>45809</v>
      </c>
      <c r="F11173" s="200" t="s">
        <v>297</v>
      </c>
      <c r="G11173" s="200" t="s">
        <v>3892</v>
      </c>
      <c r="H11173" s="200" t="s">
        <v>268</v>
      </c>
      <c r="I11173" s="200" t="s">
        <v>4979</v>
      </c>
    </row>
    <row r="11174" spans="1:9" ht="15" customHeight="1">
      <c r="A11174" s="199">
        <v>45821</v>
      </c>
      <c r="B11174" s="202" t="s">
        <v>8208</v>
      </c>
      <c r="C11174" s="200" t="s">
        <v>307</v>
      </c>
      <c r="D11174" s="204">
        <v>-80000</v>
      </c>
      <c r="E11174" s="201">
        <v>45809</v>
      </c>
      <c r="F11174" s="200" t="s">
        <v>297</v>
      </c>
      <c r="G11174" s="200" t="s">
        <v>3892</v>
      </c>
      <c r="H11174" s="200" t="s">
        <v>268</v>
      </c>
      <c r="I11174" s="200" t="s">
        <v>4979</v>
      </c>
    </row>
    <row r="11175" spans="1:9" ht="15" customHeight="1">
      <c r="A11175" s="199">
        <v>45821</v>
      </c>
      <c r="B11175" s="202" t="s">
        <v>8209</v>
      </c>
      <c r="C11175" s="200" t="s">
        <v>307</v>
      </c>
      <c r="D11175" s="204">
        <v>-45000</v>
      </c>
      <c r="E11175" s="201">
        <v>45809</v>
      </c>
      <c r="F11175" s="200" t="s">
        <v>297</v>
      </c>
      <c r="G11175" s="200" t="s">
        <v>3892</v>
      </c>
      <c r="H11175" s="200" t="s">
        <v>268</v>
      </c>
      <c r="I11175" s="200" t="s">
        <v>4979</v>
      </c>
    </row>
    <row r="11176" spans="1:9" ht="15" customHeight="1">
      <c r="A11176" s="199">
        <v>45821</v>
      </c>
      <c r="B11176" s="202" t="s">
        <v>8210</v>
      </c>
      <c r="C11176" s="200" t="s">
        <v>307</v>
      </c>
      <c r="D11176" s="204">
        <v>-30000</v>
      </c>
      <c r="E11176" s="201">
        <v>45809</v>
      </c>
      <c r="F11176" s="200" t="s">
        <v>297</v>
      </c>
      <c r="G11176" s="200" t="s">
        <v>3892</v>
      </c>
      <c r="H11176" s="200" t="s">
        <v>268</v>
      </c>
      <c r="I11176" s="200" t="s">
        <v>4979</v>
      </c>
    </row>
    <row r="11177" spans="1:9" ht="15" customHeight="1">
      <c r="A11177" s="199">
        <v>45821</v>
      </c>
      <c r="B11177" s="202" t="s">
        <v>8210</v>
      </c>
      <c r="C11177" s="200" t="s">
        <v>307</v>
      </c>
      <c r="D11177" s="204">
        <v>-30000</v>
      </c>
      <c r="E11177" s="201">
        <v>45809</v>
      </c>
      <c r="F11177" s="200" t="s">
        <v>297</v>
      </c>
      <c r="G11177" s="200" t="s">
        <v>3892</v>
      </c>
      <c r="H11177" s="200" t="s">
        <v>268</v>
      </c>
      <c r="I11177" s="200" t="s">
        <v>4979</v>
      </c>
    </row>
    <row r="11178" spans="1:9" ht="15" customHeight="1">
      <c r="A11178" s="199">
        <v>45821</v>
      </c>
      <c r="B11178" s="202" t="s">
        <v>8200</v>
      </c>
      <c r="C11178" s="200" t="s">
        <v>307</v>
      </c>
      <c r="D11178" s="204">
        <v>-20000</v>
      </c>
      <c r="E11178" s="201">
        <v>45809</v>
      </c>
      <c r="F11178" s="200" t="s">
        <v>297</v>
      </c>
      <c r="G11178" s="200" t="s">
        <v>3892</v>
      </c>
      <c r="H11178" s="200" t="s">
        <v>268</v>
      </c>
      <c r="I11178" s="648" t="s">
        <v>329</v>
      </c>
    </row>
    <row r="11179" spans="1:9" ht="15" customHeight="1">
      <c r="A11179" s="199">
        <v>45828</v>
      </c>
      <c r="B11179" s="202" t="s">
        <v>8211</v>
      </c>
      <c r="C11179" s="200" t="s">
        <v>204</v>
      </c>
      <c r="D11179" s="204">
        <v>4230245</v>
      </c>
      <c r="E11179" s="201">
        <v>45809</v>
      </c>
      <c r="F11179" s="200" t="s">
        <v>295</v>
      </c>
    </row>
    <row r="11180" spans="1:9" ht="15" customHeight="1">
      <c r="A11180" s="199">
        <v>45805</v>
      </c>
      <c r="B11180" s="202" t="s">
        <v>8212</v>
      </c>
      <c r="C11180" s="200" t="s">
        <v>307</v>
      </c>
      <c r="D11180" s="204">
        <v>-136000</v>
      </c>
      <c r="E11180" s="201">
        <v>45809</v>
      </c>
      <c r="F11180" s="200" t="s">
        <v>296</v>
      </c>
      <c r="G11180" s="200" t="s">
        <v>57</v>
      </c>
      <c r="H11180" s="200" t="s">
        <v>97</v>
      </c>
      <c r="I11180" s="200" t="s">
        <v>8213</v>
      </c>
    </row>
    <row r="11181" spans="1:9" ht="15" customHeight="1">
      <c r="A11181" s="199">
        <v>45811</v>
      </c>
      <c r="B11181" s="202" t="s">
        <v>8214</v>
      </c>
      <c r="C11181" s="200" t="s">
        <v>307</v>
      </c>
      <c r="D11181" s="204">
        <v>-20000</v>
      </c>
      <c r="E11181" s="201">
        <v>45809</v>
      </c>
      <c r="F11181" s="200" t="s">
        <v>296</v>
      </c>
      <c r="G11181" s="200" t="s">
        <v>57</v>
      </c>
      <c r="H11181" s="200" t="s">
        <v>97</v>
      </c>
      <c r="I11181" s="200" t="s">
        <v>8213</v>
      </c>
    </row>
    <row r="11182" spans="1:9" ht="15" customHeight="1">
      <c r="A11182" s="199">
        <v>45811</v>
      </c>
      <c r="B11182" s="202" t="s">
        <v>1743</v>
      </c>
      <c r="C11182" s="200" t="s">
        <v>307</v>
      </c>
      <c r="D11182" s="204">
        <v>-27000</v>
      </c>
      <c r="E11182" s="201">
        <v>45809</v>
      </c>
      <c r="F11182" s="200" t="s">
        <v>296</v>
      </c>
      <c r="G11182" s="200" t="s">
        <v>57</v>
      </c>
      <c r="H11182" s="200" t="s">
        <v>97</v>
      </c>
      <c r="I11182" s="200" t="s">
        <v>8213</v>
      </c>
    </row>
    <row r="11183" spans="1:9" ht="15" customHeight="1">
      <c r="A11183" s="199">
        <v>45813</v>
      </c>
      <c r="B11183" s="202" t="s">
        <v>1743</v>
      </c>
      <c r="C11183" s="200" t="s">
        <v>307</v>
      </c>
      <c r="D11183" s="204">
        <v>-14000</v>
      </c>
      <c r="E11183" s="201">
        <v>45809</v>
      </c>
      <c r="F11183" s="200" t="s">
        <v>296</v>
      </c>
      <c r="G11183" s="200" t="s">
        <v>57</v>
      </c>
      <c r="H11183" s="200" t="s">
        <v>97</v>
      </c>
      <c r="I11183" s="200" t="s">
        <v>8213</v>
      </c>
    </row>
    <row r="11184" spans="1:9" ht="15" customHeight="1">
      <c r="A11184" s="199">
        <v>45814</v>
      </c>
      <c r="B11184" s="202" t="s">
        <v>1745</v>
      </c>
      <c r="C11184" s="200" t="s">
        <v>307</v>
      </c>
      <c r="D11184" s="204">
        <v>-27900</v>
      </c>
      <c r="E11184" s="201">
        <v>45809</v>
      </c>
      <c r="F11184" s="200" t="s">
        <v>296</v>
      </c>
      <c r="G11184" s="200" t="s">
        <v>57</v>
      </c>
      <c r="H11184" s="200" t="s">
        <v>97</v>
      </c>
      <c r="I11184" s="200" t="s">
        <v>8213</v>
      </c>
    </row>
    <row r="11185" spans="1:9" ht="15" customHeight="1">
      <c r="A11185" s="199">
        <v>45815</v>
      </c>
      <c r="B11185" s="202" t="s">
        <v>8215</v>
      </c>
      <c r="C11185" s="200" t="s">
        <v>307</v>
      </c>
      <c r="D11185" s="204">
        <v>-98756</v>
      </c>
      <c r="E11185" s="201">
        <v>45809</v>
      </c>
      <c r="F11185" s="200" t="s">
        <v>296</v>
      </c>
      <c r="G11185" s="200" t="s">
        <v>57</v>
      </c>
      <c r="H11185" s="200" t="s">
        <v>97</v>
      </c>
      <c r="I11185" s="200" t="s">
        <v>8213</v>
      </c>
    </row>
    <row r="11186" spans="1:9" ht="15" customHeight="1">
      <c r="A11186" s="199">
        <v>45823</v>
      </c>
      <c r="B11186" s="202" t="s">
        <v>1989</v>
      </c>
      <c r="C11186" s="200" t="s">
        <v>398</v>
      </c>
      <c r="D11186" s="204">
        <v>-123500</v>
      </c>
      <c r="E11186" s="201">
        <v>45809</v>
      </c>
      <c r="F11186" s="200" t="s">
        <v>256</v>
      </c>
      <c r="G11186" s="200" t="s">
        <v>256</v>
      </c>
      <c r="H11186" s="541" t="s">
        <v>266</v>
      </c>
    </row>
    <row r="11187" spans="1:9" ht="15" customHeight="1">
      <c r="A11187" s="199">
        <v>45825</v>
      </c>
      <c r="B11187" s="202" t="s">
        <v>8216</v>
      </c>
      <c r="C11187" s="200" t="s">
        <v>398</v>
      </c>
      <c r="D11187" s="204">
        <v>-3727965.22</v>
      </c>
      <c r="E11187" s="201">
        <v>45809</v>
      </c>
      <c r="F11187" s="200" t="s">
        <v>256</v>
      </c>
      <c r="G11187" s="200" t="s">
        <v>256</v>
      </c>
      <c r="H11187" s="541" t="s">
        <v>266</v>
      </c>
    </row>
    <row r="11188" spans="1:9" ht="15" customHeight="1">
      <c r="A11188" s="199">
        <v>45825</v>
      </c>
      <c r="B11188" s="202" t="s">
        <v>3860</v>
      </c>
      <c r="C11188" s="200" t="s">
        <v>398</v>
      </c>
      <c r="D11188" s="204">
        <v>-134199.37</v>
      </c>
      <c r="E11188" s="201">
        <v>45809</v>
      </c>
      <c r="F11188" s="200" t="s">
        <v>256</v>
      </c>
      <c r="G11188" s="200" t="s">
        <v>256</v>
      </c>
      <c r="H11188" s="541" t="s">
        <v>266</v>
      </c>
    </row>
    <row r="11189" spans="1:9" ht="15" customHeight="1">
      <c r="A11189" s="199">
        <v>45827</v>
      </c>
      <c r="B11189" s="202" t="s">
        <v>959</v>
      </c>
      <c r="C11189" s="200" t="s">
        <v>398</v>
      </c>
      <c r="D11189" s="204">
        <v>-180173.34</v>
      </c>
      <c r="E11189" s="201">
        <v>45809</v>
      </c>
      <c r="F11189" s="200" t="s">
        <v>256</v>
      </c>
      <c r="G11189" s="200" t="s">
        <v>256</v>
      </c>
      <c r="H11189" s="541" t="s">
        <v>266</v>
      </c>
      <c r="I11189" s="648" t="s">
        <v>329</v>
      </c>
    </row>
    <row r="11190" spans="1:9" ht="15" customHeight="1">
      <c r="A11190" s="199">
        <v>45827</v>
      </c>
      <c r="B11190" s="202" t="s">
        <v>8217</v>
      </c>
      <c r="C11190" s="200" t="s">
        <v>398</v>
      </c>
      <c r="D11190" s="204">
        <v>-120000</v>
      </c>
      <c r="E11190" s="201">
        <v>45809</v>
      </c>
      <c r="F11190" s="200" t="s">
        <v>256</v>
      </c>
      <c r="G11190" s="200" t="s">
        <v>107</v>
      </c>
      <c r="H11190" s="200" t="s">
        <v>277</v>
      </c>
    </row>
    <row r="11191" spans="1:9" ht="15" customHeight="1">
      <c r="A11191" s="199">
        <v>45827</v>
      </c>
      <c r="B11191" s="202" t="s">
        <v>8217</v>
      </c>
      <c r="C11191" s="200" t="s">
        <v>398</v>
      </c>
      <c r="D11191" s="204">
        <v>-108000</v>
      </c>
      <c r="E11191" s="201">
        <v>45809</v>
      </c>
      <c r="F11191" s="200" t="s">
        <v>256</v>
      </c>
      <c r="G11191" s="200" t="s">
        <v>107</v>
      </c>
      <c r="H11191" s="200" t="s">
        <v>277</v>
      </c>
    </row>
    <row r="11192" spans="1:9" ht="15" customHeight="1">
      <c r="A11192" s="199">
        <v>45827</v>
      </c>
      <c r="B11192" s="202" t="s">
        <v>8217</v>
      </c>
      <c r="C11192" s="200" t="s">
        <v>398</v>
      </c>
      <c r="D11192" s="204">
        <v>-70000</v>
      </c>
      <c r="E11192" s="201">
        <v>45809</v>
      </c>
      <c r="F11192" s="200" t="s">
        <v>256</v>
      </c>
      <c r="G11192" s="200" t="s">
        <v>107</v>
      </c>
      <c r="H11192" s="200" t="s">
        <v>277</v>
      </c>
    </row>
    <row r="11193" spans="1:9" ht="15" customHeight="1">
      <c r="A11193" s="199">
        <v>45827</v>
      </c>
      <c r="B11193" s="202" t="s">
        <v>8217</v>
      </c>
      <c r="C11193" s="200" t="s">
        <v>398</v>
      </c>
      <c r="D11193" s="204">
        <v>-18000</v>
      </c>
      <c r="E11193" s="201">
        <v>45809</v>
      </c>
      <c r="F11193" s="200" t="s">
        <v>256</v>
      </c>
      <c r="G11193" s="200" t="s">
        <v>107</v>
      </c>
      <c r="H11193" s="200" t="s">
        <v>277</v>
      </c>
    </row>
    <row r="11194" spans="1:9" ht="15" customHeight="1">
      <c r="A11194" s="199">
        <v>45827</v>
      </c>
      <c r="B11194" s="202" t="s">
        <v>8218</v>
      </c>
      <c r="C11194" s="200" t="s">
        <v>398</v>
      </c>
      <c r="D11194" s="204">
        <v>-34800</v>
      </c>
      <c r="E11194" s="201">
        <v>45809</v>
      </c>
      <c r="F11194" s="200" t="s">
        <v>256</v>
      </c>
      <c r="G11194" s="200" t="s">
        <v>107</v>
      </c>
      <c r="H11194" s="200" t="s">
        <v>277</v>
      </c>
    </row>
    <row r="11195" spans="1:9" ht="15" customHeight="1">
      <c r="A11195" s="199">
        <v>45827</v>
      </c>
      <c r="B11195" s="202" t="s">
        <v>8218</v>
      </c>
      <c r="C11195" s="200" t="s">
        <v>398</v>
      </c>
      <c r="D11195" s="204">
        <v>-11500</v>
      </c>
      <c r="E11195" s="201">
        <v>45809</v>
      </c>
      <c r="F11195" s="200" t="s">
        <v>256</v>
      </c>
      <c r="G11195" s="200" t="s">
        <v>107</v>
      </c>
      <c r="H11195" s="200" t="s">
        <v>277</v>
      </c>
    </row>
    <row r="11196" spans="1:9" ht="15" customHeight="1">
      <c r="A11196" s="199">
        <v>45827</v>
      </c>
      <c r="B11196" s="202" t="s">
        <v>8218</v>
      </c>
      <c r="C11196" s="200" t="s">
        <v>398</v>
      </c>
      <c r="D11196" s="204">
        <v>-65000</v>
      </c>
      <c r="E11196" s="201">
        <v>45809</v>
      </c>
      <c r="F11196" s="200" t="s">
        <v>256</v>
      </c>
      <c r="G11196" s="200" t="s">
        <v>107</v>
      </c>
      <c r="H11196" s="200" t="s">
        <v>277</v>
      </c>
    </row>
    <row r="11197" spans="1:9" ht="15" customHeight="1">
      <c r="A11197" s="199">
        <v>45827</v>
      </c>
      <c r="B11197" s="202" t="s">
        <v>8218</v>
      </c>
      <c r="C11197" s="200" t="s">
        <v>398</v>
      </c>
      <c r="D11197" s="204">
        <v>-39500</v>
      </c>
      <c r="E11197" s="201">
        <v>45809</v>
      </c>
      <c r="F11197" s="200" t="s">
        <v>256</v>
      </c>
      <c r="G11197" s="200" t="s">
        <v>107</v>
      </c>
      <c r="H11197" s="200" t="s">
        <v>277</v>
      </c>
      <c r="I11197" s="648" t="s">
        <v>329</v>
      </c>
    </row>
    <row r="11198" spans="1:9" s="664" customFormat="1" ht="15" customHeight="1">
      <c r="A11198" s="663">
        <v>45828</v>
      </c>
      <c r="B11198" s="648" t="s">
        <v>8219</v>
      </c>
      <c r="C11198" s="648" t="s">
        <v>204</v>
      </c>
      <c r="D11198" s="765">
        <v>-11900210</v>
      </c>
      <c r="E11198" s="665">
        <v>45809</v>
      </c>
      <c r="F11198" s="648" t="s">
        <v>296</v>
      </c>
      <c r="G11198" s="648" t="s">
        <v>1983</v>
      </c>
      <c r="H11198" s="648" t="s">
        <v>488</v>
      </c>
      <c r="I11198" s="648"/>
    </row>
    <row r="11199" spans="1:9" ht="15" customHeight="1">
      <c r="A11199" s="199">
        <v>45828</v>
      </c>
      <c r="B11199" s="202" t="s">
        <v>8219</v>
      </c>
      <c r="C11199" s="200" t="s">
        <v>204</v>
      </c>
      <c r="D11199" s="765">
        <v>-11900210</v>
      </c>
      <c r="E11199" s="201">
        <v>45809</v>
      </c>
      <c r="F11199" s="200" t="s">
        <v>296</v>
      </c>
      <c r="G11199" s="200" t="s">
        <v>1980</v>
      </c>
      <c r="H11199" s="200" t="s">
        <v>488</v>
      </c>
    </row>
    <row r="11200" spans="1:9" ht="15" customHeight="1">
      <c r="A11200" s="199">
        <v>45828</v>
      </c>
      <c r="B11200" s="202" t="s">
        <v>8220</v>
      </c>
      <c r="C11200" s="200" t="s">
        <v>204</v>
      </c>
      <c r="D11200" s="765">
        <v>-732000</v>
      </c>
      <c r="E11200" s="201">
        <v>45809</v>
      </c>
      <c r="F11200" s="200" t="s">
        <v>297</v>
      </c>
      <c r="G11200" s="200" t="s">
        <v>69</v>
      </c>
      <c r="H11200" s="200" t="s">
        <v>5376</v>
      </c>
    </row>
    <row r="11201" spans="1:8" ht="15" customHeight="1">
      <c r="A11201" s="199">
        <v>45828</v>
      </c>
      <c r="B11201" s="202" t="s">
        <v>8221</v>
      </c>
      <c r="C11201" s="200" t="s">
        <v>204</v>
      </c>
      <c r="D11201" s="765">
        <v>-1506505</v>
      </c>
      <c r="E11201" s="201">
        <v>45809</v>
      </c>
      <c r="F11201" s="200" t="s">
        <v>256</v>
      </c>
      <c r="G11201" s="200" t="s">
        <v>256</v>
      </c>
      <c r="H11201" s="200" t="s">
        <v>267</v>
      </c>
    </row>
    <row r="11202" spans="1:8" ht="15" customHeight="1">
      <c r="A11202" s="199">
        <v>45828</v>
      </c>
      <c r="B11202" s="202" t="s">
        <v>8222</v>
      </c>
      <c r="C11202" s="200" t="s">
        <v>204</v>
      </c>
      <c r="D11202" s="765">
        <v>-1700000</v>
      </c>
      <c r="E11202" s="201">
        <v>45809</v>
      </c>
      <c r="F11202" s="200" t="s">
        <v>296</v>
      </c>
      <c r="G11202" s="200" t="s">
        <v>57</v>
      </c>
      <c r="H11202" s="200" t="s">
        <v>100</v>
      </c>
    </row>
    <row r="11203" spans="1:8" ht="15" customHeight="1">
      <c r="A11203" s="199">
        <v>45832</v>
      </c>
      <c r="B11203" s="202" t="s">
        <v>5719</v>
      </c>
      <c r="C11203" s="200" t="s">
        <v>204</v>
      </c>
      <c r="D11203" s="765">
        <v>-11600</v>
      </c>
      <c r="E11203" s="201">
        <v>45809</v>
      </c>
      <c r="F11203" s="200" t="s">
        <v>256</v>
      </c>
      <c r="G11203" s="200" t="s">
        <v>256</v>
      </c>
      <c r="H11203" s="200" t="s">
        <v>261</v>
      </c>
    </row>
    <row r="11204" spans="1:8" ht="15" customHeight="1">
      <c r="A11204" s="199">
        <v>45832</v>
      </c>
      <c r="B11204" s="202" t="s">
        <v>8223</v>
      </c>
      <c r="C11204" s="200" t="s">
        <v>204</v>
      </c>
      <c r="D11204" s="765">
        <v>-51893416</v>
      </c>
      <c r="E11204" s="201">
        <v>45809</v>
      </c>
      <c r="F11204" s="200" t="s">
        <v>296</v>
      </c>
      <c r="G11204" s="200" t="s">
        <v>807</v>
      </c>
      <c r="H11204" s="200" t="s">
        <v>848</v>
      </c>
    </row>
    <row r="11205" spans="1:8" ht="15" customHeight="1">
      <c r="A11205" s="199">
        <v>45832</v>
      </c>
      <c r="B11205" s="202" t="s">
        <v>8224</v>
      </c>
      <c r="C11205" s="200" t="s">
        <v>204</v>
      </c>
      <c r="D11205" s="765">
        <v>-1316000</v>
      </c>
      <c r="E11205" s="201">
        <v>45809</v>
      </c>
      <c r="F11205" s="200" t="s">
        <v>296</v>
      </c>
      <c r="G11205" s="200" t="s">
        <v>57</v>
      </c>
      <c r="H11205" s="200" t="s">
        <v>100</v>
      </c>
    </row>
    <row r="11206" spans="1:8" ht="15" customHeight="1">
      <c r="A11206" s="199">
        <v>45832</v>
      </c>
      <c r="B11206" s="202" t="s">
        <v>8225</v>
      </c>
      <c r="C11206" s="200" t="s">
        <v>372</v>
      </c>
      <c r="D11206" s="204">
        <v>-84000</v>
      </c>
      <c r="E11206" s="201">
        <v>45809</v>
      </c>
      <c r="F11206" s="200" t="s">
        <v>296</v>
      </c>
      <c r="G11206" s="200" t="s">
        <v>57</v>
      </c>
      <c r="H11206" s="200" t="s">
        <v>100</v>
      </c>
    </row>
    <row r="11207" spans="1:8" ht="15" customHeight="1">
      <c r="A11207" s="199">
        <v>45832</v>
      </c>
      <c r="B11207" s="202" t="s">
        <v>8226</v>
      </c>
      <c r="C11207" s="200" t="s">
        <v>204</v>
      </c>
      <c r="D11207" s="765">
        <v>-5018364</v>
      </c>
      <c r="E11207" s="201">
        <v>45809</v>
      </c>
      <c r="F11207" s="200" t="s">
        <v>297</v>
      </c>
      <c r="G11207" s="200" t="s">
        <v>69</v>
      </c>
      <c r="H11207" s="200" t="s">
        <v>5376</v>
      </c>
    </row>
    <row r="11208" spans="1:8" ht="15" customHeight="1">
      <c r="A11208" s="199">
        <v>45832</v>
      </c>
      <c r="B11208" s="202" t="s">
        <v>8227</v>
      </c>
      <c r="C11208" s="200" t="s">
        <v>372</v>
      </c>
      <c r="D11208" s="204">
        <v>-123137</v>
      </c>
      <c r="E11208" s="201">
        <v>45809</v>
      </c>
      <c r="F11208" s="200" t="s">
        <v>297</v>
      </c>
      <c r="G11208" s="200" t="s">
        <v>69</v>
      </c>
      <c r="H11208" s="200" t="s">
        <v>5376</v>
      </c>
    </row>
    <row r="11209" spans="1:8" ht="15" customHeight="1">
      <c r="A11209" s="199">
        <v>45832</v>
      </c>
      <c r="B11209" s="202" t="s">
        <v>8228</v>
      </c>
      <c r="C11209" s="200" t="s">
        <v>204</v>
      </c>
      <c r="D11209" s="765">
        <v>-5675938</v>
      </c>
      <c r="E11209" s="201">
        <v>45809</v>
      </c>
      <c r="F11209" s="200" t="s">
        <v>296</v>
      </c>
      <c r="G11209" s="200" t="s">
        <v>4520</v>
      </c>
      <c r="H11209" s="200" t="s">
        <v>442</v>
      </c>
    </row>
    <row r="11210" spans="1:8" ht="15" customHeight="1">
      <c r="A11210" s="199">
        <v>45832</v>
      </c>
      <c r="B11210" s="202" t="s">
        <v>8229</v>
      </c>
      <c r="C11210" s="200" t="s">
        <v>204</v>
      </c>
      <c r="D11210" s="765">
        <v>-1418985</v>
      </c>
      <c r="E11210" s="201">
        <v>45809</v>
      </c>
      <c r="F11210" s="200" t="s">
        <v>296</v>
      </c>
      <c r="G11210" s="200" t="s">
        <v>1980</v>
      </c>
      <c r="H11210" s="200" t="s">
        <v>442</v>
      </c>
    </row>
    <row r="11211" spans="1:8" ht="15" customHeight="1">
      <c r="A11211" s="199">
        <v>45832</v>
      </c>
      <c r="B11211" s="202" t="s">
        <v>8229</v>
      </c>
      <c r="C11211" s="200" t="s">
        <v>204</v>
      </c>
      <c r="D11211" s="765">
        <v>-1418985</v>
      </c>
      <c r="E11211" s="201">
        <v>45809</v>
      </c>
      <c r="F11211" s="200" t="s">
        <v>296</v>
      </c>
      <c r="G11211" s="200" t="s">
        <v>1983</v>
      </c>
      <c r="H11211" s="200" t="s">
        <v>442</v>
      </c>
    </row>
    <row r="11212" spans="1:8" ht="15" customHeight="1">
      <c r="A11212" s="199">
        <v>45832</v>
      </c>
      <c r="B11212" s="202" t="s">
        <v>8229</v>
      </c>
      <c r="C11212" s="200" t="s">
        <v>204</v>
      </c>
      <c r="D11212" s="765">
        <v>-1418984</v>
      </c>
      <c r="E11212" s="201">
        <v>45809</v>
      </c>
      <c r="F11212" s="200" t="s">
        <v>296</v>
      </c>
      <c r="G11212" s="200" t="s">
        <v>807</v>
      </c>
      <c r="H11212" s="200" t="s">
        <v>442</v>
      </c>
    </row>
    <row r="11213" spans="1:8" ht="15" customHeight="1">
      <c r="A11213" s="199">
        <v>45832</v>
      </c>
      <c r="B11213" s="202" t="s">
        <v>8229</v>
      </c>
      <c r="C11213" s="200" t="s">
        <v>204</v>
      </c>
      <c r="D11213" s="765">
        <v>-1418984</v>
      </c>
      <c r="E11213" s="201">
        <v>45809</v>
      </c>
      <c r="F11213" s="200" t="s">
        <v>296</v>
      </c>
      <c r="G11213" s="200" t="s">
        <v>1825</v>
      </c>
      <c r="H11213" s="200" t="s">
        <v>442</v>
      </c>
    </row>
    <row r="11214" spans="1:8" ht="15" customHeight="1">
      <c r="A11214" s="199">
        <v>45832</v>
      </c>
      <c r="B11214" s="202" t="s">
        <v>8230</v>
      </c>
      <c r="C11214" s="200" t="s">
        <v>204</v>
      </c>
      <c r="D11214" s="765">
        <v>-21900</v>
      </c>
      <c r="E11214" s="201">
        <v>45809</v>
      </c>
      <c r="F11214" s="200" t="s">
        <v>296</v>
      </c>
      <c r="G11214" s="200" t="s">
        <v>57</v>
      </c>
      <c r="H11214" s="200" t="s">
        <v>98</v>
      </c>
    </row>
    <row r="11215" spans="1:8" ht="15" customHeight="1">
      <c r="A11215" s="199">
        <v>45832</v>
      </c>
      <c r="B11215" s="202" t="s">
        <v>8231</v>
      </c>
      <c r="C11215" s="200" t="s">
        <v>204</v>
      </c>
      <c r="D11215" s="765">
        <v>-21900</v>
      </c>
      <c r="E11215" s="201">
        <v>45809</v>
      </c>
      <c r="F11215" s="200" t="s">
        <v>296</v>
      </c>
      <c r="G11215" s="200" t="s">
        <v>57</v>
      </c>
      <c r="H11215" s="200" t="s">
        <v>98</v>
      </c>
    </row>
    <row r="11216" spans="1:8" ht="15" customHeight="1">
      <c r="A11216" s="199">
        <v>45832</v>
      </c>
      <c r="B11216" s="202" t="s">
        <v>8232</v>
      </c>
      <c r="C11216" s="200" t="s">
        <v>204</v>
      </c>
      <c r="D11216" s="765">
        <v>-21900</v>
      </c>
      <c r="E11216" s="201">
        <v>45809</v>
      </c>
      <c r="F11216" s="200" t="s">
        <v>296</v>
      </c>
      <c r="G11216" s="200" t="s">
        <v>57</v>
      </c>
      <c r="H11216" s="200" t="s">
        <v>98</v>
      </c>
    </row>
    <row r="11217" spans="1:9" ht="15" customHeight="1">
      <c r="A11217" s="199">
        <v>45832</v>
      </c>
      <c r="B11217" s="202" t="s">
        <v>8233</v>
      </c>
      <c r="C11217" s="200" t="s">
        <v>204</v>
      </c>
      <c r="D11217" s="765">
        <v>-21900</v>
      </c>
      <c r="E11217" s="201">
        <v>45809</v>
      </c>
      <c r="F11217" s="200" t="s">
        <v>296</v>
      </c>
      <c r="G11217" s="200" t="s">
        <v>57</v>
      </c>
      <c r="H11217" s="200" t="s">
        <v>98</v>
      </c>
    </row>
    <row r="11218" spans="1:9" ht="15" customHeight="1">
      <c r="A11218" s="199">
        <v>45832</v>
      </c>
      <c r="B11218" s="202" t="s">
        <v>8234</v>
      </c>
      <c r="C11218" s="200" t="s">
        <v>204</v>
      </c>
      <c r="D11218" s="765">
        <v>-21900</v>
      </c>
      <c r="E11218" s="201">
        <v>45809</v>
      </c>
      <c r="F11218" s="200" t="s">
        <v>296</v>
      </c>
      <c r="G11218" s="200" t="s">
        <v>57</v>
      </c>
      <c r="H11218" s="200" t="s">
        <v>98</v>
      </c>
    </row>
    <row r="11219" spans="1:9" ht="15" customHeight="1">
      <c r="A11219" s="199">
        <v>45832</v>
      </c>
      <c r="B11219" s="202" t="s">
        <v>8235</v>
      </c>
      <c r="C11219" s="200" t="s">
        <v>204</v>
      </c>
      <c r="D11219" s="765">
        <v>-172437</v>
      </c>
      <c r="E11219" s="201">
        <v>45809</v>
      </c>
      <c r="F11219" s="200" t="s">
        <v>256</v>
      </c>
      <c r="G11219" s="200" t="s">
        <v>256</v>
      </c>
      <c r="H11219" s="200" t="s">
        <v>267</v>
      </c>
    </row>
    <row r="11220" spans="1:9" ht="15" customHeight="1">
      <c r="A11220" s="199">
        <v>45832</v>
      </c>
      <c r="B11220" s="202" t="s">
        <v>8236</v>
      </c>
      <c r="C11220" s="200" t="s">
        <v>372</v>
      </c>
      <c r="D11220" s="204">
        <v>-17563</v>
      </c>
      <c r="E11220" s="201">
        <v>45809</v>
      </c>
      <c r="F11220" s="200" t="s">
        <v>256</v>
      </c>
      <c r="G11220" s="200" t="s">
        <v>256</v>
      </c>
      <c r="H11220" s="200" t="s">
        <v>267</v>
      </c>
    </row>
    <row r="11221" spans="1:9" ht="15" customHeight="1">
      <c r="A11221" s="199">
        <v>45832</v>
      </c>
      <c r="B11221" s="202" t="s">
        <v>8237</v>
      </c>
      <c r="C11221" s="200" t="s">
        <v>204</v>
      </c>
      <c r="D11221" s="765">
        <v>-500000</v>
      </c>
      <c r="E11221" s="201">
        <v>45809</v>
      </c>
      <c r="F11221" s="200" t="s">
        <v>256</v>
      </c>
      <c r="G11221" s="200" t="s">
        <v>107</v>
      </c>
      <c r="H11221" s="200" t="s">
        <v>116</v>
      </c>
    </row>
    <row r="11222" spans="1:9" ht="15" customHeight="1">
      <c r="A11222" s="199">
        <v>45832</v>
      </c>
      <c r="B11222" s="202" t="s">
        <v>8238</v>
      </c>
      <c r="C11222" s="200" t="s">
        <v>204</v>
      </c>
      <c r="D11222" s="765">
        <v>-6393036</v>
      </c>
      <c r="E11222" s="201">
        <v>45809</v>
      </c>
      <c r="F11222" s="200" t="s">
        <v>256</v>
      </c>
      <c r="G11222" s="200" t="s">
        <v>256</v>
      </c>
      <c r="H11222" s="200" t="s">
        <v>257</v>
      </c>
    </row>
    <row r="11223" spans="1:9" ht="15" customHeight="1">
      <c r="A11223" s="199">
        <v>45832</v>
      </c>
      <c r="B11223" s="202" t="s">
        <v>8239</v>
      </c>
      <c r="C11223" s="200" t="s">
        <v>204</v>
      </c>
      <c r="D11223" s="765">
        <v>-700000</v>
      </c>
      <c r="E11223" s="201">
        <v>45809</v>
      </c>
      <c r="F11223" s="200" t="s">
        <v>296</v>
      </c>
      <c r="G11223" s="200" t="s">
        <v>522</v>
      </c>
      <c r="H11223" s="200" t="s">
        <v>326</v>
      </c>
    </row>
    <row r="11224" spans="1:9" ht="15" customHeight="1">
      <c r="A11224" s="199">
        <v>45832</v>
      </c>
      <c r="B11224" s="202" t="s">
        <v>8240</v>
      </c>
      <c r="C11224" s="200" t="s">
        <v>372</v>
      </c>
      <c r="D11224" s="204">
        <v>-25389</v>
      </c>
      <c r="E11224" s="201">
        <v>45809</v>
      </c>
      <c r="F11224" s="200" t="s">
        <v>296</v>
      </c>
      <c r="G11224" s="200" t="s">
        <v>522</v>
      </c>
      <c r="H11224" s="200" t="s">
        <v>326</v>
      </c>
    </row>
    <row r="11225" spans="1:9" ht="15" customHeight="1">
      <c r="A11225" s="199">
        <v>45814</v>
      </c>
      <c r="B11225" s="202" t="s">
        <v>8241</v>
      </c>
      <c r="C11225" s="200" t="s">
        <v>204</v>
      </c>
      <c r="D11225" s="765">
        <v>-60000</v>
      </c>
      <c r="E11225" s="201">
        <v>45809</v>
      </c>
      <c r="F11225" s="200" t="s">
        <v>296</v>
      </c>
      <c r="G11225" s="200" t="s">
        <v>5466</v>
      </c>
      <c r="H11225" s="200" t="s">
        <v>5384</v>
      </c>
      <c r="I11225" s="200" t="s">
        <v>3272</v>
      </c>
    </row>
    <row r="11226" spans="1:9" ht="15" customHeight="1">
      <c r="A11226" s="199">
        <v>45814</v>
      </c>
      <c r="B11226" s="202" t="s">
        <v>8242</v>
      </c>
      <c r="C11226" s="200" t="s">
        <v>204</v>
      </c>
      <c r="D11226" s="765">
        <v>-6000</v>
      </c>
      <c r="E11226" s="201">
        <v>45809</v>
      </c>
      <c r="F11226" s="200" t="s">
        <v>296</v>
      </c>
      <c r="G11226" s="200" t="s">
        <v>5466</v>
      </c>
      <c r="H11226" s="200" t="s">
        <v>5384</v>
      </c>
      <c r="I11226" s="200" t="s">
        <v>3272</v>
      </c>
    </row>
    <row r="11227" spans="1:9" ht="15" customHeight="1">
      <c r="A11227" s="199">
        <v>45814</v>
      </c>
      <c r="B11227" s="202" t="s">
        <v>8243</v>
      </c>
      <c r="C11227" s="200" t="s">
        <v>204</v>
      </c>
      <c r="D11227" s="765">
        <v>-13150</v>
      </c>
      <c r="E11227" s="201">
        <v>45809</v>
      </c>
      <c r="F11227" s="200" t="s">
        <v>296</v>
      </c>
      <c r="G11227" s="200" t="s">
        <v>5466</v>
      </c>
      <c r="H11227" s="200" t="s">
        <v>268</v>
      </c>
      <c r="I11227" s="200" t="s">
        <v>3272</v>
      </c>
    </row>
    <row r="11228" spans="1:9" ht="15" customHeight="1">
      <c r="A11228" s="199">
        <v>45814</v>
      </c>
      <c r="B11228" s="202" t="s">
        <v>8244</v>
      </c>
      <c r="C11228" s="200" t="s">
        <v>204</v>
      </c>
      <c r="D11228" s="765">
        <v>-20000</v>
      </c>
      <c r="E11228" s="201">
        <v>45809</v>
      </c>
      <c r="F11228" s="200" t="s">
        <v>296</v>
      </c>
      <c r="G11228" s="200" t="s">
        <v>5466</v>
      </c>
      <c r="H11228" s="200" t="s">
        <v>346</v>
      </c>
      <c r="I11228" s="200" t="s">
        <v>3272</v>
      </c>
    </row>
    <row r="11229" spans="1:9" ht="15" customHeight="1">
      <c r="A11229" s="199">
        <v>45814</v>
      </c>
      <c r="B11229" s="202" t="s">
        <v>729</v>
      </c>
      <c r="C11229" s="200" t="s">
        <v>204</v>
      </c>
      <c r="D11229" s="765">
        <v>-24850</v>
      </c>
      <c r="E11229" s="201">
        <v>45809</v>
      </c>
      <c r="F11229" s="200" t="s">
        <v>296</v>
      </c>
      <c r="G11229" s="200" t="s">
        <v>5466</v>
      </c>
      <c r="H11229" s="200" t="s">
        <v>342</v>
      </c>
      <c r="I11229" s="200" t="s">
        <v>3272</v>
      </c>
    </row>
    <row r="11230" spans="1:9" ht="15" customHeight="1">
      <c r="A11230" s="199">
        <v>45815</v>
      </c>
      <c r="B11230" s="202" t="s">
        <v>8245</v>
      </c>
      <c r="C11230" s="200" t="s">
        <v>204</v>
      </c>
      <c r="D11230" s="765">
        <v>-15000</v>
      </c>
      <c r="E11230" s="201">
        <v>45809</v>
      </c>
      <c r="F11230" s="200" t="s">
        <v>296</v>
      </c>
      <c r="G11230" s="200" t="s">
        <v>5466</v>
      </c>
      <c r="H11230" s="200" t="s">
        <v>268</v>
      </c>
      <c r="I11230" s="200" t="s">
        <v>3272</v>
      </c>
    </row>
    <row r="11231" spans="1:9" ht="15" customHeight="1">
      <c r="A11231" s="199">
        <v>45815</v>
      </c>
      <c r="B11231" s="202" t="s">
        <v>8245</v>
      </c>
      <c r="C11231" s="200" t="s">
        <v>204</v>
      </c>
      <c r="D11231" s="765">
        <v>-35000</v>
      </c>
      <c r="E11231" s="201">
        <v>45809</v>
      </c>
      <c r="F11231" s="200" t="s">
        <v>296</v>
      </c>
      <c r="G11231" s="200" t="s">
        <v>5466</v>
      </c>
      <c r="H11231" s="200" t="s">
        <v>268</v>
      </c>
      <c r="I11231" s="200" t="s">
        <v>3272</v>
      </c>
    </row>
    <row r="11232" spans="1:9" ht="15" customHeight="1">
      <c r="A11232" s="199">
        <v>45815</v>
      </c>
      <c r="B11232" s="202" t="s">
        <v>8245</v>
      </c>
      <c r="C11232" s="200" t="s">
        <v>204</v>
      </c>
      <c r="D11232" s="765">
        <v>-10000</v>
      </c>
      <c r="E11232" s="201">
        <v>45809</v>
      </c>
      <c r="F11232" s="200" t="s">
        <v>296</v>
      </c>
      <c r="G11232" s="200" t="s">
        <v>5466</v>
      </c>
      <c r="H11232" s="200" t="s">
        <v>268</v>
      </c>
      <c r="I11232" s="200" t="s">
        <v>3272</v>
      </c>
    </row>
    <row r="11233" spans="1:9" ht="15" customHeight="1">
      <c r="A11233" s="199">
        <v>45815</v>
      </c>
      <c r="B11233" s="202" t="s">
        <v>8246</v>
      </c>
      <c r="C11233" s="200" t="s">
        <v>204</v>
      </c>
      <c r="D11233" s="765">
        <v>-4000</v>
      </c>
      <c r="E11233" s="201">
        <v>45809</v>
      </c>
      <c r="F11233" s="200" t="s">
        <v>296</v>
      </c>
      <c r="G11233" s="200" t="s">
        <v>5466</v>
      </c>
      <c r="H11233" s="200" t="s">
        <v>346</v>
      </c>
      <c r="I11233" s="200" t="s">
        <v>3272</v>
      </c>
    </row>
    <row r="11234" spans="1:9" ht="15" customHeight="1">
      <c r="A11234" s="199">
        <v>45815</v>
      </c>
      <c r="B11234" s="202" t="s">
        <v>8247</v>
      </c>
      <c r="C11234" s="200" t="s">
        <v>204</v>
      </c>
      <c r="D11234" s="765">
        <v>-3000</v>
      </c>
      <c r="E11234" s="201">
        <v>45809</v>
      </c>
      <c r="F11234" s="200" t="s">
        <v>296</v>
      </c>
      <c r="G11234" s="200" t="s">
        <v>5466</v>
      </c>
      <c r="H11234" s="200" t="s">
        <v>346</v>
      </c>
      <c r="I11234" s="200" t="s">
        <v>3272</v>
      </c>
    </row>
    <row r="11235" spans="1:9" ht="15" customHeight="1">
      <c r="A11235" s="199">
        <v>45815</v>
      </c>
      <c r="B11235" s="202" t="s">
        <v>8248</v>
      </c>
      <c r="C11235" s="200" t="s">
        <v>204</v>
      </c>
      <c r="D11235" s="765">
        <v>-5400</v>
      </c>
      <c r="E11235" s="201">
        <v>45809</v>
      </c>
      <c r="F11235" s="200" t="s">
        <v>296</v>
      </c>
      <c r="G11235" s="200" t="s">
        <v>5466</v>
      </c>
      <c r="H11235" s="200" t="s">
        <v>346</v>
      </c>
      <c r="I11235" s="200" t="s">
        <v>3272</v>
      </c>
    </row>
    <row r="11236" spans="1:9" ht="15" customHeight="1">
      <c r="A11236" s="199">
        <v>45815</v>
      </c>
      <c r="B11236" s="202" t="s">
        <v>8249</v>
      </c>
      <c r="C11236" s="200" t="s">
        <v>204</v>
      </c>
      <c r="D11236" s="765">
        <v>-30000</v>
      </c>
      <c r="E11236" s="201">
        <v>45809</v>
      </c>
      <c r="F11236" s="200" t="s">
        <v>296</v>
      </c>
      <c r="G11236" s="200" t="s">
        <v>5466</v>
      </c>
      <c r="H11236" s="200" t="s">
        <v>268</v>
      </c>
      <c r="I11236" s="200" t="s">
        <v>3272</v>
      </c>
    </row>
    <row r="11237" spans="1:9" ht="15" customHeight="1">
      <c r="A11237" s="199">
        <v>45815</v>
      </c>
      <c r="B11237" s="202" t="s">
        <v>8250</v>
      </c>
      <c r="C11237" s="200" t="s">
        <v>204</v>
      </c>
      <c r="D11237" s="765">
        <v>-31100</v>
      </c>
      <c r="E11237" s="201">
        <v>45809</v>
      </c>
      <c r="F11237" s="200" t="s">
        <v>296</v>
      </c>
      <c r="G11237" s="200" t="s">
        <v>5466</v>
      </c>
      <c r="H11237" s="200" t="s">
        <v>342</v>
      </c>
      <c r="I11237" s="200" t="s">
        <v>3272</v>
      </c>
    </row>
    <row r="11238" spans="1:9" ht="15" customHeight="1">
      <c r="A11238" s="199">
        <v>45815</v>
      </c>
      <c r="B11238" s="202" t="s">
        <v>8251</v>
      </c>
      <c r="C11238" s="200" t="s">
        <v>204</v>
      </c>
      <c r="D11238" s="765">
        <v>-10000</v>
      </c>
      <c r="E11238" s="201">
        <v>45809</v>
      </c>
      <c r="F11238" s="200" t="s">
        <v>296</v>
      </c>
      <c r="G11238" s="200" t="s">
        <v>5466</v>
      </c>
      <c r="H11238" s="200" t="s">
        <v>268</v>
      </c>
      <c r="I11238" s="200" t="s">
        <v>3272</v>
      </c>
    </row>
    <row r="11239" spans="1:9" ht="15" customHeight="1">
      <c r="A11239" s="199">
        <v>45816</v>
      </c>
      <c r="B11239" s="202" t="s">
        <v>8252</v>
      </c>
      <c r="C11239" s="200" t="s">
        <v>204</v>
      </c>
      <c r="D11239" s="765">
        <v>-48000</v>
      </c>
      <c r="E11239" s="201">
        <v>45809</v>
      </c>
      <c r="F11239" s="200" t="s">
        <v>296</v>
      </c>
      <c r="G11239" s="200" t="s">
        <v>5466</v>
      </c>
      <c r="H11239" s="200" t="s">
        <v>268</v>
      </c>
      <c r="I11239" s="200" t="s">
        <v>3272</v>
      </c>
    </row>
    <row r="11240" spans="1:9" ht="15" customHeight="1">
      <c r="A11240" s="199">
        <v>45816</v>
      </c>
      <c r="B11240" s="202" t="s">
        <v>8253</v>
      </c>
      <c r="C11240" s="200" t="s">
        <v>204</v>
      </c>
      <c r="D11240" s="765">
        <v>-30000</v>
      </c>
      <c r="E11240" s="201">
        <v>45809</v>
      </c>
      <c r="F11240" s="200" t="s">
        <v>296</v>
      </c>
      <c r="G11240" s="200" t="s">
        <v>5466</v>
      </c>
      <c r="H11240" s="200" t="s">
        <v>268</v>
      </c>
      <c r="I11240" s="200" t="s">
        <v>3272</v>
      </c>
    </row>
    <row r="11241" spans="1:9" ht="15" customHeight="1">
      <c r="A11241" s="199">
        <v>45816</v>
      </c>
      <c r="B11241" s="202" t="s">
        <v>8254</v>
      </c>
      <c r="C11241" s="200" t="s">
        <v>204</v>
      </c>
      <c r="D11241" s="765">
        <v>-9200</v>
      </c>
      <c r="E11241" s="201">
        <v>45809</v>
      </c>
      <c r="F11241" s="200" t="s">
        <v>296</v>
      </c>
      <c r="G11241" s="200" t="s">
        <v>5466</v>
      </c>
      <c r="H11241" s="200" t="s">
        <v>268</v>
      </c>
      <c r="I11241" s="200" t="s">
        <v>3272</v>
      </c>
    </row>
    <row r="11242" spans="1:9" ht="15" customHeight="1">
      <c r="A11242" s="199">
        <v>45816</v>
      </c>
      <c r="B11242" s="202" t="s">
        <v>8255</v>
      </c>
      <c r="C11242" s="200" t="s">
        <v>204</v>
      </c>
      <c r="D11242" s="765">
        <v>-5200</v>
      </c>
      <c r="E11242" s="201">
        <v>45809</v>
      </c>
      <c r="F11242" s="200" t="s">
        <v>296</v>
      </c>
      <c r="G11242" s="200" t="s">
        <v>5466</v>
      </c>
      <c r="H11242" s="200" t="s">
        <v>5384</v>
      </c>
      <c r="I11242" s="200" t="s">
        <v>3272</v>
      </c>
    </row>
    <row r="11243" spans="1:9" ht="15" customHeight="1">
      <c r="A11243" s="199">
        <v>45816</v>
      </c>
      <c r="B11243" s="202" t="s">
        <v>8256</v>
      </c>
      <c r="C11243" s="200" t="s">
        <v>204</v>
      </c>
      <c r="D11243" s="765">
        <v>-2200</v>
      </c>
      <c r="E11243" s="201">
        <v>45809</v>
      </c>
      <c r="F11243" s="200" t="s">
        <v>296</v>
      </c>
      <c r="G11243" s="200" t="s">
        <v>5466</v>
      </c>
      <c r="H11243" s="200" t="s">
        <v>5384</v>
      </c>
      <c r="I11243" s="200" t="s">
        <v>3272</v>
      </c>
    </row>
    <row r="11244" spans="1:9" ht="15" customHeight="1">
      <c r="A11244" s="199">
        <v>45817</v>
      </c>
      <c r="B11244" s="202" t="s">
        <v>1060</v>
      </c>
      <c r="C11244" s="200" t="s">
        <v>204</v>
      </c>
      <c r="D11244" s="765">
        <v>-11150</v>
      </c>
      <c r="E11244" s="201">
        <v>45809</v>
      </c>
      <c r="F11244" s="200" t="s">
        <v>296</v>
      </c>
      <c r="G11244" s="200" t="s">
        <v>5466</v>
      </c>
      <c r="H11244" s="200" t="s">
        <v>342</v>
      </c>
      <c r="I11244" s="200" t="s">
        <v>3272</v>
      </c>
    </row>
    <row r="11245" spans="1:9" ht="15" customHeight="1">
      <c r="A11245" s="199">
        <v>45817</v>
      </c>
      <c r="B11245" s="202" t="s">
        <v>8257</v>
      </c>
      <c r="C11245" s="200" t="s">
        <v>204</v>
      </c>
      <c r="D11245" s="765">
        <v>-10000</v>
      </c>
      <c r="E11245" s="201">
        <v>45809</v>
      </c>
      <c r="F11245" s="200" t="s">
        <v>296</v>
      </c>
      <c r="G11245" s="200" t="s">
        <v>5466</v>
      </c>
      <c r="H11245" s="200" t="s">
        <v>268</v>
      </c>
      <c r="I11245" s="200" t="s">
        <v>3272</v>
      </c>
    </row>
    <row r="11246" spans="1:9" ht="15" customHeight="1">
      <c r="A11246" s="199">
        <v>45817</v>
      </c>
      <c r="B11246" s="202" t="s">
        <v>8258</v>
      </c>
      <c r="C11246" s="200" t="s">
        <v>204</v>
      </c>
      <c r="D11246" s="765">
        <v>-6000</v>
      </c>
      <c r="E11246" s="201">
        <v>45809</v>
      </c>
      <c r="F11246" s="200" t="s">
        <v>296</v>
      </c>
      <c r="G11246" s="200" t="s">
        <v>5466</v>
      </c>
      <c r="H11246" s="200" t="s">
        <v>5384</v>
      </c>
      <c r="I11246" s="200" t="s">
        <v>3272</v>
      </c>
    </row>
    <row r="11247" spans="1:9" ht="15" customHeight="1">
      <c r="A11247" s="199">
        <v>45817</v>
      </c>
      <c r="B11247" s="202" t="s">
        <v>729</v>
      </c>
      <c r="C11247" s="200" t="s">
        <v>204</v>
      </c>
      <c r="D11247" s="765">
        <v>-15000</v>
      </c>
      <c r="E11247" s="201">
        <v>45809</v>
      </c>
      <c r="F11247" s="200" t="s">
        <v>296</v>
      </c>
      <c r="G11247" s="200" t="s">
        <v>5466</v>
      </c>
      <c r="H11247" s="200" t="s">
        <v>342</v>
      </c>
      <c r="I11247" s="200" t="s">
        <v>3272</v>
      </c>
    </row>
    <row r="11248" spans="1:9" ht="15" customHeight="1">
      <c r="A11248" s="199">
        <v>45817</v>
      </c>
      <c r="B11248" s="202" t="s">
        <v>729</v>
      </c>
      <c r="C11248" s="200" t="s">
        <v>204</v>
      </c>
      <c r="D11248" s="765">
        <v>-4500</v>
      </c>
      <c r="E11248" s="201">
        <v>45809</v>
      </c>
      <c r="F11248" s="200" t="s">
        <v>296</v>
      </c>
      <c r="G11248" s="200" t="s">
        <v>1362</v>
      </c>
      <c r="H11248" s="200" t="s">
        <v>342</v>
      </c>
      <c r="I11248" s="200" t="s">
        <v>3272</v>
      </c>
    </row>
    <row r="11249" spans="1:9" ht="15" customHeight="1">
      <c r="A11249" s="199">
        <v>45817</v>
      </c>
      <c r="B11249" s="202" t="s">
        <v>268</v>
      </c>
      <c r="C11249" s="200" t="s">
        <v>204</v>
      </c>
      <c r="D11249" s="765">
        <v>-12000</v>
      </c>
      <c r="E11249" s="201">
        <v>45809</v>
      </c>
      <c r="F11249" s="200" t="s">
        <v>296</v>
      </c>
      <c r="G11249" s="200" t="s">
        <v>1362</v>
      </c>
      <c r="H11249" s="200" t="s">
        <v>268</v>
      </c>
      <c r="I11249" s="200" t="s">
        <v>3272</v>
      </c>
    </row>
    <row r="11250" spans="1:9" ht="15" customHeight="1">
      <c r="A11250" s="199">
        <v>45817</v>
      </c>
      <c r="B11250" s="202" t="s">
        <v>8259</v>
      </c>
      <c r="C11250" s="200" t="s">
        <v>204</v>
      </c>
      <c r="D11250" s="765">
        <v>-26000</v>
      </c>
      <c r="E11250" s="201">
        <v>45809</v>
      </c>
      <c r="F11250" s="200" t="s">
        <v>296</v>
      </c>
      <c r="G11250" s="200" t="s">
        <v>1362</v>
      </c>
      <c r="H11250" s="200" t="s">
        <v>342</v>
      </c>
      <c r="I11250" s="200" t="s">
        <v>3272</v>
      </c>
    </row>
    <row r="11251" spans="1:9" ht="15" customHeight="1">
      <c r="A11251" s="199">
        <v>45817</v>
      </c>
      <c r="B11251" s="202" t="s">
        <v>8260</v>
      </c>
      <c r="C11251" s="200" t="s">
        <v>204</v>
      </c>
      <c r="D11251" s="765">
        <v>-5400</v>
      </c>
      <c r="E11251" s="201">
        <v>45809</v>
      </c>
      <c r="F11251" s="200" t="s">
        <v>296</v>
      </c>
      <c r="G11251" s="200" t="s">
        <v>5466</v>
      </c>
      <c r="H11251" s="200" t="s">
        <v>346</v>
      </c>
      <c r="I11251" s="200" t="s">
        <v>3272</v>
      </c>
    </row>
    <row r="11252" spans="1:9" ht="15" customHeight="1">
      <c r="A11252" s="199">
        <v>45817</v>
      </c>
      <c r="B11252" s="202" t="s">
        <v>8261</v>
      </c>
      <c r="C11252" s="200" t="s">
        <v>204</v>
      </c>
      <c r="D11252" s="765">
        <v>-5000</v>
      </c>
      <c r="E11252" s="201">
        <v>45809</v>
      </c>
      <c r="F11252" s="200" t="s">
        <v>296</v>
      </c>
      <c r="G11252" s="200" t="s">
        <v>5466</v>
      </c>
      <c r="H11252" s="200" t="s">
        <v>346</v>
      </c>
      <c r="I11252" s="200" t="s">
        <v>3272</v>
      </c>
    </row>
    <row r="11253" spans="1:9" ht="15" customHeight="1">
      <c r="A11253" s="199">
        <v>45818</v>
      </c>
      <c r="B11253" s="202" t="s">
        <v>729</v>
      </c>
      <c r="C11253" s="200" t="s">
        <v>204</v>
      </c>
      <c r="D11253" s="765">
        <v>-14700</v>
      </c>
      <c r="E11253" s="201">
        <v>45809</v>
      </c>
      <c r="F11253" s="200" t="s">
        <v>296</v>
      </c>
      <c r="G11253" s="200" t="s">
        <v>5466</v>
      </c>
      <c r="H11253" s="200" t="s">
        <v>342</v>
      </c>
      <c r="I11253" s="200" t="s">
        <v>3272</v>
      </c>
    </row>
    <row r="11254" spans="1:9" ht="15" customHeight="1">
      <c r="A11254" s="199">
        <v>45818</v>
      </c>
      <c r="B11254" s="202" t="s">
        <v>8262</v>
      </c>
      <c r="C11254" s="200" t="s">
        <v>204</v>
      </c>
      <c r="D11254" s="765">
        <v>-4000</v>
      </c>
      <c r="E11254" s="201">
        <v>45809</v>
      </c>
      <c r="F11254" s="200" t="s">
        <v>296</v>
      </c>
      <c r="G11254" s="200" t="s">
        <v>5466</v>
      </c>
      <c r="H11254" s="200" t="s">
        <v>346</v>
      </c>
      <c r="I11254" s="200" t="s">
        <v>3272</v>
      </c>
    </row>
    <row r="11255" spans="1:9" ht="15" customHeight="1">
      <c r="A11255" s="199">
        <v>45818</v>
      </c>
      <c r="B11255" s="202" t="s">
        <v>8263</v>
      </c>
      <c r="C11255" s="200" t="s">
        <v>204</v>
      </c>
      <c r="D11255" s="765">
        <v>-50000</v>
      </c>
      <c r="E11255" s="201">
        <v>45809</v>
      </c>
      <c r="F11255" s="200" t="s">
        <v>296</v>
      </c>
      <c r="G11255" s="200" t="s">
        <v>5466</v>
      </c>
      <c r="H11255" s="200" t="s">
        <v>346</v>
      </c>
      <c r="I11255" s="200" t="s">
        <v>3272</v>
      </c>
    </row>
    <row r="11256" spans="1:9" ht="15" customHeight="1">
      <c r="A11256" s="199">
        <v>45818</v>
      </c>
      <c r="B11256" s="202" t="s">
        <v>8264</v>
      </c>
      <c r="C11256" s="200" t="s">
        <v>204</v>
      </c>
      <c r="D11256" s="765">
        <v>-6000</v>
      </c>
      <c r="E11256" s="201">
        <v>45809</v>
      </c>
      <c r="F11256" s="200" t="s">
        <v>296</v>
      </c>
      <c r="G11256" s="200" t="s">
        <v>5466</v>
      </c>
      <c r="H11256" s="200" t="s">
        <v>346</v>
      </c>
      <c r="I11256" s="200" t="s">
        <v>3272</v>
      </c>
    </row>
    <row r="11257" spans="1:9" ht="15" customHeight="1">
      <c r="A11257" s="199">
        <v>45818</v>
      </c>
      <c r="B11257" s="202" t="s">
        <v>8265</v>
      </c>
      <c r="C11257" s="200" t="s">
        <v>204</v>
      </c>
      <c r="D11257" s="765">
        <v>-57185</v>
      </c>
      <c r="E11257" s="201">
        <v>45809</v>
      </c>
      <c r="F11257" s="200" t="s">
        <v>296</v>
      </c>
      <c r="G11257" s="200" t="s">
        <v>5466</v>
      </c>
      <c r="H11257" s="200" t="s">
        <v>346</v>
      </c>
      <c r="I11257" s="200" t="s">
        <v>3272</v>
      </c>
    </row>
    <row r="11258" spans="1:9" ht="15" customHeight="1">
      <c r="A11258" s="199">
        <v>45818</v>
      </c>
      <c r="B11258" s="202" t="s">
        <v>8266</v>
      </c>
      <c r="C11258" s="200" t="s">
        <v>204</v>
      </c>
      <c r="D11258" s="765">
        <v>-10000</v>
      </c>
      <c r="E11258" s="201">
        <v>45809</v>
      </c>
      <c r="F11258" s="200" t="s">
        <v>296</v>
      </c>
      <c r="G11258" s="200" t="s">
        <v>5466</v>
      </c>
      <c r="H11258" s="200" t="s">
        <v>268</v>
      </c>
      <c r="I11258" s="200" t="s">
        <v>3272</v>
      </c>
    </row>
    <row r="11259" spans="1:9" ht="15" customHeight="1">
      <c r="A11259" s="199">
        <v>45819</v>
      </c>
      <c r="B11259" s="202" t="s">
        <v>8267</v>
      </c>
      <c r="C11259" s="200" t="s">
        <v>204</v>
      </c>
      <c r="D11259" s="765">
        <v>-25000</v>
      </c>
      <c r="E11259" s="201">
        <v>45809</v>
      </c>
      <c r="F11259" s="200" t="s">
        <v>296</v>
      </c>
      <c r="G11259" s="200" t="s">
        <v>5466</v>
      </c>
      <c r="H11259" s="200" t="s">
        <v>5384</v>
      </c>
      <c r="I11259" s="200" t="s">
        <v>3272</v>
      </c>
    </row>
    <row r="11260" spans="1:9" ht="15" customHeight="1">
      <c r="A11260" s="199">
        <v>45819</v>
      </c>
      <c r="B11260" s="202" t="s">
        <v>8268</v>
      </c>
      <c r="C11260" s="200" t="s">
        <v>204</v>
      </c>
      <c r="D11260" s="765">
        <v>-24000</v>
      </c>
      <c r="E11260" s="201">
        <v>45809</v>
      </c>
      <c r="F11260" s="200" t="s">
        <v>296</v>
      </c>
      <c r="G11260" s="200" t="s">
        <v>5466</v>
      </c>
      <c r="H11260" s="200" t="s">
        <v>5384</v>
      </c>
      <c r="I11260" s="200" t="s">
        <v>3272</v>
      </c>
    </row>
    <row r="11261" spans="1:9" ht="15" customHeight="1">
      <c r="A11261" s="199">
        <v>45819</v>
      </c>
      <c r="B11261" s="202" t="s">
        <v>8269</v>
      </c>
      <c r="C11261" s="200" t="s">
        <v>204</v>
      </c>
      <c r="D11261" s="765">
        <v>-8000</v>
      </c>
      <c r="E11261" s="201">
        <v>45809</v>
      </c>
      <c r="F11261" s="200" t="s">
        <v>296</v>
      </c>
      <c r="G11261" s="200" t="s">
        <v>5466</v>
      </c>
      <c r="H11261" s="200" t="s">
        <v>5384</v>
      </c>
      <c r="I11261" s="200" t="s">
        <v>3272</v>
      </c>
    </row>
    <row r="11262" spans="1:9" ht="15" customHeight="1">
      <c r="A11262" s="199">
        <v>45819</v>
      </c>
      <c r="B11262" s="202" t="s">
        <v>8270</v>
      </c>
      <c r="C11262" s="200" t="s">
        <v>204</v>
      </c>
      <c r="D11262" s="765">
        <v>-4500</v>
      </c>
      <c r="E11262" s="201">
        <v>45809</v>
      </c>
      <c r="F11262" s="200" t="s">
        <v>296</v>
      </c>
      <c r="G11262" s="200" t="s">
        <v>5466</v>
      </c>
      <c r="H11262" s="200" t="s">
        <v>268</v>
      </c>
      <c r="I11262" s="200" t="s">
        <v>3272</v>
      </c>
    </row>
    <row r="11263" spans="1:9" ht="15" customHeight="1">
      <c r="A11263" s="199">
        <v>45819</v>
      </c>
      <c r="B11263" s="202" t="s">
        <v>8271</v>
      </c>
      <c r="C11263" s="200" t="s">
        <v>204</v>
      </c>
      <c r="D11263" s="765">
        <v>-28300</v>
      </c>
      <c r="E11263" s="201">
        <v>45809</v>
      </c>
      <c r="F11263" s="200" t="s">
        <v>296</v>
      </c>
      <c r="G11263" s="200" t="s">
        <v>5466</v>
      </c>
      <c r="H11263" s="200" t="s">
        <v>5384</v>
      </c>
      <c r="I11263" s="200" t="s">
        <v>3272</v>
      </c>
    </row>
    <row r="11264" spans="1:9" ht="15" customHeight="1">
      <c r="A11264" s="199">
        <v>45819</v>
      </c>
      <c r="B11264" s="202" t="s">
        <v>8272</v>
      </c>
      <c r="C11264" s="200" t="s">
        <v>204</v>
      </c>
      <c r="D11264" s="765">
        <v>-30000</v>
      </c>
      <c r="E11264" s="201">
        <v>45809</v>
      </c>
      <c r="F11264" s="200" t="s">
        <v>296</v>
      </c>
      <c r="G11264" s="200" t="s">
        <v>5466</v>
      </c>
      <c r="H11264" s="200" t="s">
        <v>5384</v>
      </c>
      <c r="I11264" s="200" t="s">
        <v>3272</v>
      </c>
    </row>
    <row r="11265" spans="1:9" ht="15" customHeight="1">
      <c r="A11265" s="199">
        <v>45820</v>
      </c>
      <c r="B11265" s="202" t="s">
        <v>8273</v>
      </c>
      <c r="C11265" s="200" t="s">
        <v>204</v>
      </c>
      <c r="D11265" s="765">
        <v>-20000</v>
      </c>
      <c r="E11265" s="201">
        <v>45809</v>
      </c>
      <c r="F11265" s="200" t="s">
        <v>296</v>
      </c>
      <c r="G11265" s="200" t="s">
        <v>5466</v>
      </c>
      <c r="H11265" s="200" t="s">
        <v>5384</v>
      </c>
      <c r="I11265" s="200" t="s">
        <v>3272</v>
      </c>
    </row>
    <row r="11266" spans="1:9" ht="15" customHeight="1">
      <c r="A11266" s="199">
        <v>45820</v>
      </c>
      <c r="B11266" s="202" t="s">
        <v>8274</v>
      </c>
      <c r="C11266" s="200" t="s">
        <v>204</v>
      </c>
      <c r="D11266" s="765">
        <v>-5200</v>
      </c>
      <c r="E11266" s="201">
        <v>45809</v>
      </c>
      <c r="F11266" s="200" t="s">
        <v>296</v>
      </c>
      <c r="G11266" s="200" t="s">
        <v>5466</v>
      </c>
      <c r="H11266" s="200" t="s">
        <v>268</v>
      </c>
      <c r="I11266" s="200" t="s">
        <v>3272</v>
      </c>
    </row>
    <row r="11267" spans="1:9" ht="15" customHeight="1">
      <c r="A11267" s="199">
        <v>45820</v>
      </c>
      <c r="B11267" s="202" t="s">
        <v>8275</v>
      </c>
      <c r="C11267" s="200" t="s">
        <v>204</v>
      </c>
      <c r="D11267" s="765">
        <v>-4800</v>
      </c>
      <c r="E11267" s="201">
        <v>45809</v>
      </c>
      <c r="F11267" s="200" t="s">
        <v>296</v>
      </c>
      <c r="G11267" s="200" t="s">
        <v>5466</v>
      </c>
      <c r="H11267" s="200" t="s">
        <v>268</v>
      </c>
      <c r="I11267" s="200" t="s">
        <v>3272</v>
      </c>
    </row>
    <row r="11268" spans="1:9" ht="15" customHeight="1">
      <c r="A11268" s="199">
        <v>45820</v>
      </c>
      <c r="B11268" s="202" t="s">
        <v>8276</v>
      </c>
      <c r="C11268" s="200" t="s">
        <v>204</v>
      </c>
      <c r="D11268" s="765">
        <v>-15000</v>
      </c>
      <c r="E11268" s="201">
        <v>45809</v>
      </c>
      <c r="F11268" s="200" t="s">
        <v>296</v>
      </c>
      <c r="G11268" s="200" t="s">
        <v>5466</v>
      </c>
      <c r="H11268" s="200" t="s">
        <v>5384</v>
      </c>
      <c r="I11268" s="200" t="s">
        <v>3272</v>
      </c>
    </row>
    <row r="11269" spans="1:9" ht="15" customHeight="1">
      <c r="A11269" s="199">
        <v>45820</v>
      </c>
      <c r="B11269" s="202" t="s">
        <v>8277</v>
      </c>
      <c r="C11269" s="200" t="s">
        <v>204</v>
      </c>
      <c r="D11269" s="765">
        <v>-78400</v>
      </c>
      <c r="E11269" s="201">
        <v>45809</v>
      </c>
      <c r="F11269" s="200" t="s">
        <v>296</v>
      </c>
      <c r="G11269" s="200" t="s">
        <v>5466</v>
      </c>
      <c r="H11269" s="200" t="s">
        <v>5384</v>
      </c>
      <c r="I11269" s="200" t="s">
        <v>3272</v>
      </c>
    </row>
    <row r="11270" spans="1:9" ht="15" customHeight="1">
      <c r="A11270" s="199">
        <v>45820</v>
      </c>
      <c r="B11270" s="202" t="s">
        <v>8278</v>
      </c>
      <c r="C11270" s="200" t="s">
        <v>204</v>
      </c>
      <c r="D11270" s="765">
        <v>-5000</v>
      </c>
      <c r="E11270" s="201">
        <v>45809</v>
      </c>
      <c r="F11270" s="200" t="s">
        <v>296</v>
      </c>
      <c r="G11270" s="200" t="s">
        <v>5466</v>
      </c>
      <c r="H11270" s="200" t="s">
        <v>5384</v>
      </c>
      <c r="I11270" s="200" t="s">
        <v>3272</v>
      </c>
    </row>
    <row r="11271" spans="1:9" ht="15" customHeight="1">
      <c r="A11271" s="199">
        <v>45820</v>
      </c>
      <c r="B11271" s="202" t="s">
        <v>729</v>
      </c>
      <c r="C11271" s="200" t="s">
        <v>204</v>
      </c>
      <c r="D11271" s="765">
        <v>-11000</v>
      </c>
      <c r="E11271" s="201">
        <v>45809</v>
      </c>
      <c r="F11271" s="200" t="s">
        <v>296</v>
      </c>
      <c r="G11271" s="200" t="s">
        <v>5466</v>
      </c>
      <c r="H11271" s="200" t="s">
        <v>342</v>
      </c>
      <c r="I11271" s="200" t="s">
        <v>3272</v>
      </c>
    </row>
    <row r="11272" spans="1:9" ht="15" customHeight="1">
      <c r="A11272" s="199">
        <v>45820</v>
      </c>
      <c r="B11272" s="202" t="s">
        <v>729</v>
      </c>
      <c r="C11272" s="200" t="s">
        <v>204</v>
      </c>
      <c r="D11272" s="765">
        <v>-7600</v>
      </c>
      <c r="E11272" s="201">
        <v>45809</v>
      </c>
      <c r="F11272" s="200" t="s">
        <v>296</v>
      </c>
      <c r="G11272" s="200" t="s">
        <v>5466</v>
      </c>
      <c r="H11272" s="200" t="s">
        <v>342</v>
      </c>
      <c r="I11272" s="200" t="s">
        <v>3272</v>
      </c>
    </row>
    <row r="11273" spans="1:9" ht="15" customHeight="1">
      <c r="A11273" s="199">
        <v>45820</v>
      </c>
      <c r="B11273" s="202" t="s">
        <v>8279</v>
      </c>
      <c r="C11273" s="200" t="s">
        <v>204</v>
      </c>
      <c r="D11273" s="765">
        <v>-4800</v>
      </c>
      <c r="E11273" s="201">
        <v>45809</v>
      </c>
      <c r="F11273" s="200" t="s">
        <v>296</v>
      </c>
      <c r="G11273" s="200" t="s">
        <v>5466</v>
      </c>
      <c r="H11273" s="200" t="s">
        <v>5384</v>
      </c>
      <c r="I11273" s="200" t="s">
        <v>3272</v>
      </c>
    </row>
    <row r="11274" spans="1:9" ht="15" customHeight="1">
      <c r="A11274" s="199">
        <v>45820</v>
      </c>
      <c r="B11274" s="202" t="s">
        <v>8280</v>
      </c>
      <c r="C11274" s="200" t="s">
        <v>204</v>
      </c>
      <c r="D11274" s="765">
        <v>-6000</v>
      </c>
      <c r="E11274" s="201">
        <v>45809</v>
      </c>
      <c r="F11274" s="200" t="s">
        <v>296</v>
      </c>
      <c r="G11274" s="200" t="s">
        <v>5466</v>
      </c>
      <c r="H11274" s="200" t="s">
        <v>268</v>
      </c>
      <c r="I11274" s="200" t="s">
        <v>3272</v>
      </c>
    </row>
    <row r="11275" spans="1:9" ht="15" customHeight="1">
      <c r="A11275" s="199">
        <v>45821</v>
      </c>
      <c r="B11275" s="202" t="s">
        <v>8281</v>
      </c>
      <c r="C11275" s="200" t="s">
        <v>204</v>
      </c>
      <c r="D11275" s="765">
        <v>-107500</v>
      </c>
      <c r="E11275" s="201">
        <v>45809</v>
      </c>
      <c r="F11275" s="200" t="s">
        <v>296</v>
      </c>
      <c r="G11275" s="200" t="s">
        <v>5466</v>
      </c>
      <c r="H11275" s="200" t="s">
        <v>5384</v>
      </c>
      <c r="I11275" s="200" t="s">
        <v>3272</v>
      </c>
    </row>
    <row r="11276" spans="1:9" ht="15" customHeight="1">
      <c r="A11276" s="199">
        <v>45821</v>
      </c>
      <c r="B11276" s="202" t="s">
        <v>8282</v>
      </c>
      <c r="C11276" s="200" t="s">
        <v>204</v>
      </c>
      <c r="D11276" s="765">
        <v>-3000</v>
      </c>
      <c r="E11276" s="201">
        <v>45809</v>
      </c>
      <c r="F11276" s="200" t="s">
        <v>296</v>
      </c>
      <c r="G11276" s="200" t="s">
        <v>5466</v>
      </c>
      <c r="H11276" s="200" t="s">
        <v>346</v>
      </c>
      <c r="I11276" s="200" t="s">
        <v>3272</v>
      </c>
    </row>
    <row r="11277" spans="1:9" ht="15" customHeight="1">
      <c r="A11277" s="199">
        <v>45832</v>
      </c>
      <c r="B11277" s="202" t="s">
        <v>8283</v>
      </c>
      <c r="C11277" s="200" t="s">
        <v>204</v>
      </c>
      <c r="D11277" s="765">
        <v>-2386427</v>
      </c>
      <c r="E11277" s="201">
        <v>45809</v>
      </c>
      <c r="F11277" s="200" t="s">
        <v>296</v>
      </c>
      <c r="G11277" s="200" t="s">
        <v>44</v>
      </c>
      <c r="H11277" s="200" t="s">
        <v>8284</v>
      </c>
    </row>
    <row r="11278" spans="1:9" ht="15" customHeight="1">
      <c r="A11278" s="199">
        <v>45832</v>
      </c>
      <c r="B11278" s="202" t="s">
        <v>8285</v>
      </c>
      <c r="C11278" s="200" t="s">
        <v>204</v>
      </c>
      <c r="D11278" s="765">
        <v>-193696</v>
      </c>
      <c r="E11278" s="201">
        <v>45809</v>
      </c>
      <c r="F11278" s="200" t="s">
        <v>296</v>
      </c>
      <c r="G11278" s="200" t="s">
        <v>1124</v>
      </c>
      <c r="H11278" s="200" t="s">
        <v>8284</v>
      </c>
    </row>
    <row r="11279" spans="1:9" ht="15" customHeight="1">
      <c r="A11279" s="199">
        <v>45832</v>
      </c>
      <c r="B11279" s="202" t="s">
        <v>8285</v>
      </c>
      <c r="C11279" s="200" t="s">
        <v>204</v>
      </c>
      <c r="D11279" s="765">
        <v>-2551503</v>
      </c>
      <c r="E11279" s="201">
        <v>45809</v>
      </c>
      <c r="F11279" s="200" t="s">
        <v>296</v>
      </c>
      <c r="G11279" s="200" t="s">
        <v>522</v>
      </c>
      <c r="H11279" s="200" t="s">
        <v>8284</v>
      </c>
    </row>
    <row r="11280" spans="1:9" ht="15" customHeight="1">
      <c r="A11280" s="199">
        <v>45832</v>
      </c>
      <c r="B11280" s="202" t="s">
        <v>8286</v>
      </c>
      <c r="C11280" s="200" t="s">
        <v>204</v>
      </c>
      <c r="D11280" s="765">
        <v>-606900</v>
      </c>
      <c r="E11280" s="201">
        <v>45809</v>
      </c>
      <c r="F11280" s="200" t="s">
        <v>296</v>
      </c>
      <c r="G11280" s="200" t="s">
        <v>5466</v>
      </c>
      <c r="H11280" s="200" t="s">
        <v>8284</v>
      </c>
    </row>
    <row r="11281" spans="1:8" ht="15" customHeight="1">
      <c r="A11281" s="199">
        <v>45833</v>
      </c>
      <c r="B11281" s="202" t="s">
        <v>8287</v>
      </c>
      <c r="C11281" s="200" t="s">
        <v>204</v>
      </c>
      <c r="D11281" s="765">
        <v>-606900</v>
      </c>
      <c r="E11281" s="201">
        <v>45809</v>
      </c>
      <c r="F11281" s="200" t="s">
        <v>296</v>
      </c>
      <c r="G11281" s="200" t="s">
        <v>3847</v>
      </c>
      <c r="H11281" s="200" t="s">
        <v>8284</v>
      </c>
    </row>
    <row r="11282" spans="1:8" ht="15" customHeight="1">
      <c r="A11282" s="199">
        <v>45833</v>
      </c>
      <c r="B11282" s="202" t="s">
        <v>8288</v>
      </c>
      <c r="C11282" s="200" t="s">
        <v>204</v>
      </c>
      <c r="D11282" s="765">
        <v>-11600</v>
      </c>
      <c r="E11282" s="201">
        <v>45809</v>
      </c>
      <c r="F11282" s="200" t="s">
        <v>256</v>
      </c>
      <c r="G11282" s="200" t="s">
        <v>256</v>
      </c>
      <c r="H11282" s="200" t="s">
        <v>261</v>
      </c>
    </row>
    <row r="11283" spans="1:8" ht="15" customHeight="1">
      <c r="A11283" s="199">
        <v>45833</v>
      </c>
      <c r="B11283" s="202" t="s">
        <v>8289</v>
      </c>
      <c r="C11283" s="200" t="s">
        <v>204</v>
      </c>
      <c r="D11283" s="765">
        <v>-700000</v>
      </c>
      <c r="E11283" s="201">
        <v>45809</v>
      </c>
      <c r="F11283" s="200" t="s">
        <v>296</v>
      </c>
      <c r="G11283" s="200" t="s">
        <v>57</v>
      </c>
      <c r="H11283" s="200" t="s">
        <v>96</v>
      </c>
    </row>
    <row r="11284" spans="1:8" ht="15" customHeight="1">
      <c r="A11284" s="199">
        <v>45833</v>
      </c>
      <c r="B11284" s="202" t="s">
        <v>8289</v>
      </c>
      <c r="C11284" s="200" t="s">
        <v>204</v>
      </c>
      <c r="D11284" s="765">
        <v>-700000</v>
      </c>
      <c r="E11284" s="201">
        <v>45809</v>
      </c>
      <c r="F11284" s="200" t="s">
        <v>296</v>
      </c>
      <c r="G11284" s="200" t="s">
        <v>57</v>
      </c>
      <c r="H11284" s="200" t="s">
        <v>96</v>
      </c>
    </row>
    <row r="11285" spans="1:8" ht="15" customHeight="1">
      <c r="A11285" s="199">
        <v>45833</v>
      </c>
      <c r="B11285" s="202" t="s">
        <v>8289</v>
      </c>
      <c r="C11285" s="200" t="s">
        <v>204</v>
      </c>
      <c r="D11285" s="765">
        <v>-700000</v>
      </c>
      <c r="E11285" s="201">
        <v>45809</v>
      </c>
      <c r="F11285" s="200" t="s">
        <v>296</v>
      </c>
      <c r="G11285" s="200" t="s">
        <v>57</v>
      </c>
      <c r="H11285" s="200" t="s">
        <v>96</v>
      </c>
    </row>
    <row r="11286" spans="1:8" ht="15" customHeight="1">
      <c r="A11286" s="199">
        <v>45833</v>
      </c>
      <c r="B11286" s="202" t="s">
        <v>8290</v>
      </c>
      <c r="C11286" s="200" t="s">
        <v>204</v>
      </c>
      <c r="D11286" s="765">
        <v>-1200000</v>
      </c>
      <c r="E11286" s="201">
        <v>45809</v>
      </c>
      <c r="F11286" s="200" t="s">
        <v>296</v>
      </c>
      <c r="G11286" s="200" t="s">
        <v>57</v>
      </c>
      <c r="H11286" s="200" t="s">
        <v>100</v>
      </c>
    </row>
    <row r="11287" spans="1:8" ht="15" customHeight="1">
      <c r="A11287" s="199">
        <v>45833</v>
      </c>
      <c r="B11287" s="202" t="s">
        <v>8291</v>
      </c>
      <c r="C11287" s="200" t="s">
        <v>204</v>
      </c>
      <c r="D11287" s="765">
        <v>-1000000</v>
      </c>
      <c r="E11287" s="201">
        <v>45809</v>
      </c>
      <c r="F11287" s="200" t="s">
        <v>296</v>
      </c>
      <c r="G11287" s="200" t="s">
        <v>57</v>
      </c>
      <c r="H11287" s="200" t="s">
        <v>100</v>
      </c>
    </row>
    <row r="11288" spans="1:8" ht="15" customHeight="1">
      <c r="A11288" s="199">
        <v>45833</v>
      </c>
      <c r="B11288" s="202" t="s">
        <v>8292</v>
      </c>
      <c r="C11288" s="200" t="s">
        <v>204</v>
      </c>
      <c r="D11288" s="765">
        <v>-1000000</v>
      </c>
      <c r="E11288" s="201">
        <v>45809</v>
      </c>
      <c r="F11288" s="200" t="s">
        <v>296</v>
      </c>
      <c r="G11288" s="200" t="s">
        <v>57</v>
      </c>
      <c r="H11288" s="200" t="s">
        <v>100</v>
      </c>
    </row>
    <row r="11289" spans="1:8" ht="15" customHeight="1">
      <c r="A11289" s="199">
        <v>45833</v>
      </c>
      <c r="B11289" s="202" t="s">
        <v>8293</v>
      </c>
      <c r="C11289" s="200" t="s">
        <v>204</v>
      </c>
      <c r="D11289" s="765">
        <v>-11847300</v>
      </c>
      <c r="E11289" s="201">
        <v>45809</v>
      </c>
      <c r="F11289" s="200" t="s">
        <v>296</v>
      </c>
      <c r="G11289" s="200" t="s">
        <v>57</v>
      </c>
      <c r="H11289" s="200" t="s">
        <v>8294</v>
      </c>
    </row>
    <row r="11290" spans="1:8" ht="15" customHeight="1">
      <c r="A11290" s="199">
        <v>45833</v>
      </c>
      <c r="B11290" s="202" t="s">
        <v>8295</v>
      </c>
      <c r="C11290" s="200" t="s">
        <v>204</v>
      </c>
      <c r="D11290" s="765">
        <v>-17074050</v>
      </c>
      <c r="E11290" s="201">
        <v>45809</v>
      </c>
      <c r="F11290" s="200" t="s">
        <v>296</v>
      </c>
      <c r="G11290" s="200" t="s">
        <v>57</v>
      </c>
      <c r="H11290" s="200" t="s">
        <v>8294</v>
      </c>
    </row>
    <row r="11291" spans="1:8" ht="15" customHeight="1">
      <c r="A11291" s="199">
        <v>45833</v>
      </c>
      <c r="B11291" s="202" t="s">
        <v>8296</v>
      </c>
      <c r="C11291" s="200" t="s">
        <v>204</v>
      </c>
      <c r="D11291" s="765">
        <v>-9988900</v>
      </c>
      <c r="E11291" s="201">
        <v>45809</v>
      </c>
      <c r="F11291" s="200" t="s">
        <v>296</v>
      </c>
      <c r="G11291" s="200" t="s">
        <v>57</v>
      </c>
      <c r="H11291" s="200" t="s">
        <v>8294</v>
      </c>
    </row>
    <row r="11292" spans="1:8" ht="15" customHeight="1">
      <c r="A11292" s="199">
        <v>45833</v>
      </c>
      <c r="B11292" s="202" t="s">
        <v>8297</v>
      </c>
      <c r="C11292" s="200" t="s">
        <v>204</v>
      </c>
      <c r="D11292" s="765">
        <v>-6626358</v>
      </c>
      <c r="E11292" s="201">
        <v>45809</v>
      </c>
      <c r="F11292" s="200" t="s">
        <v>296</v>
      </c>
      <c r="G11292" s="200" t="s">
        <v>57</v>
      </c>
      <c r="H11292" s="200" t="s">
        <v>8294</v>
      </c>
    </row>
    <row r="11293" spans="1:8" ht="15" customHeight="1">
      <c r="A11293" s="199">
        <v>45833</v>
      </c>
      <c r="B11293" s="202" t="s">
        <v>8298</v>
      </c>
      <c r="C11293" s="200" t="s">
        <v>204</v>
      </c>
      <c r="D11293" s="765">
        <v>-17074050</v>
      </c>
      <c r="E11293" s="201">
        <v>45809</v>
      </c>
      <c r="F11293" s="200" t="s">
        <v>296</v>
      </c>
      <c r="G11293" s="200" t="s">
        <v>57</v>
      </c>
      <c r="H11293" s="200" t="s">
        <v>8294</v>
      </c>
    </row>
    <row r="11294" spans="1:8" ht="15" customHeight="1">
      <c r="A11294" s="199">
        <v>45833</v>
      </c>
      <c r="B11294" s="202" t="s">
        <v>8299</v>
      </c>
      <c r="C11294" s="200" t="s">
        <v>204</v>
      </c>
      <c r="D11294" s="765">
        <v>-8537025</v>
      </c>
      <c r="E11294" s="201">
        <v>45809</v>
      </c>
      <c r="F11294" s="200" t="s">
        <v>296</v>
      </c>
      <c r="G11294" s="200" t="s">
        <v>57</v>
      </c>
      <c r="H11294" s="200" t="s">
        <v>8294</v>
      </c>
    </row>
    <row r="11295" spans="1:8" ht="15" customHeight="1">
      <c r="A11295" s="199">
        <v>45833</v>
      </c>
      <c r="B11295" s="202" t="s">
        <v>8300</v>
      </c>
      <c r="C11295" s="200" t="s">
        <v>204</v>
      </c>
      <c r="D11295" s="765">
        <v>-696600</v>
      </c>
      <c r="E11295" s="201">
        <v>45809</v>
      </c>
      <c r="F11295" s="200" t="s">
        <v>296</v>
      </c>
      <c r="G11295" s="200" t="s">
        <v>522</v>
      </c>
      <c r="H11295" s="200" t="s">
        <v>366</v>
      </c>
    </row>
    <row r="11296" spans="1:8" ht="15" customHeight="1">
      <c r="A11296" s="199">
        <v>45833</v>
      </c>
      <c r="B11296" s="202" t="s">
        <v>8301</v>
      </c>
      <c r="C11296" s="200" t="s">
        <v>204</v>
      </c>
      <c r="D11296" s="765">
        <v>-39900</v>
      </c>
      <c r="E11296" s="201">
        <v>45809</v>
      </c>
      <c r="F11296" s="200" t="s">
        <v>296</v>
      </c>
      <c r="G11296" s="200" t="s">
        <v>522</v>
      </c>
      <c r="H11296" s="200" t="s">
        <v>5965</v>
      </c>
    </row>
    <row r="11297" spans="1:8" ht="15" customHeight="1">
      <c r="A11297" s="199">
        <v>45833</v>
      </c>
      <c r="B11297" s="202" t="s">
        <v>8302</v>
      </c>
      <c r="C11297" s="200" t="s">
        <v>204</v>
      </c>
      <c r="D11297" s="765">
        <v>-1300000</v>
      </c>
      <c r="E11297" s="201">
        <v>45809</v>
      </c>
      <c r="F11297" s="200" t="s">
        <v>256</v>
      </c>
      <c r="G11297" s="200" t="s">
        <v>107</v>
      </c>
      <c r="H11297" s="200" t="s">
        <v>116</v>
      </c>
    </row>
    <row r="11298" spans="1:8" ht="15" customHeight="1">
      <c r="A11298" s="199">
        <v>45833</v>
      </c>
      <c r="B11298" s="202" t="s">
        <v>8303</v>
      </c>
      <c r="C11298" s="200" t="s">
        <v>204</v>
      </c>
      <c r="D11298" s="765">
        <v>-756560</v>
      </c>
      <c r="E11298" s="201">
        <v>45809</v>
      </c>
      <c r="F11298" s="200" t="s">
        <v>256</v>
      </c>
      <c r="G11298" s="200" t="s">
        <v>256</v>
      </c>
      <c r="H11298" s="200" t="s">
        <v>269</v>
      </c>
    </row>
    <row r="11299" spans="1:8" ht="15" customHeight="1">
      <c r="A11299" s="199">
        <v>45834</v>
      </c>
      <c r="B11299" s="202" t="s">
        <v>8304</v>
      </c>
      <c r="C11299" s="200" t="s">
        <v>204</v>
      </c>
      <c r="D11299" s="765">
        <v>-450000</v>
      </c>
      <c r="E11299" s="201">
        <v>45809</v>
      </c>
      <c r="F11299" s="200" t="s">
        <v>296</v>
      </c>
      <c r="G11299" s="200" t="s">
        <v>1980</v>
      </c>
      <c r="H11299" s="200" t="s">
        <v>322</v>
      </c>
    </row>
    <row r="11300" spans="1:8" ht="15" customHeight="1">
      <c r="A11300" s="199">
        <v>45834</v>
      </c>
      <c r="B11300" s="202" t="s">
        <v>8305</v>
      </c>
      <c r="C11300" s="200" t="s">
        <v>204</v>
      </c>
      <c r="D11300" s="765">
        <v>-3689000</v>
      </c>
      <c r="E11300" s="201">
        <v>45809</v>
      </c>
      <c r="F11300" s="200" t="s">
        <v>296</v>
      </c>
      <c r="G11300" s="200" t="s">
        <v>57</v>
      </c>
      <c r="H11300" s="200" t="s">
        <v>96</v>
      </c>
    </row>
    <row r="11301" spans="1:8" ht="15" customHeight="1">
      <c r="A11301" s="199">
        <v>45834</v>
      </c>
      <c r="B11301" s="202" t="s">
        <v>4830</v>
      </c>
      <c r="C11301" s="200" t="s">
        <v>204</v>
      </c>
      <c r="D11301" s="765">
        <v>-11615500</v>
      </c>
      <c r="E11301" s="201">
        <v>45809</v>
      </c>
      <c r="F11301" s="200" t="s">
        <v>296</v>
      </c>
      <c r="G11301" s="200" t="s">
        <v>6135</v>
      </c>
      <c r="H11301" s="200" t="s">
        <v>322</v>
      </c>
    </row>
    <row r="11302" spans="1:8" ht="15" customHeight="1">
      <c r="A11302" s="199">
        <v>45834</v>
      </c>
      <c r="B11302" s="202" t="s">
        <v>4830</v>
      </c>
      <c r="C11302" s="200" t="s">
        <v>204</v>
      </c>
      <c r="D11302" s="765">
        <v>-3534750</v>
      </c>
      <c r="E11302" s="201">
        <v>45809</v>
      </c>
      <c r="F11302" s="200" t="s">
        <v>296</v>
      </c>
      <c r="G11302" s="200" t="s">
        <v>1980</v>
      </c>
      <c r="H11302" s="200" t="s">
        <v>322</v>
      </c>
    </row>
    <row r="11303" spans="1:8" ht="15" customHeight="1">
      <c r="A11303" s="199">
        <v>45834</v>
      </c>
      <c r="B11303" s="202" t="s">
        <v>5411</v>
      </c>
      <c r="C11303" s="200" t="s">
        <v>204</v>
      </c>
      <c r="D11303" s="765">
        <v>-1097885</v>
      </c>
      <c r="E11303" s="201">
        <v>45809</v>
      </c>
      <c r="F11303" s="200" t="s">
        <v>315</v>
      </c>
    </row>
    <row r="11304" spans="1:8" ht="15" customHeight="1">
      <c r="A11304" s="199">
        <v>45834</v>
      </c>
      <c r="B11304" s="202" t="s">
        <v>5411</v>
      </c>
      <c r="C11304" s="200" t="s">
        <v>204</v>
      </c>
      <c r="D11304" s="765">
        <v>-527171</v>
      </c>
      <c r="E11304" s="201">
        <v>45809</v>
      </c>
      <c r="F11304" s="200" t="s">
        <v>315</v>
      </c>
    </row>
    <row r="11305" spans="1:8" ht="15" customHeight="1">
      <c r="A11305" s="199">
        <v>45834</v>
      </c>
      <c r="B11305" s="202" t="s">
        <v>5412</v>
      </c>
      <c r="C11305" s="200" t="s">
        <v>204</v>
      </c>
      <c r="D11305" s="765">
        <v>-1963888</v>
      </c>
      <c r="E11305" s="201">
        <v>45809</v>
      </c>
      <c r="F11305" s="200" t="s">
        <v>315</v>
      </c>
    </row>
    <row r="11306" spans="1:8" ht="15" customHeight="1">
      <c r="A11306" s="199">
        <v>45834</v>
      </c>
      <c r="B11306" s="202" t="s">
        <v>8306</v>
      </c>
      <c r="C11306" s="200" t="s">
        <v>204</v>
      </c>
      <c r="D11306" s="765">
        <v>-400000</v>
      </c>
      <c r="E11306" s="201">
        <v>45809</v>
      </c>
      <c r="F11306" s="200" t="s">
        <v>296</v>
      </c>
      <c r="G11306" s="200" t="s">
        <v>1980</v>
      </c>
      <c r="H11306" s="200" t="s">
        <v>326</v>
      </c>
    </row>
    <row r="11307" spans="1:8" ht="15" customHeight="1">
      <c r="A11307" s="199">
        <v>45833</v>
      </c>
      <c r="B11307" s="202" t="s">
        <v>8307</v>
      </c>
      <c r="C11307" s="200" t="s">
        <v>307</v>
      </c>
      <c r="D11307" s="204">
        <v>-14000</v>
      </c>
      <c r="E11307" s="201">
        <v>45809</v>
      </c>
      <c r="F11307" s="200" t="s">
        <v>256</v>
      </c>
      <c r="G11307" s="200" t="s">
        <v>256</v>
      </c>
      <c r="H11307" s="200" t="s">
        <v>268</v>
      </c>
    </row>
    <row r="11308" spans="1:8" ht="15" customHeight="1">
      <c r="A11308" s="199">
        <v>45833</v>
      </c>
      <c r="B11308" s="202" t="s">
        <v>8308</v>
      </c>
      <c r="C11308" s="200" t="s">
        <v>307</v>
      </c>
      <c r="D11308" s="204">
        <v>-14000</v>
      </c>
      <c r="E11308" s="201">
        <v>45809</v>
      </c>
      <c r="F11308" s="200" t="s">
        <v>256</v>
      </c>
      <c r="G11308" s="200" t="s">
        <v>256</v>
      </c>
      <c r="H11308" s="200" t="s">
        <v>268</v>
      </c>
    </row>
    <row r="11309" spans="1:8" ht="15" customHeight="1">
      <c r="A11309" s="199">
        <v>45835</v>
      </c>
      <c r="B11309" s="202" t="s">
        <v>8309</v>
      </c>
      <c r="C11309" s="200" t="s">
        <v>307</v>
      </c>
      <c r="D11309" s="204">
        <v>-498000</v>
      </c>
      <c r="E11309" s="201">
        <v>45809</v>
      </c>
      <c r="F11309" s="200" t="s">
        <v>525</v>
      </c>
    </row>
    <row r="11310" spans="1:8" ht="15" customHeight="1">
      <c r="A11310" s="199">
        <v>45835</v>
      </c>
      <c r="B11310" s="202" t="s">
        <v>8310</v>
      </c>
      <c r="C11310" s="200" t="s">
        <v>307</v>
      </c>
      <c r="D11310" s="204">
        <v>-2600</v>
      </c>
      <c r="E11310" s="201">
        <v>45809</v>
      </c>
      <c r="F11310" s="200" t="s">
        <v>256</v>
      </c>
      <c r="G11310" s="200" t="s">
        <v>256</v>
      </c>
      <c r="H11310" s="200" t="s">
        <v>9</v>
      </c>
    </row>
    <row r="11311" spans="1:8" ht="15" customHeight="1">
      <c r="A11311" s="199">
        <v>45834</v>
      </c>
      <c r="B11311" s="202" t="s">
        <v>4394</v>
      </c>
      <c r="C11311" s="200" t="s">
        <v>307</v>
      </c>
      <c r="D11311" s="204">
        <v>-33525</v>
      </c>
      <c r="E11311" s="201">
        <v>45809</v>
      </c>
      <c r="F11311" s="200" t="s">
        <v>297</v>
      </c>
      <c r="G11311" s="200" t="s">
        <v>71</v>
      </c>
      <c r="H11311" s="200" t="s">
        <v>268</v>
      </c>
    </row>
    <row r="11312" spans="1:8" ht="15" customHeight="1">
      <c r="A11312" s="199">
        <v>45834</v>
      </c>
      <c r="B11312" s="202" t="s">
        <v>4394</v>
      </c>
      <c r="C11312" s="200" t="s">
        <v>307</v>
      </c>
      <c r="D11312" s="204">
        <v>-21000</v>
      </c>
      <c r="E11312" s="201">
        <v>45809</v>
      </c>
      <c r="F11312" s="200" t="s">
        <v>296</v>
      </c>
      <c r="G11312" s="200" t="s">
        <v>2418</v>
      </c>
      <c r="H11312" s="200" t="s">
        <v>268</v>
      </c>
    </row>
    <row r="11313" spans="1:9" ht="15" customHeight="1">
      <c r="A11313" s="199">
        <v>45834</v>
      </c>
      <c r="B11313" s="202" t="s">
        <v>4394</v>
      </c>
      <c r="C11313" s="200" t="s">
        <v>307</v>
      </c>
      <c r="D11313" s="204">
        <v>-7000</v>
      </c>
      <c r="E11313" s="201">
        <v>45809</v>
      </c>
      <c r="F11313" s="200" t="s">
        <v>256</v>
      </c>
      <c r="G11313" s="200" t="s">
        <v>256</v>
      </c>
      <c r="H11313" s="200" t="s">
        <v>268</v>
      </c>
    </row>
    <row r="11314" spans="1:9" ht="15" customHeight="1">
      <c r="A11314" s="199">
        <v>45834</v>
      </c>
      <c r="B11314" s="202" t="s">
        <v>4394</v>
      </c>
      <c r="C11314" s="200" t="s">
        <v>307</v>
      </c>
      <c r="D11314" s="204">
        <v>-15000</v>
      </c>
      <c r="E11314" s="201">
        <v>45809</v>
      </c>
      <c r="F11314" s="200" t="s">
        <v>296</v>
      </c>
      <c r="G11314" s="200" t="s">
        <v>1825</v>
      </c>
      <c r="H11314" s="200" t="s">
        <v>326</v>
      </c>
    </row>
    <row r="11315" spans="1:9" ht="15" customHeight="1">
      <c r="A11315" s="199">
        <v>45834</v>
      </c>
      <c r="B11315" s="202" t="s">
        <v>4394</v>
      </c>
      <c r="C11315" s="200" t="s">
        <v>307</v>
      </c>
      <c r="D11315" s="204">
        <v>-7000</v>
      </c>
      <c r="E11315" s="201">
        <v>45809</v>
      </c>
      <c r="F11315" s="200" t="s">
        <v>296</v>
      </c>
      <c r="G11315" s="200" t="s">
        <v>522</v>
      </c>
      <c r="H11315" s="200" t="s">
        <v>326</v>
      </c>
    </row>
    <row r="11316" spans="1:9" ht="15" customHeight="1">
      <c r="A11316" s="199">
        <v>45834</v>
      </c>
      <c r="B11316" s="202" t="s">
        <v>4394</v>
      </c>
      <c r="C11316" s="200" t="s">
        <v>307</v>
      </c>
      <c r="D11316" s="204">
        <v>-7000</v>
      </c>
      <c r="E11316" s="201">
        <v>45809</v>
      </c>
      <c r="F11316" s="200" t="s">
        <v>296</v>
      </c>
      <c r="G11316" s="200" t="s">
        <v>44</v>
      </c>
      <c r="H11316" s="200" t="s">
        <v>326</v>
      </c>
    </row>
    <row r="11317" spans="1:9" ht="15" customHeight="1">
      <c r="A11317" s="199">
        <v>45834</v>
      </c>
      <c r="B11317" s="202" t="s">
        <v>4395</v>
      </c>
      <c r="C11317" s="200" t="s">
        <v>372</v>
      </c>
      <c r="D11317" s="204">
        <v>-920</v>
      </c>
      <c r="E11317" s="201">
        <v>45809</v>
      </c>
      <c r="F11317" s="200" t="s">
        <v>297</v>
      </c>
      <c r="G11317" s="200" t="s">
        <v>71</v>
      </c>
      <c r="H11317" s="200" t="s">
        <v>268</v>
      </c>
    </row>
    <row r="11318" spans="1:9" ht="15" customHeight="1">
      <c r="A11318" s="199">
        <v>45834</v>
      </c>
      <c r="B11318" s="202" t="s">
        <v>4396</v>
      </c>
      <c r="C11318" s="200" t="s">
        <v>372</v>
      </c>
      <c r="D11318" s="204">
        <v>-555</v>
      </c>
      <c r="E11318" s="201">
        <v>45809</v>
      </c>
      <c r="F11318" s="200" t="s">
        <v>297</v>
      </c>
      <c r="G11318" s="200" t="s">
        <v>71</v>
      </c>
      <c r="H11318" s="200" t="s">
        <v>268</v>
      </c>
    </row>
    <row r="11319" spans="1:9" ht="15" customHeight="1">
      <c r="A11319" s="199">
        <v>45821</v>
      </c>
      <c r="B11319" s="202" t="s">
        <v>8311</v>
      </c>
      <c r="C11319" s="200" t="s">
        <v>307</v>
      </c>
      <c r="D11319" s="204">
        <v>-50000</v>
      </c>
      <c r="E11319" s="201">
        <v>45809</v>
      </c>
      <c r="F11319" s="200" t="s">
        <v>256</v>
      </c>
      <c r="G11319" s="200" t="s">
        <v>256</v>
      </c>
      <c r="H11319" s="200" t="s">
        <v>263</v>
      </c>
      <c r="I11319" s="200" t="s">
        <v>5293</v>
      </c>
    </row>
    <row r="11320" spans="1:9" ht="15" customHeight="1">
      <c r="A11320" s="199">
        <v>45821</v>
      </c>
      <c r="B11320" s="202" t="s">
        <v>8312</v>
      </c>
      <c r="C11320" s="200" t="s">
        <v>307</v>
      </c>
      <c r="D11320" s="204">
        <v>-200000</v>
      </c>
      <c r="E11320" s="201">
        <v>45809</v>
      </c>
      <c r="F11320" s="200" t="s">
        <v>256</v>
      </c>
      <c r="G11320" s="200" t="s">
        <v>256</v>
      </c>
      <c r="H11320" s="200" t="s">
        <v>263</v>
      </c>
      <c r="I11320" s="200" t="s">
        <v>5293</v>
      </c>
    </row>
    <row r="11321" spans="1:9" ht="15" customHeight="1">
      <c r="A11321" s="199">
        <v>45821</v>
      </c>
      <c r="B11321" s="202" t="s">
        <v>431</v>
      </c>
      <c r="C11321" s="200" t="s">
        <v>307</v>
      </c>
      <c r="D11321" s="204">
        <v>-15000</v>
      </c>
      <c r="E11321" s="201">
        <v>45809</v>
      </c>
      <c r="F11321" s="200" t="s">
        <v>256</v>
      </c>
      <c r="G11321" s="200" t="s">
        <v>256</v>
      </c>
      <c r="H11321" s="200" t="s">
        <v>263</v>
      </c>
      <c r="I11321" s="200" t="s">
        <v>5293</v>
      </c>
    </row>
    <row r="11322" spans="1:9" ht="15" customHeight="1">
      <c r="A11322" s="199">
        <v>45821</v>
      </c>
      <c r="B11322" s="202" t="s">
        <v>8313</v>
      </c>
      <c r="C11322" s="200" t="s">
        <v>307</v>
      </c>
      <c r="D11322" s="204">
        <v>-20000</v>
      </c>
      <c r="E11322" s="201">
        <v>45809</v>
      </c>
      <c r="F11322" s="200" t="s">
        <v>256</v>
      </c>
      <c r="G11322" s="200" t="s">
        <v>256</v>
      </c>
      <c r="H11322" s="200" t="s">
        <v>267</v>
      </c>
      <c r="I11322" s="200" t="s">
        <v>5293</v>
      </c>
    </row>
    <row r="11323" spans="1:9" ht="15" customHeight="1">
      <c r="A11323" s="199">
        <v>45825</v>
      </c>
      <c r="B11323" s="202" t="s">
        <v>8314</v>
      </c>
      <c r="C11323" s="200" t="s">
        <v>307</v>
      </c>
      <c r="D11323" s="204">
        <v>-20000</v>
      </c>
      <c r="E11323" s="201">
        <v>45809</v>
      </c>
      <c r="F11323" s="200" t="s">
        <v>256</v>
      </c>
      <c r="G11323" s="200" t="s">
        <v>256</v>
      </c>
      <c r="H11323" s="200" t="s">
        <v>263</v>
      </c>
      <c r="I11323" s="200" t="s">
        <v>5293</v>
      </c>
    </row>
    <row r="11324" spans="1:9" ht="15" customHeight="1">
      <c r="A11324" s="199">
        <v>45825</v>
      </c>
      <c r="B11324" s="202" t="s">
        <v>8315</v>
      </c>
      <c r="C11324" s="200" t="s">
        <v>307</v>
      </c>
      <c r="D11324" s="204">
        <v>-12000</v>
      </c>
      <c r="E11324" s="201">
        <v>45809</v>
      </c>
      <c r="F11324" s="200" t="s">
        <v>256</v>
      </c>
      <c r="G11324" s="200" t="s">
        <v>256</v>
      </c>
      <c r="H11324" s="200" t="s">
        <v>267</v>
      </c>
      <c r="I11324" s="200" t="s">
        <v>5293</v>
      </c>
    </row>
    <row r="11325" spans="1:9" ht="15" customHeight="1">
      <c r="A11325" s="199">
        <v>45826</v>
      </c>
      <c r="B11325" s="202" t="s">
        <v>8316</v>
      </c>
      <c r="C11325" s="200" t="s">
        <v>307</v>
      </c>
      <c r="D11325" s="204">
        <v>-25000</v>
      </c>
      <c r="E11325" s="201">
        <v>45809</v>
      </c>
      <c r="F11325" s="200" t="s">
        <v>296</v>
      </c>
      <c r="G11325" s="200" t="s">
        <v>2418</v>
      </c>
      <c r="H11325" s="200" t="s">
        <v>346</v>
      </c>
      <c r="I11325" s="200" t="s">
        <v>5293</v>
      </c>
    </row>
    <row r="11326" spans="1:9" ht="15" customHeight="1">
      <c r="A11326" s="199">
        <v>45826</v>
      </c>
      <c r="B11326" s="202" t="s">
        <v>8317</v>
      </c>
      <c r="C11326" s="200" t="s">
        <v>307</v>
      </c>
      <c r="D11326" s="204">
        <v>-15000</v>
      </c>
      <c r="E11326" s="201">
        <v>45809</v>
      </c>
      <c r="F11326" s="200" t="s">
        <v>296</v>
      </c>
      <c r="G11326" s="200" t="s">
        <v>2418</v>
      </c>
      <c r="H11326" s="200" t="s">
        <v>346</v>
      </c>
      <c r="I11326" s="200" t="s">
        <v>5293</v>
      </c>
    </row>
    <row r="11327" spans="1:9" ht="15" customHeight="1">
      <c r="A11327" s="199">
        <v>45826</v>
      </c>
      <c r="B11327" s="202" t="s">
        <v>8318</v>
      </c>
      <c r="C11327" s="200" t="s">
        <v>307</v>
      </c>
      <c r="D11327" s="204">
        <v>-16564.8</v>
      </c>
      <c r="E11327" s="201">
        <v>45809</v>
      </c>
      <c r="F11327" s="200" t="s">
        <v>297</v>
      </c>
      <c r="G11327" s="200" t="s">
        <v>71</v>
      </c>
      <c r="H11327" s="200" t="s">
        <v>5384</v>
      </c>
      <c r="I11327" s="200" t="s">
        <v>5293</v>
      </c>
    </row>
    <row r="11328" spans="1:9" ht="15" customHeight="1">
      <c r="A11328" s="199">
        <v>45827</v>
      </c>
      <c r="B11328" s="202" t="s">
        <v>431</v>
      </c>
      <c r="C11328" s="200" t="s">
        <v>307</v>
      </c>
      <c r="D11328" s="204">
        <v>-15200</v>
      </c>
      <c r="E11328" s="201">
        <v>45809</v>
      </c>
      <c r="F11328" s="200" t="s">
        <v>256</v>
      </c>
      <c r="G11328" s="200" t="s">
        <v>256</v>
      </c>
      <c r="H11328" s="200" t="s">
        <v>263</v>
      </c>
      <c r="I11328" s="200" t="s">
        <v>5293</v>
      </c>
    </row>
    <row r="11329" spans="1:9" ht="15" customHeight="1">
      <c r="A11329" s="199">
        <v>45827</v>
      </c>
      <c r="B11329" s="202" t="s">
        <v>7635</v>
      </c>
      <c r="C11329" s="200" t="s">
        <v>307</v>
      </c>
      <c r="D11329" s="204">
        <v>-12000</v>
      </c>
      <c r="E11329" s="201">
        <v>45809</v>
      </c>
      <c r="F11329" s="200" t="s">
        <v>296</v>
      </c>
      <c r="G11329" s="200" t="s">
        <v>5466</v>
      </c>
      <c r="H11329" s="200" t="s">
        <v>346</v>
      </c>
      <c r="I11329" s="200" t="s">
        <v>5293</v>
      </c>
    </row>
    <row r="11330" spans="1:9" ht="15" customHeight="1">
      <c r="A11330" s="199">
        <v>45827</v>
      </c>
      <c r="B11330" s="202" t="s">
        <v>8319</v>
      </c>
      <c r="C11330" s="200" t="s">
        <v>307</v>
      </c>
      <c r="D11330" s="204">
        <v>-9999.9900000000016</v>
      </c>
      <c r="E11330" s="201">
        <v>45809</v>
      </c>
      <c r="F11330" s="200" t="s">
        <v>256</v>
      </c>
      <c r="G11330" s="200" t="s">
        <v>256</v>
      </c>
      <c r="H11330" s="200" t="s">
        <v>263</v>
      </c>
      <c r="I11330" s="200" t="s">
        <v>5293</v>
      </c>
    </row>
    <row r="11331" spans="1:9" ht="15" customHeight="1">
      <c r="A11331" s="199">
        <v>45832</v>
      </c>
      <c r="B11331" s="202" t="s">
        <v>8320</v>
      </c>
      <c r="C11331" s="200" t="s">
        <v>307</v>
      </c>
      <c r="D11331" s="204">
        <v>-150000</v>
      </c>
      <c r="E11331" s="201">
        <v>45809</v>
      </c>
      <c r="F11331" s="200" t="s">
        <v>296</v>
      </c>
      <c r="G11331" s="200" t="s">
        <v>2418</v>
      </c>
      <c r="H11331" s="200" t="s">
        <v>346</v>
      </c>
      <c r="I11331" s="200" t="s">
        <v>5293</v>
      </c>
    </row>
    <row r="11332" spans="1:9" ht="15" customHeight="1">
      <c r="A11332" s="199">
        <v>45832</v>
      </c>
      <c r="B11332" s="202" t="s">
        <v>8321</v>
      </c>
      <c r="C11332" s="200" t="s">
        <v>307</v>
      </c>
      <c r="D11332" s="204">
        <v>-7000</v>
      </c>
      <c r="E11332" s="201">
        <v>45809</v>
      </c>
      <c r="F11332" s="200" t="s">
        <v>296</v>
      </c>
      <c r="G11332" s="200" t="s">
        <v>2418</v>
      </c>
      <c r="H11332" s="200" t="s">
        <v>268</v>
      </c>
      <c r="I11332" s="200" t="s">
        <v>5293</v>
      </c>
    </row>
    <row r="11333" spans="1:9" ht="15" customHeight="1">
      <c r="A11333" s="199">
        <v>45832</v>
      </c>
      <c r="B11333" s="202" t="s">
        <v>8322</v>
      </c>
      <c r="C11333" s="200" t="s">
        <v>307</v>
      </c>
      <c r="D11333" s="204">
        <v>-5400</v>
      </c>
      <c r="E11333" s="201">
        <v>45809</v>
      </c>
      <c r="F11333" s="200" t="s">
        <v>256</v>
      </c>
      <c r="G11333" s="200" t="s">
        <v>256</v>
      </c>
      <c r="H11333" s="200" t="s">
        <v>263</v>
      </c>
      <c r="I11333" s="200" t="s">
        <v>5293</v>
      </c>
    </row>
    <row r="11334" spans="1:9" ht="15" customHeight="1">
      <c r="A11334" s="199">
        <v>45832</v>
      </c>
      <c r="B11334" s="202" t="s">
        <v>8323</v>
      </c>
      <c r="C11334" s="200" t="s">
        <v>307</v>
      </c>
      <c r="D11334" s="204">
        <v>-26500</v>
      </c>
      <c r="E11334" s="201">
        <v>45809</v>
      </c>
      <c r="F11334" s="200" t="s">
        <v>256</v>
      </c>
      <c r="G11334" s="200" t="s">
        <v>256</v>
      </c>
      <c r="H11334" s="200" t="s">
        <v>9</v>
      </c>
      <c r="I11334" s="200" t="s">
        <v>5293</v>
      </c>
    </row>
    <row r="11335" spans="1:9" ht="15" customHeight="1">
      <c r="A11335" s="199">
        <v>45835</v>
      </c>
      <c r="B11335" s="202" t="s">
        <v>8324</v>
      </c>
      <c r="C11335" s="200" t="s">
        <v>307</v>
      </c>
      <c r="D11335" s="204">
        <v>-68900</v>
      </c>
      <c r="E11335" s="201">
        <v>45809</v>
      </c>
      <c r="F11335" s="200" t="s">
        <v>256</v>
      </c>
      <c r="G11335" s="200" t="s">
        <v>256</v>
      </c>
      <c r="H11335" s="200" t="s">
        <v>263</v>
      </c>
    </row>
    <row r="11336" spans="1:9" ht="15" customHeight="1">
      <c r="A11336" s="199">
        <v>45810</v>
      </c>
      <c r="B11336" s="202" t="s">
        <v>8325</v>
      </c>
      <c r="C11336" s="200" t="s">
        <v>307</v>
      </c>
      <c r="D11336" s="204">
        <v>-70000</v>
      </c>
      <c r="E11336" s="201">
        <v>45809</v>
      </c>
      <c r="F11336" s="200" t="s">
        <v>256</v>
      </c>
      <c r="G11336" s="200" t="s">
        <v>256</v>
      </c>
      <c r="H11336" s="200" t="s">
        <v>269</v>
      </c>
      <c r="I11336" s="200" t="s">
        <v>8326</v>
      </c>
    </row>
    <row r="11337" spans="1:9" ht="15" customHeight="1">
      <c r="A11337" s="199">
        <v>45810</v>
      </c>
      <c r="B11337" s="202" t="s">
        <v>8327</v>
      </c>
      <c r="C11337" s="200" t="s">
        <v>307</v>
      </c>
      <c r="D11337" s="204">
        <v>-75000</v>
      </c>
      <c r="E11337" s="201">
        <v>45809</v>
      </c>
      <c r="F11337" s="200" t="s">
        <v>256</v>
      </c>
      <c r="G11337" s="200" t="s">
        <v>256</v>
      </c>
      <c r="H11337" s="200" t="s">
        <v>269</v>
      </c>
      <c r="I11337" s="200" t="s">
        <v>8326</v>
      </c>
    </row>
    <row r="11338" spans="1:9" ht="15" customHeight="1">
      <c r="A11338" s="199">
        <v>45810</v>
      </c>
      <c r="B11338" s="202" t="s">
        <v>8328</v>
      </c>
      <c r="C11338" s="200" t="s">
        <v>307</v>
      </c>
      <c r="D11338" s="204">
        <v>-60000</v>
      </c>
      <c r="E11338" s="201">
        <v>45809</v>
      </c>
      <c r="F11338" s="200" t="s">
        <v>256</v>
      </c>
      <c r="G11338" s="200" t="s">
        <v>256</v>
      </c>
      <c r="H11338" s="200" t="s">
        <v>269</v>
      </c>
      <c r="I11338" s="200" t="s">
        <v>8326</v>
      </c>
    </row>
    <row r="11339" spans="1:9" ht="15" customHeight="1">
      <c r="A11339" s="199">
        <v>45810</v>
      </c>
      <c r="B11339" s="202" t="s">
        <v>8329</v>
      </c>
      <c r="C11339" s="200" t="s">
        <v>307</v>
      </c>
      <c r="D11339" s="204">
        <v>-31000</v>
      </c>
      <c r="E11339" s="201">
        <v>45809</v>
      </c>
      <c r="F11339" s="200" t="s">
        <v>256</v>
      </c>
      <c r="G11339" s="200" t="s">
        <v>256</v>
      </c>
      <c r="H11339" s="200" t="s">
        <v>269</v>
      </c>
      <c r="I11339" s="200" t="s">
        <v>8326</v>
      </c>
    </row>
    <row r="11340" spans="1:9" ht="15" customHeight="1">
      <c r="A11340" s="199">
        <v>45811</v>
      </c>
      <c r="B11340" s="202" t="s">
        <v>8330</v>
      </c>
      <c r="C11340" s="200" t="s">
        <v>307</v>
      </c>
      <c r="D11340" s="204">
        <v>-13000</v>
      </c>
      <c r="E11340" s="201">
        <v>45809</v>
      </c>
      <c r="F11340" s="200" t="s">
        <v>256</v>
      </c>
      <c r="G11340" s="200" t="s">
        <v>256</v>
      </c>
      <c r="H11340" s="200" t="s">
        <v>269</v>
      </c>
      <c r="I11340" s="200" t="s">
        <v>8326</v>
      </c>
    </row>
    <row r="11341" spans="1:9" ht="15" customHeight="1">
      <c r="A11341" s="199">
        <v>45811</v>
      </c>
      <c r="B11341" s="202" t="s">
        <v>8331</v>
      </c>
      <c r="C11341" s="200" t="s">
        <v>307</v>
      </c>
      <c r="D11341" s="204">
        <v>-17999.93</v>
      </c>
      <c r="E11341" s="201">
        <v>45809</v>
      </c>
      <c r="F11341" s="200" t="s">
        <v>256</v>
      </c>
      <c r="G11341" s="200" t="s">
        <v>256</v>
      </c>
      <c r="H11341" s="200" t="s">
        <v>269</v>
      </c>
      <c r="I11341" s="200" t="s">
        <v>8326</v>
      </c>
    </row>
    <row r="11342" spans="1:9" ht="15" customHeight="1">
      <c r="A11342" s="199">
        <v>45811</v>
      </c>
      <c r="B11342" s="202" t="s">
        <v>8332</v>
      </c>
      <c r="C11342" s="200" t="s">
        <v>307</v>
      </c>
      <c r="D11342" s="204">
        <v>-23000</v>
      </c>
      <c r="E11342" s="201">
        <v>45809</v>
      </c>
      <c r="F11342" s="200" t="s">
        <v>256</v>
      </c>
      <c r="G11342" s="200" t="s">
        <v>256</v>
      </c>
      <c r="H11342" s="200" t="s">
        <v>269</v>
      </c>
      <c r="I11342" s="200" t="s">
        <v>8326</v>
      </c>
    </row>
    <row r="11343" spans="1:9" ht="15" customHeight="1">
      <c r="A11343" s="199">
        <v>45811</v>
      </c>
      <c r="B11343" s="202" t="s">
        <v>8333</v>
      </c>
      <c r="C11343" s="200" t="s">
        <v>307</v>
      </c>
      <c r="D11343" s="204">
        <v>-28500</v>
      </c>
      <c r="E11343" s="201">
        <v>45809</v>
      </c>
      <c r="F11343" s="200" t="s">
        <v>256</v>
      </c>
      <c r="G11343" s="200" t="s">
        <v>256</v>
      </c>
      <c r="H11343" s="200" t="s">
        <v>269</v>
      </c>
      <c r="I11343" s="200" t="s">
        <v>8326</v>
      </c>
    </row>
    <row r="11344" spans="1:9" ht="15" customHeight="1">
      <c r="A11344" s="199">
        <v>45812</v>
      </c>
      <c r="B11344" s="202" t="s">
        <v>8334</v>
      </c>
      <c r="C11344" s="200" t="s">
        <v>307</v>
      </c>
      <c r="D11344" s="204">
        <v>-50500</v>
      </c>
      <c r="E11344" s="201">
        <v>45809</v>
      </c>
      <c r="F11344" s="200" t="s">
        <v>256</v>
      </c>
      <c r="G11344" s="200" t="s">
        <v>256</v>
      </c>
      <c r="H11344" s="200" t="s">
        <v>269</v>
      </c>
      <c r="I11344" s="200" t="s">
        <v>8326</v>
      </c>
    </row>
    <row r="11345" spans="1:9" ht="15" customHeight="1">
      <c r="A11345" s="199">
        <v>45812</v>
      </c>
      <c r="B11345" s="202" t="s">
        <v>8335</v>
      </c>
      <c r="C11345" s="200" t="s">
        <v>307</v>
      </c>
      <c r="D11345" s="204">
        <v>-38000</v>
      </c>
      <c r="E11345" s="201">
        <v>45809</v>
      </c>
      <c r="F11345" s="200" t="s">
        <v>256</v>
      </c>
      <c r="G11345" s="200" t="s">
        <v>256</v>
      </c>
      <c r="H11345" s="200" t="s">
        <v>269</v>
      </c>
      <c r="I11345" s="200" t="s">
        <v>8326</v>
      </c>
    </row>
    <row r="11346" spans="1:9" ht="15" customHeight="1">
      <c r="A11346" s="199">
        <v>45813</v>
      </c>
      <c r="B11346" s="202" t="s">
        <v>8336</v>
      </c>
      <c r="C11346" s="200" t="s">
        <v>307</v>
      </c>
      <c r="D11346" s="204">
        <v>-12000</v>
      </c>
      <c r="E11346" s="201">
        <v>45809</v>
      </c>
      <c r="F11346" s="200" t="s">
        <v>256</v>
      </c>
      <c r="G11346" s="200" t="s">
        <v>256</v>
      </c>
      <c r="H11346" s="200" t="s">
        <v>269</v>
      </c>
      <c r="I11346" s="200" t="s">
        <v>8326</v>
      </c>
    </row>
    <row r="11347" spans="1:9" ht="15" customHeight="1">
      <c r="A11347" s="199">
        <v>45813</v>
      </c>
      <c r="B11347" s="202" t="s">
        <v>8337</v>
      </c>
      <c r="C11347" s="200" t="s">
        <v>307</v>
      </c>
      <c r="D11347" s="204">
        <v>-12000</v>
      </c>
      <c r="E11347" s="201">
        <v>45809</v>
      </c>
      <c r="F11347" s="200" t="s">
        <v>256</v>
      </c>
      <c r="G11347" s="200" t="s">
        <v>256</v>
      </c>
      <c r="H11347" s="200" t="s">
        <v>269</v>
      </c>
      <c r="I11347" s="200" t="s">
        <v>8326</v>
      </c>
    </row>
    <row r="11348" spans="1:9" ht="15" customHeight="1">
      <c r="A11348" s="199">
        <v>45813</v>
      </c>
      <c r="B11348" s="202" t="s">
        <v>8338</v>
      </c>
      <c r="C11348" s="200" t="s">
        <v>307</v>
      </c>
      <c r="D11348" s="204">
        <v>-8000</v>
      </c>
      <c r="E11348" s="201">
        <v>45809</v>
      </c>
      <c r="F11348" s="200" t="s">
        <v>256</v>
      </c>
      <c r="G11348" s="200" t="s">
        <v>256</v>
      </c>
      <c r="H11348" s="200" t="s">
        <v>269</v>
      </c>
      <c r="I11348" s="200" t="s">
        <v>8326</v>
      </c>
    </row>
    <row r="11349" spans="1:9" ht="15" customHeight="1">
      <c r="A11349" s="199">
        <v>45813</v>
      </c>
      <c r="B11349" s="202" t="s">
        <v>8338</v>
      </c>
      <c r="C11349" s="200" t="s">
        <v>307</v>
      </c>
      <c r="D11349" s="204">
        <v>-8000</v>
      </c>
      <c r="E11349" s="201">
        <v>45809</v>
      </c>
      <c r="F11349" s="200" t="s">
        <v>256</v>
      </c>
      <c r="G11349" s="200" t="s">
        <v>256</v>
      </c>
      <c r="H11349" s="200" t="s">
        <v>269</v>
      </c>
      <c r="I11349" s="200" t="s">
        <v>8326</v>
      </c>
    </row>
    <row r="11350" spans="1:9" ht="15" customHeight="1">
      <c r="A11350" s="199">
        <v>45813</v>
      </c>
      <c r="B11350" s="202" t="s">
        <v>8338</v>
      </c>
      <c r="C11350" s="200" t="s">
        <v>307</v>
      </c>
      <c r="D11350" s="204">
        <v>-8000</v>
      </c>
      <c r="E11350" s="201">
        <v>45809</v>
      </c>
      <c r="F11350" s="200" t="s">
        <v>256</v>
      </c>
      <c r="G11350" s="200" t="s">
        <v>256</v>
      </c>
      <c r="H11350" s="200" t="s">
        <v>269</v>
      </c>
      <c r="I11350" s="200" t="s">
        <v>8326</v>
      </c>
    </row>
    <row r="11351" spans="1:9" ht="15" customHeight="1">
      <c r="A11351" s="199">
        <v>45813</v>
      </c>
      <c r="B11351" s="202" t="s">
        <v>8329</v>
      </c>
      <c r="C11351" s="200" t="s">
        <v>307</v>
      </c>
      <c r="D11351" s="204">
        <v>-60000</v>
      </c>
      <c r="E11351" s="201">
        <v>45809</v>
      </c>
      <c r="F11351" s="200" t="s">
        <v>256</v>
      </c>
      <c r="G11351" s="200" t="s">
        <v>256</v>
      </c>
      <c r="H11351" s="200" t="s">
        <v>269</v>
      </c>
      <c r="I11351" s="200" t="s">
        <v>8326</v>
      </c>
    </row>
    <row r="11352" spans="1:9" ht="15" customHeight="1">
      <c r="A11352" s="199">
        <v>45814</v>
      </c>
      <c r="B11352" s="202" t="s">
        <v>8339</v>
      </c>
      <c r="C11352" s="200" t="s">
        <v>307</v>
      </c>
      <c r="D11352" s="204">
        <v>-26000</v>
      </c>
      <c r="E11352" s="201">
        <v>45809</v>
      </c>
      <c r="F11352" s="200" t="s">
        <v>256</v>
      </c>
      <c r="G11352" s="200" t="s">
        <v>256</v>
      </c>
      <c r="H11352" s="200" t="s">
        <v>269</v>
      </c>
      <c r="I11352" s="200" t="s">
        <v>8326</v>
      </c>
    </row>
    <row r="11353" spans="1:9" ht="15" customHeight="1">
      <c r="A11353" s="199">
        <v>45814</v>
      </c>
      <c r="B11353" s="202" t="s">
        <v>8340</v>
      </c>
      <c r="C11353" s="200" t="s">
        <v>307</v>
      </c>
      <c r="D11353" s="204">
        <v>-14000</v>
      </c>
      <c r="E11353" s="201">
        <v>45809</v>
      </c>
      <c r="F11353" s="200" t="s">
        <v>256</v>
      </c>
      <c r="G11353" s="200" t="s">
        <v>256</v>
      </c>
      <c r="H11353" s="200" t="s">
        <v>269</v>
      </c>
      <c r="I11353" s="200" t="s">
        <v>8326</v>
      </c>
    </row>
    <row r="11354" spans="1:9" ht="15" customHeight="1">
      <c r="A11354" s="199">
        <v>45814</v>
      </c>
      <c r="B11354" s="202" t="s">
        <v>8341</v>
      </c>
      <c r="C11354" s="200" t="s">
        <v>307</v>
      </c>
      <c r="D11354" s="204">
        <v>-14000</v>
      </c>
      <c r="E11354" s="201">
        <v>45809</v>
      </c>
      <c r="F11354" s="200" t="s">
        <v>256</v>
      </c>
      <c r="G11354" s="200" t="s">
        <v>256</v>
      </c>
      <c r="H11354" s="200" t="s">
        <v>269</v>
      </c>
      <c r="I11354" s="200" t="s">
        <v>8326</v>
      </c>
    </row>
    <row r="11355" spans="1:9" ht="15" customHeight="1">
      <c r="A11355" s="199">
        <v>45814</v>
      </c>
      <c r="B11355" s="202" t="s">
        <v>8338</v>
      </c>
      <c r="C11355" s="200" t="s">
        <v>307</v>
      </c>
      <c r="D11355" s="204">
        <v>-8000</v>
      </c>
      <c r="E11355" s="201">
        <v>45809</v>
      </c>
      <c r="F11355" s="200" t="s">
        <v>256</v>
      </c>
      <c r="G11355" s="200" t="s">
        <v>256</v>
      </c>
      <c r="H11355" s="200" t="s">
        <v>269</v>
      </c>
      <c r="I11355" s="200" t="s">
        <v>8326</v>
      </c>
    </row>
    <row r="11356" spans="1:9" ht="15" customHeight="1">
      <c r="A11356" s="199">
        <v>45814</v>
      </c>
      <c r="B11356" s="202" t="s">
        <v>8338</v>
      </c>
      <c r="C11356" s="200" t="s">
        <v>307</v>
      </c>
      <c r="D11356" s="204">
        <v>-8000</v>
      </c>
      <c r="E11356" s="201">
        <v>45809</v>
      </c>
      <c r="F11356" s="200" t="s">
        <v>256</v>
      </c>
      <c r="G11356" s="200" t="s">
        <v>256</v>
      </c>
      <c r="H11356" s="200" t="s">
        <v>269</v>
      </c>
      <c r="I11356" s="200" t="s">
        <v>8326</v>
      </c>
    </row>
    <row r="11357" spans="1:9" ht="15" customHeight="1">
      <c r="A11357" s="199">
        <v>45814</v>
      </c>
      <c r="B11357" s="202" t="s">
        <v>8342</v>
      </c>
      <c r="C11357" s="200" t="s">
        <v>307</v>
      </c>
      <c r="D11357" s="204">
        <v>-60000</v>
      </c>
      <c r="E11357" s="201">
        <v>45809</v>
      </c>
      <c r="F11357" s="200" t="s">
        <v>256</v>
      </c>
      <c r="G11357" s="200" t="s">
        <v>256</v>
      </c>
      <c r="H11357" s="200" t="s">
        <v>269</v>
      </c>
      <c r="I11357" s="200" t="s">
        <v>8326</v>
      </c>
    </row>
    <row r="11358" spans="1:9" ht="15" customHeight="1">
      <c r="A11358" s="199">
        <v>45814</v>
      </c>
      <c r="B11358" s="202" t="s">
        <v>8343</v>
      </c>
      <c r="C11358" s="200" t="s">
        <v>307</v>
      </c>
      <c r="D11358" s="204">
        <v>-80000</v>
      </c>
      <c r="E11358" s="201">
        <v>45809</v>
      </c>
      <c r="F11358" s="200" t="s">
        <v>256</v>
      </c>
      <c r="G11358" s="200" t="s">
        <v>256</v>
      </c>
      <c r="H11358" s="200" t="s">
        <v>269</v>
      </c>
      <c r="I11358" s="200" t="s">
        <v>8326</v>
      </c>
    </row>
    <row r="11359" spans="1:9" ht="15" customHeight="1">
      <c r="A11359" s="199">
        <v>45814</v>
      </c>
      <c r="B11359" s="202" t="s">
        <v>8344</v>
      </c>
      <c r="C11359" s="200" t="s">
        <v>307</v>
      </c>
      <c r="D11359" s="204">
        <v>-75000</v>
      </c>
      <c r="E11359" s="201">
        <v>45809</v>
      </c>
      <c r="F11359" s="200" t="s">
        <v>256</v>
      </c>
      <c r="G11359" s="200" t="s">
        <v>256</v>
      </c>
      <c r="H11359" s="200" t="s">
        <v>269</v>
      </c>
      <c r="I11359" s="200" t="s">
        <v>8326</v>
      </c>
    </row>
    <row r="11360" spans="1:9" ht="15" customHeight="1">
      <c r="A11360" s="199">
        <v>45820</v>
      </c>
      <c r="B11360" s="202" t="s">
        <v>696</v>
      </c>
      <c r="C11360" s="200" t="s">
        <v>307</v>
      </c>
      <c r="D11360" s="204">
        <v>-30000</v>
      </c>
      <c r="E11360" s="201">
        <v>45809</v>
      </c>
      <c r="F11360" s="200" t="s">
        <v>256</v>
      </c>
      <c r="G11360" s="200" t="s">
        <v>256</v>
      </c>
      <c r="H11360" s="200" t="s">
        <v>267</v>
      </c>
      <c r="I11360" s="200" t="s">
        <v>5293</v>
      </c>
    </row>
    <row r="11361" spans="1:9" ht="15" customHeight="1">
      <c r="A11361" s="199">
        <v>45821</v>
      </c>
      <c r="B11361" s="202" t="s">
        <v>696</v>
      </c>
      <c r="C11361" s="200" t="s">
        <v>307</v>
      </c>
      <c r="D11361" s="204">
        <v>-15000</v>
      </c>
      <c r="E11361" s="201">
        <v>45809</v>
      </c>
      <c r="F11361" s="200" t="s">
        <v>256</v>
      </c>
      <c r="G11361" s="200" t="s">
        <v>256</v>
      </c>
      <c r="H11361" s="200" t="s">
        <v>267</v>
      </c>
      <c r="I11361" s="200" t="s">
        <v>5293</v>
      </c>
    </row>
    <row r="11362" spans="1:9" ht="15" customHeight="1">
      <c r="A11362" s="199">
        <v>45824</v>
      </c>
      <c r="B11362" s="202" t="s">
        <v>8345</v>
      </c>
      <c r="C11362" s="200" t="s">
        <v>307</v>
      </c>
      <c r="D11362" s="204">
        <v>-10000</v>
      </c>
      <c r="E11362" s="201">
        <v>45809</v>
      </c>
      <c r="F11362" s="200" t="s">
        <v>296</v>
      </c>
      <c r="G11362" s="200" t="s">
        <v>1825</v>
      </c>
      <c r="H11362" s="200" t="s">
        <v>442</v>
      </c>
      <c r="I11362" s="200" t="s">
        <v>5293</v>
      </c>
    </row>
    <row r="11363" spans="1:9" ht="15" customHeight="1">
      <c r="A11363" s="199">
        <v>45826</v>
      </c>
      <c r="B11363" s="202" t="s">
        <v>8346</v>
      </c>
      <c r="C11363" s="200" t="s">
        <v>307</v>
      </c>
      <c r="D11363" s="204">
        <v>-10000</v>
      </c>
      <c r="E11363" s="201">
        <v>45809</v>
      </c>
      <c r="F11363" s="200" t="s">
        <v>256</v>
      </c>
      <c r="G11363" s="200" t="s">
        <v>256</v>
      </c>
      <c r="H11363" s="200" t="s">
        <v>267</v>
      </c>
      <c r="I11363" s="200" t="s">
        <v>5293</v>
      </c>
    </row>
    <row r="11364" spans="1:9" ht="15" customHeight="1">
      <c r="A11364" s="199">
        <v>45832</v>
      </c>
      <c r="B11364" s="202" t="s">
        <v>8347</v>
      </c>
      <c r="C11364" s="200" t="s">
        <v>307</v>
      </c>
      <c r="D11364" s="204">
        <v>-20000</v>
      </c>
      <c r="E11364" s="201">
        <v>45809</v>
      </c>
      <c r="F11364" s="200" t="s">
        <v>296</v>
      </c>
      <c r="G11364" s="200" t="s">
        <v>1825</v>
      </c>
      <c r="H11364" s="200" t="s">
        <v>442</v>
      </c>
      <c r="I11364" s="200" t="s">
        <v>5293</v>
      </c>
    </row>
    <row r="11365" spans="1:9" ht="15" customHeight="1">
      <c r="A11365" s="199">
        <v>45832</v>
      </c>
      <c r="B11365" s="202" t="s">
        <v>8348</v>
      </c>
      <c r="C11365" s="200" t="s">
        <v>307</v>
      </c>
      <c r="D11365" s="204">
        <v>-5000</v>
      </c>
      <c r="E11365" s="201">
        <v>45809</v>
      </c>
      <c r="F11365" s="200" t="s">
        <v>296</v>
      </c>
      <c r="G11365" s="200" t="s">
        <v>1825</v>
      </c>
      <c r="H11365" s="200" t="s">
        <v>442</v>
      </c>
      <c r="I11365" s="200" t="s">
        <v>5293</v>
      </c>
    </row>
    <row r="11366" spans="1:9" ht="15" customHeight="1">
      <c r="A11366" s="199">
        <v>45835</v>
      </c>
      <c r="B11366" s="202" t="s">
        <v>8349</v>
      </c>
      <c r="C11366" s="200" t="s">
        <v>204</v>
      </c>
      <c r="D11366" s="765">
        <v>-386000</v>
      </c>
      <c r="E11366" s="201">
        <v>45809</v>
      </c>
      <c r="F11366" s="200" t="s">
        <v>2714</v>
      </c>
      <c r="G11366" s="200" t="s">
        <v>513</v>
      </c>
      <c r="H11366" s="200" t="s">
        <v>322</v>
      </c>
    </row>
    <row r="11367" spans="1:9" ht="15" customHeight="1">
      <c r="A11367" s="199">
        <v>45835</v>
      </c>
      <c r="B11367" s="202" t="s">
        <v>8349</v>
      </c>
      <c r="C11367" s="200" t="s">
        <v>204</v>
      </c>
      <c r="D11367" s="765">
        <v>-386000</v>
      </c>
      <c r="E11367" s="201">
        <v>45809</v>
      </c>
      <c r="F11367" s="200" t="s">
        <v>296</v>
      </c>
      <c r="G11367" s="200" t="s">
        <v>44</v>
      </c>
      <c r="H11367" s="200" t="s">
        <v>322</v>
      </c>
    </row>
    <row r="11368" spans="1:9" ht="15" customHeight="1">
      <c r="A11368" s="199">
        <v>45835</v>
      </c>
      <c r="B11368" s="202" t="s">
        <v>8349</v>
      </c>
      <c r="C11368" s="200" t="s">
        <v>204</v>
      </c>
      <c r="D11368" s="765">
        <v>-386000</v>
      </c>
      <c r="E11368" s="201">
        <v>45809</v>
      </c>
      <c r="F11368" s="200" t="s">
        <v>296</v>
      </c>
      <c r="G11368" s="200" t="s">
        <v>522</v>
      </c>
      <c r="H11368" s="200" t="s">
        <v>322</v>
      </c>
    </row>
    <row r="11369" spans="1:9" ht="15" customHeight="1">
      <c r="A11369" s="199">
        <v>45835</v>
      </c>
      <c r="B11369" s="202" t="s">
        <v>8349</v>
      </c>
      <c r="C11369" s="200" t="s">
        <v>204</v>
      </c>
      <c r="D11369" s="765">
        <v>-386000</v>
      </c>
      <c r="E11369" s="201">
        <v>45809</v>
      </c>
      <c r="F11369" s="200" t="s">
        <v>296</v>
      </c>
      <c r="G11369" s="200" t="s">
        <v>1980</v>
      </c>
      <c r="H11369" s="200" t="s">
        <v>322</v>
      </c>
    </row>
    <row r="11370" spans="1:9" ht="15" customHeight="1">
      <c r="A11370" s="199">
        <v>45835</v>
      </c>
      <c r="B11370" s="202" t="s">
        <v>8349</v>
      </c>
      <c r="C11370" s="200" t="s">
        <v>204</v>
      </c>
      <c r="D11370" s="765">
        <v>-386000</v>
      </c>
      <c r="E11370" s="201">
        <v>45809</v>
      </c>
      <c r="F11370" s="200" t="s">
        <v>296</v>
      </c>
      <c r="G11370" s="200" t="s">
        <v>1983</v>
      </c>
      <c r="H11370" s="200" t="s">
        <v>322</v>
      </c>
    </row>
    <row r="11371" spans="1:9" ht="15" customHeight="1">
      <c r="A11371" s="199">
        <v>45835</v>
      </c>
      <c r="B11371" s="202" t="s">
        <v>8349</v>
      </c>
      <c r="C11371" s="200" t="s">
        <v>204</v>
      </c>
      <c r="D11371" s="765">
        <v>-386000</v>
      </c>
      <c r="E11371" s="201">
        <v>45809</v>
      </c>
      <c r="F11371" s="200" t="s">
        <v>296</v>
      </c>
      <c r="G11371" s="200" t="s">
        <v>6135</v>
      </c>
      <c r="H11371" s="200" t="s">
        <v>322</v>
      </c>
    </row>
    <row r="11372" spans="1:9" ht="15" customHeight="1">
      <c r="A11372" s="199">
        <v>45835</v>
      </c>
      <c r="B11372" s="202" t="s">
        <v>8350</v>
      </c>
      <c r="C11372" s="200" t="s">
        <v>204</v>
      </c>
      <c r="D11372" s="765">
        <v>-4839200</v>
      </c>
      <c r="E11372" s="201">
        <v>45809</v>
      </c>
      <c r="F11372" s="200" t="s">
        <v>256</v>
      </c>
      <c r="G11372" s="200" t="s">
        <v>256</v>
      </c>
      <c r="H11372" s="200" t="s">
        <v>121</v>
      </c>
    </row>
    <row r="11373" spans="1:9" ht="15" customHeight="1">
      <c r="A11373" s="199">
        <v>45835</v>
      </c>
      <c r="B11373" s="202" t="s">
        <v>8351</v>
      </c>
      <c r="C11373" s="200" t="s">
        <v>204</v>
      </c>
      <c r="D11373" s="765">
        <v>-12862000</v>
      </c>
      <c r="E11373" s="201">
        <v>45809</v>
      </c>
      <c r="F11373" s="200" t="s">
        <v>256</v>
      </c>
      <c r="G11373" s="200" t="s">
        <v>256</v>
      </c>
      <c r="H11373" s="200" t="s">
        <v>121</v>
      </c>
    </row>
    <row r="11374" spans="1:9" ht="15" customHeight="1">
      <c r="A11374" s="199">
        <v>45835</v>
      </c>
      <c r="B11374" s="202" t="s">
        <v>8352</v>
      </c>
      <c r="C11374" s="200" t="s">
        <v>204</v>
      </c>
      <c r="D11374" s="765">
        <v>-12862000</v>
      </c>
      <c r="E11374" s="201">
        <v>45809</v>
      </c>
      <c r="F11374" s="200" t="s">
        <v>256</v>
      </c>
      <c r="G11374" s="200" t="s">
        <v>256</v>
      </c>
      <c r="H11374" s="200" t="s">
        <v>121</v>
      </c>
    </row>
    <row r="11375" spans="1:9" ht="15" customHeight="1">
      <c r="A11375" s="199">
        <v>45835</v>
      </c>
      <c r="B11375" s="202" t="s">
        <v>8353</v>
      </c>
      <c r="C11375" s="200" t="s">
        <v>204</v>
      </c>
      <c r="D11375" s="765">
        <v>-882000</v>
      </c>
      <c r="E11375" s="201">
        <v>45809</v>
      </c>
      <c r="F11375" s="200" t="s">
        <v>256</v>
      </c>
      <c r="G11375" s="200" t="s">
        <v>256</v>
      </c>
      <c r="H11375" s="200" t="s">
        <v>121</v>
      </c>
    </row>
    <row r="11376" spans="1:9" ht="15" customHeight="1">
      <c r="A11376" s="199">
        <v>45835</v>
      </c>
      <c r="B11376" s="202" t="s">
        <v>8354</v>
      </c>
      <c r="C11376" s="200" t="s">
        <v>204</v>
      </c>
      <c r="D11376" s="765">
        <v>-2300000</v>
      </c>
      <c r="E11376" s="201">
        <v>45809</v>
      </c>
      <c r="F11376" s="200" t="s">
        <v>256</v>
      </c>
      <c r="G11376" s="200" t="s">
        <v>256</v>
      </c>
      <c r="H11376" s="200" t="s">
        <v>121</v>
      </c>
    </row>
    <row r="11377" spans="1:8" ht="15" customHeight="1">
      <c r="A11377" s="199">
        <v>45835</v>
      </c>
      <c r="B11377" s="202" t="s">
        <v>8355</v>
      </c>
      <c r="C11377" s="200" t="s">
        <v>204</v>
      </c>
      <c r="D11377" s="765">
        <v>-904080</v>
      </c>
      <c r="E11377" s="201">
        <v>45809</v>
      </c>
      <c r="F11377" s="200" t="s">
        <v>256</v>
      </c>
      <c r="G11377" s="200" t="s">
        <v>256</v>
      </c>
      <c r="H11377" s="200" t="s">
        <v>121</v>
      </c>
    </row>
    <row r="11378" spans="1:8" ht="15" customHeight="1">
      <c r="A11378" s="199">
        <v>45835</v>
      </c>
      <c r="B11378" s="202" t="s">
        <v>8356</v>
      </c>
      <c r="C11378" s="200" t="s">
        <v>204</v>
      </c>
      <c r="D11378" s="765">
        <v>-654810</v>
      </c>
      <c r="E11378" s="201">
        <v>45809</v>
      </c>
      <c r="F11378" s="200" t="s">
        <v>256</v>
      </c>
      <c r="G11378" s="200" t="s">
        <v>256</v>
      </c>
      <c r="H11378" s="200" t="s">
        <v>121</v>
      </c>
    </row>
    <row r="11379" spans="1:8" ht="15" customHeight="1">
      <c r="A11379" s="199">
        <v>45835</v>
      </c>
      <c r="B11379" s="202" t="s">
        <v>8357</v>
      </c>
      <c r="C11379" s="200" t="s">
        <v>204</v>
      </c>
      <c r="D11379" s="765">
        <v>-3220000</v>
      </c>
      <c r="E11379" s="201">
        <v>45809</v>
      </c>
      <c r="F11379" s="200" t="s">
        <v>256</v>
      </c>
      <c r="G11379" s="200" t="s">
        <v>256</v>
      </c>
      <c r="H11379" s="200" t="s">
        <v>121</v>
      </c>
    </row>
    <row r="11380" spans="1:8" ht="15" customHeight="1">
      <c r="A11380" s="199">
        <v>45835</v>
      </c>
      <c r="B11380" s="202" t="s">
        <v>8358</v>
      </c>
      <c r="C11380" s="200" t="s">
        <v>204</v>
      </c>
      <c r="D11380" s="765">
        <v>-777500</v>
      </c>
      <c r="E11380" s="201">
        <v>45809</v>
      </c>
      <c r="F11380" s="200" t="s">
        <v>256</v>
      </c>
      <c r="G11380" s="200" t="s">
        <v>256</v>
      </c>
      <c r="H11380" s="200" t="s">
        <v>121</v>
      </c>
    </row>
    <row r="11381" spans="1:8" ht="15" customHeight="1">
      <c r="A11381" s="199">
        <v>45835</v>
      </c>
      <c r="B11381" s="202" t="s">
        <v>8359</v>
      </c>
      <c r="C11381" s="200" t="s">
        <v>204</v>
      </c>
      <c r="D11381" s="765">
        <v>-1856000</v>
      </c>
      <c r="E11381" s="201">
        <v>45809</v>
      </c>
      <c r="F11381" s="200" t="s">
        <v>256</v>
      </c>
      <c r="G11381" s="200" t="s">
        <v>256</v>
      </c>
      <c r="H11381" s="200" t="s">
        <v>121</v>
      </c>
    </row>
    <row r="11382" spans="1:8" ht="15" customHeight="1">
      <c r="A11382" s="199">
        <v>45835</v>
      </c>
      <c r="B11382" s="202" t="s">
        <v>8360</v>
      </c>
      <c r="C11382" s="200" t="s">
        <v>204</v>
      </c>
      <c r="D11382" s="765">
        <v>-1182000</v>
      </c>
      <c r="E11382" s="201">
        <v>45809</v>
      </c>
      <c r="F11382" s="200" t="s">
        <v>256</v>
      </c>
      <c r="G11382" s="200" t="s">
        <v>256</v>
      </c>
      <c r="H11382" s="200" t="s">
        <v>121</v>
      </c>
    </row>
    <row r="11383" spans="1:8" ht="15" customHeight="1">
      <c r="A11383" s="199">
        <v>45835</v>
      </c>
      <c r="B11383" s="202" t="s">
        <v>8361</v>
      </c>
      <c r="C11383" s="200" t="s">
        <v>204</v>
      </c>
      <c r="D11383" s="765">
        <v>-754810</v>
      </c>
      <c r="E11383" s="201">
        <v>45809</v>
      </c>
      <c r="F11383" s="200" t="s">
        <v>256</v>
      </c>
      <c r="G11383" s="200" t="s">
        <v>256</v>
      </c>
      <c r="H11383" s="200" t="s">
        <v>121</v>
      </c>
    </row>
    <row r="11384" spans="1:8" ht="15" customHeight="1">
      <c r="A11384" s="199">
        <v>45835</v>
      </c>
      <c r="B11384" s="202" t="s">
        <v>8362</v>
      </c>
      <c r="C11384" s="200" t="s">
        <v>204</v>
      </c>
      <c r="D11384" s="765">
        <v>-754810</v>
      </c>
      <c r="E11384" s="201">
        <v>45809</v>
      </c>
      <c r="F11384" s="200" t="s">
        <v>256</v>
      </c>
      <c r="G11384" s="200" t="s">
        <v>256</v>
      </c>
      <c r="H11384" s="200" t="s">
        <v>121</v>
      </c>
    </row>
    <row r="11385" spans="1:8" ht="15" customHeight="1">
      <c r="A11385" s="199">
        <v>45835</v>
      </c>
      <c r="B11385" s="202" t="s">
        <v>8363</v>
      </c>
      <c r="C11385" s="200" t="s">
        <v>204</v>
      </c>
      <c r="D11385" s="765">
        <v>-3404000</v>
      </c>
      <c r="E11385" s="201">
        <v>45809</v>
      </c>
      <c r="F11385" s="200" t="s">
        <v>256</v>
      </c>
      <c r="G11385" s="200" t="s">
        <v>256</v>
      </c>
      <c r="H11385" s="200" t="s">
        <v>121</v>
      </c>
    </row>
    <row r="11386" spans="1:8" ht="15" customHeight="1">
      <c r="A11386" s="199">
        <v>45835</v>
      </c>
      <c r="B11386" s="202" t="s">
        <v>8364</v>
      </c>
      <c r="C11386" s="200" t="s">
        <v>204</v>
      </c>
      <c r="D11386" s="765">
        <v>-731510</v>
      </c>
      <c r="E11386" s="201">
        <v>45809</v>
      </c>
      <c r="F11386" s="200" t="s">
        <v>256</v>
      </c>
      <c r="G11386" s="200" t="s">
        <v>256</v>
      </c>
      <c r="H11386" s="200" t="s">
        <v>121</v>
      </c>
    </row>
    <row r="11387" spans="1:8" ht="15" customHeight="1">
      <c r="A11387" s="199">
        <v>45835</v>
      </c>
      <c r="B11387" s="202" t="s">
        <v>8365</v>
      </c>
      <c r="C11387" s="200" t="s">
        <v>204</v>
      </c>
      <c r="D11387" s="765">
        <v>-2316000</v>
      </c>
      <c r="E11387" s="201">
        <v>45809</v>
      </c>
      <c r="F11387" s="200" t="s">
        <v>256</v>
      </c>
      <c r="G11387" s="200" t="s">
        <v>256</v>
      </c>
      <c r="H11387" s="200" t="s">
        <v>121</v>
      </c>
    </row>
    <row r="11388" spans="1:8" ht="15" customHeight="1">
      <c r="A11388" s="199">
        <v>45835</v>
      </c>
      <c r="B11388" s="202" t="s">
        <v>8366</v>
      </c>
      <c r="C11388" s="200" t="s">
        <v>204</v>
      </c>
      <c r="D11388" s="765">
        <v>-882000</v>
      </c>
      <c r="E11388" s="201">
        <v>45809</v>
      </c>
      <c r="F11388" s="200" t="s">
        <v>256</v>
      </c>
      <c r="G11388" s="200" t="s">
        <v>256</v>
      </c>
      <c r="H11388" s="200" t="s">
        <v>121</v>
      </c>
    </row>
    <row r="11389" spans="1:8" ht="15" customHeight="1">
      <c r="A11389" s="199">
        <v>45835</v>
      </c>
      <c r="B11389" s="202" t="s">
        <v>8367</v>
      </c>
      <c r="C11389" s="200" t="s">
        <v>204</v>
      </c>
      <c r="D11389" s="765">
        <v>-3220000</v>
      </c>
      <c r="E11389" s="201">
        <v>45809</v>
      </c>
      <c r="F11389" s="200" t="s">
        <v>256</v>
      </c>
      <c r="G11389" s="200" t="s">
        <v>256</v>
      </c>
      <c r="H11389" s="200" t="s">
        <v>121</v>
      </c>
    </row>
    <row r="11390" spans="1:8" ht="15" customHeight="1">
      <c r="A11390" s="199">
        <v>45835</v>
      </c>
      <c r="B11390" s="202" t="s">
        <v>8368</v>
      </c>
      <c r="C11390" s="200" t="s">
        <v>204</v>
      </c>
      <c r="D11390" s="765">
        <v>-754810</v>
      </c>
      <c r="E11390" s="201">
        <v>45809</v>
      </c>
      <c r="F11390" s="200" t="s">
        <v>256</v>
      </c>
      <c r="G11390" s="200" t="s">
        <v>256</v>
      </c>
      <c r="H11390" s="200" t="s">
        <v>121</v>
      </c>
    </row>
    <row r="11391" spans="1:8" ht="15" customHeight="1">
      <c r="A11391" s="199">
        <v>45835</v>
      </c>
      <c r="B11391" s="202" t="s">
        <v>8369</v>
      </c>
      <c r="C11391" s="200" t="s">
        <v>204</v>
      </c>
      <c r="D11391" s="765">
        <v>-1948000</v>
      </c>
      <c r="E11391" s="201">
        <v>45809</v>
      </c>
      <c r="F11391" s="200" t="s">
        <v>256</v>
      </c>
      <c r="G11391" s="200" t="s">
        <v>256</v>
      </c>
      <c r="H11391" s="200" t="s">
        <v>121</v>
      </c>
    </row>
    <row r="11392" spans="1:8" ht="15" customHeight="1">
      <c r="A11392" s="199">
        <v>45835</v>
      </c>
      <c r="B11392" s="202" t="s">
        <v>8370</v>
      </c>
      <c r="C11392" s="200" t="s">
        <v>204</v>
      </c>
      <c r="D11392" s="765">
        <v>-533812.5</v>
      </c>
      <c r="E11392" s="201">
        <v>45809</v>
      </c>
      <c r="F11392" s="200" t="s">
        <v>256</v>
      </c>
      <c r="G11392" s="200" t="s">
        <v>256</v>
      </c>
      <c r="H11392" s="200" t="s">
        <v>121</v>
      </c>
    </row>
    <row r="11393" spans="1:8" ht="15" customHeight="1">
      <c r="A11393" s="199">
        <v>45835</v>
      </c>
      <c r="B11393" s="202" t="s">
        <v>8371</v>
      </c>
      <c r="C11393" s="200" t="s">
        <v>204</v>
      </c>
      <c r="D11393" s="765">
        <v>-533812.5</v>
      </c>
      <c r="E11393" s="201">
        <v>45809</v>
      </c>
      <c r="F11393" s="200" t="s">
        <v>256</v>
      </c>
      <c r="G11393" s="200" t="s">
        <v>256</v>
      </c>
      <c r="H11393" s="200" t="s">
        <v>121</v>
      </c>
    </row>
    <row r="11394" spans="1:8" ht="15" customHeight="1">
      <c r="A11394" s="199">
        <v>45835</v>
      </c>
      <c r="B11394" s="202" t="s">
        <v>8372</v>
      </c>
      <c r="C11394" s="200" t="s">
        <v>204</v>
      </c>
      <c r="D11394" s="765">
        <v>-533812.5</v>
      </c>
      <c r="E11394" s="201">
        <v>45809</v>
      </c>
      <c r="F11394" s="200" t="s">
        <v>256</v>
      </c>
      <c r="G11394" s="200" t="s">
        <v>256</v>
      </c>
      <c r="H11394" s="200" t="s">
        <v>121</v>
      </c>
    </row>
    <row r="11395" spans="1:8" ht="15" customHeight="1">
      <c r="A11395" s="199">
        <v>45835</v>
      </c>
      <c r="B11395" s="202" t="s">
        <v>8373</v>
      </c>
      <c r="C11395" s="200" t="s">
        <v>204</v>
      </c>
      <c r="D11395" s="765">
        <v>-754810</v>
      </c>
      <c r="E11395" s="201">
        <v>45809</v>
      </c>
      <c r="F11395" s="200" t="s">
        <v>256</v>
      </c>
      <c r="G11395" s="200" t="s">
        <v>256</v>
      </c>
      <c r="H11395" s="200" t="s">
        <v>121</v>
      </c>
    </row>
    <row r="11396" spans="1:8" ht="15" customHeight="1">
      <c r="A11396" s="199">
        <v>45835</v>
      </c>
      <c r="B11396" s="202" t="s">
        <v>8374</v>
      </c>
      <c r="C11396" s="200" t="s">
        <v>204</v>
      </c>
      <c r="D11396" s="765">
        <v>-950400.00000000012</v>
      </c>
      <c r="E11396" s="201">
        <v>45809</v>
      </c>
      <c r="F11396" s="200" t="s">
        <v>256</v>
      </c>
      <c r="G11396" s="200" t="s">
        <v>256</v>
      </c>
      <c r="H11396" s="200" t="s">
        <v>121</v>
      </c>
    </row>
    <row r="11397" spans="1:8" ht="15" customHeight="1">
      <c r="A11397" s="199">
        <v>45835</v>
      </c>
      <c r="B11397" s="202" t="s">
        <v>8375</v>
      </c>
      <c r="C11397" s="200" t="s">
        <v>204</v>
      </c>
      <c r="D11397" s="765">
        <v>-4140000</v>
      </c>
      <c r="E11397" s="201">
        <v>45809</v>
      </c>
      <c r="F11397" s="200" t="s">
        <v>296</v>
      </c>
      <c r="G11397" s="200" t="s">
        <v>57</v>
      </c>
      <c r="H11397" s="200" t="s">
        <v>121</v>
      </c>
    </row>
    <row r="11398" spans="1:8" ht="15" customHeight="1">
      <c r="A11398" s="199">
        <v>45835</v>
      </c>
      <c r="B11398" s="202" t="s">
        <v>8376</v>
      </c>
      <c r="C11398" s="200" t="s">
        <v>204</v>
      </c>
      <c r="D11398" s="765">
        <v>-2760000</v>
      </c>
      <c r="E11398" s="201">
        <v>45809</v>
      </c>
      <c r="F11398" s="200" t="s">
        <v>296</v>
      </c>
      <c r="G11398" s="200" t="s">
        <v>57</v>
      </c>
      <c r="H11398" s="200" t="s">
        <v>121</v>
      </c>
    </row>
    <row r="11399" spans="1:8" ht="15" customHeight="1">
      <c r="A11399" s="199">
        <v>45835</v>
      </c>
      <c r="B11399" s="202" t="s">
        <v>8377</v>
      </c>
      <c r="C11399" s="200" t="s">
        <v>204</v>
      </c>
      <c r="D11399" s="765">
        <v>-3404000</v>
      </c>
      <c r="E11399" s="201">
        <v>45809</v>
      </c>
      <c r="F11399" s="200" t="s">
        <v>296</v>
      </c>
      <c r="G11399" s="200" t="s">
        <v>57</v>
      </c>
      <c r="H11399" s="200" t="s">
        <v>121</v>
      </c>
    </row>
    <row r="11400" spans="1:8" ht="15" customHeight="1">
      <c r="A11400" s="199">
        <v>45835</v>
      </c>
      <c r="B11400" s="202" t="s">
        <v>8378</v>
      </c>
      <c r="C11400" s="200" t="s">
        <v>204</v>
      </c>
      <c r="D11400" s="765">
        <v>-2944000</v>
      </c>
      <c r="E11400" s="201">
        <v>45809</v>
      </c>
      <c r="F11400" s="200" t="s">
        <v>296</v>
      </c>
      <c r="G11400" s="200" t="s">
        <v>57</v>
      </c>
      <c r="H11400" s="200" t="s">
        <v>121</v>
      </c>
    </row>
    <row r="11401" spans="1:8" ht="15" customHeight="1">
      <c r="A11401" s="199">
        <v>45835</v>
      </c>
      <c r="B11401" s="202" t="s">
        <v>8379</v>
      </c>
      <c r="C11401" s="200" t="s">
        <v>204</v>
      </c>
      <c r="D11401" s="765">
        <v>-1856000</v>
      </c>
      <c r="E11401" s="201">
        <v>45809</v>
      </c>
      <c r="F11401" s="200" t="s">
        <v>296</v>
      </c>
      <c r="G11401" s="200" t="s">
        <v>57</v>
      </c>
      <c r="H11401" s="200" t="s">
        <v>121</v>
      </c>
    </row>
    <row r="11402" spans="1:8" ht="15" customHeight="1">
      <c r="A11402" s="199">
        <v>45835</v>
      </c>
      <c r="B11402" s="202" t="s">
        <v>8380</v>
      </c>
      <c r="C11402" s="200" t="s">
        <v>204</v>
      </c>
      <c r="D11402" s="765">
        <v>-2592000</v>
      </c>
      <c r="E11402" s="201">
        <v>45809</v>
      </c>
      <c r="F11402" s="200" t="s">
        <v>296</v>
      </c>
      <c r="G11402" s="200" t="s">
        <v>57</v>
      </c>
      <c r="H11402" s="200" t="s">
        <v>121</v>
      </c>
    </row>
    <row r="11403" spans="1:8" ht="15" customHeight="1">
      <c r="A11403" s="199">
        <v>45835</v>
      </c>
      <c r="B11403" s="202" t="s">
        <v>8381</v>
      </c>
      <c r="C11403" s="200" t="s">
        <v>204</v>
      </c>
      <c r="D11403" s="765">
        <v>-3588000</v>
      </c>
      <c r="E11403" s="201">
        <v>45809</v>
      </c>
      <c r="F11403" s="200" t="s">
        <v>296</v>
      </c>
      <c r="G11403" s="200" t="s">
        <v>57</v>
      </c>
      <c r="H11403" s="200" t="s">
        <v>121</v>
      </c>
    </row>
    <row r="11404" spans="1:8" ht="15" customHeight="1">
      <c r="A11404" s="199">
        <v>45835</v>
      </c>
      <c r="B11404" s="202" t="s">
        <v>8382</v>
      </c>
      <c r="C11404" s="200" t="s">
        <v>204</v>
      </c>
      <c r="D11404" s="765">
        <v>-2592000</v>
      </c>
      <c r="E11404" s="201">
        <v>45809</v>
      </c>
      <c r="F11404" s="200" t="s">
        <v>296</v>
      </c>
      <c r="G11404" s="200" t="s">
        <v>57</v>
      </c>
      <c r="H11404" s="200" t="s">
        <v>121</v>
      </c>
    </row>
    <row r="11405" spans="1:8" ht="15" customHeight="1">
      <c r="A11405" s="199">
        <v>45835</v>
      </c>
      <c r="B11405" s="202" t="s">
        <v>8383</v>
      </c>
      <c r="C11405" s="200" t="s">
        <v>204</v>
      </c>
      <c r="D11405" s="765">
        <v>-2944000</v>
      </c>
      <c r="E11405" s="201">
        <v>45809</v>
      </c>
      <c r="F11405" s="200" t="s">
        <v>296</v>
      </c>
      <c r="G11405" s="200" t="s">
        <v>57</v>
      </c>
      <c r="H11405" s="200" t="s">
        <v>121</v>
      </c>
    </row>
    <row r="11406" spans="1:8" ht="15" customHeight="1">
      <c r="A11406" s="199">
        <v>45835</v>
      </c>
      <c r="B11406" s="202" t="s">
        <v>8384</v>
      </c>
      <c r="C11406" s="200" t="s">
        <v>204</v>
      </c>
      <c r="D11406" s="765">
        <v>-5461620</v>
      </c>
      <c r="E11406" s="201">
        <v>45809</v>
      </c>
      <c r="F11406" s="200" t="s">
        <v>256</v>
      </c>
      <c r="G11406" s="200" t="s">
        <v>107</v>
      </c>
      <c r="H11406" s="200" t="s">
        <v>121</v>
      </c>
    </row>
    <row r="11407" spans="1:8" ht="15" customHeight="1">
      <c r="A11407" s="199">
        <v>45835</v>
      </c>
      <c r="B11407" s="202" t="s">
        <v>8385</v>
      </c>
      <c r="C11407" s="200" t="s">
        <v>204</v>
      </c>
      <c r="D11407" s="765">
        <v>-1004810</v>
      </c>
      <c r="E11407" s="201">
        <v>45809</v>
      </c>
      <c r="F11407" s="200" t="s">
        <v>256</v>
      </c>
      <c r="G11407" s="200" t="s">
        <v>107</v>
      </c>
      <c r="H11407" s="200" t="s">
        <v>121</v>
      </c>
    </row>
    <row r="11408" spans="1:8" ht="15" customHeight="1">
      <c r="A11408" s="199">
        <v>45835</v>
      </c>
      <c r="B11408" s="202" t="s">
        <v>8386</v>
      </c>
      <c r="C11408" s="200" t="s">
        <v>204</v>
      </c>
      <c r="D11408" s="765">
        <v>-4275144.9029999999</v>
      </c>
      <c r="E11408" s="201">
        <v>45809</v>
      </c>
      <c r="F11408" s="200" t="s">
        <v>256</v>
      </c>
      <c r="G11408" s="200" t="s">
        <v>107</v>
      </c>
      <c r="H11408" s="200" t="s">
        <v>121</v>
      </c>
    </row>
    <row r="11409" spans="1:8" ht="15" customHeight="1">
      <c r="A11409" s="199">
        <v>45835</v>
      </c>
      <c r="B11409" s="202" t="s">
        <v>8387</v>
      </c>
      <c r="C11409" s="200" t="s">
        <v>204</v>
      </c>
      <c r="D11409" s="765">
        <v>-1202689</v>
      </c>
      <c r="E11409" s="201">
        <v>45809</v>
      </c>
      <c r="F11409" s="200" t="s">
        <v>297</v>
      </c>
      <c r="G11409" s="200" t="s">
        <v>8388</v>
      </c>
      <c r="H11409" s="200" t="s">
        <v>342</v>
      </c>
    </row>
    <row r="11410" spans="1:8" ht="15" customHeight="1">
      <c r="A11410" s="199">
        <v>45835</v>
      </c>
      <c r="B11410" s="202" t="s">
        <v>8389</v>
      </c>
      <c r="C11410" s="200" t="s">
        <v>204</v>
      </c>
      <c r="D11410" s="765">
        <v>-3436000</v>
      </c>
      <c r="E11410" s="201">
        <v>45809</v>
      </c>
      <c r="F11410" s="200" t="s">
        <v>256</v>
      </c>
      <c r="G11410" s="200" t="s">
        <v>107</v>
      </c>
      <c r="H11410" s="200" t="s">
        <v>121</v>
      </c>
    </row>
    <row r="11411" spans="1:8" ht="15" customHeight="1">
      <c r="A11411" s="199">
        <v>45835</v>
      </c>
      <c r="B11411" s="202" t="s">
        <v>8390</v>
      </c>
      <c r="C11411" s="200" t="s">
        <v>204</v>
      </c>
      <c r="D11411" s="765">
        <v>-2768000</v>
      </c>
      <c r="E11411" s="201">
        <v>45809</v>
      </c>
      <c r="F11411" s="200" t="s">
        <v>256</v>
      </c>
      <c r="G11411" s="200" t="s">
        <v>107</v>
      </c>
      <c r="H11411" s="200" t="s">
        <v>121</v>
      </c>
    </row>
    <row r="11412" spans="1:8" ht="15" customHeight="1">
      <c r="A11412" s="199">
        <v>45835</v>
      </c>
      <c r="B11412" s="202" t="s">
        <v>8391</v>
      </c>
      <c r="C11412" s="200" t="s">
        <v>204</v>
      </c>
      <c r="D11412" s="765">
        <v>-754810</v>
      </c>
      <c r="E11412" s="201">
        <v>45809</v>
      </c>
      <c r="F11412" s="200" t="s">
        <v>256</v>
      </c>
      <c r="G11412" s="200" t="s">
        <v>107</v>
      </c>
      <c r="H11412" s="200" t="s">
        <v>121</v>
      </c>
    </row>
    <row r="11413" spans="1:8" ht="15" customHeight="1">
      <c r="A11413" s="199">
        <v>45835</v>
      </c>
      <c r="B11413" s="202" t="s">
        <v>8392</v>
      </c>
      <c r="C11413" s="200" t="s">
        <v>204</v>
      </c>
      <c r="D11413" s="765">
        <v>-2493333.3333333335</v>
      </c>
      <c r="E11413" s="201">
        <v>45809</v>
      </c>
      <c r="F11413" s="200" t="s">
        <v>256</v>
      </c>
      <c r="G11413" s="200" t="s">
        <v>107</v>
      </c>
      <c r="H11413" s="200" t="s">
        <v>121</v>
      </c>
    </row>
    <row r="11414" spans="1:8" ht="15" customHeight="1">
      <c r="A11414" s="199">
        <v>45835</v>
      </c>
      <c r="B11414" s="202" t="s">
        <v>8393</v>
      </c>
      <c r="C11414" s="200" t="s">
        <v>204</v>
      </c>
      <c r="D11414" s="765">
        <v>-2716320</v>
      </c>
      <c r="E11414" s="201">
        <v>45809</v>
      </c>
      <c r="F11414" s="200" t="s">
        <v>256</v>
      </c>
      <c r="G11414" s="200" t="s">
        <v>107</v>
      </c>
      <c r="H11414" s="200" t="s">
        <v>121</v>
      </c>
    </row>
    <row r="11415" spans="1:8" ht="15" customHeight="1">
      <c r="A11415" s="199">
        <v>45835</v>
      </c>
      <c r="B11415" s="202" t="s">
        <v>8394</v>
      </c>
      <c r="C11415" s="200" t="s">
        <v>204</v>
      </c>
      <c r="D11415" s="765">
        <v>-1671000</v>
      </c>
      <c r="E11415" s="201">
        <v>45809</v>
      </c>
      <c r="F11415" s="200" t="s">
        <v>297</v>
      </c>
      <c r="G11415" s="200" t="s">
        <v>3848</v>
      </c>
      <c r="H11415" s="200" t="s">
        <v>342</v>
      </c>
    </row>
    <row r="11416" spans="1:8" ht="15" customHeight="1">
      <c r="A11416" s="199">
        <v>45835</v>
      </c>
      <c r="B11416" s="202" t="s">
        <v>8395</v>
      </c>
      <c r="C11416" s="200" t="s">
        <v>204</v>
      </c>
      <c r="D11416" s="765">
        <v>-2324000</v>
      </c>
      <c r="E11416" s="201">
        <v>45809</v>
      </c>
      <c r="F11416" s="200" t="s">
        <v>256</v>
      </c>
      <c r="G11416" s="200" t="s">
        <v>107</v>
      </c>
      <c r="H11416" s="200" t="s">
        <v>121</v>
      </c>
    </row>
    <row r="11417" spans="1:8" ht="15" customHeight="1">
      <c r="A11417" s="199">
        <v>45835</v>
      </c>
      <c r="B11417" s="202" t="s">
        <v>8396</v>
      </c>
      <c r="C11417" s="200" t="s">
        <v>204</v>
      </c>
      <c r="D11417" s="765">
        <v>-2944000</v>
      </c>
      <c r="E11417" s="201">
        <v>45809</v>
      </c>
      <c r="F11417" s="200" t="s">
        <v>256</v>
      </c>
      <c r="G11417" s="200" t="s">
        <v>107</v>
      </c>
      <c r="H11417" s="200" t="s">
        <v>121</v>
      </c>
    </row>
    <row r="11418" spans="1:8" ht="15" customHeight="1">
      <c r="A11418" s="199">
        <v>45835</v>
      </c>
      <c r="B11418" s="202" t="s">
        <v>8397</v>
      </c>
      <c r="C11418" s="200" t="s">
        <v>204</v>
      </c>
      <c r="D11418" s="765">
        <v>-6361000</v>
      </c>
      <c r="E11418" s="201">
        <v>45809</v>
      </c>
      <c r="F11418" s="200" t="s">
        <v>256</v>
      </c>
      <c r="G11418" s="200" t="s">
        <v>107</v>
      </c>
      <c r="H11418" s="200" t="s">
        <v>121</v>
      </c>
    </row>
    <row r="11419" spans="1:8" ht="15" customHeight="1">
      <c r="A11419" s="199">
        <v>45835</v>
      </c>
      <c r="B11419" s="202" t="s">
        <v>8398</v>
      </c>
      <c r="C11419" s="200" t="s">
        <v>204</v>
      </c>
      <c r="D11419" s="765">
        <v>-1031550</v>
      </c>
      <c r="E11419" s="201">
        <v>45809</v>
      </c>
      <c r="F11419" s="200" t="s">
        <v>296</v>
      </c>
      <c r="G11419" s="200" t="s">
        <v>1825</v>
      </c>
      <c r="H11419" s="200" t="s">
        <v>338</v>
      </c>
    </row>
    <row r="11420" spans="1:8" ht="15" customHeight="1">
      <c r="A11420" s="199">
        <v>45835</v>
      </c>
      <c r="B11420" s="202" t="s">
        <v>8398</v>
      </c>
      <c r="C11420" s="200" t="s">
        <v>204</v>
      </c>
      <c r="D11420" s="765">
        <v>-1031550</v>
      </c>
      <c r="E11420" s="201">
        <v>45809</v>
      </c>
      <c r="F11420" s="200" t="s">
        <v>296</v>
      </c>
      <c r="G11420" s="200" t="s">
        <v>522</v>
      </c>
      <c r="H11420" s="200" t="s">
        <v>338</v>
      </c>
    </row>
    <row r="11421" spans="1:8" ht="15" customHeight="1">
      <c r="A11421" s="199">
        <v>45835</v>
      </c>
      <c r="B11421" s="202" t="s">
        <v>8398</v>
      </c>
      <c r="C11421" s="200" t="s">
        <v>204</v>
      </c>
      <c r="D11421" s="765">
        <v>-1031550</v>
      </c>
      <c r="E11421" s="201">
        <v>45809</v>
      </c>
      <c r="F11421" s="200" t="s">
        <v>296</v>
      </c>
      <c r="G11421" s="200" t="s">
        <v>1980</v>
      </c>
      <c r="H11421" s="200" t="s">
        <v>338</v>
      </c>
    </row>
    <row r="11422" spans="1:8" ht="15" customHeight="1">
      <c r="A11422" s="199">
        <v>45835</v>
      </c>
      <c r="B11422" s="202" t="s">
        <v>8398</v>
      </c>
      <c r="C11422" s="200" t="s">
        <v>204</v>
      </c>
      <c r="D11422" s="765">
        <v>-1031550</v>
      </c>
      <c r="E11422" s="201">
        <v>45809</v>
      </c>
      <c r="F11422" s="200" t="s">
        <v>296</v>
      </c>
      <c r="G11422" s="200" t="s">
        <v>1983</v>
      </c>
      <c r="H11422" s="200" t="s">
        <v>338</v>
      </c>
    </row>
    <row r="11423" spans="1:8" ht="15" customHeight="1">
      <c r="A11423" s="199">
        <v>45835</v>
      </c>
      <c r="B11423" s="202" t="s">
        <v>8399</v>
      </c>
      <c r="C11423" s="200" t="s">
        <v>204</v>
      </c>
      <c r="D11423" s="765">
        <v>-1980500</v>
      </c>
      <c r="E11423" s="201">
        <v>45809</v>
      </c>
      <c r="F11423" s="200" t="s">
        <v>296</v>
      </c>
      <c r="G11423" s="200" t="s">
        <v>1825</v>
      </c>
      <c r="H11423" s="200" t="s">
        <v>338</v>
      </c>
    </row>
    <row r="11424" spans="1:8" ht="15" customHeight="1">
      <c r="A11424" s="199">
        <v>45835</v>
      </c>
      <c r="B11424" s="202" t="s">
        <v>8399</v>
      </c>
      <c r="C11424" s="200" t="s">
        <v>204</v>
      </c>
      <c r="D11424" s="765">
        <v>-1980500</v>
      </c>
      <c r="E11424" s="201">
        <v>45809</v>
      </c>
      <c r="F11424" s="200" t="s">
        <v>296</v>
      </c>
      <c r="G11424" s="200" t="s">
        <v>807</v>
      </c>
      <c r="H11424" s="200" t="s">
        <v>338</v>
      </c>
    </row>
    <row r="11425" spans="1:9" ht="15" customHeight="1">
      <c r="A11425" s="199">
        <v>45835</v>
      </c>
      <c r="B11425" s="202" t="s">
        <v>8399</v>
      </c>
      <c r="C11425" s="200" t="s">
        <v>204</v>
      </c>
      <c r="D11425" s="765">
        <v>-1980500</v>
      </c>
      <c r="E11425" s="201">
        <v>45809</v>
      </c>
      <c r="F11425" s="200" t="s">
        <v>296</v>
      </c>
      <c r="G11425" s="200" t="s">
        <v>1980</v>
      </c>
      <c r="H11425" s="200" t="s">
        <v>338</v>
      </c>
    </row>
    <row r="11426" spans="1:9" ht="15" customHeight="1">
      <c r="A11426" s="199">
        <v>45835</v>
      </c>
      <c r="B11426" s="202" t="s">
        <v>8399</v>
      </c>
      <c r="C11426" s="200" t="s">
        <v>204</v>
      </c>
      <c r="D11426" s="765">
        <v>-1980500</v>
      </c>
      <c r="E11426" s="201">
        <v>45809</v>
      </c>
      <c r="F11426" s="200" t="s">
        <v>296</v>
      </c>
      <c r="G11426" s="200" t="s">
        <v>1983</v>
      </c>
      <c r="H11426" s="200" t="s">
        <v>338</v>
      </c>
    </row>
    <row r="11427" spans="1:9" ht="15" customHeight="1">
      <c r="A11427" s="199">
        <v>45835</v>
      </c>
      <c r="B11427" s="202" t="s">
        <v>8400</v>
      </c>
      <c r="C11427" s="200" t="s">
        <v>204</v>
      </c>
      <c r="D11427" s="765">
        <v>-192080</v>
      </c>
      <c r="E11427" s="201">
        <v>45809</v>
      </c>
      <c r="F11427" s="200" t="s">
        <v>296</v>
      </c>
      <c r="G11427" s="200" t="s">
        <v>2418</v>
      </c>
      <c r="H11427" s="200" t="s">
        <v>567</v>
      </c>
    </row>
    <row r="11428" spans="1:9" ht="15" customHeight="1">
      <c r="A11428" s="199">
        <v>45835</v>
      </c>
      <c r="B11428" s="202" t="s">
        <v>8400</v>
      </c>
      <c r="C11428" s="200" t="s">
        <v>204</v>
      </c>
      <c r="D11428" s="765">
        <v>-96040</v>
      </c>
      <c r="E11428" s="201">
        <v>45809</v>
      </c>
      <c r="F11428" s="200" t="s">
        <v>297</v>
      </c>
      <c r="G11428" s="200" t="s">
        <v>71</v>
      </c>
      <c r="H11428" s="200" t="s">
        <v>567</v>
      </c>
    </row>
    <row r="11429" spans="1:9" ht="15" customHeight="1">
      <c r="A11429" s="199">
        <v>45835</v>
      </c>
      <c r="B11429" s="202" t="s">
        <v>8400</v>
      </c>
      <c r="C11429" s="200" t="s">
        <v>204</v>
      </c>
      <c r="D11429" s="765">
        <v>-48020</v>
      </c>
      <c r="E11429" s="201">
        <v>45809</v>
      </c>
      <c r="F11429" s="200" t="s">
        <v>296</v>
      </c>
      <c r="G11429" s="200" t="s">
        <v>1311</v>
      </c>
      <c r="H11429" s="200" t="s">
        <v>567</v>
      </c>
      <c r="I11429" s="648" t="s">
        <v>329</v>
      </c>
    </row>
    <row r="11430" spans="1:9" ht="15" customHeight="1">
      <c r="A11430" s="199">
        <v>45835</v>
      </c>
      <c r="B11430" s="202" t="s">
        <v>8400</v>
      </c>
      <c r="C11430" s="200" t="s">
        <v>204</v>
      </c>
      <c r="D11430" s="765">
        <v>-96040</v>
      </c>
      <c r="E11430" s="201">
        <v>45809</v>
      </c>
      <c r="F11430" s="200" t="s">
        <v>296</v>
      </c>
      <c r="G11430" s="200" t="s">
        <v>3847</v>
      </c>
      <c r="H11430" s="200" t="s">
        <v>567</v>
      </c>
    </row>
    <row r="11431" spans="1:9" ht="15" customHeight="1">
      <c r="A11431" s="199">
        <v>45835</v>
      </c>
      <c r="B11431" s="202" t="s">
        <v>8400</v>
      </c>
      <c r="C11431" s="200" t="s">
        <v>204</v>
      </c>
      <c r="D11431" s="765">
        <v>-96040</v>
      </c>
      <c r="E11431" s="201">
        <v>45809</v>
      </c>
      <c r="F11431" s="200" t="s">
        <v>296</v>
      </c>
      <c r="G11431" s="200" t="s">
        <v>1124</v>
      </c>
      <c r="H11431" s="200" t="s">
        <v>567</v>
      </c>
    </row>
    <row r="11432" spans="1:9" ht="15" customHeight="1">
      <c r="A11432" s="199">
        <v>45835</v>
      </c>
      <c r="B11432" s="202" t="s">
        <v>8400</v>
      </c>
      <c r="C11432" s="200" t="s">
        <v>204</v>
      </c>
      <c r="D11432" s="765">
        <v>-96040</v>
      </c>
      <c r="E11432" s="201">
        <v>45809</v>
      </c>
      <c r="F11432" s="200" t="s">
        <v>296</v>
      </c>
      <c r="G11432" s="200" t="s">
        <v>1362</v>
      </c>
      <c r="H11432" s="200" t="s">
        <v>567</v>
      </c>
    </row>
    <row r="11433" spans="1:9" ht="15" customHeight="1">
      <c r="A11433" s="199">
        <v>45835</v>
      </c>
      <c r="B11433" s="202" t="s">
        <v>8400</v>
      </c>
      <c r="C11433" s="200" t="s">
        <v>204</v>
      </c>
      <c r="D11433" s="765">
        <v>-96040</v>
      </c>
      <c r="E11433" s="201">
        <v>45809</v>
      </c>
      <c r="F11433" s="200" t="s">
        <v>296</v>
      </c>
      <c r="G11433" s="200" t="s">
        <v>1735</v>
      </c>
      <c r="H11433" s="200" t="s">
        <v>567</v>
      </c>
    </row>
    <row r="11434" spans="1:9" ht="15" customHeight="1">
      <c r="A11434" s="199">
        <v>45835</v>
      </c>
      <c r="B11434" s="202" t="s">
        <v>8400</v>
      </c>
      <c r="C11434" s="200" t="s">
        <v>204</v>
      </c>
      <c r="D11434" s="765">
        <v>-96040</v>
      </c>
      <c r="E11434" s="201">
        <v>45809</v>
      </c>
      <c r="F11434" s="200" t="s">
        <v>296</v>
      </c>
      <c r="G11434" s="200" t="s">
        <v>3360</v>
      </c>
      <c r="H11434" s="200" t="s">
        <v>567</v>
      </c>
    </row>
    <row r="11435" spans="1:9" ht="15" customHeight="1">
      <c r="A11435" s="199">
        <v>45835</v>
      </c>
      <c r="B11435" s="202" t="s">
        <v>8400</v>
      </c>
      <c r="C11435" s="200" t="s">
        <v>204</v>
      </c>
      <c r="D11435" s="765">
        <v>-144060</v>
      </c>
      <c r="E11435" s="201">
        <v>45809</v>
      </c>
      <c r="F11435" s="200" t="s">
        <v>297</v>
      </c>
      <c r="G11435" s="200" t="s">
        <v>3892</v>
      </c>
      <c r="H11435" s="200" t="s">
        <v>567</v>
      </c>
    </row>
    <row r="11436" spans="1:9" ht="15" customHeight="1">
      <c r="A11436" s="199">
        <v>45835</v>
      </c>
      <c r="B11436" s="202" t="s">
        <v>8401</v>
      </c>
      <c r="C11436" s="200" t="s">
        <v>204</v>
      </c>
      <c r="D11436" s="765">
        <v>-2624000</v>
      </c>
      <c r="E11436" s="201">
        <v>45809</v>
      </c>
      <c r="F11436" s="200" t="s">
        <v>296</v>
      </c>
      <c r="G11436" s="200" t="s">
        <v>2418</v>
      </c>
      <c r="H11436" s="200" t="s">
        <v>567</v>
      </c>
    </row>
    <row r="11437" spans="1:9" ht="15" customHeight="1">
      <c r="A11437" s="199">
        <v>45835</v>
      </c>
      <c r="B11437" s="202" t="s">
        <v>8401</v>
      </c>
      <c r="C11437" s="200" t="s">
        <v>204</v>
      </c>
      <c r="D11437" s="765">
        <v>-656000</v>
      </c>
      <c r="E11437" s="201">
        <v>45809</v>
      </c>
      <c r="F11437" s="200" t="s">
        <v>296</v>
      </c>
      <c r="G11437" s="200" t="s">
        <v>3847</v>
      </c>
      <c r="H11437" s="200" t="s">
        <v>567</v>
      </c>
    </row>
    <row r="11438" spans="1:9" ht="15" customHeight="1">
      <c r="A11438" s="199">
        <v>45835</v>
      </c>
      <c r="B11438" s="202" t="s">
        <v>8402</v>
      </c>
      <c r="C11438" s="200" t="s">
        <v>204</v>
      </c>
      <c r="D11438" s="765">
        <v>-329352</v>
      </c>
      <c r="E11438" s="201">
        <v>45809</v>
      </c>
      <c r="F11438" s="200" t="s">
        <v>296</v>
      </c>
      <c r="G11438" s="200" t="s">
        <v>3847</v>
      </c>
      <c r="H11438" s="200" t="s">
        <v>567</v>
      </c>
    </row>
    <row r="11439" spans="1:9" ht="15" customHeight="1">
      <c r="A11439" s="199">
        <v>45835</v>
      </c>
      <c r="B11439" s="202" t="s">
        <v>8402</v>
      </c>
      <c r="C11439" s="200" t="s">
        <v>204</v>
      </c>
      <c r="D11439" s="765">
        <v>-329352</v>
      </c>
      <c r="E11439" s="201">
        <v>45809</v>
      </c>
      <c r="F11439" s="200" t="s">
        <v>296</v>
      </c>
      <c r="G11439" s="200" t="s">
        <v>1124</v>
      </c>
      <c r="H11439" s="200" t="s">
        <v>567</v>
      </c>
      <c r="I11439" s="648" t="s">
        <v>329</v>
      </c>
    </row>
    <row r="11440" spans="1:9" ht="15" customHeight="1">
      <c r="A11440" s="199">
        <v>45835</v>
      </c>
      <c r="B11440" s="202" t="s">
        <v>8402</v>
      </c>
      <c r="C11440" s="200" t="s">
        <v>204</v>
      </c>
      <c r="D11440" s="765">
        <v>-219568</v>
      </c>
      <c r="E11440" s="201">
        <v>45809</v>
      </c>
      <c r="F11440" s="200" t="s">
        <v>296</v>
      </c>
      <c r="G11440" s="200" t="s">
        <v>1362</v>
      </c>
      <c r="H11440" s="200" t="s">
        <v>567</v>
      </c>
      <c r="I11440" s="648" t="s">
        <v>329</v>
      </c>
    </row>
    <row r="11441" spans="1:9" ht="15" customHeight="1">
      <c r="A11441" s="199">
        <v>45835</v>
      </c>
      <c r="B11441" s="202" t="s">
        <v>8402</v>
      </c>
      <c r="C11441" s="200" t="s">
        <v>204</v>
      </c>
      <c r="D11441" s="765">
        <v>-219568</v>
      </c>
      <c r="E11441" s="201">
        <v>45809</v>
      </c>
      <c r="F11441" s="200" t="s">
        <v>296</v>
      </c>
      <c r="G11441" s="200" t="s">
        <v>1735</v>
      </c>
      <c r="H11441" s="200" t="s">
        <v>567</v>
      </c>
    </row>
    <row r="11442" spans="1:9" ht="15" customHeight="1">
      <c r="A11442" s="199">
        <v>45835</v>
      </c>
      <c r="B11442" s="202" t="s">
        <v>8402</v>
      </c>
      <c r="C11442" s="200" t="s">
        <v>204</v>
      </c>
      <c r="D11442" s="765">
        <v>-329352</v>
      </c>
      <c r="E11442" s="201">
        <v>45809</v>
      </c>
      <c r="F11442" s="200" t="s">
        <v>296</v>
      </c>
      <c r="G11442" s="200" t="s">
        <v>3360</v>
      </c>
      <c r="H11442" s="200" t="s">
        <v>567</v>
      </c>
    </row>
    <row r="11443" spans="1:9" ht="15" customHeight="1">
      <c r="A11443" s="199">
        <v>45835</v>
      </c>
      <c r="B11443" s="202" t="s">
        <v>8402</v>
      </c>
      <c r="C11443" s="200" t="s">
        <v>204</v>
      </c>
      <c r="D11443" s="765">
        <v>-219568</v>
      </c>
      <c r="E11443" s="201">
        <v>45809</v>
      </c>
      <c r="F11443" s="200" t="s">
        <v>297</v>
      </c>
      <c r="G11443" s="200" t="s">
        <v>3892</v>
      </c>
      <c r="H11443" s="200" t="s">
        <v>567</v>
      </c>
    </row>
    <row r="11444" spans="1:9" ht="15" customHeight="1">
      <c r="A11444" s="199">
        <v>45835</v>
      </c>
      <c r="B11444" s="202" t="s">
        <v>8402</v>
      </c>
      <c r="C11444" s="200" t="s">
        <v>204</v>
      </c>
      <c r="D11444" s="765">
        <v>-219568</v>
      </c>
      <c r="E11444" s="201">
        <v>45809</v>
      </c>
      <c r="F11444" s="200" t="s">
        <v>296</v>
      </c>
      <c r="G11444" s="200" t="s">
        <v>5466</v>
      </c>
      <c r="H11444" s="200" t="s">
        <v>567</v>
      </c>
    </row>
    <row r="11445" spans="1:9" ht="15" customHeight="1">
      <c r="A11445" s="199">
        <v>45835</v>
      </c>
      <c r="B11445" s="202" t="s">
        <v>8402</v>
      </c>
      <c r="C11445" s="200" t="s">
        <v>204</v>
      </c>
      <c r="D11445" s="765">
        <v>-329352</v>
      </c>
      <c r="E11445" s="201">
        <v>45809</v>
      </c>
      <c r="F11445" s="200" t="s">
        <v>256</v>
      </c>
      <c r="G11445" s="200" t="s">
        <v>107</v>
      </c>
      <c r="H11445" s="200" t="s">
        <v>121</v>
      </c>
    </row>
    <row r="11446" spans="1:9" ht="15" customHeight="1">
      <c r="A11446" s="199">
        <v>45835</v>
      </c>
      <c r="B11446" s="202" t="s">
        <v>8403</v>
      </c>
      <c r="C11446" s="200" t="s">
        <v>204</v>
      </c>
      <c r="D11446" s="765">
        <v>-759000</v>
      </c>
      <c r="E11446" s="201">
        <v>45809</v>
      </c>
      <c r="F11446" s="200" t="s">
        <v>296</v>
      </c>
      <c r="G11446" s="200" t="s">
        <v>1825</v>
      </c>
      <c r="H11446" s="200" t="s">
        <v>338</v>
      </c>
    </row>
    <row r="11447" spans="1:9" ht="15" customHeight="1">
      <c r="A11447" s="199">
        <v>45835</v>
      </c>
      <c r="B11447" s="202" t="s">
        <v>8403</v>
      </c>
      <c r="C11447" s="200" t="s">
        <v>204</v>
      </c>
      <c r="D11447" s="765">
        <v>-759000</v>
      </c>
      <c r="E11447" s="201">
        <v>45809</v>
      </c>
      <c r="F11447" s="200" t="s">
        <v>296</v>
      </c>
      <c r="G11447" s="200" t="s">
        <v>807</v>
      </c>
      <c r="H11447" s="200" t="s">
        <v>338</v>
      </c>
    </row>
    <row r="11448" spans="1:9" ht="15" customHeight="1">
      <c r="A11448" s="199">
        <v>45835</v>
      </c>
      <c r="B11448" s="202" t="s">
        <v>8403</v>
      </c>
      <c r="C11448" s="200" t="s">
        <v>204</v>
      </c>
      <c r="D11448" s="765">
        <v>-759000</v>
      </c>
      <c r="E11448" s="201">
        <v>45809</v>
      </c>
      <c r="F11448" s="200" t="s">
        <v>296</v>
      </c>
      <c r="G11448" s="200" t="s">
        <v>1980</v>
      </c>
      <c r="H11448" s="200" t="s">
        <v>338</v>
      </c>
    </row>
    <row r="11449" spans="1:9" ht="15" customHeight="1">
      <c r="A11449" s="199">
        <v>45835</v>
      </c>
      <c r="B11449" s="202" t="s">
        <v>8403</v>
      </c>
      <c r="C11449" s="200" t="s">
        <v>204</v>
      </c>
      <c r="D11449" s="765">
        <v>-759000</v>
      </c>
      <c r="E11449" s="201">
        <v>45809</v>
      </c>
      <c r="F11449" s="200" t="s">
        <v>296</v>
      </c>
      <c r="G11449" s="200" t="s">
        <v>1983</v>
      </c>
      <c r="H11449" s="200" t="s">
        <v>338</v>
      </c>
    </row>
    <row r="11450" spans="1:9" ht="15" customHeight="1">
      <c r="A11450" s="199">
        <v>45835</v>
      </c>
      <c r="B11450" s="202" t="s">
        <v>8404</v>
      </c>
      <c r="C11450" s="200" t="s">
        <v>204</v>
      </c>
      <c r="D11450" s="765">
        <v>-1087840</v>
      </c>
      <c r="E11450" s="201">
        <v>45809</v>
      </c>
      <c r="F11450" s="200" t="s">
        <v>296</v>
      </c>
      <c r="G11450" s="200" t="s">
        <v>2418</v>
      </c>
      <c r="H11450" s="200" t="s">
        <v>567</v>
      </c>
    </row>
    <row r="11451" spans="1:9" ht="15" customHeight="1">
      <c r="A11451" s="199">
        <v>45835</v>
      </c>
      <c r="B11451" s="202" t="s">
        <v>8404</v>
      </c>
      <c r="C11451" s="200" t="s">
        <v>204</v>
      </c>
      <c r="D11451" s="765">
        <v>-543920</v>
      </c>
      <c r="E11451" s="201">
        <v>45809</v>
      </c>
      <c r="F11451" s="200" t="s">
        <v>297</v>
      </c>
      <c r="G11451" s="200" t="s">
        <v>71</v>
      </c>
      <c r="H11451" s="200" t="s">
        <v>567</v>
      </c>
    </row>
    <row r="11452" spans="1:9" ht="15" customHeight="1">
      <c r="A11452" s="199">
        <v>45835</v>
      </c>
      <c r="B11452" s="202" t="s">
        <v>8404</v>
      </c>
      <c r="C11452" s="200" t="s">
        <v>204</v>
      </c>
      <c r="D11452" s="765">
        <v>-407940</v>
      </c>
      <c r="E11452" s="201">
        <v>45809</v>
      </c>
      <c r="F11452" s="200" t="s">
        <v>296</v>
      </c>
      <c r="G11452" s="200" t="s">
        <v>5422</v>
      </c>
      <c r="H11452" s="200" t="s">
        <v>567</v>
      </c>
      <c r="I11452" s="648" t="s">
        <v>329</v>
      </c>
    </row>
    <row r="11453" spans="1:9" ht="15" customHeight="1">
      <c r="A11453" s="199">
        <v>45835</v>
      </c>
      <c r="B11453" s="202" t="s">
        <v>8404</v>
      </c>
      <c r="C11453" s="200" t="s">
        <v>204</v>
      </c>
      <c r="D11453" s="765">
        <v>-407940</v>
      </c>
      <c r="E11453" s="201">
        <v>45809</v>
      </c>
      <c r="F11453" s="200" t="s">
        <v>296</v>
      </c>
      <c r="G11453" s="200" t="s">
        <v>5424</v>
      </c>
      <c r="H11453" s="200" t="s">
        <v>567</v>
      </c>
      <c r="I11453" s="648" t="s">
        <v>329</v>
      </c>
    </row>
    <row r="11454" spans="1:9" ht="15" customHeight="1">
      <c r="A11454" s="199">
        <v>45835</v>
      </c>
      <c r="B11454" s="202" t="s">
        <v>8404</v>
      </c>
      <c r="C11454" s="200" t="s">
        <v>204</v>
      </c>
      <c r="D11454" s="765">
        <v>-135980</v>
      </c>
      <c r="E11454" s="201">
        <v>45809</v>
      </c>
      <c r="F11454" s="200" t="s">
        <v>296</v>
      </c>
      <c r="G11454" s="200" t="s">
        <v>3847</v>
      </c>
      <c r="H11454" s="200" t="s">
        <v>567</v>
      </c>
      <c r="I11454" s="648" t="s">
        <v>329</v>
      </c>
    </row>
    <row r="11455" spans="1:9" ht="15" customHeight="1">
      <c r="A11455" s="199">
        <v>45835</v>
      </c>
      <c r="B11455" s="202" t="s">
        <v>8404</v>
      </c>
      <c r="C11455" s="200" t="s">
        <v>204</v>
      </c>
      <c r="D11455" s="765">
        <v>-135980</v>
      </c>
      <c r="E11455" s="201">
        <v>45809</v>
      </c>
      <c r="F11455" s="200" t="s">
        <v>296</v>
      </c>
      <c r="G11455" s="200" t="s">
        <v>1735</v>
      </c>
      <c r="H11455" s="200" t="s">
        <v>567</v>
      </c>
    </row>
    <row r="11456" spans="1:9" ht="15" customHeight="1">
      <c r="A11456" s="199">
        <v>45835</v>
      </c>
      <c r="B11456" s="202" t="s">
        <v>8405</v>
      </c>
      <c r="C11456" s="200" t="s">
        <v>204</v>
      </c>
      <c r="D11456" s="765">
        <v>-3012700</v>
      </c>
      <c r="E11456" s="201">
        <v>45809</v>
      </c>
      <c r="F11456" s="200" t="s">
        <v>296</v>
      </c>
      <c r="G11456" s="200" t="s">
        <v>1825</v>
      </c>
      <c r="H11456" s="200" t="s">
        <v>338</v>
      </c>
    </row>
    <row r="11457" spans="1:9" ht="15" customHeight="1">
      <c r="A11457" s="199">
        <v>45835</v>
      </c>
      <c r="B11457" s="202" t="s">
        <v>8406</v>
      </c>
      <c r="C11457" s="200" t="s">
        <v>204</v>
      </c>
      <c r="D11457" s="765">
        <v>-532066.66666666663</v>
      </c>
      <c r="E11457" s="201">
        <v>45809</v>
      </c>
      <c r="F11457" s="200" t="s">
        <v>296</v>
      </c>
      <c r="G11457" s="200" t="s">
        <v>44</v>
      </c>
      <c r="H11457" s="200" t="s">
        <v>338</v>
      </c>
    </row>
    <row r="11458" spans="1:9" ht="15" customHeight="1">
      <c r="A11458" s="199">
        <v>45835</v>
      </c>
      <c r="B11458" s="202" t="s">
        <v>8406</v>
      </c>
      <c r="C11458" s="200" t="s">
        <v>204</v>
      </c>
      <c r="D11458" s="765">
        <v>-532066.66666666663</v>
      </c>
      <c r="E11458" s="201">
        <v>45809</v>
      </c>
      <c r="F11458" s="200" t="s">
        <v>296</v>
      </c>
      <c r="G11458" s="200" t="s">
        <v>1825</v>
      </c>
      <c r="H11458" s="200" t="s">
        <v>338</v>
      </c>
    </row>
    <row r="11459" spans="1:9" ht="15" customHeight="1">
      <c r="A11459" s="199">
        <v>45835</v>
      </c>
      <c r="B11459" s="202" t="s">
        <v>8406</v>
      </c>
      <c r="C11459" s="200" t="s">
        <v>204</v>
      </c>
      <c r="D11459" s="765">
        <v>-532066.66666666663</v>
      </c>
      <c r="E11459" s="201">
        <v>45809</v>
      </c>
      <c r="F11459" s="200" t="s">
        <v>296</v>
      </c>
      <c r="G11459" s="200" t="s">
        <v>522</v>
      </c>
      <c r="H11459" s="200" t="s">
        <v>338</v>
      </c>
      <c r="I11459" s="648" t="s">
        <v>329</v>
      </c>
    </row>
    <row r="11460" spans="1:9" ht="15" customHeight="1">
      <c r="A11460" s="199">
        <v>45835</v>
      </c>
      <c r="B11460" s="202" t="s">
        <v>8406</v>
      </c>
      <c r="C11460" s="200" t="s">
        <v>204</v>
      </c>
      <c r="D11460" s="765">
        <v>-532066.66666666663</v>
      </c>
      <c r="E11460" s="201">
        <v>45809</v>
      </c>
      <c r="F11460" s="200" t="s">
        <v>296</v>
      </c>
      <c r="G11460" s="200" t="s">
        <v>807</v>
      </c>
      <c r="H11460" s="200" t="s">
        <v>338</v>
      </c>
    </row>
    <row r="11461" spans="1:9" ht="15" customHeight="1">
      <c r="A11461" s="199">
        <v>45835</v>
      </c>
      <c r="B11461" s="202" t="s">
        <v>8407</v>
      </c>
      <c r="C11461" s="200" t="s">
        <v>204</v>
      </c>
      <c r="D11461" s="765">
        <v>-303600</v>
      </c>
      <c r="E11461" s="201">
        <v>45809</v>
      </c>
      <c r="F11461" s="200" t="s">
        <v>296</v>
      </c>
      <c r="G11461" s="200" t="s">
        <v>3360</v>
      </c>
      <c r="H11461" s="200" t="s">
        <v>567</v>
      </c>
      <c r="I11461" s="648" t="s">
        <v>329</v>
      </c>
    </row>
    <row r="11462" spans="1:9" ht="15" customHeight="1">
      <c r="A11462" s="199">
        <v>45835</v>
      </c>
      <c r="B11462" s="202" t="s">
        <v>8407</v>
      </c>
      <c r="C11462" s="200" t="s">
        <v>204</v>
      </c>
      <c r="D11462" s="765">
        <v>-1821600</v>
      </c>
      <c r="E11462" s="201">
        <v>45809</v>
      </c>
      <c r="F11462" s="200" t="s">
        <v>297</v>
      </c>
      <c r="G11462" s="200" t="s">
        <v>3892</v>
      </c>
      <c r="H11462" s="200" t="s">
        <v>567</v>
      </c>
    </row>
    <row r="11463" spans="1:9" ht="15" customHeight="1">
      <c r="A11463" s="199">
        <v>45835</v>
      </c>
      <c r="B11463" s="202" t="s">
        <v>8407</v>
      </c>
      <c r="C11463" s="200" t="s">
        <v>204</v>
      </c>
      <c r="D11463" s="765">
        <v>-455400</v>
      </c>
      <c r="E11463" s="201">
        <v>45809</v>
      </c>
      <c r="F11463" s="200" t="s">
        <v>296</v>
      </c>
      <c r="G11463" s="200" t="s">
        <v>3849</v>
      </c>
      <c r="H11463" s="200" t="s">
        <v>567</v>
      </c>
    </row>
    <row r="11464" spans="1:9" ht="15" customHeight="1">
      <c r="A11464" s="199">
        <v>45835</v>
      </c>
      <c r="B11464" s="202" t="s">
        <v>8407</v>
      </c>
      <c r="C11464" s="200" t="s">
        <v>204</v>
      </c>
      <c r="D11464" s="765">
        <v>-455400</v>
      </c>
      <c r="E11464" s="201">
        <v>45809</v>
      </c>
      <c r="F11464" s="200" t="s">
        <v>297</v>
      </c>
      <c r="G11464" s="200" t="s">
        <v>3848</v>
      </c>
      <c r="H11464" s="200" t="s">
        <v>567</v>
      </c>
    </row>
    <row r="11465" spans="1:9" ht="15" customHeight="1">
      <c r="A11465" s="199">
        <v>45835</v>
      </c>
      <c r="B11465" s="202" t="s">
        <v>8408</v>
      </c>
      <c r="C11465" s="200" t="s">
        <v>204</v>
      </c>
      <c r="D11465" s="765">
        <v>-312500</v>
      </c>
      <c r="E11465" s="201">
        <v>45809</v>
      </c>
      <c r="F11465" s="200" t="s">
        <v>296</v>
      </c>
      <c r="G11465" s="200" t="s">
        <v>1825</v>
      </c>
      <c r="H11465" s="200" t="s">
        <v>338</v>
      </c>
    </row>
    <row r="11466" spans="1:9" ht="15" customHeight="1">
      <c r="A11466" s="199">
        <v>45835</v>
      </c>
      <c r="B11466" s="202" t="s">
        <v>8408</v>
      </c>
      <c r="C11466" s="200" t="s">
        <v>204</v>
      </c>
      <c r="D11466" s="765">
        <v>-312500</v>
      </c>
      <c r="E11466" s="201">
        <v>45809</v>
      </c>
      <c r="F11466" s="200" t="s">
        <v>296</v>
      </c>
      <c r="G11466" s="200" t="s">
        <v>807</v>
      </c>
      <c r="H11466" s="200" t="s">
        <v>338</v>
      </c>
    </row>
    <row r="11467" spans="1:9" ht="15" customHeight="1">
      <c r="A11467" s="199">
        <v>45835</v>
      </c>
      <c r="B11467" s="202" t="s">
        <v>8408</v>
      </c>
      <c r="C11467" s="200" t="s">
        <v>204</v>
      </c>
      <c r="D11467" s="765">
        <v>-312500</v>
      </c>
      <c r="E11467" s="201">
        <v>45809</v>
      </c>
      <c r="F11467" s="200" t="s">
        <v>296</v>
      </c>
      <c r="G11467" s="200" t="s">
        <v>1980</v>
      </c>
      <c r="H11467" s="200" t="s">
        <v>338</v>
      </c>
    </row>
    <row r="11468" spans="1:9" ht="15" customHeight="1">
      <c r="A11468" s="199">
        <v>45835</v>
      </c>
      <c r="B11468" s="202" t="s">
        <v>8408</v>
      </c>
      <c r="C11468" s="200" t="s">
        <v>204</v>
      </c>
      <c r="D11468" s="765">
        <v>-312500</v>
      </c>
      <c r="E11468" s="201">
        <v>45809</v>
      </c>
      <c r="F11468" s="200" t="s">
        <v>296</v>
      </c>
      <c r="G11468" s="200" t="s">
        <v>1983</v>
      </c>
      <c r="H11468" s="200" t="s">
        <v>338</v>
      </c>
    </row>
    <row r="11469" spans="1:9" ht="15" customHeight="1">
      <c r="A11469" s="199">
        <v>45835</v>
      </c>
      <c r="B11469" s="202" t="s">
        <v>8409</v>
      </c>
      <c r="C11469" s="200" t="s">
        <v>204</v>
      </c>
      <c r="D11469" s="765">
        <v>-882000</v>
      </c>
      <c r="E11469" s="201">
        <v>45809</v>
      </c>
      <c r="F11469" s="200" t="s">
        <v>256</v>
      </c>
      <c r="G11469" s="200" t="s">
        <v>107</v>
      </c>
      <c r="H11469" s="200" t="s">
        <v>121</v>
      </c>
    </row>
    <row r="11470" spans="1:9" ht="15" customHeight="1">
      <c r="A11470" s="199">
        <v>45835</v>
      </c>
      <c r="B11470" s="202" t="s">
        <v>8410</v>
      </c>
      <c r="C11470" s="200" t="s">
        <v>204</v>
      </c>
      <c r="D11470" s="765">
        <v>-293400</v>
      </c>
      <c r="E11470" s="201">
        <v>45809</v>
      </c>
      <c r="F11470" s="200" t="s">
        <v>296</v>
      </c>
      <c r="G11470" s="200" t="s">
        <v>415</v>
      </c>
      <c r="H11470" s="200" t="s">
        <v>567</v>
      </c>
    </row>
    <row r="11471" spans="1:9" ht="15" customHeight="1">
      <c r="A11471" s="199">
        <v>45835</v>
      </c>
      <c r="B11471" s="202" t="s">
        <v>8410</v>
      </c>
      <c r="C11471" s="200" t="s">
        <v>204</v>
      </c>
      <c r="D11471" s="765">
        <v>-2640600</v>
      </c>
      <c r="E11471" s="201">
        <v>45809</v>
      </c>
      <c r="F11471" s="200" t="s">
        <v>297</v>
      </c>
      <c r="G11471" s="200" t="s">
        <v>71</v>
      </c>
      <c r="H11471" s="200" t="s">
        <v>567</v>
      </c>
    </row>
    <row r="11472" spans="1:9" ht="15" customHeight="1">
      <c r="A11472" s="199">
        <v>45835</v>
      </c>
      <c r="B11472" s="202" t="s">
        <v>8411</v>
      </c>
      <c r="C11472" s="200" t="s">
        <v>204</v>
      </c>
      <c r="D11472" s="765">
        <v>-2760000</v>
      </c>
      <c r="E11472" s="201">
        <v>45809</v>
      </c>
      <c r="F11472" s="200" t="s">
        <v>296</v>
      </c>
      <c r="G11472" s="200" t="s">
        <v>807</v>
      </c>
      <c r="H11472" s="200" t="s">
        <v>338</v>
      </c>
    </row>
    <row r="11473" spans="1:9" ht="15" customHeight="1">
      <c r="A11473" s="199">
        <v>45835</v>
      </c>
      <c r="B11473" s="202" t="s">
        <v>8412</v>
      </c>
      <c r="C11473" s="200" t="s">
        <v>204</v>
      </c>
      <c r="D11473" s="765">
        <v>-1380000</v>
      </c>
      <c r="E11473" s="201">
        <v>45809</v>
      </c>
      <c r="F11473" s="200" t="s">
        <v>296</v>
      </c>
      <c r="G11473" s="200" t="s">
        <v>1980</v>
      </c>
      <c r="H11473" s="200" t="s">
        <v>338</v>
      </c>
    </row>
    <row r="11474" spans="1:9" ht="15" customHeight="1">
      <c r="A11474" s="199">
        <v>45835</v>
      </c>
      <c r="B11474" s="202" t="s">
        <v>8412</v>
      </c>
      <c r="C11474" s="200" t="s">
        <v>204</v>
      </c>
      <c r="D11474" s="765">
        <v>-1380000</v>
      </c>
      <c r="E11474" s="201">
        <v>45809</v>
      </c>
      <c r="F11474" s="200" t="s">
        <v>296</v>
      </c>
      <c r="G11474" s="200" t="s">
        <v>1983</v>
      </c>
      <c r="H11474" s="200" t="s">
        <v>338</v>
      </c>
    </row>
    <row r="11475" spans="1:9" ht="15" customHeight="1">
      <c r="A11475" s="199">
        <v>45835</v>
      </c>
      <c r="B11475" s="202" t="s">
        <v>8413</v>
      </c>
      <c r="C11475" s="200" t="s">
        <v>204</v>
      </c>
      <c r="D11475" s="765">
        <v>-276000</v>
      </c>
      <c r="E11475" s="201">
        <v>45809</v>
      </c>
      <c r="F11475" s="200" t="s">
        <v>296</v>
      </c>
      <c r="G11475" s="200" t="s">
        <v>1735</v>
      </c>
      <c r="H11475" s="200" t="s">
        <v>567</v>
      </c>
    </row>
    <row r="11476" spans="1:9" ht="15" customHeight="1">
      <c r="A11476" s="199">
        <v>45835</v>
      </c>
      <c r="B11476" s="202" t="s">
        <v>8413</v>
      </c>
      <c r="C11476" s="200" t="s">
        <v>204</v>
      </c>
      <c r="D11476" s="765">
        <v>-2484000</v>
      </c>
      <c r="E11476" s="201">
        <v>45809</v>
      </c>
      <c r="F11476" s="200" t="s">
        <v>296</v>
      </c>
      <c r="G11476" s="200" t="s">
        <v>5466</v>
      </c>
      <c r="H11476" s="200" t="s">
        <v>567</v>
      </c>
    </row>
    <row r="11477" spans="1:9" ht="15" customHeight="1">
      <c r="A11477" s="199">
        <v>45835</v>
      </c>
      <c r="B11477" s="202" t="s">
        <v>8414</v>
      </c>
      <c r="C11477" s="200" t="s">
        <v>204</v>
      </c>
      <c r="D11477" s="765">
        <v>-1374400</v>
      </c>
      <c r="E11477" s="201">
        <v>45809</v>
      </c>
      <c r="F11477" s="200" t="s">
        <v>297</v>
      </c>
      <c r="G11477" s="200" t="s">
        <v>3892</v>
      </c>
      <c r="H11477" s="200" t="s">
        <v>567</v>
      </c>
    </row>
    <row r="11478" spans="1:9" ht="15" customHeight="1">
      <c r="A11478" s="199">
        <v>45835</v>
      </c>
      <c r="B11478" s="202" t="s">
        <v>8414</v>
      </c>
      <c r="C11478" s="200" t="s">
        <v>204</v>
      </c>
      <c r="D11478" s="765">
        <v>-1030800</v>
      </c>
      <c r="E11478" s="201">
        <v>45809</v>
      </c>
      <c r="F11478" s="200" t="s">
        <v>296</v>
      </c>
      <c r="G11478" s="200" t="s">
        <v>3849</v>
      </c>
      <c r="H11478" s="200" t="s">
        <v>567</v>
      </c>
      <c r="I11478" s="648" t="s">
        <v>329</v>
      </c>
    </row>
    <row r="11479" spans="1:9" ht="15" customHeight="1">
      <c r="A11479" s="199">
        <v>45835</v>
      </c>
      <c r="B11479" s="202" t="s">
        <v>8414</v>
      </c>
      <c r="C11479" s="200" t="s">
        <v>204</v>
      </c>
      <c r="D11479" s="765">
        <v>-1030800</v>
      </c>
      <c r="E11479" s="201">
        <v>45809</v>
      </c>
      <c r="F11479" s="200" t="s">
        <v>297</v>
      </c>
      <c r="G11479" s="200" t="s">
        <v>3848</v>
      </c>
      <c r="H11479" s="200" t="s">
        <v>567</v>
      </c>
      <c r="I11479" s="648" t="s">
        <v>329</v>
      </c>
    </row>
    <row r="11480" spans="1:9" ht="15" customHeight="1">
      <c r="A11480" s="199">
        <v>45835</v>
      </c>
      <c r="B11480" s="202" t="s">
        <v>8415</v>
      </c>
      <c r="C11480" s="200" t="s">
        <v>204</v>
      </c>
      <c r="D11480" s="765">
        <v>-368000</v>
      </c>
      <c r="E11480" s="201">
        <v>45809</v>
      </c>
      <c r="F11480" s="200" t="s">
        <v>297</v>
      </c>
      <c r="G11480" s="200" t="s">
        <v>71</v>
      </c>
      <c r="H11480" s="200" t="s">
        <v>567</v>
      </c>
    </row>
    <row r="11481" spans="1:9" ht="15" customHeight="1">
      <c r="A11481" s="199">
        <v>45835</v>
      </c>
      <c r="B11481" s="202" t="s">
        <v>8416</v>
      </c>
      <c r="C11481" s="200" t="s">
        <v>204</v>
      </c>
      <c r="D11481" s="765">
        <v>-269500</v>
      </c>
      <c r="E11481" s="201">
        <v>45809</v>
      </c>
      <c r="F11481" s="200" t="s">
        <v>296</v>
      </c>
      <c r="G11481" s="200" t="s">
        <v>1735</v>
      </c>
      <c r="H11481" s="200" t="s">
        <v>342</v>
      </c>
    </row>
    <row r="11482" spans="1:9" ht="15" customHeight="1">
      <c r="A11482" s="199">
        <v>45835</v>
      </c>
      <c r="B11482" s="202" t="s">
        <v>8417</v>
      </c>
      <c r="C11482" s="200" t="s">
        <v>204</v>
      </c>
      <c r="D11482" s="765">
        <v>-194720</v>
      </c>
      <c r="E11482" s="201">
        <v>45809</v>
      </c>
      <c r="F11482" s="200" t="s">
        <v>296</v>
      </c>
      <c r="G11482" s="200" t="s">
        <v>1735</v>
      </c>
      <c r="H11482" s="200" t="s">
        <v>342</v>
      </c>
      <c r="I11482" s="648" t="s">
        <v>329</v>
      </c>
    </row>
    <row r="11483" spans="1:9" ht="15" customHeight="1">
      <c r="A11483" s="199">
        <v>45835</v>
      </c>
      <c r="B11483" s="202" t="s">
        <v>8418</v>
      </c>
      <c r="C11483" s="200" t="s">
        <v>204</v>
      </c>
      <c r="D11483" s="765">
        <v>-1247700</v>
      </c>
      <c r="E11483" s="201">
        <v>45809</v>
      </c>
      <c r="F11483" s="200" t="s">
        <v>296</v>
      </c>
      <c r="G11483" s="200" t="s">
        <v>2418</v>
      </c>
      <c r="H11483" s="200" t="s">
        <v>342</v>
      </c>
    </row>
    <row r="11484" spans="1:9" ht="15" customHeight="1">
      <c r="A11484" s="199">
        <v>45835</v>
      </c>
      <c r="B11484" s="202" t="s">
        <v>8419</v>
      </c>
      <c r="C11484" s="200" t="s">
        <v>204</v>
      </c>
      <c r="D11484" s="765">
        <v>-836000</v>
      </c>
      <c r="E11484" s="201">
        <v>45809</v>
      </c>
      <c r="F11484" s="200" t="s">
        <v>296</v>
      </c>
      <c r="G11484" s="200" t="s">
        <v>2418</v>
      </c>
      <c r="H11484" s="200" t="s">
        <v>342</v>
      </c>
    </row>
    <row r="11485" spans="1:9" ht="15" customHeight="1">
      <c r="A11485" s="199">
        <v>45835</v>
      </c>
      <c r="B11485" s="202" t="s">
        <v>8420</v>
      </c>
      <c r="C11485" s="200" t="s">
        <v>204</v>
      </c>
      <c r="D11485" s="765">
        <v>-869510</v>
      </c>
      <c r="E11485" s="201">
        <v>45809</v>
      </c>
      <c r="F11485" s="200" t="s">
        <v>296</v>
      </c>
      <c r="G11485" s="200" t="s">
        <v>2418</v>
      </c>
      <c r="H11485" s="200" t="s">
        <v>342</v>
      </c>
    </row>
    <row r="11486" spans="1:9" ht="15" customHeight="1">
      <c r="A11486" s="199">
        <v>45835</v>
      </c>
      <c r="B11486" s="202" t="s">
        <v>8421</v>
      </c>
      <c r="C11486" s="200" t="s">
        <v>204</v>
      </c>
      <c r="D11486" s="765">
        <v>-226443</v>
      </c>
      <c r="E11486" s="201">
        <v>45809</v>
      </c>
      <c r="F11486" s="200" t="s">
        <v>296</v>
      </c>
      <c r="G11486" s="200" t="s">
        <v>2418</v>
      </c>
      <c r="H11486" s="200" t="s">
        <v>342</v>
      </c>
    </row>
    <row r="11487" spans="1:9" ht="15" customHeight="1">
      <c r="A11487" s="199">
        <v>45835</v>
      </c>
      <c r="B11487" s="202" t="s">
        <v>8422</v>
      </c>
      <c r="C11487" s="200" t="s">
        <v>204</v>
      </c>
      <c r="D11487" s="765">
        <v>-204356.799</v>
      </c>
      <c r="E11487" s="201">
        <v>45809</v>
      </c>
      <c r="F11487" s="200" t="s">
        <v>296</v>
      </c>
      <c r="G11487" s="200" t="s">
        <v>2418</v>
      </c>
      <c r="H11487" s="200" t="s">
        <v>342</v>
      </c>
    </row>
    <row r="11488" spans="1:9" ht="15" customHeight="1">
      <c r="A11488" s="199">
        <v>45835</v>
      </c>
      <c r="B11488" s="202" t="s">
        <v>8423</v>
      </c>
      <c r="C11488" s="200" t="s">
        <v>204</v>
      </c>
      <c r="D11488" s="765">
        <v>-215793</v>
      </c>
      <c r="E11488" s="201">
        <v>45809</v>
      </c>
      <c r="F11488" s="200" t="s">
        <v>296</v>
      </c>
      <c r="G11488" s="200" t="s">
        <v>2418</v>
      </c>
      <c r="H11488" s="200" t="s">
        <v>342</v>
      </c>
      <c r="I11488" s="648" t="s">
        <v>329</v>
      </c>
    </row>
    <row r="11489" spans="1:9" ht="15" customHeight="1">
      <c r="A11489" s="199">
        <v>45835</v>
      </c>
      <c r="B11489" s="202" t="s">
        <v>8416</v>
      </c>
      <c r="C11489" s="200" t="s">
        <v>204</v>
      </c>
      <c r="D11489" s="765">
        <v>-269500</v>
      </c>
      <c r="E11489" s="201">
        <v>45809</v>
      </c>
      <c r="F11489" s="200" t="s">
        <v>297</v>
      </c>
      <c r="G11489" s="200" t="s">
        <v>69</v>
      </c>
      <c r="H11489" s="200" t="s">
        <v>342</v>
      </c>
    </row>
    <row r="11490" spans="1:9" ht="15" customHeight="1">
      <c r="A11490" s="199">
        <v>45835</v>
      </c>
      <c r="B11490" s="202" t="s">
        <v>8417</v>
      </c>
      <c r="C11490" s="200" t="s">
        <v>204</v>
      </c>
      <c r="D11490" s="765">
        <v>-194720</v>
      </c>
      <c r="E11490" s="201">
        <v>45809</v>
      </c>
      <c r="F11490" s="200" t="s">
        <v>297</v>
      </c>
      <c r="G11490" s="200" t="s">
        <v>69</v>
      </c>
      <c r="H11490" s="200" t="s">
        <v>342</v>
      </c>
      <c r="I11490" s="648" t="s">
        <v>329</v>
      </c>
    </row>
    <row r="11491" spans="1:9" ht="15" customHeight="1">
      <c r="A11491" s="199">
        <v>45835</v>
      </c>
      <c r="B11491" s="202" t="s">
        <v>8424</v>
      </c>
      <c r="C11491" s="200" t="s">
        <v>204</v>
      </c>
      <c r="D11491" s="765">
        <v>-718910</v>
      </c>
      <c r="E11491" s="201">
        <v>45809</v>
      </c>
      <c r="F11491" s="200" t="s">
        <v>297</v>
      </c>
      <c r="G11491" s="200" t="s">
        <v>71</v>
      </c>
      <c r="H11491" s="200" t="s">
        <v>342</v>
      </c>
    </row>
    <row r="11492" spans="1:9" ht="15" customHeight="1">
      <c r="A11492" s="199">
        <v>45835</v>
      </c>
      <c r="B11492" s="202" t="s">
        <v>8425</v>
      </c>
      <c r="C11492" s="200" t="s">
        <v>204</v>
      </c>
      <c r="D11492" s="765">
        <v>-940889.33333333326</v>
      </c>
      <c r="E11492" s="201">
        <v>45809</v>
      </c>
      <c r="F11492" s="200" t="s">
        <v>297</v>
      </c>
      <c r="G11492" s="200" t="s">
        <v>71</v>
      </c>
      <c r="H11492" s="200" t="s">
        <v>342</v>
      </c>
    </row>
    <row r="11493" spans="1:9" ht="15" customHeight="1">
      <c r="A11493" s="199">
        <v>45835</v>
      </c>
      <c r="B11493" s="202" t="s">
        <v>8417</v>
      </c>
      <c r="C11493" s="200" t="s">
        <v>204</v>
      </c>
      <c r="D11493" s="765">
        <v>-194720</v>
      </c>
      <c r="E11493" s="201">
        <v>45809</v>
      </c>
      <c r="F11493" s="200" t="s">
        <v>297</v>
      </c>
      <c r="G11493" s="200" t="s">
        <v>71</v>
      </c>
      <c r="H11493" s="200" t="s">
        <v>342</v>
      </c>
    </row>
    <row r="11494" spans="1:9" ht="15" customHeight="1">
      <c r="A11494" s="199">
        <v>45835</v>
      </c>
      <c r="B11494" s="202" t="s">
        <v>8426</v>
      </c>
      <c r="C11494" s="200" t="s">
        <v>204</v>
      </c>
      <c r="D11494" s="765">
        <v>-841910</v>
      </c>
      <c r="E11494" s="201">
        <v>45809</v>
      </c>
      <c r="F11494" s="200" t="s">
        <v>297</v>
      </c>
      <c r="G11494" s="200" t="s">
        <v>71</v>
      </c>
      <c r="H11494" s="200" t="s">
        <v>342</v>
      </c>
    </row>
    <row r="11495" spans="1:9" ht="15" customHeight="1">
      <c r="A11495" s="199">
        <v>45835</v>
      </c>
      <c r="B11495" s="202" t="s">
        <v>8427</v>
      </c>
      <c r="C11495" s="200" t="s">
        <v>204</v>
      </c>
      <c r="D11495" s="765">
        <v>-754810</v>
      </c>
      <c r="E11495" s="201">
        <v>45809</v>
      </c>
      <c r="F11495" s="200" t="s">
        <v>297</v>
      </c>
      <c r="G11495" s="200" t="s">
        <v>71</v>
      </c>
      <c r="H11495" s="200" t="s">
        <v>342</v>
      </c>
    </row>
    <row r="11496" spans="1:9" ht="15" customHeight="1">
      <c r="A11496" s="199">
        <v>45835</v>
      </c>
      <c r="B11496" s="202" t="s">
        <v>8428</v>
      </c>
      <c r="C11496" s="200" t="s">
        <v>204</v>
      </c>
      <c r="D11496" s="765">
        <v>-754810</v>
      </c>
      <c r="E11496" s="201">
        <v>45809</v>
      </c>
      <c r="F11496" s="200" t="s">
        <v>297</v>
      </c>
      <c r="G11496" s="200" t="s">
        <v>71</v>
      </c>
      <c r="H11496" s="200" t="s">
        <v>342</v>
      </c>
    </row>
    <row r="11497" spans="1:9" ht="15" customHeight="1">
      <c r="A11497" s="199">
        <v>45835</v>
      </c>
      <c r="B11497" s="202" t="s">
        <v>8421</v>
      </c>
      <c r="C11497" s="200" t="s">
        <v>204</v>
      </c>
      <c r="D11497" s="765">
        <v>-528367</v>
      </c>
      <c r="E11497" s="201">
        <v>45809</v>
      </c>
      <c r="F11497" s="200" t="s">
        <v>297</v>
      </c>
      <c r="G11497" s="200" t="s">
        <v>71</v>
      </c>
      <c r="H11497" s="200" t="s">
        <v>342</v>
      </c>
    </row>
    <row r="11498" spans="1:9" ht="15" customHeight="1">
      <c r="A11498" s="199">
        <v>45835</v>
      </c>
      <c r="B11498" s="202" t="s">
        <v>8422</v>
      </c>
      <c r="C11498" s="200" t="s">
        <v>204</v>
      </c>
      <c r="D11498" s="765">
        <v>-476832.53100000002</v>
      </c>
      <c r="E11498" s="201">
        <v>45809</v>
      </c>
      <c r="F11498" s="200" t="s">
        <v>297</v>
      </c>
      <c r="G11498" s="200" t="s">
        <v>71</v>
      </c>
      <c r="H11498" s="200" t="s">
        <v>342</v>
      </c>
    </row>
    <row r="11499" spans="1:9" ht="15" customHeight="1">
      <c r="A11499" s="199">
        <v>45835</v>
      </c>
      <c r="B11499" s="202" t="s">
        <v>8423</v>
      </c>
      <c r="C11499" s="200" t="s">
        <v>204</v>
      </c>
      <c r="D11499" s="765">
        <v>-503517</v>
      </c>
      <c r="E11499" s="201">
        <v>45809</v>
      </c>
      <c r="F11499" s="200" t="s">
        <v>297</v>
      </c>
      <c r="G11499" s="200" t="s">
        <v>71</v>
      </c>
      <c r="H11499" s="200" t="s">
        <v>342</v>
      </c>
      <c r="I11499" s="648" t="s">
        <v>329</v>
      </c>
    </row>
    <row r="11500" spans="1:9" ht="15" customHeight="1">
      <c r="A11500" s="199">
        <v>45835</v>
      </c>
      <c r="B11500" s="202" t="s">
        <v>8429</v>
      </c>
      <c r="C11500" s="200" t="s">
        <v>204</v>
      </c>
      <c r="D11500" s="765">
        <v>-853480</v>
      </c>
      <c r="E11500" s="201">
        <v>45809</v>
      </c>
      <c r="F11500" s="200" t="s">
        <v>296</v>
      </c>
      <c r="G11500" s="200" t="s">
        <v>5466</v>
      </c>
      <c r="H11500" s="200" t="s">
        <v>342</v>
      </c>
    </row>
    <row r="11501" spans="1:9" ht="15" customHeight="1">
      <c r="A11501" s="199">
        <v>45835</v>
      </c>
      <c r="B11501" s="202" t="s">
        <v>8430</v>
      </c>
      <c r="C11501" s="200" t="s">
        <v>204</v>
      </c>
      <c r="D11501" s="765">
        <v>-853480</v>
      </c>
      <c r="E11501" s="201">
        <v>45809</v>
      </c>
      <c r="F11501" s="200" t="s">
        <v>296</v>
      </c>
      <c r="G11501" s="200" t="s">
        <v>5466</v>
      </c>
      <c r="H11501" s="200" t="s">
        <v>342</v>
      </c>
    </row>
    <row r="11502" spans="1:9" ht="15" customHeight="1">
      <c r="A11502" s="199">
        <v>45835</v>
      </c>
      <c r="B11502" s="202" t="s">
        <v>8431</v>
      </c>
      <c r="C11502" s="200" t="s">
        <v>204</v>
      </c>
      <c r="D11502" s="765">
        <v>-1280833.3333333333</v>
      </c>
      <c r="E11502" s="201">
        <v>45809</v>
      </c>
      <c r="F11502" s="200" t="s">
        <v>296</v>
      </c>
      <c r="G11502" s="200" t="s">
        <v>5466</v>
      </c>
      <c r="H11502" s="200" t="s">
        <v>342</v>
      </c>
    </row>
    <row r="11503" spans="1:9" ht="15" customHeight="1">
      <c r="A11503" s="199">
        <v>45835</v>
      </c>
      <c r="B11503" s="202" t="s">
        <v>8432</v>
      </c>
      <c r="C11503" s="200" t="s">
        <v>204</v>
      </c>
      <c r="D11503" s="765">
        <v>-853480</v>
      </c>
      <c r="E11503" s="201">
        <v>45809</v>
      </c>
      <c r="F11503" s="200" t="s">
        <v>296</v>
      </c>
      <c r="G11503" s="200" t="s">
        <v>5466</v>
      </c>
      <c r="H11503" s="200" t="s">
        <v>342</v>
      </c>
    </row>
    <row r="11504" spans="1:9" ht="15" customHeight="1">
      <c r="A11504" s="199">
        <v>45835</v>
      </c>
      <c r="B11504" s="202" t="s">
        <v>8416</v>
      </c>
      <c r="C11504" s="200" t="s">
        <v>204</v>
      </c>
      <c r="D11504" s="765">
        <v>-67375</v>
      </c>
      <c r="E11504" s="201">
        <v>45809</v>
      </c>
      <c r="F11504" s="200" t="s">
        <v>296</v>
      </c>
      <c r="G11504" s="200" t="s">
        <v>415</v>
      </c>
      <c r="H11504" s="200" t="s">
        <v>342</v>
      </c>
      <c r="I11504" s="648" t="s">
        <v>329</v>
      </c>
    </row>
    <row r="11505" spans="1:9" ht="15" customHeight="1">
      <c r="A11505" s="199">
        <v>45835</v>
      </c>
      <c r="B11505" s="202" t="s">
        <v>8416</v>
      </c>
      <c r="C11505" s="200" t="s">
        <v>204</v>
      </c>
      <c r="D11505" s="765">
        <v>-741125</v>
      </c>
      <c r="E11505" s="201">
        <v>45809</v>
      </c>
      <c r="F11505" s="200" t="s">
        <v>297</v>
      </c>
      <c r="G11505" s="200" t="s">
        <v>3892</v>
      </c>
      <c r="H11505" s="200" t="s">
        <v>342</v>
      </c>
    </row>
    <row r="11506" spans="1:9" ht="15" customHeight="1">
      <c r="A11506" s="199">
        <v>45835</v>
      </c>
      <c r="B11506" s="202" t="s">
        <v>8417</v>
      </c>
      <c r="C11506" s="200" t="s">
        <v>204</v>
      </c>
      <c r="D11506" s="765">
        <v>-389440</v>
      </c>
      <c r="E11506" s="201">
        <v>45809</v>
      </c>
      <c r="F11506" s="200" t="s">
        <v>297</v>
      </c>
      <c r="G11506" s="200" t="s">
        <v>3892</v>
      </c>
      <c r="H11506" s="200" t="s">
        <v>342</v>
      </c>
    </row>
    <row r="11507" spans="1:9" ht="15" customHeight="1">
      <c r="A11507" s="199">
        <v>45835</v>
      </c>
      <c r="B11507" s="202" t="s">
        <v>8433</v>
      </c>
      <c r="C11507" s="200" t="s">
        <v>204</v>
      </c>
      <c r="D11507" s="765">
        <v>-708143.33333333326</v>
      </c>
      <c r="E11507" s="201">
        <v>45809</v>
      </c>
      <c r="F11507" s="200" t="s">
        <v>297</v>
      </c>
      <c r="G11507" s="200" t="s">
        <v>3892</v>
      </c>
      <c r="H11507" s="200" t="s">
        <v>342</v>
      </c>
    </row>
    <row r="11508" spans="1:9" ht="15" customHeight="1">
      <c r="A11508" s="199">
        <v>45835</v>
      </c>
      <c r="B11508" s="202" t="s">
        <v>8434</v>
      </c>
      <c r="C11508" s="200" t="s">
        <v>204</v>
      </c>
      <c r="D11508" s="765">
        <v>-708143.33333333326</v>
      </c>
      <c r="E11508" s="201">
        <v>45809</v>
      </c>
      <c r="F11508" s="200" t="s">
        <v>297</v>
      </c>
      <c r="G11508" s="200" t="s">
        <v>3892</v>
      </c>
      <c r="H11508" s="200" t="s">
        <v>342</v>
      </c>
      <c r="I11508" s="648" t="s">
        <v>329</v>
      </c>
    </row>
    <row r="11509" spans="1:9" ht="15" customHeight="1">
      <c r="A11509" s="199">
        <v>45835</v>
      </c>
      <c r="B11509" s="202" t="s">
        <v>8435</v>
      </c>
      <c r="C11509" s="200" t="s">
        <v>204</v>
      </c>
      <c r="D11509" s="765">
        <v>-1320200.0000000002</v>
      </c>
      <c r="E11509" s="201">
        <v>45809</v>
      </c>
      <c r="F11509" s="200" t="s">
        <v>296</v>
      </c>
      <c r="G11509" s="200" t="s">
        <v>1825</v>
      </c>
      <c r="H11509" s="200" t="s">
        <v>429</v>
      </c>
    </row>
    <row r="11510" spans="1:9" ht="15" customHeight="1">
      <c r="A11510" s="199">
        <v>45835</v>
      </c>
      <c r="B11510" s="202" t="s">
        <v>8436</v>
      </c>
      <c r="C11510" s="200" t="s">
        <v>204</v>
      </c>
      <c r="D11510" s="765">
        <v>-1066000</v>
      </c>
      <c r="E11510" s="201">
        <v>45809</v>
      </c>
      <c r="F11510" s="200" t="s">
        <v>296</v>
      </c>
      <c r="G11510" s="200" t="s">
        <v>1825</v>
      </c>
      <c r="H11510" s="200" t="s">
        <v>429</v>
      </c>
    </row>
    <row r="11511" spans="1:9" ht="15" customHeight="1">
      <c r="A11511" s="199">
        <v>45835</v>
      </c>
      <c r="B11511" s="202" t="s">
        <v>8437</v>
      </c>
      <c r="C11511" s="200" t="s">
        <v>204</v>
      </c>
      <c r="D11511" s="765">
        <v>-882000</v>
      </c>
      <c r="E11511" s="201">
        <v>45809</v>
      </c>
      <c r="F11511" s="200" t="s">
        <v>296</v>
      </c>
      <c r="G11511" s="200" t="s">
        <v>1825</v>
      </c>
      <c r="H11511" s="200" t="s">
        <v>429</v>
      </c>
    </row>
    <row r="11512" spans="1:9" ht="15" customHeight="1">
      <c r="A11512" s="199">
        <v>45835</v>
      </c>
      <c r="B11512" s="202" t="s">
        <v>8438</v>
      </c>
      <c r="C11512" s="200" t="s">
        <v>204</v>
      </c>
      <c r="D11512" s="765">
        <v>-668989.33333333337</v>
      </c>
      <c r="E11512" s="201">
        <v>45809</v>
      </c>
      <c r="F11512" s="200" t="s">
        <v>296</v>
      </c>
      <c r="G11512" s="200" t="s">
        <v>1825</v>
      </c>
      <c r="H11512" s="200" t="s">
        <v>429</v>
      </c>
    </row>
    <row r="11513" spans="1:9" ht="15" customHeight="1">
      <c r="A11513" s="199">
        <v>45835</v>
      </c>
      <c r="B11513" s="202" t="s">
        <v>8439</v>
      </c>
      <c r="C11513" s="200" t="s">
        <v>204</v>
      </c>
      <c r="D11513" s="765">
        <v>-754810</v>
      </c>
      <c r="E11513" s="201">
        <v>45809</v>
      </c>
      <c r="F11513" s="200" t="s">
        <v>296</v>
      </c>
      <c r="G11513" s="200" t="s">
        <v>1825</v>
      </c>
      <c r="H11513" s="200" t="s">
        <v>429</v>
      </c>
    </row>
    <row r="11514" spans="1:9" ht="15" customHeight="1">
      <c r="A11514" s="199">
        <v>45835</v>
      </c>
      <c r="B11514" s="202" t="s">
        <v>8440</v>
      </c>
      <c r="C11514" s="200" t="s">
        <v>204</v>
      </c>
      <c r="D11514" s="765">
        <v>-439552.66666666669</v>
      </c>
      <c r="E11514" s="201">
        <v>45809</v>
      </c>
      <c r="F11514" s="200" t="s">
        <v>296</v>
      </c>
      <c r="G11514" s="200" t="s">
        <v>1825</v>
      </c>
      <c r="H11514" s="200" t="s">
        <v>429</v>
      </c>
    </row>
    <row r="11515" spans="1:9" ht="15" customHeight="1">
      <c r="A11515" s="199">
        <v>45835</v>
      </c>
      <c r="B11515" s="202" t="s">
        <v>8441</v>
      </c>
      <c r="C11515" s="200" t="s">
        <v>204</v>
      </c>
      <c r="D11515" s="765">
        <v>-754810</v>
      </c>
      <c r="E11515" s="201">
        <v>45809</v>
      </c>
      <c r="F11515" s="200" t="s">
        <v>296</v>
      </c>
      <c r="G11515" s="200" t="s">
        <v>1825</v>
      </c>
      <c r="H11515" s="200" t="s">
        <v>429</v>
      </c>
    </row>
    <row r="11516" spans="1:9" ht="15" customHeight="1">
      <c r="A11516" s="199">
        <v>45835</v>
      </c>
      <c r="B11516" s="202" t="s">
        <v>8442</v>
      </c>
      <c r="C11516" s="200" t="s">
        <v>204</v>
      </c>
      <c r="D11516" s="765">
        <v>-731510</v>
      </c>
      <c r="E11516" s="201">
        <v>45809</v>
      </c>
      <c r="F11516" s="200" t="s">
        <v>296</v>
      </c>
      <c r="G11516" s="200" t="s">
        <v>1825</v>
      </c>
      <c r="H11516" s="200" t="s">
        <v>429</v>
      </c>
    </row>
    <row r="11517" spans="1:9" ht="15" customHeight="1">
      <c r="A11517" s="199">
        <v>45835</v>
      </c>
      <c r="B11517" s="202" t="s">
        <v>8443</v>
      </c>
      <c r="C11517" s="200" t="s">
        <v>204</v>
      </c>
      <c r="D11517" s="765">
        <v>-754810</v>
      </c>
      <c r="E11517" s="201">
        <v>45809</v>
      </c>
      <c r="F11517" s="200" t="s">
        <v>296</v>
      </c>
      <c r="G11517" s="200" t="s">
        <v>1825</v>
      </c>
      <c r="H11517" s="200" t="s">
        <v>429</v>
      </c>
    </row>
    <row r="11518" spans="1:9" ht="15" customHeight="1">
      <c r="A11518" s="199">
        <v>45835</v>
      </c>
      <c r="B11518" s="202" t="s">
        <v>8444</v>
      </c>
      <c r="C11518" s="200" t="s">
        <v>204</v>
      </c>
      <c r="D11518" s="765">
        <v>-741010</v>
      </c>
      <c r="E11518" s="201">
        <v>45809</v>
      </c>
      <c r="F11518" s="200" t="s">
        <v>296</v>
      </c>
      <c r="G11518" s="200" t="s">
        <v>1825</v>
      </c>
      <c r="H11518" s="200" t="s">
        <v>429</v>
      </c>
    </row>
    <row r="11519" spans="1:9" ht="15" customHeight="1">
      <c r="A11519" s="199">
        <v>45835</v>
      </c>
      <c r="B11519" s="202" t="s">
        <v>8445</v>
      </c>
      <c r="C11519" s="200" t="s">
        <v>204</v>
      </c>
      <c r="D11519" s="765">
        <v>-754810</v>
      </c>
      <c r="E11519" s="201">
        <v>45809</v>
      </c>
      <c r="F11519" s="200" t="s">
        <v>296</v>
      </c>
      <c r="G11519" s="200" t="s">
        <v>1825</v>
      </c>
      <c r="H11519" s="200" t="s">
        <v>429</v>
      </c>
    </row>
    <row r="11520" spans="1:9" ht="15" customHeight="1">
      <c r="A11520" s="199">
        <v>45835</v>
      </c>
      <c r="B11520" s="202" t="s">
        <v>8446</v>
      </c>
      <c r="C11520" s="200" t="s">
        <v>204</v>
      </c>
      <c r="D11520" s="765">
        <v>-754810</v>
      </c>
      <c r="E11520" s="201">
        <v>45809</v>
      </c>
      <c r="F11520" s="200" t="s">
        <v>296</v>
      </c>
      <c r="G11520" s="200" t="s">
        <v>1825</v>
      </c>
      <c r="H11520" s="200" t="s">
        <v>429</v>
      </c>
    </row>
    <row r="11521" spans="1:9" ht="15" customHeight="1">
      <c r="A11521" s="199">
        <v>45835</v>
      </c>
      <c r="B11521" s="202" t="s">
        <v>8447</v>
      </c>
      <c r="C11521" s="200" t="s">
        <v>204</v>
      </c>
      <c r="D11521" s="765">
        <v>-754810</v>
      </c>
      <c r="E11521" s="201">
        <v>45809</v>
      </c>
      <c r="F11521" s="200" t="s">
        <v>296</v>
      </c>
      <c r="G11521" s="200" t="s">
        <v>1825</v>
      </c>
      <c r="H11521" s="200" t="s">
        <v>429</v>
      </c>
    </row>
    <row r="11522" spans="1:9" ht="15" customHeight="1">
      <c r="A11522" s="199">
        <v>45835</v>
      </c>
      <c r="B11522" s="202" t="s">
        <v>8448</v>
      </c>
      <c r="C11522" s="200" t="s">
        <v>204</v>
      </c>
      <c r="D11522" s="765">
        <v>-754810</v>
      </c>
      <c r="E11522" s="201">
        <v>45809</v>
      </c>
      <c r="F11522" s="200" t="s">
        <v>296</v>
      </c>
      <c r="G11522" s="200" t="s">
        <v>1825</v>
      </c>
      <c r="H11522" s="200" t="s">
        <v>429</v>
      </c>
    </row>
    <row r="11523" spans="1:9" ht="15" customHeight="1">
      <c r="A11523" s="199">
        <v>45835</v>
      </c>
      <c r="B11523" s="202" t="s">
        <v>8449</v>
      </c>
      <c r="C11523" s="200" t="s">
        <v>204</v>
      </c>
      <c r="D11523" s="765">
        <v>-754810</v>
      </c>
      <c r="E11523" s="201">
        <v>45809</v>
      </c>
      <c r="F11523" s="200" t="s">
        <v>296</v>
      </c>
      <c r="G11523" s="200" t="s">
        <v>1825</v>
      </c>
      <c r="H11523" s="200" t="s">
        <v>429</v>
      </c>
    </row>
    <row r="11524" spans="1:9" ht="15" customHeight="1">
      <c r="A11524" s="199">
        <v>45835</v>
      </c>
      <c r="B11524" s="202" t="s">
        <v>8450</v>
      </c>
      <c r="C11524" s="200" t="s">
        <v>204</v>
      </c>
      <c r="D11524" s="765">
        <v>-754810</v>
      </c>
      <c r="E11524" s="201">
        <v>45809</v>
      </c>
      <c r="F11524" s="200" t="s">
        <v>296</v>
      </c>
      <c r="G11524" s="200" t="s">
        <v>1825</v>
      </c>
      <c r="H11524" s="200" t="s">
        <v>429</v>
      </c>
    </row>
    <row r="11525" spans="1:9" ht="15" customHeight="1">
      <c r="A11525" s="199">
        <v>45835</v>
      </c>
      <c r="B11525" s="202" t="s">
        <v>8451</v>
      </c>
      <c r="C11525" s="200" t="s">
        <v>204</v>
      </c>
      <c r="D11525" s="765">
        <v>-1066000</v>
      </c>
      <c r="E11525" s="201">
        <v>45809</v>
      </c>
      <c r="F11525" s="200" t="s">
        <v>296</v>
      </c>
      <c r="G11525" s="200" t="s">
        <v>1825</v>
      </c>
      <c r="H11525" s="200" t="s">
        <v>429</v>
      </c>
    </row>
    <row r="11526" spans="1:9" ht="15" customHeight="1">
      <c r="A11526" s="199">
        <v>45835</v>
      </c>
      <c r="B11526" s="202" t="s">
        <v>8452</v>
      </c>
      <c r="C11526" s="200" t="s">
        <v>204</v>
      </c>
      <c r="D11526" s="765">
        <v>-754810</v>
      </c>
      <c r="E11526" s="201">
        <v>45809</v>
      </c>
      <c r="F11526" s="200" t="s">
        <v>296</v>
      </c>
      <c r="G11526" s="200" t="s">
        <v>1825</v>
      </c>
      <c r="H11526" s="200" t="s">
        <v>429</v>
      </c>
    </row>
    <row r="11527" spans="1:9" ht="15" customHeight="1">
      <c r="A11527" s="199">
        <v>45835</v>
      </c>
      <c r="B11527" s="202" t="s">
        <v>8453</v>
      </c>
      <c r="C11527" s="200" t="s">
        <v>204</v>
      </c>
      <c r="D11527" s="765">
        <v>-731510</v>
      </c>
      <c r="E11527" s="201">
        <v>45809</v>
      </c>
      <c r="F11527" s="200" t="s">
        <v>296</v>
      </c>
      <c r="G11527" s="200" t="s">
        <v>1825</v>
      </c>
      <c r="H11527" s="200" t="s">
        <v>429</v>
      </c>
    </row>
    <row r="11528" spans="1:9" ht="15" customHeight="1">
      <c r="A11528" s="199">
        <v>45835</v>
      </c>
      <c r="B11528" s="202" t="s">
        <v>8454</v>
      </c>
      <c r="C11528" s="200" t="s">
        <v>204</v>
      </c>
      <c r="D11528" s="765">
        <v>-754810</v>
      </c>
      <c r="E11528" s="201">
        <v>45809</v>
      </c>
      <c r="F11528" s="200" t="s">
        <v>296</v>
      </c>
      <c r="G11528" s="200" t="s">
        <v>1825</v>
      </c>
      <c r="H11528" s="200" t="s">
        <v>429</v>
      </c>
    </row>
    <row r="11529" spans="1:9" ht="15" customHeight="1">
      <c r="A11529" s="199">
        <v>45835</v>
      </c>
      <c r="B11529" s="202" t="s">
        <v>8455</v>
      </c>
      <c r="C11529" s="200" t="s">
        <v>204</v>
      </c>
      <c r="D11529" s="765">
        <v>-754810</v>
      </c>
      <c r="E11529" s="201">
        <v>45809</v>
      </c>
      <c r="F11529" s="200" t="s">
        <v>296</v>
      </c>
      <c r="G11529" s="200" t="s">
        <v>1825</v>
      </c>
      <c r="H11529" s="200" t="s">
        <v>429</v>
      </c>
      <c r="I11529" s="648" t="s">
        <v>329</v>
      </c>
    </row>
    <row r="11530" spans="1:9" ht="15" customHeight="1">
      <c r="A11530" s="199">
        <v>45835</v>
      </c>
      <c r="B11530" s="202" t="s">
        <v>8456</v>
      </c>
      <c r="C11530" s="200" t="s">
        <v>204</v>
      </c>
      <c r="D11530" s="765">
        <v>-754810</v>
      </c>
      <c r="E11530" s="201">
        <v>45809</v>
      </c>
      <c r="F11530" s="200" t="s">
        <v>296</v>
      </c>
      <c r="G11530" s="200" t="s">
        <v>1980</v>
      </c>
      <c r="H11530" s="200" t="s">
        <v>429</v>
      </c>
    </row>
    <row r="11531" spans="1:9" ht="15" customHeight="1">
      <c r="A11531" s="199">
        <v>45835</v>
      </c>
      <c r="B11531" s="202" t="s">
        <v>8457</v>
      </c>
      <c r="C11531" s="200" t="s">
        <v>204</v>
      </c>
      <c r="D11531" s="765">
        <v>-882000</v>
      </c>
      <c r="E11531" s="201">
        <v>45809</v>
      </c>
      <c r="F11531" s="200" t="s">
        <v>296</v>
      </c>
      <c r="G11531" s="200" t="s">
        <v>1980</v>
      </c>
      <c r="H11531" s="200" t="s">
        <v>429</v>
      </c>
    </row>
    <row r="11532" spans="1:9" ht="15" customHeight="1">
      <c r="A11532" s="199">
        <v>45835</v>
      </c>
      <c r="B11532" s="202" t="s">
        <v>8458</v>
      </c>
      <c r="C11532" s="200" t="s">
        <v>204</v>
      </c>
      <c r="D11532" s="765">
        <v>-754810</v>
      </c>
      <c r="E11532" s="201">
        <v>45809</v>
      </c>
      <c r="F11532" s="200" t="s">
        <v>296</v>
      </c>
      <c r="G11532" s="200" t="s">
        <v>1980</v>
      </c>
      <c r="H11532" s="200" t="s">
        <v>429</v>
      </c>
    </row>
    <row r="11533" spans="1:9" ht="15" customHeight="1">
      <c r="A11533" s="199">
        <v>45835</v>
      </c>
      <c r="B11533" s="202" t="s">
        <v>8459</v>
      </c>
      <c r="C11533" s="200" t="s">
        <v>204</v>
      </c>
      <c r="D11533" s="765">
        <v>-754810</v>
      </c>
      <c r="E11533" s="201">
        <v>45809</v>
      </c>
      <c r="F11533" s="200" t="s">
        <v>296</v>
      </c>
      <c r="G11533" s="200" t="s">
        <v>1980</v>
      </c>
      <c r="H11533" s="200" t="s">
        <v>429</v>
      </c>
    </row>
    <row r="11534" spans="1:9" ht="15" customHeight="1">
      <c r="A11534" s="199">
        <v>45835</v>
      </c>
      <c r="B11534" s="202" t="s">
        <v>8460</v>
      </c>
      <c r="C11534" s="200" t="s">
        <v>204</v>
      </c>
      <c r="D11534" s="765">
        <v>-754810</v>
      </c>
      <c r="E11534" s="201">
        <v>45809</v>
      </c>
      <c r="F11534" s="200" t="s">
        <v>296</v>
      </c>
      <c r="G11534" s="200" t="s">
        <v>1980</v>
      </c>
      <c r="H11534" s="200" t="s">
        <v>429</v>
      </c>
    </row>
    <row r="11535" spans="1:9" ht="15" customHeight="1">
      <c r="A11535" s="199">
        <v>45835</v>
      </c>
      <c r="B11535" s="202" t="s">
        <v>8461</v>
      </c>
      <c r="C11535" s="200" t="s">
        <v>204</v>
      </c>
      <c r="D11535" s="765">
        <v>-754810</v>
      </c>
      <c r="E11535" s="201">
        <v>45809</v>
      </c>
      <c r="F11535" s="200" t="s">
        <v>296</v>
      </c>
      <c r="G11535" s="200" t="s">
        <v>1980</v>
      </c>
      <c r="H11535" s="200" t="s">
        <v>429</v>
      </c>
    </row>
    <row r="11536" spans="1:9" ht="15" customHeight="1">
      <c r="A11536" s="199">
        <v>45835</v>
      </c>
      <c r="B11536" s="202" t="s">
        <v>8462</v>
      </c>
      <c r="C11536" s="200" t="s">
        <v>204</v>
      </c>
      <c r="D11536" s="765">
        <v>-754810</v>
      </c>
      <c r="E11536" s="201">
        <v>45809</v>
      </c>
      <c r="F11536" s="200" t="s">
        <v>296</v>
      </c>
      <c r="G11536" s="200" t="s">
        <v>1980</v>
      </c>
      <c r="H11536" s="200" t="s">
        <v>429</v>
      </c>
    </row>
    <row r="11537" spans="1:9" ht="15" customHeight="1">
      <c r="A11537" s="199">
        <v>45835</v>
      </c>
      <c r="B11537" s="202" t="s">
        <v>8463</v>
      </c>
      <c r="C11537" s="200" t="s">
        <v>204</v>
      </c>
      <c r="D11537" s="765">
        <v>-754810</v>
      </c>
      <c r="E11537" s="201">
        <v>45809</v>
      </c>
      <c r="F11537" s="200" t="s">
        <v>296</v>
      </c>
      <c r="G11537" s="200" t="s">
        <v>1980</v>
      </c>
      <c r="H11537" s="200" t="s">
        <v>429</v>
      </c>
    </row>
    <row r="11538" spans="1:9" ht="15" customHeight="1">
      <c r="A11538" s="199">
        <v>45835</v>
      </c>
      <c r="B11538" s="202" t="s">
        <v>8464</v>
      </c>
      <c r="C11538" s="200" t="s">
        <v>204</v>
      </c>
      <c r="D11538" s="765">
        <v>-754810</v>
      </c>
      <c r="E11538" s="201">
        <v>45809</v>
      </c>
      <c r="F11538" s="200" t="s">
        <v>296</v>
      </c>
      <c r="G11538" s="200" t="s">
        <v>1980</v>
      </c>
      <c r="H11538" s="200" t="s">
        <v>429</v>
      </c>
    </row>
    <row r="11539" spans="1:9" ht="15" customHeight="1">
      <c r="A11539" s="199">
        <v>45835</v>
      </c>
      <c r="B11539" s="202" t="s">
        <v>8465</v>
      </c>
      <c r="C11539" s="200" t="s">
        <v>204</v>
      </c>
      <c r="D11539" s="765">
        <v>-754810</v>
      </c>
      <c r="E11539" s="201">
        <v>45809</v>
      </c>
      <c r="F11539" s="200" t="s">
        <v>296</v>
      </c>
      <c r="G11539" s="200" t="s">
        <v>1980</v>
      </c>
      <c r="H11539" s="200" t="s">
        <v>429</v>
      </c>
    </row>
    <row r="11540" spans="1:9" ht="15" customHeight="1">
      <c r="A11540" s="199">
        <v>45835</v>
      </c>
      <c r="B11540" s="202" t="s">
        <v>8466</v>
      </c>
      <c r="C11540" s="200" t="s">
        <v>204</v>
      </c>
      <c r="D11540" s="765">
        <v>-741476.66666666663</v>
      </c>
      <c r="E11540" s="201">
        <v>45809</v>
      </c>
      <c r="F11540" s="200" t="s">
        <v>296</v>
      </c>
      <c r="G11540" s="200" t="s">
        <v>1980</v>
      </c>
      <c r="H11540" s="200" t="s">
        <v>429</v>
      </c>
    </row>
    <row r="11541" spans="1:9" ht="15" customHeight="1">
      <c r="A11541" s="199">
        <v>45835</v>
      </c>
      <c r="B11541" s="202" t="s">
        <v>8467</v>
      </c>
      <c r="C11541" s="200" t="s">
        <v>204</v>
      </c>
      <c r="D11541" s="765">
        <v>-754810</v>
      </c>
      <c r="E11541" s="201">
        <v>45809</v>
      </c>
      <c r="F11541" s="200" t="s">
        <v>296</v>
      </c>
      <c r="G11541" s="200" t="s">
        <v>1980</v>
      </c>
      <c r="H11541" s="200" t="s">
        <v>429</v>
      </c>
    </row>
    <row r="11542" spans="1:9" ht="15" customHeight="1">
      <c r="A11542" s="199">
        <v>45835</v>
      </c>
      <c r="B11542" s="202" t="s">
        <v>8468</v>
      </c>
      <c r="C11542" s="200" t="s">
        <v>204</v>
      </c>
      <c r="D11542" s="765">
        <v>-741476.66666666663</v>
      </c>
      <c r="E11542" s="201">
        <v>45809</v>
      </c>
      <c r="F11542" s="200" t="s">
        <v>296</v>
      </c>
      <c r="G11542" s="200" t="s">
        <v>1980</v>
      </c>
      <c r="H11542" s="200" t="s">
        <v>429</v>
      </c>
    </row>
    <row r="11543" spans="1:9" ht="15" customHeight="1">
      <c r="A11543" s="199">
        <v>45835</v>
      </c>
      <c r="B11543" s="202" t="s">
        <v>8469</v>
      </c>
      <c r="C11543" s="200" t="s">
        <v>204</v>
      </c>
      <c r="D11543" s="765">
        <v>-734810</v>
      </c>
      <c r="E11543" s="201">
        <v>45809</v>
      </c>
      <c r="F11543" s="200" t="s">
        <v>296</v>
      </c>
      <c r="G11543" s="200" t="s">
        <v>1980</v>
      </c>
      <c r="H11543" s="200" t="s">
        <v>429</v>
      </c>
    </row>
    <row r="11544" spans="1:9" ht="15" customHeight="1">
      <c r="A11544" s="199">
        <v>45835</v>
      </c>
      <c r="B11544" s="202" t="s">
        <v>8470</v>
      </c>
      <c r="C11544" s="200" t="s">
        <v>204</v>
      </c>
      <c r="D11544" s="765">
        <v>-754810</v>
      </c>
      <c r="E11544" s="201">
        <v>45809</v>
      </c>
      <c r="F11544" s="200" t="s">
        <v>296</v>
      </c>
      <c r="G11544" s="200" t="s">
        <v>1980</v>
      </c>
      <c r="H11544" s="200" t="s">
        <v>429</v>
      </c>
    </row>
    <row r="11545" spans="1:9" ht="15" customHeight="1">
      <c r="A11545" s="199">
        <v>45835</v>
      </c>
      <c r="B11545" s="202" t="s">
        <v>8471</v>
      </c>
      <c r="C11545" s="200" t="s">
        <v>204</v>
      </c>
      <c r="D11545" s="765">
        <v>-754810</v>
      </c>
      <c r="E11545" s="201">
        <v>45809</v>
      </c>
      <c r="F11545" s="200" t="s">
        <v>296</v>
      </c>
      <c r="G11545" s="200" t="s">
        <v>1980</v>
      </c>
      <c r="H11545" s="200" t="s">
        <v>429</v>
      </c>
    </row>
    <row r="11546" spans="1:9" ht="15" customHeight="1">
      <c r="A11546" s="199">
        <v>45835</v>
      </c>
      <c r="B11546" s="202" t="s">
        <v>8472</v>
      </c>
      <c r="C11546" s="200" t="s">
        <v>204</v>
      </c>
      <c r="D11546" s="765">
        <v>-754810</v>
      </c>
      <c r="E11546" s="201">
        <v>45809</v>
      </c>
      <c r="F11546" s="200" t="s">
        <v>296</v>
      </c>
      <c r="G11546" s="200" t="s">
        <v>1980</v>
      </c>
      <c r="H11546" s="200" t="s">
        <v>429</v>
      </c>
      <c r="I11546" s="648" t="s">
        <v>329</v>
      </c>
    </row>
    <row r="11547" spans="1:9" ht="15" customHeight="1">
      <c r="A11547" s="199">
        <v>45835</v>
      </c>
      <c r="B11547" s="202" t="s">
        <v>8473</v>
      </c>
      <c r="C11547" s="200" t="s">
        <v>204</v>
      </c>
      <c r="D11547" s="765">
        <v>-754810</v>
      </c>
      <c r="E11547" s="201">
        <v>45809</v>
      </c>
      <c r="F11547" s="200" t="s">
        <v>296</v>
      </c>
      <c r="G11547" s="200" t="s">
        <v>1983</v>
      </c>
      <c r="H11547" s="200" t="s">
        <v>429</v>
      </c>
    </row>
    <row r="11548" spans="1:9" ht="15" customHeight="1">
      <c r="A11548" s="199">
        <v>45835</v>
      </c>
      <c r="B11548" s="202" t="s">
        <v>8474</v>
      </c>
      <c r="C11548" s="200" t="s">
        <v>204</v>
      </c>
      <c r="D11548" s="765">
        <v>-754810</v>
      </c>
      <c r="E11548" s="201">
        <v>45809</v>
      </c>
      <c r="F11548" s="200" t="s">
        <v>296</v>
      </c>
      <c r="G11548" s="200" t="s">
        <v>1983</v>
      </c>
      <c r="H11548" s="200" t="s">
        <v>429</v>
      </c>
    </row>
    <row r="11549" spans="1:9" ht="15" customHeight="1">
      <c r="A11549" s="199">
        <v>45835</v>
      </c>
      <c r="B11549" s="202" t="s">
        <v>8475</v>
      </c>
      <c r="C11549" s="200" t="s">
        <v>204</v>
      </c>
      <c r="D11549" s="765">
        <v>-754810</v>
      </c>
      <c r="E11549" s="201">
        <v>45809</v>
      </c>
      <c r="F11549" s="200" t="s">
        <v>296</v>
      </c>
      <c r="G11549" s="200" t="s">
        <v>1983</v>
      </c>
      <c r="H11549" s="200" t="s">
        <v>429</v>
      </c>
    </row>
    <row r="11550" spans="1:9" ht="15" customHeight="1">
      <c r="A11550" s="199">
        <v>45835</v>
      </c>
      <c r="B11550" s="202" t="s">
        <v>8476</v>
      </c>
      <c r="C11550" s="200" t="s">
        <v>204</v>
      </c>
      <c r="D11550" s="765">
        <v>-754810</v>
      </c>
      <c r="E11550" s="201">
        <v>45809</v>
      </c>
      <c r="F11550" s="200" t="s">
        <v>296</v>
      </c>
      <c r="G11550" s="200" t="s">
        <v>1983</v>
      </c>
      <c r="H11550" s="200" t="s">
        <v>429</v>
      </c>
    </row>
    <row r="11551" spans="1:9" ht="15" customHeight="1">
      <c r="A11551" s="199">
        <v>45835</v>
      </c>
      <c r="B11551" s="202" t="s">
        <v>8477</v>
      </c>
      <c r="C11551" s="200" t="s">
        <v>204</v>
      </c>
      <c r="D11551" s="765">
        <v>-754810</v>
      </c>
      <c r="E11551" s="201">
        <v>45809</v>
      </c>
      <c r="F11551" s="200" t="s">
        <v>296</v>
      </c>
      <c r="G11551" s="200" t="s">
        <v>1983</v>
      </c>
      <c r="H11551" s="200" t="s">
        <v>429</v>
      </c>
    </row>
    <row r="11552" spans="1:9" ht="15" customHeight="1">
      <c r="A11552" s="199">
        <v>45835</v>
      </c>
      <c r="B11552" s="202" t="s">
        <v>8478</v>
      </c>
      <c r="C11552" s="200" t="s">
        <v>204</v>
      </c>
      <c r="D11552" s="765">
        <v>-754810</v>
      </c>
      <c r="E11552" s="201">
        <v>45809</v>
      </c>
      <c r="F11552" s="200" t="s">
        <v>296</v>
      </c>
      <c r="G11552" s="200" t="s">
        <v>1983</v>
      </c>
      <c r="H11552" s="200" t="s">
        <v>429</v>
      </c>
    </row>
    <row r="11553" spans="1:8" ht="15" customHeight="1">
      <c r="A11553" s="199">
        <v>45835</v>
      </c>
      <c r="B11553" s="202" t="s">
        <v>8479</v>
      </c>
      <c r="C11553" s="200" t="s">
        <v>204</v>
      </c>
      <c r="D11553" s="765">
        <v>-754810</v>
      </c>
      <c r="E11553" s="201">
        <v>45809</v>
      </c>
      <c r="F11553" s="200" t="s">
        <v>296</v>
      </c>
      <c r="G11553" s="200" t="s">
        <v>1983</v>
      </c>
      <c r="H11553" s="200" t="s">
        <v>429</v>
      </c>
    </row>
    <row r="11554" spans="1:8" ht="15" customHeight="1">
      <c r="A11554" s="199">
        <v>45835</v>
      </c>
      <c r="B11554" s="202" t="s">
        <v>8480</v>
      </c>
      <c r="C11554" s="200" t="s">
        <v>204</v>
      </c>
      <c r="D11554" s="765">
        <v>-754810</v>
      </c>
      <c r="E11554" s="201">
        <v>45809</v>
      </c>
      <c r="F11554" s="200" t="s">
        <v>296</v>
      </c>
      <c r="G11554" s="200" t="s">
        <v>1983</v>
      </c>
      <c r="H11554" s="200" t="s">
        <v>429</v>
      </c>
    </row>
    <row r="11555" spans="1:8" ht="15" customHeight="1">
      <c r="A11555" s="199">
        <v>45835</v>
      </c>
      <c r="B11555" s="202" t="s">
        <v>8481</v>
      </c>
      <c r="C11555" s="200" t="s">
        <v>204</v>
      </c>
      <c r="D11555" s="765">
        <v>-754810</v>
      </c>
      <c r="E11555" s="201">
        <v>45809</v>
      </c>
      <c r="F11555" s="200" t="s">
        <v>296</v>
      </c>
      <c r="G11555" s="200" t="s">
        <v>1983</v>
      </c>
      <c r="H11555" s="200" t="s">
        <v>429</v>
      </c>
    </row>
    <row r="11556" spans="1:8" ht="15" customHeight="1">
      <c r="A11556" s="199">
        <v>45835</v>
      </c>
      <c r="B11556" s="202" t="s">
        <v>8482</v>
      </c>
      <c r="C11556" s="200" t="s">
        <v>204</v>
      </c>
      <c r="D11556" s="765">
        <v>-754810</v>
      </c>
      <c r="E11556" s="201">
        <v>45809</v>
      </c>
      <c r="F11556" s="200" t="s">
        <v>296</v>
      </c>
      <c r="G11556" s="200" t="s">
        <v>1983</v>
      </c>
      <c r="H11556" s="200" t="s">
        <v>429</v>
      </c>
    </row>
    <row r="11557" spans="1:8" ht="15" customHeight="1">
      <c r="A11557" s="199">
        <v>45835</v>
      </c>
      <c r="B11557" s="202" t="s">
        <v>8483</v>
      </c>
      <c r="C11557" s="200" t="s">
        <v>204</v>
      </c>
      <c r="D11557" s="765">
        <v>-754810</v>
      </c>
      <c r="E11557" s="201">
        <v>45809</v>
      </c>
      <c r="F11557" s="200" t="s">
        <v>296</v>
      </c>
      <c r="G11557" s="200" t="s">
        <v>1983</v>
      </c>
      <c r="H11557" s="200" t="s">
        <v>429</v>
      </c>
    </row>
    <row r="11558" spans="1:8" ht="15" customHeight="1">
      <c r="A11558" s="199">
        <v>45835</v>
      </c>
      <c r="B11558" s="202" t="s">
        <v>8484</v>
      </c>
      <c r="C11558" s="200" t="s">
        <v>204</v>
      </c>
      <c r="D11558" s="765">
        <v>-754810</v>
      </c>
      <c r="E11558" s="201">
        <v>45809</v>
      </c>
      <c r="F11558" s="200" t="s">
        <v>296</v>
      </c>
      <c r="G11558" s="200" t="s">
        <v>1983</v>
      </c>
      <c r="H11558" s="200" t="s">
        <v>429</v>
      </c>
    </row>
    <row r="11559" spans="1:8" ht="15" customHeight="1">
      <c r="A11559" s="199">
        <v>45835</v>
      </c>
      <c r="B11559" s="202" t="s">
        <v>8485</v>
      </c>
      <c r="C11559" s="200" t="s">
        <v>204</v>
      </c>
      <c r="D11559" s="765">
        <v>-754810</v>
      </c>
      <c r="E11559" s="201">
        <v>45809</v>
      </c>
      <c r="F11559" s="200" t="s">
        <v>296</v>
      </c>
      <c r="G11559" s="200" t="s">
        <v>1983</v>
      </c>
      <c r="H11559" s="200" t="s">
        <v>429</v>
      </c>
    </row>
    <row r="11560" spans="1:8" ht="15" customHeight="1">
      <c r="A11560" s="199">
        <v>45835</v>
      </c>
      <c r="B11560" s="202" t="s">
        <v>8486</v>
      </c>
      <c r="C11560" s="200" t="s">
        <v>204</v>
      </c>
      <c r="D11560" s="765">
        <v>-754810</v>
      </c>
      <c r="E11560" s="201">
        <v>45809</v>
      </c>
      <c r="F11560" s="200" t="s">
        <v>296</v>
      </c>
      <c r="G11560" s="200" t="s">
        <v>1983</v>
      </c>
      <c r="H11560" s="200" t="s">
        <v>429</v>
      </c>
    </row>
    <row r="11561" spans="1:8" ht="15" customHeight="1">
      <c r="A11561" s="199">
        <v>45835</v>
      </c>
      <c r="B11561" s="202" t="s">
        <v>8487</v>
      </c>
      <c r="C11561" s="200" t="s">
        <v>204</v>
      </c>
      <c r="D11561" s="765">
        <v>-731510</v>
      </c>
      <c r="E11561" s="201">
        <v>45809</v>
      </c>
      <c r="F11561" s="200" t="s">
        <v>296</v>
      </c>
      <c r="G11561" s="200" t="s">
        <v>807</v>
      </c>
      <c r="H11561" s="200" t="s">
        <v>421</v>
      </c>
    </row>
    <row r="11562" spans="1:8" ht="15" customHeight="1">
      <c r="A11562" s="199">
        <v>45835</v>
      </c>
      <c r="B11562" s="202" t="s">
        <v>8488</v>
      </c>
      <c r="C11562" s="200" t="s">
        <v>204</v>
      </c>
      <c r="D11562" s="765">
        <v>-1250000</v>
      </c>
      <c r="E11562" s="201">
        <v>45809</v>
      </c>
      <c r="F11562" s="200" t="s">
        <v>296</v>
      </c>
      <c r="G11562" s="200" t="s">
        <v>807</v>
      </c>
      <c r="H11562" s="200" t="s">
        <v>421</v>
      </c>
    </row>
    <row r="11563" spans="1:8" ht="15" customHeight="1">
      <c r="A11563" s="199">
        <v>45835</v>
      </c>
      <c r="B11563" s="202" t="s">
        <v>8489</v>
      </c>
      <c r="C11563" s="200" t="s">
        <v>204</v>
      </c>
      <c r="D11563" s="765">
        <v>-704489.33333333337</v>
      </c>
      <c r="E11563" s="201">
        <v>45809</v>
      </c>
      <c r="F11563" s="200" t="s">
        <v>296</v>
      </c>
      <c r="G11563" s="200" t="s">
        <v>807</v>
      </c>
      <c r="H11563" s="200" t="s">
        <v>421</v>
      </c>
    </row>
    <row r="11564" spans="1:8" ht="15" customHeight="1">
      <c r="A11564" s="199">
        <v>45835</v>
      </c>
      <c r="B11564" s="202" t="s">
        <v>8490</v>
      </c>
      <c r="C11564" s="200" t="s">
        <v>204</v>
      </c>
      <c r="D11564" s="765">
        <v>-719310</v>
      </c>
      <c r="E11564" s="201">
        <v>45809</v>
      </c>
      <c r="F11564" s="200" t="s">
        <v>296</v>
      </c>
      <c r="G11564" s="200" t="s">
        <v>807</v>
      </c>
      <c r="H11564" s="200" t="s">
        <v>421</v>
      </c>
    </row>
    <row r="11565" spans="1:8" ht="15" customHeight="1">
      <c r="A11565" s="199">
        <v>45835</v>
      </c>
      <c r="B11565" s="202" t="s">
        <v>8491</v>
      </c>
      <c r="C11565" s="200" t="s">
        <v>204</v>
      </c>
      <c r="D11565" s="765">
        <v>-734810</v>
      </c>
      <c r="E11565" s="201">
        <v>45809</v>
      </c>
      <c r="F11565" s="200" t="s">
        <v>296</v>
      </c>
      <c r="G11565" s="200" t="s">
        <v>807</v>
      </c>
      <c r="H11565" s="200" t="s">
        <v>421</v>
      </c>
    </row>
    <row r="11566" spans="1:8" ht="15" customHeight="1">
      <c r="A11566" s="199">
        <v>45835</v>
      </c>
      <c r="B11566" s="202" t="s">
        <v>8492</v>
      </c>
      <c r="C11566" s="200" t="s">
        <v>204</v>
      </c>
      <c r="D11566" s="765">
        <v>-882000</v>
      </c>
      <c r="E11566" s="201">
        <v>45809</v>
      </c>
      <c r="F11566" s="200" t="s">
        <v>296</v>
      </c>
      <c r="G11566" s="200" t="s">
        <v>807</v>
      </c>
      <c r="H11566" s="200" t="s">
        <v>421</v>
      </c>
    </row>
    <row r="11567" spans="1:8" ht="15" customHeight="1">
      <c r="A11567" s="199">
        <v>45835</v>
      </c>
      <c r="B11567" s="202" t="s">
        <v>8493</v>
      </c>
      <c r="C11567" s="200" t="s">
        <v>204</v>
      </c>
      <c r="D11567" s="765">
        <v>-754810</v>
      </c>
      <c r="E11567" s="201">
        <v>45809</v>
      </c>
      <c r="F11567" s="200" t="s">
        <v>296</v>
      </c>
      <c r="G11567" s="200" t="s">
        <v>807</v>
      </c>
      <c r="H11567" s="200" t="s">
        <v>421</v>
      </c>
    </row>
    <row r="11568" spans="1:8" ht="15" customHeight="1">
      <c r="A11568" s="199">
        <v>45835</v>
      </c>
      <c r="B11568" s="202" t="s">
        <v>8494</v>
      </c>
      <c r="C11568" s="200" t="s">
        <v>204</v>
      </c>
      <c r="D11568" s="765">
        <v>-754810</v>
      </c>
      <c r="E11568" s="201">
        <v>45809</v>
      </c>
      <c r="F11568" s="200" t="s">
        <v>296</v>
      </c>
      <c r="G11568" s="200" t="s">
        <v>807</v>
      </c>
      <c r="H11568" s="200" t="s">
        <v>421</v>
      </c>
    </row>
    <row r="11569" spans="1:8" ht="15" customHeight="1">
      <c r="A11569" s="199">
        <v>45835</v>
      </c>
      <c r="B11569" s="202" t="s">
        <v>8495</v>
      </c>
      <c r="C11569" s="200" t="s">
        <v>204</v>
      </c>
      <c r="D11569" s="765">
        <v>-754810</v>
      </c>
      <c r="E11569" s="201">
        <v>45809</v>
      </c>
      <c r="F11569" s="200" t="s">
        <v>296</v>
      </c>
      <c r="G11569" s="200" t="s">
        <v>807</v>
      </c>
      <c r="H11569" s="200" t="s">
        <v>421</v>
      </c>
    </row>
    <row r="11570" spans="1:8" ht="15" customHeight="1">
      <c r="A11570" s="199">
        <v>45835</v>
      </c>
      <c r="B11570" s="202" t="s">
        <v>8496</v>
      </c>
      <c r="C11570" s="200" t="s">
        <v>204</v>
      </c>
      <c r="D11570" s="765">
        <v>-754810</v>
      </c>
      <c r="E11570" s="201">
        <v>45809</v>
      </c>
      <c r="F11570" s="200" t="s">
        <v>296</v>
      </c>
      <c r="G11570" s="200" t="s">
        <v>807</v>
      </c>
      <c r="H11570" s="200" t="s">
        <v>421</v>
      </c>
    </row>
    <row r="11571" spans="1:8" ht="15" customHeight="1">
      <c r="A11571" s="199">
        <v>45835</v>
      </c>
      <c r="B11571" s="202" t="s">
        <v>8497</v>
      </c>
      <c r="C11571" s="200" t="s">
        <v>204</v>
      </c>
      <c r="D11571" s="765">
        <v>-754810</v>
      </c>
      <c r="E11571" s="201">
        <v>45809</v>
      </c>
      <c r="F11571" s="200" t="s">
        <v>296</v>
      </c>
      <c r="G11571" s="200" t="s">
        <v>807</v>
      </c>
      <c r="H11571" s="200" t="s">
        <v>421</v>
      </c>
    </row>
    <row r="11572" spans="1:8" ht="15" customHeight="1">
      <c r="A11572" s="199">
        <v>45835</v>
      </c>
      <c r="B11572" s="202" t="s">
        <v>8498</v>
      </c>
      <c r="C11572" s="200" t="s">
        <v>204</v>
      </c>
      <c r="D11572" s="765">
        <v>-754810</v>
      </c>
      <c r="E11572" s="201">
        <v>45809</v>
      </c>
      <c r="F11572" s="200" t="s">
        <v>296</v>
      </c>
      <c r="G11572" s="200" t="s">
        <v>807</v>
      </c>
      <c r="H11572" s="200" t="s">
        <v>421</v>
      </c>
    </row>
    <row r="11573" spans="1:8" ht="15" customHeight="1">
      <c r="A11573" s="199">
        <v>45835</v>
      </c>
      <c r="B11573" s="202" t="s">
        <v>8499</v>
      </c>
      <c r="C11573" s="200" t="s">
        <v>204</v>
      </c>
      <c r="D11573" s="765">
        <v>-754810</v>
      </c>
      <c r="E11573" s="201">
        <v>45809</v>
      </c>
      <c r="F11573" s="200" t="s">
        <v>296</v>
      </c>
      <c r="G11573" s="200" t="s">
        <v>807</v>
      </c>
      <c r="H11573" s="200" t="s">
        <v>421</v>
      </c>
    </row>
    <row r="11574" spans="1:8" ht="15" customHeight="1">
      <c r="A11574" s="199">
        <v>45835</v>
      </c>
      <c r="B11574" s="202" t="s">
        <v>8500</v>
      </c>
      <c r="C11574" s="200" t="s">
        <v>204</v>
      </c>
      <c r="D11574" s="765">
        <v>-754810</v>
      </c>
      <c r="E11574" s="201">
        <v>45809</v>
      </c>
      <c r="F11574" s="200" t="s">
        <v>296</v>
      </c>
      <c r="G11574" s="200" t="s">
        <v>807</v>
      </c>
      <c r="H11574" s="200" t="s">
        <v>421</v>
      </c>
    </row>
    <row r="11575" spans="1:8" ht="15" customHeight="1">
      <c r="A11575" s="199">
        <v>45835</v>
      </c>
      <c r="B11575" s="202" t="s">
        <v>8501</v>
      </c>
      <c r="C11575" s="200" t="s">
        <v>204</v>
      </c>
      <c r="D11575" s="765">
        <v>-654810</v>
      </c>
      <c r="E11575" s="201">
        <v>45809</v>
      </c>
      <c r="F11575" s="200" t="s">
        <v>296</v>
      </c>
      <c r="G11575" s="200" t="s">
        <v>807</v>
      </c>
      <c r="H11575" s="200" t="s">
        <v>421</v>
      </c>
    </row>
    <row r="11576" spans="1:8" ht="15" customHeight="1">
      <c r="A11576" s="199">
        <v>45835</v>
      </c>
      <c r="B11576" s="202" t="s">
        <v>8502</v>
      </c>
      <c r="C11576" s="200" t="s">
        <v>204</v>
      </c>
      <c r="D11576" s="765">
        <v>-704489.33333333337</v>
      </c>
      <c r="E11576" s="201">
        <v>45809</v>
      </c>
      <c r="F11576" s="200" t="s">
        <v>296</v>
      </c>
      <c r="G11576" s="200" t="s">
        <v>807</v>
      </c>
      <c r="H11576" s="200" t="s">
        <v>421</v>
      </c>
    </row>
    <row r="11577" spans="1:8" ht="15" customHeight="1">
      <c r="A11577" s="199">
        <v>45835</v>
      </c>
      <c r="B11577" s="202" t="s">
        <v>8503</v>
      </c>
      <c r="C11577" s="200" t="s">
        <v>204</v>
      </c>
      <c r="D11577" s="765">
        <v>-754810</v>
      </c>
      <c r="E11577" s="201">
        <v>45809</v>
      </c>
      <c r="F11577" s="200" t="s">
        <v>296</v>
      </c>
      <c r="G11577" s="200" t="s">
        <v>807</v>
      </c>
      <c r="H11577" s="200" t="s">
        <v>421</v>
      </c>
    </row>
    <row r="11578" spans="1:8" ht="15" customHeight="1">
      <c r="A11578" s="199">
        <v>45835</v>
      </c>
      <c r="B11578" s="202" t="s">
        <v>8504</v>
      </c>
      <c r="C11578" s="200" t="s">
        <v>204</v>
      </c>
      <c r="D11578" s="765">
        <v>-754810</v>
      </c>
      <c r="E11578" s="201">
        <v>45809</v>
      </c>
      <c r="F11578" s="200" t="s">
        <v>296</v>
      </c>
      <c r="G11578" s="200" t="s">
        <v>807</v>
      </c>
      <c r="H11578" s="200" t="s">
        <v>421</v>
      </c>
    </row>
    <row r="11579" spans="1:8" ht="15" customHeight="1">
      <c r="A11579" s="199">
        <v>45835</v>
      </c>
      <c r="B11579" s="202" t="s">
        <v>8505</v>
      </c>
      <c r="C11579" s="200" t="s">
        <v>204</v>
      </c>
      <c r="D11579" s="765">
        <v>-731510</v>
      </c>
      <c r="E11579" s="201">
        <v>45809</v>
      </c>
      <c r="F11579" s="200" t="s">
        <v>296</v>
      </c>
      <c r="G11579" s="200" t="s">
        <v>807</v>
      </c>
      <c r="H11579" s="200" t="s">
        <v>421</v>
      </c>
    </row>
    <row r="11580" spans="1:8" ht="15" customHeight="1">
      <c r="A11580" s="199">
        <v>45835</v>
      </c>
      <c r="B11580" s="202" t="s">
        <v>8506</v>
      </c>
      <c r="C11580" s="200" t="s">
        <v>204</v>
      </c>
      <c r="D11580" s="765">
        <v>-754810</v>
      </c>
      <c r="E11580" s="201">
        <v>45809</v>
      </c>
      <c r="F11580" s="200" t="s">
        <v>296</v>
      </c>
      <c r="G11580" s="200" t="s">
        <v>807</v>
      </c>
      <c r="H11580" s="200" t="s">
        <v>421</v>
      </c>
    </row>
    <row r="11581" spans="1:8" ht="15" customHeight="1">
      <c r="A11581" s="199">
        <v>45835</v>
      </c>
      <c r="B11581" s="202" t="s">
        <v>8507</v>
      </c>
      <c r="C11581" s="200" t="s">
        <v>204</v>
      </c>
      <c r="D11581" s="765">
        <v>-754810</v>
      </c>
      <c r="E11581" s="201">
        <v>45809</v>
      </c>
      <c r="F11581" s="200" t="s">
        <v>296</v>
      </c>
      <c r="G11581" s="200" t="s">
        <v>807</v>
      </c>
      <c r="H11581" s="200" t="s">
        <v>421</v>
      </c>
    </row>
    <row r="11582" spans="1:8" ht="15" customHeight="1">
      <c r="A11582" s="199">
        <v>45835</v>
      </c>
      <c r="B11582" s="202" t="s">
        <v>8508</v>
      </c>
      <c r="C11582" s="200" t="s">
        <v>204</v>
      </c>
      <c r="D11582" s="765">
        <v>-719310</v>
      </c>
      <c r="E11582" s="201">
        <v>45809</v>
      </c>
      <c r="F11582" s="200" t="s">
        <v>296</v>
      </c>
      <c r="G11582" s="200" t="s">
        <v>807</v>
      </c>
      <c r="H11582" s="200" t="s">
        <v>421</v>
      </c>
    </row>
    <row r="11583" spans="1:8" ht="15" customHeight="1">
      <c r="A11583" s="199">
        <v>45835</v>
      </c>
      <c r="B11583" s="202" t="s">
        <v>8509</v>
      </c>
      <c r="C11583" s="200" t="s">
        <v>204</v>
      </c>
      <c r="D11583" s="765">
        <v>-704489.33333333337</v>
      </c>
      <c r="E11583" s="201">
        <v>45809</v>
      </c>
      <c r="F11583" s="200" t="s">
        <v>296</v>
      </c>
      <c r="G11583" s="200" t="s">
        <v>807</v>
      </c>
      <c r="H11583" s="200" t="s">
        <v>421</v>
      </c>
    </row>
    <row r="11584" spans="1:8" ht="15" customHeight="1">
      <c r="A11584" s="199">
        <v>45835</v>
      </c>
      <c r="B11584" s="202" t="s">
        <v>8510</v>
      </c>
      <c r="C11584" s="200" t="s">
        <v>204</v>
      </c>
      <c r="D11584" s="765">
        <v>-754810</v>
      </c>
      <c r="E11584" s="201">
        <v>45809</v>
      </c>
      <c r="F11584" s="200" t="s">
        <v>296</v>
      </c>
      <c r="G11584" s="200" t="s">
        <v>807</v>
      </c>
      <c r="H11584" s="200" t="s">
        <v>421</v>
      </c>
    </row>
    <row r="11585" spans="1:9" ht="15" customHeight="1">
      <c r="A11585" s="199">
        <v>45835</v>
      </c>
      <c r="B11585" s="202" t="s">
        <v>8511</v>
      </c>
      <c r="C11585" s="200" t="s">
        <v>204</v>
      </c>
      <c r="D11585" s="765">
        <v>-928000</v>
      </c>
      <c r="E11585" s="201">
        <v>45809</v>
      </c>
      <c r="F11585" s="200" t="s">
        <v>296</v>
      </c>
      <c r="G11585" s="200" t="s">
        <v>807</v>
      </c>
      <c r="H11585" s="200" t="s">
        <v>421</v>
      </c>
    </row>
    <row r="11586" spans="1:9" ht="15" customHeight="1">
      <c r="A11586" s="199">
        <v>45835</v>
      </c>
      <c r="B11586" s="202" t="s">
        <v>8512</v>
      </c>
      <c r="C11586" s="200" t="s">
        <v>204</v>
      </c>
      <c r="D11586" s="765">
        <v>-754810</v>
      </c>
      <c r="E11586" s="201">
        <v>45809</v>
      </c>
      <c r="F11586" s="200" t="s">
        <v>296</v>
      </c>
      <c r="G11586" s="200" t="s">
        <v>807</v>
      </c>
      <c r="H11586" s="200" t="s">
        <v>421</v>
      </c>
    </row>
    <row r="11587" spans="1:9" ht="15" customHeight="1">
      <c r="A11587" s="199">
        <v>45835</v>
      </c>
      <c r="B11587" s="202" t="s">
        <v>8513</v>
      </c>
      <c r="C11587" s="200" t="s">
        <v>204</v>
      </c>
      <c r="D11587" s="765">
        <v>-754810</v>
      </c>
      <c r="E11587" s="201">
        <v>45809</v>
      </c>
      <c r="F11587" s="200" t="s">
        <v>296</v>
      </c>
      <c r="G11587" s="200" t="s">
        <v>807</v>
      </c>
      <c r="H11587" s="200" t="s">
        <v>421</v>
      </c>
    </row>
    <row r="11588" spans="1:9" ht="15" customHeight="1">
      <c r="A11588" s="199">
        <v>45835</v>
      </c>
      <c r="B11588" s="202" t="s">
        <v>8514</v>
      </c>
      <c r="C11588" s="200" t="s">
        <v>204</v>
      </c>
      <c r="D11588" s="765">
        <v>-754810</v>
      </c>
      <c r="E11588" s="201">
        <v>45809</v>
      </c>
      <c r="F11588" s="200" t="s">
        <v>296</v>
      </c>
      <c r="G11588" s="200" t="s">
        <v>807</v>
      </c>
      <c r="H11588" s="200" t="s">
        <v>421</v>
      </c>
    </row>
    <row r="11589" spans="1:9" ht="15" customHeight="1">
      <c r="A11589" s="199">
        <v>45835</v>
      </c>
      <c r="B11589" s="202" t="s">
        <v>8515</v>
      </c>
      <c r="C11589" s="200" t="s">
        <v>204</v>
      </c>
      <c r="D11589" s="765">
        <v>-754810</v>
      </c>
      <c r="E11589" s="201">
        <v>45809</v>
      </c>
      <c r="F11589" s="200" t="s">
        <v>296</v>
      </c>
      <c r="G11589" s="200" t="s">
        <v>807</v>
      </c>
      <c r="H11589" s="200" t="s">
        <v>421</v>
      </c>
    </row>
    <row r="11590" spans="1:9" ht="15" customHeight="1">
      <c r="A11590" s="199">
        <v>45835</v>
      </c>
      <c r="B11590" s="202" t="s">
        <v>8516</v>
      </c>
      <c r="C11590" s="200" t="s">
        <v>204</v>
      </c>
      <c r="D11590" s="765">
        <v>-754810</v>
      </c>
      <c r="E11590" s="201">
        <v>45809</v>
      </c>
      <c r="F11590" s="200" t="s">
        <v>296</v>
      </c>
      <c r="G11590" s="200" t="s">
        <v>807</v>
      </c>
      <c r="H11590" s="200" t="s">
        <v>421</v>
      </c>
      <c r="I11590" s="648" t="s">
        <v>329</v>
      </c>
    </row>
    <row r="11591" spans="1:9" ht="15" customHeight="1">
      <c r="A11591" s="199">
        <v>45828</v>
      </c>
      <c r="B11591" s="202" t="s">
        <v>8517</v>
      </c>
      <c r="C11591" s="200" t="s">
        <v>204</v>
      </c>
      <c r="D11591" s="204">
        <v>2340788</v>
      </c>
      <c r="E11591" s="201">
        <v>45809</v>
      </c>
      <c r="F11591" s="200" t="s">
        <v>295</v>
      </c>
    </row>
    <row r="11592" spans="1:9" ht="15" customHeight="1">
      <c r="A11592" s="199">
        <v>45833</v>
      </c>
      <c r="B11592" s="202" t="s">
        <v>8518</v>
      </c>
      <c r="C11592" s="200" t="s">
        <v>204</v>
      </c>
      <c r="D11592" s="204">
        <v>2428908</v>
      </c>
      <c r="E11592" s="201">
        <v>45809</v>
      </c>
      <c r="F11592" s="200" t="s">
        <v>295</v>
      </c>
    </row>
    <row r="11593" spans="1:9" ht="15" customHeight="1">
      <c r="A11593" s="199">
        <v>45833</v>
      </c>
      <c r="B11593" s="202" t="s">
        <v>8519</v>
      </c>
      <c r="C11593" s="200" t="s">
        <v>204</v>
      </c>
      <c r="D11593" s="204">
        <v>586800</v>
      </c>
      <c r="E11593" s="201">
        <v>45809</v>
      </c>
      <c r="F11593" s="200" t="s">
        <v>295</v>
      </c>
    </row>
    <row r="11594" spans="1:9" ht="15" customHeight="1">
      <c r="A11594" s="199">
        <v>45833</v>
      </c>
      <c r="B11594" s="202" t="s">
        <v>8520</v>
      </c>
      <c r="C11594" s="200" t="s">
        <v>204</v>
      </c>
      <c r="D11594" s="204">
        <v>63709800</v>
      </c>
      <c r="E11594" s="201">
        <v>45809</v>
      </c>
      <c r="F11594" s="200" t="s">
        <v>983</v>
      </c>
      <c r="G11594" s="200" t="s">
        <v>3847</v>
      </c>
    </row>
    <row r="11595" spans="1:9" ht="15" customHeight="1">
      <c r="A11595" s="199">
        <v>45834</v>
      </c>
      <c r="B11595" s="202" t="s">
        <v>4256</v>
      </c>
      <c r="C11595" s="200" t="s">
        <v>204</v>
      </c>
      <c r="D11595" s="204">
        <v>2655099</v>
      </c>
      <c r="E11595" s="201">
        <v>45809</v>
      </c>
      <c r="F11595" s="200" t="s">
        <v>295</v>
      </c>
    </row>
    <row r="11596" spans="1:9" ht="15" customHeight="1">
      <c r="A11596" s="199">
        <v>38530</v>
      </c>
      <c r="B11596" s="202" t="s">
        <v>8521</v>
      </c>
      <c r="C11596" s="200" t="s">
        <v>204</v>
      </c>
      <c r="D11596" s="204">
        <v>9294587</v>
      </c>
      <c r="E11596" s="201">
        <v>45809</v>
      </c>
      <c r="F11596" s="200" t="s">
        <v>296</v>
      </c>
      <c r="I11596" s="648" t="s">
        <v>329</v>
      </c>
    </row>
    <row r="11597" spans="1:9" ht="15" customHeight="1">
      <c r="A11597" s="199">
        <v>45835</v>
      </c>
      <c r="B11597" s="202" t="s">
        <v>8173</v>
      </c>
      <c r="C11597" s="200" t="s">
        <v>204</v>
      </c>
      <c r="D11597" s="204">
        <v>200000000</v>
      </c>
      <c r="E11597" s="201">
        <v>45809</v>
      </c>
      <c r="F11597" s="200" t="s">
        <v>652</v>
      </c>
      <c r="G11597" s="200" t="s">
        <v>4577</v>
      </c>
    </row>
    <row r="11598" spans="1:9" ht="15" customHeight="1">
      <c r="A11598" s="199">
        <v>45828</v>
      </c>
      <c r="B11598" s="202" t="s">
        <v>3855</v>
      </c>
      <c r="C11598" s="200" t="s">
        <v>314</v>
      </c>
      <c r="D11598" s="204">
        <v>2493914</v>
      </c>
      <c r="E11598" s="201">
        <v>45809</v>
      </c>
      <c r="F11598" s="200" t="s">
        <v>295</v>
      </c>
    </row>
    <row r="11599" spans="1:9" ht="15" customHeight="1">
      <c r="A11599" s="199">
        <v>45833</v>
      </c>
      <c r="B11599" s="202" t="s">
        <v>8522</v>
      </c>
      <c r="C11599" s="200" t="s">
        <v>314</v>
      </c>
      <c r="D11599" s="204">
        <v>5047914</v>
      </c>
      <c r="E11599" s="201">
        <v>45809</v>
      </c>
      <c r="F11599" s="200" t="s">
        <v>295</v>
      </c>
    </row>
    <row r="11600" spans="1:9" ht="15" customHeight="1">
      <c r="A11600" s="199">
        <v>45833</v>
      </c>
      <c r="B11600" s="202" t="s">
        <v>8523</v>
      </c>
      <c r="C11600" s="200" t="s">
        <v>314</v>
      </c>
      <c r="D11600" s="204">
        <v>1408158</v>
      </c>
      <c r="E11600" s="201">
        <v>45809</v>
      </c>
      <c r="F11600" s="200" t="s">
        <v>295</v>
      </c>
    </row>
    <row r="11601" spans="1:9" ht="15" customHeight="1">
      <c r="A11601" s="199">
        <v>45833</v>
      </c>
      <c r="B11601" s="202" t="s">
        <v>8524</v>
      </c>
      <c r="C11601" s="200" t="s">
        <v>136</v>
      </c>
      <c r="D11601" s="204">
        <v>-473690</v>
      </c>
      <c r="E11601" s="201">
        <v>45809</v>
      </c>
      <c r="F11601" s="200" t="s">
        <v>256</v>
      </c>
      <c r="G11601" s="200" t="s">
        <v>256</v>
      </c>
      <c r="H11601" s="200" t="s">
        <v>8159</v>
      </c>
    </row>
    <row r="11602" spans="1:9" ht="15" customHeight="1">
      <c r="A11602" s="199">
        <v>45834</v>
      </c>
      <c r="B11602" s="202" t="s">
        <v>8525</v>
      </c>
      <c r="C11602" s="200" t="s">
        <v>136</v>
      </c>
      <c r="D11602" s="204">
        <v>-1423500</v>
      </c>
      <c r="E11602" s="201">
        <v>45809</v>
      </c>
      <c r="F11602" s="200" t="s">
        <v>296</v>
      </c>
      <c r="G11602" s="200" t="s">
        <v>57</v>
      </c>
      <c r="H11602" s="200" t="s">
        <v>105</v>
      </c>
    </row>
    <row r="11603" spans="1:9" ht="15" customHeight="1">
      <c r="A11603" s="199">
        <v>45834</v>
      </c>
      <c r="B11603" s="202" t="s">
        <v>8526</v>
      </c>
      <c r="C11603" s="200" t="s">
        <v>136</v>
      </c>
      <c r="D11603" s="204">
        <v>-586990</v>
      </c>
      <c r="E11603" s="201">
        <v>45809</v>
      </c>
      <c r="F11603" s="200" t="s">
        <v>256</v>
      </c>
      <c r="G11603" s="200" t="s">
        <v>256</v>
      </c>
      <c r="H11603" s="200" t="s">
        <v>8159</v>
      </c>
    </row>
    <row r="11604" spans="1:9" ht="15" customHeight="1">
      <c r="A11604" s="199">
        <v>45834</v>
      </c>
      <c r="B11604" s="202" t="s">
        <v>8527</v>
      </c>
      <c r="C11604" s="200" t="s">
        <v>136</v>
      </c>
      <c r="D11604" s="204">
        <v>-546776</v>
      </c>
      <c r="E11604" s="201">
        <v>45809</v>
      </c>
      <c r="F11604" s="200" t="s">
        <v>256</v>
      </c>
      <c r="G11604" s="200" t="s">
        <v>256</v>
      </c>
      <c r="H11604" s="200" t="s">
        <v>8159</v>
      </c>
    </row>
    <row r="11605" spans="1:9" ht="15" customHeight="1">
      <c r="A11605" s="199">
        <v>45835</v>
      </c>
      <c r="B11605" s="202" t="s">
        <v>8528</v>
      </c>
      <c r="C11605" s="200" t="s">
        <v>136</v>
      </c>
      <c r="D11605" s="204">
        <v>-1200000</v>
      </c>
      <c r="E11605" s="201">
        <v>45809</v>
      </c>
      <c r="F11605" s="200" t="s">
        <v>256</v>
      </c>
      <c r="G11605" s="200" t="s">
        <v>256</v>
      </c>
      <c r="H11605" s="200" t="s">
        <v>258</v>
      </c>
    </row>
    <row r="11606" spans="1:9" ht="15" customHeight="1">
      <c r="A11606" s="199">
        <v>45835</v>
      </c>
      <c r="B11606" s="202" t="s">
        <v>8529</v>
      </c>
      <c r="C11606" s="200" t="s">
        <v>136</v>
      </c>
      <c r="D11606" s="204">
        <v>-2160000</v>
      </c>
      <c r="E11606" s="201">
        <v>45809</v>
      </c>
      <c r="F11606" s="200" t="s">
        <v>256</v>
      </c>
      <c r="G11606" s="200" t="s">
        <v>256</v>
      </c>
      <c r="H11606" s="200" t="s">
        <v>261</v>
      </c>
    </row>
    <row r="11607" spans="1:9" ht="15" customHeight="1">
      <c r="A11607" s="199">
        <v>45835</v>
      </c>
      <c r="B11607" s="202" t="s">
        <v>8529</v>
      </c>
      <c r="C11607" s="200" t="s">
        <v>136</v>
      </c>
      <c r="D11607" s="204">
        <v>-5040000</v>
      </c>
      <c r="E11607" s="201">
        <v>45809</v>
      </c>
      <c r="F11607" s="200" t="s">
        <v>296</v>
      </c>
      <c r="G11607" s="200" t="s">
        <v>57</v>
      </c>
      <c r="H11607" s="200" t="s">
        <v>98</v>
      </c>
    </row>
    <row r="11608" spans="1:9" ht="15" customHeight="1">
      <c r="A11608" s="199">
        <v>45835</v>
      </c>
      <c r="B11608" s="202" t="s">
        <v>8530</v>
      </c>
      <c r="C11608" s="200" t="s">
        <v>136</v>
      </c>
      <c r="D11608" s="204">
        <v>-8380000</v>
      </c>
      <c r="E11608" s="201">
        <v>45809</v>
      </c>
      <c r="F11608" s="200" t="s">
        <v>296</v>
      </c>
      <c r="G11608" s="200" t="s">
        <v>44</v>
      </c>
      <c r="H11608" s="200" t="s">
        <v>1854</v>
      </c>
      <c r="I11608" s="648" t="s">
        <v>329</v>
      </c>
    </row>
    <row r="11609" spans="1:9" ht="15" customHeight="1">
      <c r="A11609" s="199">
        <v>45833</v>
      </c>
      <c r="B11609" s="202" t="s">
        <v>8531</v>
      </c>
      <c r="C11609" s="200" t="s">
        <v>398</v>
      </c>
      <c r="D11609" s="204">
        <v>-108000</v>
      </c>
      <c r="E11609" s="201">
        <v>45809</v>
      </c>
      <c r="F11609" s="200" t="s">
        <v>256</v>
      </c>
      <c r="G11609" s="200" t="s">
        <v>107</v>
      </c>
      <c r="H11609" s="200" t="s">
        <v>277</v>
      </c>
    </row>
    <row r="11610" spans="1:9" ht="15" customHeight="1">
      <c r="A11610" s="199">
        <v>45834</v>
      </c>
      <c r="B11610" s="202" t="s">
        <v>8531</v>
      </c>
      <c r="C11610" s="200" t="s">
        <v>398</v>
      </c>
      <c r="D11610" s="204">
        <v>-33900</v>
      </c>
      <c r="E11610" s="201">
        <v>45809</v>
      </c>
      <c r="F11610" s="200" t="s">
        <v>256</v>
      </c>
      <c r="G11610" s="200" t="s">
        <v>107</v>
      </c>
      <c r="H11610" s="200" t="s">
        <v>277</v>
      </c>
    </row>
    <row r="11611" spans="1:9" ht="15" customHeight="1">
      <c r="A11611" s="199">
        <v>45834</v>
      </c>
      <c r="B11611" s="202" t="s">
        <v>8531</v>
      </c>
      <c r="C11611" s="200" t="s">
        <v>398</v>
      </c>
      <c r="D11611" s="204">
        <v>-44402</v>
      </c>
      <c r="E11611" s="201">
        <v>45809</v>
      </c>
      <c r="F11611" s="200" t="s">
        <v>256</v>
      </c>
      <c r="G11611" s="200" t="s">
        <v>107</v>
      </c>
      <c r="H11611" s="200" t="s">
        <v>277</v>
      </c>
    </row>
    <row r="11612" spans="1:9" ht="15" customHeight="1">
      <c r="A11612" s="199">
        <v>45834</v>
      </c>
      <c r="B11612" s="202" t="s">
        <v>8531</v>
      </c>
      <c r="C11612" s="200" t="s">
        <v>398</v>
      </c>
      <c r="D11612" s="204">
        <v>-111250</v>
      </c>
      <c r="E11612" s="201">
        <v>45809</v>
      </c>
      <c r="F11612" s="200" t="s">
        <v>256</v>
      </c>
      <c r="G11612" s="200" t="s">
        <v>107</v>
      </c>
      <c r="H11612" s="200" t="s">
        <v>277</v>
      </c>
    </row>
    <row r="11613" spans="1:9" ht="15" customHeight="1">
      <c r="A11613" s="199">
        <v>45834</v>
      </c>
      <c r="B11613" s="202" t="s">
        <v>8531</v>
      </c>
      <c r="C11613" s="200" t="s">
        <v>398</v>
      </c>
      <c r="D11613" s="204">
        <v>-81531</v>
      </c>
      <c r="E11613" s="201">
        <v>45809</v>
      </c>
      <c r="F11613" s="200" t="s">
        <v>256</v>
      </c>
      <c r="G11613" s="200" t="s">
        <v>107</v>
      </c>
      <c r="H11613" s="200" t="s">
        <v>277</v>
      </c>
    </row>
    <row r="11614" spans="1:9" ht="15" customHeight="1">
      <c r="A11614" s="199">
        <v>45835</v>
      </c>
      <c r="B11614" s="202" t="s">
        <v>8532</v>
      </c>
      <c r="C11614" s="200" t="s">
        <v>314</v>
      </c>
      <c r="D11614" s="204">
        <v>12100000</v>
      </c>
      <c r="E11614" s="201">
        <v>45809</v>
      </c>
      <c r="F11614" s="200" t="s">
        <v>983</v>
      </c>
      <c r="G11614" s="200" t="s">
        <v>411</v>
      </c>
    </row>
    <row r="11615" spans="1:9" ht="15" customHeight="1">
      <c r="A11615" s="199">
        <v>45835</v>
      </c>
      <c r="B11615" s="202" t="s">
        <v>4432</v>
      </c>
      <c r="C11615" s="200" t="s">
        <v>314</v>
      </c>
      <c r="D11615" s="204">
        <v>568676</v>
      </c>
      <c r="E11615" s="201">
        <v>45809</v>
      </c>
      <c r="F11615" s="200" t="s">
        <v>295</v>
      </c>
    </row>
    <row r="11616" spans="1:9" ht="15" customHeight="1">
      <c r="A11616" s="199">
        <v>45835</v>
      </c>
      <c r="B11616" s="202" t="s">
        <v>8533</v>
      </c>
      <c r="C11616" s="200" t="s">
        <v>136</v>
      </c>
      <c r="D11616" s="204">
        <v>-11600</v>
      </c>
      <c r="E11616" s="201">
        <v>45809</v>
      </c>
      <c r="F11616" s="200" t="s">
        <v>296</v>
      </c>
      <c r="G11616" s="200" t="s">
        <v>1983</v>
      </c>
      <c r="H11616" s="200" t="s">
        <v>322</v>
      </c>
      <c r="I11616" s="648" t="s">
        <v>329</v>
      </c>
    </row>
    <row r="11617" spans="1:9" ht="15" customHeight="1">
      <c r="A11617" s="199">
        <v>45835</v>
      </c>
      <c r="B11617" s="202" t="s">
        <v>8534</v>
      </c>
      <c r="C11617" s="200" t="s">
        <v>136</v>
      </c>
      <c r="D11617" s="204">
        <v>3927334</v>
      </c>
      <c r="E11617" s="201">
        <v>45809</v>
      </c>
      <c r="F11617" s="200" t="s">
        <v>295</v>
      </c>
    </row>
    <row r="11618" spans="1:9" s="664" customFormat="1" ht="15" customHeight="1">
      <c r="A11618" s="663">
        <v>45835</v>
      </c>
      <c r="B11618" s="648" t="s">
        <v>8535</v>
      </c>
      <c r="C11618" s="648" t="s">
        <v>204</v>
      </c>
      <c r="D11618" s="649">
        <v>158770813</v>
      </c>
      <c r="E11618" s="665">
        <v>45809</v>
      </c>
      <c r="F11618" s="648" t="s">
        <v>983</v>
      </c>
      <c r="G11618" s="648" t="s">
        <v>1124</v>
      </c>
      <c r="H11618" s="648"/>
      <c r="I11618" s="648"/>
    </row>
    <row r="11619" spans="1:9" ht="15" customHeight="1">
      <c r="A11619" s="199">
        <v>45839</v>
      </c>
      <c r="B11619" s="202" t="s">
        <v>8536</v>
      </c>
      <c r="C11619" s="200" t="s">
        <v>204</v>
      </c>
      <c r="D11619" s="896">
        <v>-11600</v>
      </c>
      <c r="E11619" s="201">
        <v>45839</v>
      </c>
      <c r="F11619" s="200" t="s">
        <v>256</v>
      </c>
      <c r="G11619" s="200" t="s">
        <v>256</v>
      </c>
      <c r="H11619" s="200" t="s">
        <v>261</v>
      </c>
    </row>
    <row r="11620" spans="1:9" ht="15" customHeight="1">
      <c r="A11620" s="199">
        <v>45839</v>
      </c>
      <c r="B11620" s="202" t="s">
        <v>4261</v>
      </c>
      <c r="C11620" s="200" t="s">
        <v>204</v>
      </c>
      <c r="D11620" s="896">
        <v>-750000</v>
      </c>
      <c r="E11620" s="201">
        <v>45839</v>
      </c>
      <c r="F11620" s="200" t="s">
        <v>2714</v>
      </c>
      <c r="G11620" s="200" t="s">
        <v>513</v>
      </c>
      <c r="H11620" s="200" t="s">
        <v>322</v>
      </c>
    </row>
    <row r="11621" spans="1:9" ht="15" customHeight="1">
      <c r="A11621" s="199">
        <v>45839</v>
      </c>
      <c r="B11621" s="202" t="s">
        <v>4262</v>
      </c>
      <c r="C11621" s="200" t="s">
        <v>204</v>
      </c>
      <c r="D11621" s="896">
        <v>-750000</v>
      </c>
      <c r="E11621" s="201">
        <v>45839</v>
      </c>
      <c r="F11621" s="200" t="s">
        <v>296</v>
      </c>
      <c r="G11621" s="200" t="s">
        <v>44</v>
      </c>
      <c r="H11621" s="200" t="s">
        <v>322</v>
      </c>
    </row>
    <row r="11622" spans="1:9" ht="15" customHeight="1">
      <c r="A11622" s="199">
        <v>45839</v>
      </c>
      <c r="B11622" s="202" t="s">
        <v>4263</v>
      </c>
      <c r="C11622" s="200" t="s">
        <v>204</v>
      </c>
      <c r="D11622" s="896">
        <v>-750000</v>
      </c>
      <c r="E11622" s="201">
        <v>45839</v>
      </c>
      <c r="F11622" s="200" t="s">
        <v>296</v>
      </c>
      <c r="G11622" s="200" t="s">
        <v>1983</v>
      </c>
      <c r="H11622" s="200" t="s">
        <v>322</v>
      </c>
    </row>
    <row r="11623" spans="1:9" ht="15" customHeight="1">
      <c r="A11623" s="199">
        <v>45839</v>
      </c>
      <c r="B11623" s="202" t="s">
        <v>4265</v>
      </c>
      <c r="C11623" s="200" t="s">
        <v>204</v>
      </c>
      <c r="D11623" s="896">
        <v>-750000</v>
      </c>
      <c r="E11623" s="201">
        <v>45839</v>
      </c>
      <c r="F11623" s="200" t="s">
        <v>296</v>
      </c>
      <c r="G11623" s="200" t="s">
        <v>1980</v>
      </c>
      <c r="H11623" s="200" t="s">
        <v>322</v>
      </c>
    </row>
    <row r="11624" spans="1:9" ht="15" customHeight="1">
      <c r="A11624" s="199">
        <v>45839</v>
      </c>
      <c r="B11624" s="202" t="s">
        <v>8537</v>
      </c>
      <c r="C11624" s="200" t="s">
        <v>204</v>
      </c>
      <c r="D11624" s="896">
        <v>-300000</v>
      </c>
      <c r="E11624" s="201">
        <v>45839</v>
      </c>
      <c r="F11624" s="200" t="s">
        <v>296</v>
      </c>
      <c r="G11624" s="200" t="s">
        <v>522</v>
      </c>
      <c r="H11624" s="200" t="s">
        <v>322</v>
      </c>
    </row>
    <row r="11625" spans="1:9" ht="15" customHeight="1">
      <c r="A11625" s="199">
        <v>45839</v>
      </c>
      <c r="B11625" s="202" t="s">
        <v>8537</v>
      </c>
      <c r="C11625" s="200" t="s">
        <v>204</v>
      </c>
      <c r="D11625" s="896">
        <v>-300000</v>
      </c>
      <c r="E11625" s="201">
        <v>45839</v>
      </c>
      <c r="F11625" s="200" t="s">
        <v>296</v>
      </c>
      <c r="G11625" s="200" t="s">
        <v>807</v>
      </c>
      <c r="H11625" s="200" t="s">
        <v>322</v>
      </c>
    </row>
    <row r="11626" spans="1:9" ht="15" customHeight="1">
      <c r="A11626" s="199">
        <v>45839</v>
      </c>
      <c r="B11626" s="202" t="s">
        <v>8537</v>
      </c>
      <c r="C11626" s="200" t="s">
        <v>204</v>
      </c>
      <c r="D11626" s="896">
        <v>-300000</v>
      </c>
      <c r="E11626" s="201">
        <v>45839</v>
      </c>
      <c r="F11626" s="200" t="s">
        <v>296</v>
      </c>
      <c r="G11626" s="200" t="s">
        <v>4577</v>
      </c>
      <c r="H11626" s="200" t="s">
        <v>322</v>
      </c>
    </row>
    <row r="11627" spans="1:9" ht="15" customHeight="1">
      <c r="A11627" s="199">
        <v>45839</v>
      </c>
      <c r="B11627" s="202" t="s">
        <v>8538</v>
      </c>
      <c r="C11627" s="200" t="s">
        <v>204</v>
      </c>
      <c r="D11627" s="896">
        <v>-1421257.5</v>
      </c>
      <c r="E11627" s="201">
        <v>45839</v>
      </c>
      <c r="F11627" s="200" t="s">
        <v>296</v>
      </c>
      <c r="G11627" s="200" t="s">
        <v>1362</v>
      </c>
      <c r="H11627" s="200" t="s">
        <v>567</v>
      </c>
    </row>
    <row r="11628" spans="1:9" ht="15" customHeight="1">
      <c r="A11628" s="199">
        <v>45839</v>
      </c>
      <c r="B11628" s="202" t="s">
        <v>8538</v>
      </c>
      <c r="C11628" s="200" t="s">
        <v>204</v>
      </c>
      <c r="D11628" s="896">
        <v>-3316267.5</v>
      </c>
      <c r="E11628" s="201">
        <v>45839</v>
      </c>
      <c r="F11628" s="200" t="s">
        <v>296</v>
      </c>
      <c r="G11628" s="200" t="s">
        <v>5466</v>
      </c>
      <c r="H11628" s="200" t="s">
        <v>567</v>
      </c>
    </row>
    <row r="11629" spans="1:9" ht="15" customHeight="1">
      <c r="A11629" s="199">
        <v>45839</v>
      </c>
      <c r="B11629" s="202" t="s">
        <v>8539</v>
      </c>
      <c r="C11629" s="200" t="s">
        <v>204</v>
      </c>
      <c r="D11629" s="896">
        <v>-8356472</v>
      </c>
      <c r="E11629" s="201">
        <v>45839</v>
      </c>
      <c r="F11629" s="200" t="s">
        <v>296</v>
      </c>
      <c r="G11629" s="200" t="s">
        <v>3849</v>
      </c>
      <c r="H11629" s="200" t="s">
        <v>5389</v>
      </c>
    </row>
    <row r="11630" spans="1:9" ht="15" customHeight="1">
      <c r="A11630" s="199">
        <v>45839</v>
      </c>
      <c r="B11630" s="202" t="s">
        <v>8540</v>
      </c>
      <c r="C11630" s="200" t="s">
        <v>204</v>
      </c>
      <c r="D11630" s="896">
        <v>-530880</v>
      </c>
      <c r="E11630" s="201">
        <v>45839</v>
      </c>
      <c r="F11630" s="200" t="s">
        <v>10</v>
      </c>
      <c r="G11630" s="200" t="s">
        <v>10</v>
      </c>
      <c r="H11630" s="200" t="s">
        <v>379</v>
      </c>
      <c r="I11630" s="200" t="s">
        <v>80</v>
      </c>
    </row>
    <row r="11631" spans="1:9" ht="15" customHeight="1">
      <c r="A11631" s="199">
        <v>45839</v>
      </c>
      <c r="B11631" s="202" t="s">
        <v>8541</v>
      </c>
      <c r="C11631" s="200" t="s">
        <v>372</v>
      </c>
      <c r="D11631" s="204">
        <v>-22120</v>
      </c>
      <c r="E11631" s="201">
        <v>45839</v>
      </c>
      <c r="F11631" s="200" t="s">
        <v>10</v>
      </c>
      <c r="G11631" s="200" t="s">
        <v>10</v>
      </c>
      <c r="H11631" s="200" t="s">
        <v>379</v>
      </c>
      <c r="I11631" s="200" t="s">
        <v>80</v>
      </c>
    </row>
    <row r="11632" spans="1:9" ht="15" customHeight="1">
      <c r="A11632" s="199">
        <v>45839</v>
      </c>
      <c r="B11632" s="202" t="s">
        <v>8540</v>
      </c>
      <c r="C11632" s="200" t="s">
        <v>204</v>
      </c>
      <c r="D11632" s="896">
        <v>-277200</v>
      </c>
      <c r="E11632" s="201">
        <v>45839</v>
      </c>
      <c r="F11632" s="200" t="s">
        <v>10</v>
      </c>
      <c r="G11632" s="200" t="s">
        <v>10</v>
      </c>
      <c r="H11632" s="200" t="s">
        <v>379</v>
      </c>
      <c r="I11632" s="200" t="s">
        <v>80</v>
      </c>
    </row>
    <row r="11633" spans="1:9" ht="15" customHeight="1">
      <c r="A11633" s="199">
        <v>45839</v>
      </c>
      <c r="B11633" s="202" t="s">
        <v>8541</v>
      </c>
      <c r="C11633" s="200" t="s">
        <v>372</v>
      </c>
      <c r="D11633" s="204">
        <v>-2800</v>
      </c>
      <c r="E11633" s="201">
        <v>45839</v>
      </c>
      <c r="F11633" s="200" t="s">
        <v>10</v>
      </c>
      <c r="G11633" s="200" t="s">
        <v>10</v>
      </c>
      <c r="H11633" s="200" t="s">
        <v>379</v>
      </c>
      <c r="I11633" s="200" t="s">
        <v>80</v>
      </c>
    </row>
    <row r="11634" spans="1:9" ht="15" customHeight="1">
      <c r="A11634" s="199">
        <v>45839</v>
      </c>
      <c r="B11634" s="202" t="s">
        <v>8542</v>
      </c>
      <c r="C11634" s="200" t="s">
        <v>204</v>
      </c>
      <c r="D11634" s="896">
        <v>-13932000</v>
      </c>
      <c r="E11634" s="201">
        <v>45839</v>
      </c>
      <c r="F11634" s="200" t="s">
        <v>296</v>
      </c>
      <c r="G11634" s="200" t="s">
        <v>57</v>
      </c>
      <c r="H11634" s="200" t="s">
        <v>96</v>
      </c>
    </row>
    <row r="11635" spans="1:9" ht="15" customHeight="1">
      <c r="A11635" s="199">
        <v>45839</v>
      </c>
      <c r="B11635" s="202" t="s">
        <v>8543</v>
      </c>
      <c r="C11635" s="200" t="s">
        <v>204</v>
      </c>
      <c r="D11635" s="896">
        <v>-37152000</v>
      </c>
      <c r="E11635" s="201">
        <v>45839</v>
      </c>
      <c r="F11635" s="200" t="s">
        <v>296</v>
      </c>
      <c r="G11635" s="200" t="s">
        <v>57</v>
      </c>
      <c r="H11635" s="200" t="s">
        <v>96</v>
      </c>
    </row>
    <row r="11636" spans="1:9" ht="15" customHeight="1">
      <c r="A11636" s="199">
        <v>45839</v>
      </c>
      <c r="B11636" s="202" t="s">
        <v>8544</v>
      </c>
      <c r="C11636" s="200" t="s">
        <v>204</v>
      </c>
      <c r="D11636" s="896">
        <v>-71200</v>
      </c>
      <c r="E11636" s="201">
        <v>45839</v>
      </c>
      <c r="F11636" s="200" t="s">
        <v>297</v>
      </c>
      <c r="G11636" s="200" t="s">
        <v>3892</v>
      </c>
      <c r="H11636" s="200" t="s">
        <v>5384</v>
      </c>
    </row>
    <row r="11637" spans="1:9" ht="15" customHeight="1">
      <c r="A11637" s="199">
        <v>45839</v>
      </c>
      <c r="B11637" s="202" t="s">
        <v>8545</v>
      </c>
      <c r="C11637" s="200" t="s">
        <v>204</v>
      </c>
      <c r="D11637" s="896">
        <v>-235800</v>
      </c>
      <c r="E11637" s="201">
        <v>45839</v>
      </c>
      <c r="F11637" s="200" t="s">
        <v>296</v>
      </c>
      <c r="G11637" s="200" t="s">
        <v>522</v>
      </c>
      <c r="H11637" s="200" t="s">
        <v>322</v>
      </c>
    </row>
    <row r="11638" spans="1:9" ht="15" customHeight="1">
      <c r="A11638" s="199">
        <v>45839</v>
      </c>
      <c r="B11638" s="202" t="s">
        <v>8546</v>
      </c>
      <c r="C11638" s="200" t="s">
        <v>204</v>
      </c>
      <c r="D11638" s="896">
        <v>-39400</v>
      </c>
      <c r="E11638" s="201">
        <v>45839</v>
      </c>
      <c r="F11638" s="200" t="s">
        <v>296</v>
      </c>
      <c r="G11638" s="200" t="s">
        <v>1735</v>
      </c>
      <c r="H11638" s="200" t="s">
        <v>5384</v>
      </c>
    </row>
    <row r="11639" spans="1:9" ht="15" customHeight="1">
      <c r="A11639" s="199">
        <v>45839</v>
      </c>
      <c r="B11639" s="202" t="s">
        <v>8547</v>
      </c>
      <c r="C11639" s="200" t="s">
        <v>204</v>
      </c>
      <c r="D11639" s="896">
        <v>-120000</v>
      </c>
      <c r="E11639" s="201">
        <v>45839</v>
      </c>
      <c r="F11639" s="200" t="s">
        <v>296</v>
      </c>
      <c r="G11639" s="200" t="s">
        <v>44</v>
      </c>
      <c r="H11639" s="200" t="s">
        <v>322</v>
      </c>
    </row>
    <row r="11640" spans="1:9" ht="15" customHeight="1">
      <c r="A11640" s="199">
        <v>45839</v>
      </c>
      <c r="B11640" s="202" t="s">
        <v>8548</v>
      </c>
      <c r="C11640" s="200" t="s">
        <v>204</v>
      </c>
      <c r="D11640" s="896">
        <v>-77800</v>
      </c>
      <c r="E11640" s="201">
        <v>45839</v>
      </c>
      <c r="F11640" s="200" t="s">
        <v>296</v>
      </c>
      <c r="G11640" s="200" t="s">
        <v>5466</v>
      </c>
      <c r="H11640" s="200" t="s">
        <v>5384</v>
      </c>
    </row>
    <row r="11641" spans="1:9" ht="15" customHeight="1">
      <c r="A11641" s="199">
        <v>45839</v>
      </c>
      <c r="B11641" s="202" t="s">
        <v>8549</v>
      </c>
      <c r="C11641" s="200" t="s">
        <v>204</v>
      </c>
      <c r="D11641" s="896">
        <v>-1487395</v>
      </c>
      <c r="E11641" s="201">
        <v>45839</v>
      </c>
      <c r="F11641" s="200" t="s">
        <v>296</v>
      </c>
      <c r="G11641" s="200" t="s">
        <v>2418</v>
      </c>
      <c r="H11641" s="200" t="s">
        <v>346</v>
      </c>
    </row>
    <row r="11642" spans="1:9" ht="15" customHeight="1">
      <c r="A11642" s="199">
        <v>45839</v>
      </c>
      <c r="B11642" s="202" t="s">
        <v>8550</v>
      </c>
      <c r="C11642" s="200" t="s">
        <v>372</v>
      </c>
      <c r="D11642" s="204">
        <v>-12605</v>
      </c>
      <c r="E11642" s="201">
        <v>45839</v>
      </c>
      <c r="F11642" s="200" t="s">
        <v>296</v>
      </c>
      <c r="G11642" s="200" t="s">
        <v>2418</v>
      </c>
      <c r="H11642" s="200" t="s">
        <v>346</v>
      </c>
    </row>
    <row r="11643" spans="1:9" ht="15" customHeight="1">
      <c r="A11643" s="199">
        <v>45831</v>
      </c>
      <c r="B11643" s="202" t="s">
        <v>8551</v>
      </c>
      <c r="C11643" s="200" t="s">
        <v>204</v>
      </c>
      <c r="D11643" s="896">
        <v>-33000</v>
      </c>
      <c r="E11643" s="201">
        <v>45839</v>
      </c>
      <c r="F11643" s="200" t="s">
        <v>296</v>
      </c>
      <c r="G11643" s="200" t="s">
        <v>57</v>
      </c>
      <c r="H11643" s="200" t="s">
        <v>97</v>
      </c>
      <c r="I11643" s="200" t="s">
        <v>5357</v>
      </c>
    </row>
    <row r="11644" spans="1:9" ht="15" customHeight="1">
      <c r="A11644" s="199">
        <v>45832</v>
      </c>
      <c r="B11644" s="202" t="s">
        <v>8552</v>
      </c>
      <c r="C11644" s="200" t="s">
        <v>204</v>
      </c>
      <c r="D11644" s="896">
        <v>-31000</v>
      </c>
      <c r="E11644" s="201">
        <v>45839</v>
      </c>
      <c r="F11644" s="200" t="s">
        <v>296</v>
      </c>
      <c r="G11644" s="200" t="s">
        <v>57</v>
      </c>
      <c r="H11644" s="200" t="s">
        <v>97</v>
      </c>
      <c r="I11644" s="200" t="s">
        <v>5357</v>
      </c>
    </row>
    <row r="11645" spans="1:9" ht="15" customHeight="1">
      <c r="A11645" s="199">
        <v>45832</v>
      </c>
      <c r="B11645" s="202" t="s">
        <v>8553</v>
      </c>
      <c r="C11645" s="200" t="s">
        <v>204</v>
      </c>
      <c r="D11645" s="896">
        <v>-69400</v>
      </c>
      <c r="E11645" s="201">
        <v>45839</v>
      </c>
      <c r="F11645" s="200" t="s">
        <v>296</v>
      </c>
      <c r="G11645" s="200" t="s">
        <v>57</v>
      </c>
      <c r="H11645" s="200" t="s">
        <v>97</v>
      </c>
      <c r="I11645" s="200" t="s">
        <v>5357</v>
      </c>
    </row>
    <row r="11646" spans="1:9" ht="15" customHeight="1">
      <c r="A11646" s="199">
        <v>45821</v>
      </c>
      <c r="B11646" s="202" t="s">
        <v>8554</v>
      </c>
      <c r="C11646" s="200" t="s">
        <v>204</v>
      </c>
      <c r="D11646" s="896">
        <v>-6000</v>
      </c>
      <c r="E11646" s="201">
        <v>45839</v>
      </c>
      <c r="F11646" s="200" t="s">
        <v>296</v>
      </c>
      <c r="G11646" s="200" t="s">
        <v>1735</v>
      </c>
      <c r="H11646" s="200" t="s">
        <v>268</v>
      </c>
      <c r="I11646" s="200" t="s">
        <v>3272</v>
      </c>
    </row>
    <row r="11647" spans="1:9" ht="15" customHeight="1">
      <c r="A11647" s="199">
        <v>45821</v>
      </c>
      <c r="B11647" s="202" t="s">
        <v>8555</v>
      </c>
      <c r="C11647" s="200" t="s">
        <v>204</v>
      </c>
      <c r="D11647" s="896">
        <v>-7000</v>
      </c>
      <c r="E11647" s="201">
        <v>45839</v>
      </c>
      <c r="F11647" s="200" t="s">
        <v>296</v>
      </c>
      <c r="G11647" s="200" t="s">
        <v>1735</v>
      </c>
      <c r="H11647" s="200" t="s">
        <v>268</v>
      </c>
      <c r="I11647" s="200" t="s">
        <v>3272</v>
      </c>
    </row>
    <row r="11648" spans="1:9" ht="15" customHeight="1">
      <c r="A11648" s="199">
        <v>45821</v>
      </c>
      <c r="B11648" s="202" t="s">
        <v>8556</v>
      </c>
      <c r="C11648" s="200" t="s">
        <v>204</v>
      </c>
      <c r="D11648" s="896">
        <v>-70000</v>
      </c>
      <c r="E11648" s="201">
        <v>45839</v>
      </c>
      <c r="F11648" s="200" t="s">
        <v>296</v>
      </c>
      <c r="G11648" s="200" t="s">
        <v>1735</v>
      </c>
      <c r="H11648" s="200" t="s">
        <v>342</v>
      </c>
      <c r="I11648" s="200" t="s">
        <v>3272</v>
      </c>
    </row>
    <row r="11649" spans="1:9" ht="15" customHeight="1">
      <c r="A11649" s="199">
        <v>45821</v>
      </c>
      <c r="B11649" s="202" t="s">
        <v>8557</v>
      </c>
      <c r="C11649" s="200" t="s">
        <v>204</v>
      </c>
      <c r="D11649" s="896">
        <v>-5200</v>
      </c>
      <c r="E11649" s="201">
        <v>45839</v>
      </c>
      <c r="F11649" s="200" t="s">
        <v>296</v>
      </c>
      <c r="G11649" s="200" t="s">
        <v>1735</v>
      </c>
      <c r="H11649" s="200" t="s">
        <v>268</v>
      </c>
      <c r="I11649" s="200" t="s">
        <v>3272</v>
      </c>
    </row>
    <row r="11650" spans="1:9" ht="15" customHeight="1">
      <c r="A11650" s="199">
        <v>45822</v>
      </c>
      <c r="B11650" s="202" t="s">
        <v>8558</v>
      </c>
      <c r="C11650" s="200" t="s">
        <v>204</v>
      </c>
      <c r="D11650" s="896">
        <v>-5200</v>
      </c>
      <c r="E11650" s="201">
        <v>45839</v>
      </c>
      <c r="F11650" s="200" t="s">
        <v>296</v>
      </c>
      <c r="G11650" s="200" t="s">
        <v>1735</v>
      </c>
      <c r="H11650" s="200" t="s">
        <v>268</v>
      </c>
      <c r="I11650" s="200" t="s">
        <v>3272</v>
      </c>
    </row>
    <row r="11651" spans="1:9" ht="15" customHeight="1">
      <c r="A11651" s="199">
        <v>45822</v>
      </c>
      <c r="B11651" s="202" t="s">
        <v>8559</v>
      </c>
      <c r="C11651" s="200" t="s">
        <v>204</v>
      </c>
      <c r="D11651" s="896">
        <v>-6000</v>
      </c>
      <c r="E11651" s="201">
        <v>45839</v>
      </c>
      <c r="F11651" s="200" t="s">
        <v>296</v>
      </c>
      <c r="G11651" s="200" t="s">
        <v>1735</v>
      </c>
      <c r="H11651" s="200" t="s">
        <v>268</v>
      </c>
      <c r="I11651" s="200" t="s">
        <v>3272</v>
      </c>
    </row>
    <row r="11652" spans="1:9" ht="15" customHeight="1">
      <c r="A11652" s="199">
        <v>45822</v>
      </c>
      <c r="B11652" s="202" t="s">
        <v>8560</v>
      </c>
      <c r="C11652" s="200" t="s">
        <v>204</v>
      </c>
      <c r="D11652" s="896">
        <v>-50000</v>
      </c>
      <c r="E11652" s="201">
        <v>45839</v>
      </c>
      <c r="F11652" s="200" t="s">
        <v>296</v>
      </c>
      <c r="G11652" s="200" t="s">
        <v>1735</v>
      </c>
      <c r="H11652" s="200" t="s">
        <v>346</v>
      </c>
      <c r="I11652" s="200" t="s">
        <v>3272</v>
      </c>
    </row>
    <row r="11653" spans="1:9" ht="15" customHeight="1">
      <c r="A11653" s="199">
        <v>45822</v>
      </c>
      <c r="B11653" s="202" t="s">
        <v>8561</v>
      </c>
      <c r="C11653" s="200" t="s">
        <v>204</v>
      </c>
      <c r="D11653" s="896">
        <v>-23400</v>
      </c>
      <c r="E11653" s="201">
        <v>45839</v>
      </c>
      <c r="F11653" s="200" t="s">
        <v>296</v>
      </c>
      <c r="G11653" s="200" t="s">
        <v>1735</v>
      </c>
      <c r="H11653" s="200" t="s">
        <v>5384</v>
      </c>
      <c r="I11653" s="200" t="s">
        <v>3272</v>
      </c>
    </row>
    <row r="11654" spans="1:9" ht="15" customHeight="1">
      <c r="A11654" s="199">
        <v>45822</v>
      </c>
      <c r="B11654" s="202" t="s">
        <v>8562</v>
      </c>
      <c r="C11654" s="200" t="s">
        <v>204</v>
      </c>
      <c r="D11654" s="896">
        <v>-2000</v>
      </c>
      <c r="E11654" s="201">
        <v>45839</v>
      </c>
      <c r="F11654" s="200" t="s">
        <v>296</v>
      </c>
      <c r="G11654" s="200" t="s">
        <v>1735</v>
      </c>
      <c r="H11654" s="200" t="s">
        <v>5384</v>
      </c>
      <c r="I11654" s="200" t="s">
        <v>3272</v>
      </c>
    </row>
    <row r="11655" spans="1:9" ht="15" customHeight="1">
      <c r="A11655" s="199">
        <v>45822</v>
      </c>
      <c r="B11655" s="202" t="s">
        <v>8563</v>
      </c>
      <c r="C11655" s="200" t="s">
        <v>204</v>
      </c>
      <c r="D11655" s="896">
        <v>-9000</v>
      </c>
      <c r="E11655" s="201">
        <v>45839</v>
      </c>
      <c r="F11655" s="200" t="s">
        <v>296</v>
      </c>
      <c r="G11655" s="200" t="s">
        <v>1735</v>
      </c>
      <c r="H11655" s="200" t="s">
        <v>5384</v>
      </c>
      <c r="I11655" s="200" t="s">
        <v>3272</v>
      </c>
    </row>
    <row r="11656" spans="1:9" ht="15" customHeight="1">
      <c r="A11656" s="199">
        <v>45822</v>
      </c>
      <c r="B11656" s="202" t="s">
        <v>8564</v>
      </c>
      <c r="C11656" s="200" t="s">
        <v>204</v>
      </c>
      <c r="D11656" s="896">
        <v>-35000</v>
      </c>
      <c r="E11656" s="201">
        <v>45839</v>
      </c>
      <c r="F11656" s="200" t="s">
        <v>296</v>
      </c>
      <c r="G11656" s="200" t="s">
        <v>1735</v>
      </c>
      <c r="H11656" s="200" t="s">
        <v>5384</v>
      </c>
      <c r="I11656" s="200" t="s">
        <v>3272</v>
      </c>
    </row>
    <row r="11657" spans="1:9" ht="15" customHeight="1">
      <c r="A11657" s="199">
        <v>45822</v>
      </c>
      <c r="B11657" s="202" t="s">
        <v>8565</v>
      </c>
      <c r="C11657" s="200" t="s">
        <v>204</v>
      </c>
      <c r="D11657" s="896">
        <v>-15000</v>
      </c>
      <c r="E11657" s="201">
        <v>45839</v>
      </c>
      <c r="F11657" s="200" t="s">
        <v>296</v>
      </c>
      <c r="G11657" s="200" t="s">
        <v>1735</v>
      </c>
      <c r="H11657" s="200" t="s">
        <v>5384</v>
      </c>
      <c r="I11657" s="200" t="s">
        <v>3272</v>
      </c>
    </row>
    <row r="11658" spans="1:9" ht="15" customHeight="1">
      <c r="A11658" s="199">
        <v>45822</v>
      </c>
      <c r="B11658" s="202" t="s">
        <v>8566</v>
      </c>
      <c r="C11658" s="200" t="s">
        <v>204</v>
      </c>
      <c r="D11658" s="896">
        <v>-13900</v>
      </c>
      <c r="E11658" s="201">
        <v>45839</v>
      </c>
      <c r="F11658" s="200" t="s">
        <v>296</v>
      </c>
      <c r="G11658" s="200" t="s">
        <v>1735</v>
      </c>
      <c r="H11658" s="200" t="s">
        <v>268</v>
      </c>
      <c r="I11658" s="200" t="s">
        <v>3272</v>
      </c>
    </row>
    <row r="11659" spans="1:9" ht="15" customHeight="1">
      <c r="A11659" s="199">
        <v>45822</v>
      </c>
      <c r="B11659" s="202" t="s">
        <v>8567</v>
      </c>
      <c r="C11659" s="200" t="s">
        <v>204</v>
      </c>
      <c r="D11659" s="896">
        <v>-6000</v>
      </c>
      <c r="E11659" s="201">
        <v>45839</v>
      </c>
      <c r="F11659" s="200" t="s">
        <v>296</v>
      </c>
      <c r="G11659" s="200" t="s">
        <v>1735</v>
      </c>
      <c r="H11659" s="200" t="s">
        <v>268</v>
      </c>
      <c r="I11659" s="200" t="s">
        <v>3272</v>
      </c>
    </row>
    <row r="11660" spans="1:9" ht="15" customHeight="1">
      <c r="A11660" s="199">
        <v>45822</v>
      </c>
      <c r="B11660" s="202" t="s">
        <v>8568</v>
      </c>
      <c r="C11660" s="200" t="s">
        <v>204</v>
      </c>
      <c r="D11660" s="896">
        <v>-70000</v>
      </c>
      <c r="E11660" s="201">
        <v>45839</v>
      </c>
      <c r="F11660" s="200" t="s">
        <v>296</v>
      </c>
      <c r="G11660" s="200" t="s">
        <v>1735</v>
      </c>
      <c r="H11660" s="200" t="s">
        <v>342</v>
      </c>
      <c r="I11660" s="200" t="s">
        <v>3272</v>
      </c>
    </row>
    <row r="11661" spans="1:9" ht="15" customHeight="1">
      <c r="A11661" s="199">
        <v>45822</v>
      </c>
      <c r="B11661" s="202" t="s">
        <v>8569</v>
      </c>
      <c r="C11661" s="200" t="s">
        <v>204</v>
      </c>
      <c r="D11661" s="896">
        <v>-7000</v>
      </c>
      <c r="E11661" s="201">
        <v>45839</v>
      </c>
      <c r="F11661" s="200" t="s">
        <v>296</v>
      </c>
      <c r="G11661" s="200" t="s">
        <v>1735</v>
      </c>
      <c r="H11661" s="200" t="s">
        <v>268</v>
      </c>
      <c r="I11661" s="200" t="s">
        <v>3272</v>
      </c>
    </row>
    <row r="11662" spans="1:9" ht="15" customHeight="1">
      <c r="A11662" s="199">
        <v>45822</v>
      </c>
      <c r="B11662" s="202" t="s">
        <v>8570</v>
      </c>
      <c r="C11662" s="200" t="s">
        <v>204</v>
      </c>
      <c r="D11662" s="896">
        <v>-17900</v>
      </c>
      <c r="E11662" s="201">
        <v>45839</v>
      </c>
      <c r="F11662" s="200" t="s">
        <v>296</v>
      </c>
      <c r="G11662" s="200" t="s">
        <v>5466</v>
      </c>
      <c r="H11662" s="200" t="s">
        <v>5384</v>
      </c>
      <c r="I11662" s="200" t="s">
        <v>3272</v>
      </c>
    </row>
    <row r="11663" spans="1:9" ht="15" customHeight="1">
      <c r="A11663" s="199">
        <v>45822</v>
      </c>
      <c r="B11663" s="202" t="s">
        <v>729</v>
      </c>
      <c r="C11663" s="200" t="s">
        <v>204</v>
      </c>
      <c r="D11663" s="896">
        <v>-10400</v>
      </c>
      <c r="E11663" s="201">
        <v>45839</v>
      </c>
      <c r="F11663" s="200" t="s">
        <v>296</v>
      </c>
      <c r="G11663" s="200" t="s">
        <v>5466</v>
      </c>
      <c r="H11663" s="200" t="s">
        <v>342</v>
      </c>
      <c r="I11663" s="200" t="s">
        <v>3272</v>
      </c>
    </row>
    <row r="11664" spans="1:9" ht="15" customHeight="1">
      <c r="A11664" s="199">
        <v>45822</v>
      </c>
      <c r="B11664" s="202" t="s">
        <v>7225</v>
      </c>
      <c r="C11664" s="200" t="s">
        <v>204</v>
      </c>
      <c r="D11664" s="896">
        <v>-6000</v>
      </c>
      <c r="E11664" s="201">
        <v>45839</v>
      </c>
      <c r="F11664" s="200" t="s">
        <v>296</v>
      </c>
      <c r="G11664" s="200" t="s">
        <v>5466</v>
      </c>
      <c r="H11664" s="200" t="s">
        <v>268</v>
      </c>
      <c r="I11664" s="200" t="s">
        <v>3272</v>
      </c>
    </row>
    <row r="11665" spans="1:9" ht="15" customHeight="1">
      <c r="A11665" s="199">
        <v>45822</v>
      </c>
      <c r="B11665" s="202" t="s">
        <v>8571</v>
      </c>
      <c r="C11665" s="200" t="s">
        <v>204</v>
      </c>
      <c r="D11665" s="896">
        <v>-30000</v>
      </c>
      <c r="E11665" s="201">
        <v>45839</v>
      </c>
      <c r="F11665" s="200" t="s">
        <v>296</v>
      </c>
      <c r="G11665" s="200" t="s">
        <v>5466</v>
      </c>
      <c r="H11665" s="200" t="s">
        <v>268</v>
      </c>
      <c r="I11665" s="200" t="s">
        <v>3272</v>
      </c>
    </row>
    <row r="11666" spans="1:9" ht="15" customHeight="1">
      <c r="A11666" s="199">
        <v>45822</v>
      </c>
      <c r="B11666" s="202" t="s">
        <v>8572</v>
      </c>
      <c r="C11666" s="200" t="s">
        <v>204</v>
      </c>
      <c r="D11666" s="896">
        <v>-30000</v>
      </c>
      <c r="E11666" s="201">
        <v>45839</v>
      </c>
      <c r="F11666" s="200" t="s">
        <v>296</v>
      </c>
      <c r="G11666" s="200" t="s">
        <v>5466</v>
      </c>
      <c r="H11666" s="200" t="s">
        <v>268</v>
      </c>
      <c r="I11666" s="200" t="s">
        <v>3272</v>
      </c>
    </row>
    <row r="11667" spans="1:9" ht="15" customHeight="1">
      <c r="A11667" s="199">
        <v>45822</v>
      </c>
      <c r="B11667" s="202" t="s">
        <v>8573</v>
      </c>
      <c r="C11667" s="200" t="s">
        <v>204</v>
      </c>
      <c r="D11667" s="896">
        <v>-25400</v>
      </c>
      <c r="E11667" s="201">
        <v>45839</v>
      </c>
      <c r="F11667" s="200" t="s">
        <v>296</v>
      </c>
      <c r="G11667" s="200" t="s">
        <v>5466</v>
      </c>
      <c r="H11667" s="200" t="s">
        <v>268</v>
      </c>
      <c r="I11667" s="200" t="s">
        <v>3272</v>
      </c>
    </row>
    <row r="11668" spans="1:9" ht="15" customHeight="1">
      <c r="A11668" s="199">
        <v>45822</v>
      </c>
      <c r="B11668" s="202" t="s">
        <v>8252</v>
      </c>
      <c r="C11668" s="200" t="s">
        <v>204</v>
      </c>
      <c r="D11668" s="896">
        <v>-11652</v>
      </c>
      <c r="E11668" s="201">
        <v>45839</v>
      </c>
      <c r="F11668" s="200" t="s">
        <v>296</v>
      </c>
      <c r="G11668" s="200" t="s">
        <v>5466</v>
      </c>
      <c r="H11668" s="200" t="s">
        <v>268</v>
      </c>
      <c r="I11668" s="200" t="s">
        <v>3272</v>
      </c>
    </row>
    <row r="11669" spans="1:9" ht="15" customHeight="1">
      <c r="A11669" s="199">
        <v>45823</v>
      </c>
      <c r="B11669" s="202" t="s">
        <v>8252</v>
      </c>
      <c r="C11669" s="200" t="s">
        <v>204</v>
      </c>
      <c r="D11669" s="896">
        <v>-38000</v>
      </c>
      <c r="E11669" s="201">
        <v>45839</v>
      </c>
      <c r="F11669" s="200" t="s">
        <v>296</v>
      </c>
      <c r="G11669" s="200" t="s">
        <v>5466</v>
      </c>
      <c r="H11669" s="200" t="s">
        <v>268</v>
      </c>
      <c r="I11669" s="200" t="s">
        <v>3272</v>
      </c>
    </row>
    <row r="11670" spans="1:9" ht="15" customHeight="1">
      <c r="A11670" s="199">
        <v>45823</v>
      </c>
      <c r="B11670" s="202" t="s">
        <v>8574</v>
      </c>
      <c r="C11670" s="200" t="s">
        <v>204</v>
      </c>
      <c r="D11670" s="896">
        <v>-10400</v>
      </c>
      <c r="E11670" s="201">
        <v>45839</v>
      </c>
      <c r="F11670" s="200" t="s">
        <v>296</v>
      </c>
      <c r="G11670" s="200" t="s">
        <v>1735</v>
      </c>
      <c r="H11670" s="200" t="s">
        <v>268</v>
      </c>
      <c r="I11670" s="200" t="s">
        <v>3272</v>
      </c>
    </row>
    <row r="11671" spans="1:9" ht="15" customHeight="1">
      <c r="A11671" s="199">
        <v>45823</v>
      </c>
      <c r="B11671" s="202" t="s">
        <v>8575</v>
      </c>
      <c r="C11671" s="200" t="s">
        <v>204</v>
      </c>
      <c r="D11671" s="896">
        <v>-4700</v>
      </c>
      <c r="E11671" s="201">
        <v>45839</v>
      </c>
      <c r="F11671" s="200" t="s">
        <v>296</v>
      </c>
      <c r="G11671" s="200" t="s">
        <v>1735</v>
      </c>
      <c r="H11671" s="200" t="s">
        <v>268</v>
      </c>
      <c r="I11671" s="200" t="s">
        <v>3272</v>
      </c>
    </row>
    <row r="11672" spans="1:9" ht="15" customHeight="1">
      <c r="A11672" s="199">
        <v>45823</v>
      </c>
      <c r="B11672" s="202" t="s">
        <v>8576</v>
      </c>
      <c r="C11672" s="200" t="s">
        <v>204</v>
      </c>
      <c r="D11672" s="896">
        <v>-6900</v>
      </c>
      <c r="E11672" s="201">
        <v>45839</v>
      </c>
      <c r="F11672" s="200" t="s">
        <v>296</v>
      </c>
      <c r="G11672" s="200" t="s">
        <v>1735</v>
      </c>
      <c r="H11672" s="200" t="s">
        <v>268</v>
      </c>
      <c r="I11672" s="200" t="s">
        <v>3272</v>
      </c>
    </row>
    <row r="11673" spans="1:9" ht="15" customHeight="1">
      <c r="A11673" s="199">
        <v>45823</v>
      </c>
      <c r="B11673" s="202" t="s">
        <v>8577</v>
      </c>
      <c r="C11673" s="200" t="s">
        <v>204</v>
      </c>
      <c r="D11673" s="896">
        <v>-60000</v>
      </c>
      <c r="E11673" s="201">
        <v>45839</v>
      </c>
      <c r="F11673" s="200" t="s">
        <v>296</v>
      </c>
      <c r="G11673" s="200" t="s">
        <v>1735</v>
      </c>
      <c r="H11673" s="200" t="s">
        <v>342</v>
      </c>
      <c r="I11673" s="200" t="s">
        <v>3272</v>
      </c>
    </row>
    <row r="11674" spans="1:9" ht="15" customHeight="1">
      <c r="A11674" s="199">
        <v>45824</v>
      </c>
      <c r="B11674" s="202" t="s">
        <v>8578</v>
      </c>
      <c r="C11674" s="200" t="s">
        <v>204</v>
      </c>
      <c r="D11674" s="896">
        <v>-6000</v>
      </c>
      <c r="E11674" s="201">
        <v>45839</v>
      </c>
      <c r="F11674" s="200" t="s">
        <v>296</v>
      </c>
      <c r="G11674" s="200" t="s">
        <v>1735</v>
      </c>
      <c r="H11674" s="200" t="s">
        <v>268</v>
      </c>
      <c r="I11674" s="200" t="s">
        <v>3272</v>
      </c>
    </row>
    <row r="11675" spans="1:9" ht="15" customHeight="1">
      <c r="A11675" s="199">
        <v>45824</v>
      </c>
      <c r="B11675" s="202" t="s">
        <v>8579</v>
      </c>
      <c r="C11675" s="200" t="s">
        <v>204</v>
      </c>
      <c r="D11675" s="896">
        <v>-13000</v>
      </c>
      <c r="E11675" s="201">
        <v>45839</v>
      </c>
      <c r="F11675" s="200" t="s">
        <v>296</v>
      </c>
      <c r="G11675" s="200" t="s">
        <v>1735</v>
      </c>
      <c r="H11675" s="200" t="s">
        <v>268</v>
      </c>
      <c r="I11675" s="200" t="s">
        <v>3272</v>
      </c>
    </row>
    <row r="11676" spans="1:9" ht="15" customHeight="1">
      <c r="A11676" s="199">
        <v>45824</v>
      </c>
      <c r="B11676" s="202" t="s">
        <v>8580</v>
      </c>
      <c r="C11676" s="200" t="s">
        <v>204</v>
      </c>
      <c r="D11676" s="896">
        <v>-50000</v>
      </c>
      <c r="E11676" s="201">
        <v>45839</v>
      </c>
      <c r="F11676" s="200" t="s">
        <v>296</v>
      </c>
      <c r="G11676" s="200" t="s">
        <v>5466</v>
      </c>
      <c r="H11676" s="200" t="s">
        <v>346</v>
      </c>
      <c r="I11676" s="200" t="s">
        <v>3272</v>
      </c>
    </row>
    <row r="11677" spans="1:9" ht="15" customHeight="1">
      <c r="A11677" s="199">
        <v>45824</v>
      </c>
      <c r="B11677" s="202" t="s">
        <v>8581</v>
      </c>
      <c r="C11677" s="200" t="s">
        <v>204</v>
      </c>
      <c r="D11677" s="896">
        <v>-14000</v>
      </c>
      <c r="E11677" s="201">
        <v>45839</v>
      </c>
      <c r="F11677" s="200" t="s">
        <v>296</v>
      </c>
      <c r="G11677" s="200" t="s">
        <v>1735</v>
      </c>
      <c r="H11677" s="200" t="s">
        <v>268</v>
      </c>
      <c r="I11677" s="200" t="s">
        <v>3272</v>
      </c>
    </row>
    <row r="11678" spans="1:9" ht="15" customHeight="1">
      <c r="A11678" s="199">
        <v>45824</v>
      </c>
      <c r="B11678" s="202" t="s">
        <v>8582</v>
      </c>
      <c r="C11678" s="200" t="s">
        <v>204</v>
      </c>
      <c r="D11678" s="896">
        <v>-60000</v>
      </c>
      <c r="E11678" s="201">
        <v>45839</v>
      </c>
      <c r="F11678" s="200" t="s">
        <v>296</v>
      </c>
      <c r="G11678" s="200" t="s">
        <v>1735</v>
      </c>
      <c r="H11678" s="200" t="s">
        <v>342</v>
      </c>
      <c r="I11678" s="648" t="s">
        <v>329</v>
      </c>
    </row>
    <row r="11679" spans="1:9" ht="15" customHeight="1">
      <c r="A11679" s="199">
        <v>45824</v>
      </c>
      <c r="B11679" s="202" t="s">
        <v>6162</v>
      </c>
      <c r="C11679" s="200" t="s">
        <v>204</v>
      </c>
      <c r="D11679" s="896">
        <v>-30000</v>
      </c>
      <c r="E11679" s="201">
        <v>45839</v>
      </c>
      <c r="F11679" s="200" t="s">
        <v>296</v>
      </c>
      <c r="G11679" s="200" t="s">
        <v>5466</v>
      </c>
      <c r="H11679" s="200" t="s">
        <v>268</v>
      </c>
      <c r="I11679" s="200" t="s">
        <v>3272</v>
      </c>
    </row>
    <row r="11680" spans="1:9" ht="15" customHeight="1">
      <c r="A11680" s="199">
        <v>45824</v>
      </c>
      <c r="B11680" s="202" t="s">
        <v>7898</v>
      </c>
      <c r="C11680" s="200" t="s">
        <v>204</v>
      </c>
      <c r="D11680" s="896">
        <v>-7000</v>
      </c>
      <c r="E11680" s="201">
        <v>45839</v>
      </c>
      <c r="F11680" s="200" t="s">
        <v>296</v>
      </c>
      <c r="G11680" s="200" t="s">
        <v>5466</v>
      </c>
      <c r="H11680" s="200" t="s">
        <v>268</v>
      </c>
      <c r="I11680" s="200" t="s">
        <v>3272</v>
      </c>
    </row>
    <row r="11681" spans="1:9" ht="15" customHeight="1">
      <c r="A11681" s="199">
        <v>45824</v>
      </c>
      <c r="B11681" s="202" t="s">
        <v>8583</v>
      </c>
      <c r="C11681" s="200" t="s">
        <v>204</v>
      </c>
      <c r="D11681" s="896">
        <v>-30000</v>
      </c>
      <c r="E11681" s="201">
        <v>45839</v>
      </c>
      <c r="F11681" s="200" t="s">
        <v>296</v>
      </c>
      <c r="G11681" s="200" t="s">
        <v>5466</v>
      </c>
      <c r="H11681" s="200" t="s">
        <v>342</v>
      </c>
      <c r="I11681" s="200" t="s">
        <v>3272</v>
      </c>
    </row>
    <row r="11682" spans="1:9" ht="15" customHeight="1">
      <c r="A11682" s="199">
        <v>45824</v>
      </c>
      <c r="B11682" s="202" t="s">
        <v>1523</v>
      </c>
      <c r="C11682" s="200" t="s">
        <v>204</v>
      </c>
      <c r="D11682" s="896">
        <v>-16894</v>
      </c>
      <c r="E11682" s="201">
        <v>45839</v>
      </c>
      <c r="F11682" s="200" t="s">
        <v>296</v>
      </c>
      <c r="G11682" s="200" t="s">
        <v>5466</v>
      </c>
      <c r="H11682" s="200" t="s">
        <v>342</v>
      </c>
      <c r="I11682" s="200" t="s">
        <v>3272</v>
      </c>
    </row>
    <row r="11683" spans="1:9" ht="15" customHeight="1">
      <c r="A11683" s="199">
        <v>45824</v>
      </c>
      <c r="B11683" s="202" t="s">
        <v>8252</v>
      </c>
      <c r="C11683" s="200" t="s">
        <v>204</v>
      </c>
      <c r="D11683" s="896">
        <v>-25000</v>
      </c>
      <c r="E11683" s="201">
        <v>45839</v>
      </c>
      <c r="F11683" s="200" t="s">
        <v>296</v>
      </c>
      <c r="G11683" s="200" t="s">
        <v>5466</v>
      </c>
      <c r="H11683" s="200" t="s">
        <v>268</v>
      </c>
      <c r="I11683" s="200" t="s">
        <v>3272</v>
      </c>
    </row>
    <row r="11684" spans="1:9" ht="15" customHeight="1">
      <c r="A11684" s="199">
        <v>45824</v>
      </c>
      <c r="B11684" s="202" t="s">
        <v>8584</v>
      </c>
      <c r="C11684" s="200" t="s">
        <v>204</v>
      </c>
      <c r="D11684" s="896">
        <v>-7868</v>
      </c>
      <c r="E11684" s="201">
        <v>45839</v>
      </c>
      <c r="F11684" s="200" t="s">
        <v>296</v>
      </c>
      <c r="G11684" s="200" t="s">
        <v>5466</v>
      </c>
      <c r="H11684" s="200" t="s">
        <v>5384</v>
      </c>
      <c r="I11684" s="200" t="s">
        <v>3272</v>
      </c>
    </row>
    <row r="11685" spans="1:9" ht="15" customHeight="1">
      <c r="A11685" s="199">
        <v>45839</v>
      </c>
      <c r="B11685" s="202" t="s">
        <v>8585</v>
      </c>
      <c r="C11685" s="200" t="s">
        <v>204</v>
      </c>
      <c r="D11685" s="896">
        <v>-150280</v>
      </c>
      <c r="E11685" s="201">
        <v>45839</v>
      </c>
      <c r="F11685" s="200" t="s">
        <v>256</v>
      </c>
      <c r="G11685" s="200" t="s">
        <v>256</v>
      </c>
      <c r="H11685" s="200" t="s">
        <v>267</v>
      </c>
    </row>
    <row r="11686" spans="1:9" ht="15" customHeight="1">
      <c r="A11686" s="199">
        <v>45839</v>
      </c>
      <c r="B11686" s="202" t="s">
        <v>8586</v>
      </c>
      <c r="C11686" s="200" t="s">
        <v>204</v>
      </c>
      <c r="D11686" s="896">
        <v>-800000</v>
      </c>
      <c r="E11686" s="201">
        <v>45839</v>
      </c>
      <c r="F11686" s="200" t="s">
        <v>296</v>
      </c>
      <c r="G11686" s="200" t="s">
        <v>57</v>
      </c>
      <c r="H11686" s="200" t="s">
        <v>103</v>
      </c>
    </row>
    <row r="11687" spans="1:9" ht="15" customHeight="1">
      <c r="A11687" s="199">
        <v>45839</v>
      </c>
      <c r="B11687" s="202" t="s">
        <v>8587</v>
      </c>
      <c r="C11687" s="200" t="s">
        <v>204</v>
      </c>
      <c r="D11687" s="896">
        <v>-800000</v>
      </c>
      <c r="E11687" s="201">
        <v>45839</v>
      </c>
      <c r="F11687" s="200" t="s">
        <v>296</v>
      </c>
      <c r="G11687" s="200" t="s">
        <v>57</v>
      </c>
      <c r="H11687" s="200" t="s">
        <v>103</v>
      </c>
    </row>
    <row r="11688" spans="1:9" ht="15" customHeight="1">
      <c r="A11688" s="199">
        <v>45839</v>
      </c>
      <c r="B11688" s="202" t="s">
        <v>8588</v>
      </c>
      <c r="C11688" s="200" t="s">
        <v>204</v>
      </c>
      <c r="D11688" s="896">
        <v>-800000</v>
      </c>
      <c r="E11688" s="201">
        <v>45839</v>
      </c>
      <c r="F11688" s="200" t="s">
        <v>296</v>
      </c>
      <c r="G11688" s="200" t="s">
        <v>57</v>
      </c>
      <c r="H11688" s="200" t="s">
        <v>103</v>
      </c>
    </row>
    <row r="11689" spans="1:9" ht="15" customHeight="1">
      <c r="A11689" s="199">
        <v>45839</v>
      </c>
      <c r="B11689" s="202" t="s">
        <v>8587</v>
      </c>
      <c r="C11689" s="200" t="s">
        <v>204</v>
      </c>
      <c r="D11689" s="896">
        <v>-800000</v>
      </c>
      <c r="E11689" s="201">
        <v>45839</v>
      </c>
      <c r="F11689" s="200" t="s">
        <v>296</v>
      </c>
      <c r="G11689" s="200" t="s">
        <v>57</v>
      </c>
      <c r="H11689" s="200" t="s">
        <v>103</v>
      </c>
    </row>
    <row r="11690" spans="1:9" ht="15" customHeight="1">
      <c r="A11690" s="199">
        <v>45839</v>
      </c>
      <c r="B11690" s="202" t="s">
        <v>8588</v>
      </c>
      <c r="C11690" s="200" t="s">
        <v>204</v>
      </c>
      <c r="D11690" s="896">
        <v>-800000</v>
      </c>
      <c r="E11690" s="201">
        <v>45839</v>
      </c>
      <c r="F11690" s="200" t="s">
        <v>296</v>
      </c>
      <c r="G11690" s="200" t="s">
        <v>57</v>
      </c>
      <c r="H11690" s="200" t="s">
        <v>103</v>
      </c>
    </row>
    <row r="11691" spans="1:9" ht="15" customHeight="1">
      <c r="A11691" s="199">
        <v>45839</v>
      </c>
      <c r="B11691" s="202" t="s">
        <v>8589</v>
      </c>
      <c r="C11691" s="200" t="s">
        <v>204</v>
      </c>
      <c r="D11691" s="896">
        <v>-3238700</v>
      </c>
      <c r="E11691" s="201">
        <v>45839</v>
      </c>
      <c r="F11691" s="200" t="s">
        <v>256</v>
      </c>
      <c r="G11691" s="200" t="s">
        <v>256</v>
      </c>
      <c r="H11691" s="200" t="s">
        <v>267</v>
      </c>
    </row>
    <row r="11692" spans="1:9" ht="15" customHeight="1">
      <c r="A11692" s="199">
        <v>45839</v>
      </c>
      <c r="B11692" s="202" t="s">
        <v>8590</v>
      </c>
      <c r="C11692" s="200" t="s">
        <v>372</v>
      </c>
      <c r="D11692" s="204">
        <v>-69500</v>
      </c>
      <c r="E11692" s="201">
        <v>45839</v>
      </c>
      <c r="F11692" s="200" t="s">
        <v>256</v>
      </c>
      <c r="G11692" s="200" t="s">
        <v>256</v>
      </c>
      <c r="H11692" s="200" t="s">
        <v>267</v>
      </c>
    </row>
    <row r="11693" spans="1:9" ht="15" customHeight="1">
      <c r="A11693" s="199">
        <v>45839</v>
      </c>
      <c r="B11693" s="202" t="s">
        <v>8589</v>
      </c>
      <c r="C11693" s="200" t="s">
        <v>204</v>
      </c>
      <c r="D11693" s="896">
        <v>-3238700</v>
      </c>
      <c r="E11693" s="201">
        <v>45839</v>
      </c>
      <c r="F11693" s="200" t="s">
        <v>256</v>
      </c>
      <c r="G11693" s="200" t="s">
        <v>256</v>
      </c>
    </row>
    <row r="11694" spans="1:9" ht="15" customHeight="1">
      <c r="A11694" s="199">
        <v>45839</v>
      </c>
      <c r="B11694" s="202" t="s">
        <v>8591</v>
      </c>
      <c r="C11694" s="200" t="s">
        <v>204</v>
      </c>
      <c r="D11694" s="896">
        <v>-2218750</v>
      </c>
      <c r="E11694" s="201">
        <v>45839</v>
      </c>
      <c r="F11694" s="200" t="s">
        <v>296</v>
      </c>
      <c r="G11694" s="200" t="s">
        <v>522</v>
      </c>
      <c r="H11694" s="200" t="s">
        <v>442</v>
      </c>
    </row>
    <row r="11695" spans="1:9" ht="15" customHeight="1">
      <c r="A11695" s="199">
        <v>45839</v>
      </c>
      <c r="B11695" s="202" t="s">
        <v>8591</v>
      </c>
      <c r="C11695" s="200" t="s">
        <v>204</v>
      </c>
      <c r="D11695" s="896">
        <v>-2218750</v>
      </c>
      <c r="E11695" s="201">
        <v>45839</v>
      </c>
      <c r="F11695" s="200" t="s">
        <v>296</v>
      </c>
      <c r="G11695" s="200" t="s">
        <v>1980</v>
      </c>
      <c r="H11695" s="200" t="s">
        <v>442</v>
      </c>
    </row>
    <row r="11696" spans="1:9" ht="15" customHeight="1">
      <c r="A11696" s="199">
        <v>45839</v>
      </c>
      <c r="B11696" s="202" t="s">
        <v>8591</v>
      </c>
      <c r="C11696" s="200" t="s">
        <v>204</v>
      </c>
      <c r="D11696" s="896">
        <v>-2218750</v>
      </c>
      <c r="E11696" s="201">
        <v>45839</v>
      </c>
      <c r="F11696" s="200" t="s">
        <v>296</v>
      </c>
      <c r="G11696" s="200" t="s">
        <v>1983</v>
      </c>
      <c r="H11696" s="200" t="s">
        <v>442</v>
      </c>
    </row>
    <row r="11697" spans="1:9" ht="15" customHeight="1">
      <c r="A11697" s="199">
        <v>45839</v>
      </c>
      <c r="B11697" s="202" t="s">
        <v>8591</v>
      </c>
      <c r="C11697" s="200" t="s">
        <v>204</v>
      </c>
      <c r="D11697" s="896">
        <v>-443750</v>
      </c>
      <c r="E11697" s="201">
        <v>45839</v>
      </c>
      <c r="F11697" s="200" t="s">
        <v>296</v>
      </c>
      <c r="G11697" s="200" t="s">
        <v>2418</v>
      </c>
      <c r="H11697" s="200" t="s">
        <v>346</v>
      </c>
    </row>
    <row r="11698" spans="1:9" ht="15" customHeight="1">
      <c r="A11698" s="199">
        <v>45839</v>
      </c>
      <c r="B11698" s="202" t="s">
        <v>8591</v>
      </c>
      <c r="C11698" s="200" t="s">
        <v>204</v>
      </c>
      <c r="D11698" s="896">
        <v>-443750</v>
      </c>
      <c r="E11698" s="201">
        <v>45839</v>
      </c>
      <c r="F11698" s="200" t="s">
        <v>297</v>
      </c>
      <c r="G11698" s="200" t="s">
        <v>5404</v>
      </c>
      <c r="H11698" s="200" t="s">
        <v>346</v>
      </c>
    </row>
    <row r="11699" spans="1:9" ht="15" customHeight="1">
      <c r="A11699" s="199">
        <v>45839</v>
      </c>
      <c r="B11699" s="202" t="s">
        <v>8591</v>
      </c>
      <c r="C11699" s="200" t="s">
        <v>204</v>
      </c>
      <c r="D11699" s="896">
        <v>-443750</v>
      </c>
      <c r="E11699" s="201">
        <v>45839</v>
      </c>
      <c r="F11699" s="200" t="s">
        <v>297</v>
      </c>
      <c r="G11699" s="200" t="s">
        <v>71</v>
      </c>
      <c r="H11699" s="200" t="s">
        <v>346</v>
      </c>
    </row>
    <row r="11700" spans="1:9" ht="15" customHeight="1">
      <c r="A11700" s="199">
        <v>45839</v>
      </c>
      <c r="B11700" s="202" t="s">
        <v>8591</v>
      </c>
      <c r="C11700" s="200" t="s">
        <v>204</v>
      </c>
      <c r="D11700" s="896">
        <v>-443750</v>
      </c>
      <c r="E11700" s="201">
        <v>45839</v>
      </c>
      <c r="F11700" s="200" t="s">
        <v>296</v>
      </c>
      <c r="G11700" s="200" t="s">
        <v>5424</v>
      </c>
      <c r="H11700" s="200" t="s">
        <v>346</v>
      </c>
    </row>
    <row r="11701" spans="1:9" ht="15" customHeight="1">
      <c r="A11701" s="199">
        <v>45839</v>
      </c>
      <c r="B11701" s="202" t="s">
        <v>8591</v>
      </c>
      <c r="C11701" s="200" t="s">
        <v>204</v>
      </c>
      <c r="D11701" s="896">
        <v>-443750</v>
      </c>
      <c r="E11701" s="201">
        <v>45839</v>
      </c>
      <c r="F11701" s="200" t="s">
        <v>296</v>
      </c>
      <c r="G11701" s="200" t="s">
        <v>5422</v>
      </c>
      <c r="H11701" s="200" t="s">
        <v>346</v>
      </c>
    </row>
    <row r="11702" spans="1:9" ht="15" customHeight="1">
      <c r="A11702" s="199">
        <v>45840</v>
      </c>
      <c r="B11702" s="202" t="s">
        <v>7831</v>
      </c>
      <c r="C11702" s="200" t="s">
        <v>204</v>
      </c>
      <c r="D11702" s="896">
        <v>-208915</v>
      </c>
      <c r="E11702" s="201">
        <v>45839</v>
      </c>
      <c r="F11702" s="200" t="s">
        <v>296</v>
      </c>
      <c r="G11702" s="200" t="s">
        <v>1362</v>
      </c>
      <c r="H11702" s="200" t="s">
        <v>342</v>
      </c>
    </row>
    <row r="11703" spans="1:9" ht="15" customHeight="1">
      <c r="A11703" s="199">
        <v>45840</v>
      </c>
      <c r="B11703" s="202" t="s">
        <v>7832</v>
      </c>
      <c r="C11703" s="200" t="s">
        <v>372</v>
      </c>
      <c r="D11703" s="204">
        <v>-8705</v>
      </c>
      <c r="E11703" s="201">
        <v>45839</v>
      </c>
      <c r="F11703" s="200" t="s">
        <v>296</v>
      </c>
      <c r="G11703" s="200" t="s">
        <v>1362</v>
      </c>
      <c r="H11703" s="200" t="s">
        <v>342</v>
      </c>
    </row>
    <row r="11704" spans="1:9" ht="15" customHeight="1">
      <c r="A11704" s="199">
        <v>45840</v>
      </c>
      <c r="B11704" s="202" t="s">
        <v>8592</v>
      </c>
      <c r="C11704" s="200" t="s">
        <v>204</v>
      </c>
      <c r="D11704" s="896">
        <v>-2685000</v>
      </c>
      <c r="E11704" s="201">
        <v>45839</v>
      </c>
      <c r="F11704" s="200" t="s">
        <v>256</v>
      </c>
      <c r="G11704" s="200" t="s">
        <v>256</v>
      </c>
      <c r="H11704" s="200" t="s">
        <v>258</v>
      </c>
    </row>
    <row r="11705" spans="1:9" ht="15" customHeight="1">
      <c r="A11705" s="199">
        <v>45840</v>
      </c>
      <c r="B11705" s="202" t="s">
        <v>8593</v>
      </c>
      <c r="C11705" s="200" t="s">
        <v>372</v>
      </c>
      <c r="D11705" s="204">
        <v>-275000</v>
      </c>
      <c r="E11705" s="201">
        <v>45839</v>
      </c>
      <c r="F11705" s="200" t="s">
        <v>256</v>
      </c>
      <c r="G11705" s="200" t="s">
        <v>256</v>
      </c>
      <c r="H11705" s="200" t="s">
        <v>258</v>
      </c>
    </row>
    <row r="11706" spans="1:9" ht="15" customHeight="1">
      <c r="A11706" s="199">
        <v>45840</v>
      </c>
      <c r="B11706" s="202" t="s">
        <v>8594</v>
      </c>
      <c r="C11706" s="200" t="s">
        <v>372</v>
      </c>
      <c r="D11706" s="204">
        <v>-15000</v>
      </c>
      <c r="E11706" s="201">
        <v>45839</v>
      </c>
      <c r="F11706" s="200" t="s">
        <v>256</v>
      </c>
      <c r="G11706" s="200" t="s">
        <v>256</v>
      </c>
      <c r="H11706" s="200" t="s">
        <v>258</v>
      </c>
    </row>
    <row r="11707" spans="1:9" ht="15" customHeight="1">
      <c r="A11707" s="199">
        <v>45840</v>
      </c>
      <c r="B11707" s="202" t="s">
        <v>8595</v>
      </c>
      <c r="C11707" s="200" t="s">
        <v>204</v>
      </c>
      <c r="D11707" s="896">
        <v>-1602000</v>
      </c>
      <c r="E11707" s="201">
        <v>45839</v>
      </c>
      <c r="F11707" s="200" t="s">
        <v>296</v>
      </c>
    </row>
    <row r="11708" spans="1:9" ht="15" customHeight="1">
      <c r="A11708" s="199">
        <v>45840</v>
      </c>
      <c r="B11708" s="202" t="s">
        <v>8596</v>
      </c>
      <c r="C11708" s="200" t="s">
        <v>372</v>
      </c>
      <c r="D11708" s="204">
        <v>-198000</v>
      </c>
      <c r="E11708" s="201">
        <v>45839</v>
      </c>
      <c r="F11708" s="200" t="s">
        <v>296</v>
      </c>
      <c r="I11708" s="648" t="s">
        <v>329</v>
      </c>
    </row>
    <row r="11709" spans="1:9" ht="15" customHeight="1">
      <c r="A11709" s="199">
        <v>45840</v>
      </c>
      <c r="B11709" s="202" t="s">
        <v>8597</v>
      </c>
      <c r="C11709" s="200" t="s">
        <v>204</v>
      </c>
      <c r="D11709" s="896">
        <v>-471917</v>
      </c>
      <c r="E11709" s="201">
        <v>45839</v>
      </c>
      <c r="F11709" s="200" t="s">
        <v>10</v>
      </c>
      <c r="G11709" s="200" t="s">
        <v>10</v>
      </c>
      <c r="H11709" s="200" t="s">
        <v>346</v>
      </c>
      <c r="I11709" s="200" t="s">
        <v>80</v>
      </c>
    </row>
    <row r="11710" spans="1:9" ht="15" customHeight="1">
      <c r="A11710" s="199">
        <v>45840</v>
      </c>
      <c r="B11710" s="202" t="s">
        <v>8598</v>
      </c>
      <c r="C11710" s="200" t="s">
        <v>372</v>
      </c>
      <c r="D11710" s="204">
        <v>-4767</v>
      </c>
      <c r="E11710" s="201">
        <v>45839</v>
      </c>
      <c r="F11710" s="200" t="s">
        <v>10</v>
      </c>
      <c r="G11710" s="200" t="s">
        <v>10</v>
      </c>
      <c r="H11710" s="200" t="s">
        <v>346</v>
      </c>
      <c r="I11710" s="200" t="s">
        <v>80</v>
      </c>
    </row>
    <row r="11711" spans="1:9" ht="15" customHeight="1">
      <c r="A11711" s="199">
        <v>45840</v>
      </c>
      <c r="B11711" s="202" t="s">
        <v>8599</v>
      </c>
      <c r="C11711" s="200" t="s">
        <v>204</v>
      </c>
      <c r="D11711" s="896">
        <v>-1869000</v>
      </c>
      <c r="E11711" s="201">
        <v>45839</v>
      </c>
      <c r="F11711" s="200" t="s">
        <v>296</v>
      </c>
      <c r="G11711" s="200" t="s">
        <v>5466</v>
      </c>
      <c r="H11711" s="200" t="s">
        <v>1066</v>
      </c>
    </row>
    <row r="11712" spans="1:9" ht="15" customHeight="1">
      <c r="A11712" s="199">
        <v>45840</v>
      </c>
      <c r="B11712" s="202" t="s">
        <v>8600</v>
      </c>
      <c r="C11712" s="200" t="s">
        <v>372</v>
      </c>
      <c r="D11712" s="204">
        <v>-231000</v>
      </c>
      <c r="E11712" s="201">
        <v>45839</v>
      </c>
      <c r="F11712" s="200" t="s">
        <v>296</v>
      </c>
      <c r="G11712" s="200" t="s">
        <v>5466</v>
      </c>
      <c r="H11712" s="200" t="s">
        <v>1066</v>
      </c>
      <c r="I11712" s="648" t="s">
        <v>329</v>
      </c>
    </row>
    <row r="11713" spans="1:9" ht="15" customHeight="1">
      <c r="A11713" s="199">
        <v>45840</v>
      </c>
      <c r="B11713" s="202" t="s">
        <v>8601</v>
      </c>
      <c r="C11713" s="200" t="s">
        <v>204</v>
      </c>
      <c r="D11713" s="896">
        <v>-1273018</v>
      </c>
      <c r="E11713" s="201">
        <v>45839</v>
      </c>
      <c r="F11713" s="200" t="s">
        <v>296</v>
      </c>
      <c r="G11713" s="200" t="s">
        <v>522</v>
      </c>
      <c r="H11713" s="200" t="s">
        <v>488</v>
      </c>
    </row>
    <row r="11714" spans="1:9" ht="15" customHeight="1">
      <c r="A11714" s="199">
        <v>45840</v>
      </c>
      <c r="B11714" s="202" t="s">
        <v>8602</v>
      </c>
      <c r="C11714" s="200" t="s">
        <v>372</v>
      </c>
      <c r="D11714" s="204">
        <v>-26140</v>
      </c>
      <c r="E11714" s="201">
        <v>45839</v>
      </c>
      <c r="F11714" s="200" t="s">
        <v>296</v>
      </c>
      <c r="G11714" s="200" t="s">
        <v>522</v>
      </c>
      <c r="H11714" s="200" t="s">
        <v>488</v>
      </c>
    </row>
    <row r="11715" spans="1:9" ht="15" customHeight="1">
      <c r="A11715" s="199">
        <v>45840</v>
      </c>
      <c r="B11715" s="202" t="s">
        <v>8603</v>
      </c>
      <c r="C11715" s="200" t="s">
        <v>372</v>
      </c>
      <c r="D11715" s="204">
        <v>-7842</v>
      </c>
      <c r="E11715" s="201">
        <v>45839</v>
      </c>
      <c r="F11715" s="200" t="s">
        <v>296</v>
      </c>
      <c r="G11715" s="200" t="s">
        <v>522</v>
      </c>
      <c r="H11715" s="200" t="s">
        <v>488</v>
      </c>
    </row>
    <row r="11716" spans="1:9" ht="15" customHeight="1">
      <c r="A11716" s="199">
        <v>45840</v>
      </c>
      <c r="B11716" s="202" t="s">
        <v>8591</v>
      </c>
      <c r="C11716" s="200" t="s">
        <v>204</v>
      </c>
      <c r="D11716" s="896">
        <v>-2147750</v>
      </c>
      <c r="E11716" s="201">
        <v>45839</v>
      </c>
      <c r="F11716" s="200" t="s">
        <v>296</v>
      </c>
      <c r="G11716" s="200" t="s">
        <v>522</v>
      </c>
      <c r="H11716" s="200" t="s">
        <v>442</v>
      </c>
    </row>
    <row r="11717" spans="1:9" ht="15" customHeight="1">
      <c r="A11717" s="199">
        <v>45840</v>
      </c>
      <c r="B11717" s="202" t="s">
        <v>8591</v>
      </c>
      <c r="C11717" s="200" t="s">
        <v>204</v>
      </c>
      <c r="D11717" s="896">
        <v>-2147750</v>
      </c>
      <c r="E11717" s="201">
        <v>45839</v>
      </c>
      <c r="F11717" s="200" t="s">
        <v>296</v>
      </c>
      <c r="G11717" s="200" t="s">
        <v>1980</v>
      </c>
      <c r="H11717" s="200" t="s">
        <v>442</v>
      </c>
    </row>
    <row r="11718" spans="1:9" ht="15" customHeight="1">
      <c r="A11718" s="199">
        <v>45840</v>
      </c>
      <c r="B11718" s="202" t="s">
        <v>8591</v>
      </c>
      <c r="C11718" s="200" t="s">
        <v>204</v>
      </c>
      <c r="D11718" s="896">
        <v>-2147750</v>
      </c>
      <c r="E11718" s="201">
        <v>45839</v>
      </c>
      <c r="F11718" s="200" t="s">
        <v>296</v>
      </c>
      <c r="G11718" s="200" t="s">
        <v>1983</v>
      </c>
      <c r="H11718" s="200" t="s">
        <v>442</v>
      </c>
    </row>
    <row r="11719" spans="1:9" ht="15" customHeight="1">
      <c r="A11719" s="199">
        <v>45840</v>
      </c>
      <c r="B11719" s="202" t="s">
        <v>8591</v>
      </c>
      <c r="C11719" s="200" t="s">
        <v>204</v>
      </c>
      <c r="D11719" s="896">
        <v>-429550</v>
      </c>
      <c r="E11719" s="201">
        <v>45839</v>
      </c>
      <c r="F11719" s="200" t="s">
        <v>296</v>
      </c>
      <c r="G11719" s="200" t="s">
        <v>2418</v>
      </c>
      <c r="H11719" s="200" t="s">
        <v>346</v>
      </c>
    </row>
    <row r="11720" spans="1:9" ht="15" customHeight="1">
      <c r="A11720" s="199">
        <v>45840</v>
      </c>
      <c r="B11720" s="202" t="s">
        <v>8591</v>
      </c>
      <c r="C11720" s="200" t="s">
        <v>204</v>
      </c>
      <c r="D11720" s="896">
        <v>-429550</v>
      </c>
      <c r="E11720" s="201">
        <v>45839</v>
      </c>
      <c r="F11720" s="200" t="s">
        <v>297</v>
      </c>
      <c r="G11720" s="200" t="s">
        <v>5404</v>
      </c>
      <c r="H11720" s="200" t="s">
        <v>346</v>
      </c>
      <c r="I11720" s="648" t="s">
        <v>329</v>
      </c>
    </row>
    <row r="11721" spans="1:9" ht="15" customHeight="1">
      <c r="A11721" s="199">
        <v>45840</v>
      </c>
      <c r="B11721" s="202" t="s">
        <v>8591</v>
      </c>
      <c r="C11721" s="200" t="s">
        <v>204</v>
      </c>
      <c r="D11721" s="896">
        <v>-429550</v>
      </c>
      <c r="E11721" s="201">
        <v>45839</v>
      </c>
      <c r="F11721" s="200" t="s">
        <v>297</v>
      </c>
      <c r="G11721" s="200" t="s">
        <v>71</v>
      </c>
      <c r="H11721" s="200" t="s">
        <v>346</v>
      </c>
    </row>
    <row r="11722" spans="1:9" ht="15" customHeight="1">
      <c r="A11722" s="199">
        <v>45840</v>
      </c>
      <c r="B11722" s="202" t="s">
        <v>8591</v>
      </c>
      <c r="C11722" s="200" t="s">
        <v>204</v>
      </c>
      <c r="D11722" s="896">
        <v>-429550</v>
      </c>
      <c r="E11722" s="201">
        <v>45839</v>
      </c>
      <c r="F11722" s="200" t="s">
        <v>296</v>
      </c>
      <c r="G11722" s="200" t="s">
        <v>5424</v>
      </c>
      <c r="H11722" s="200" t="s">
        <v>346</v>
      </c>
      <c r="I11722" s="648" t="s">
        <v>329</v>
      </c>
    </row>
    <row r="11723" spans="1:9" ht="15" customHeight="1">
      <c r="A11723" s="199">
        <v>45840</v>
      </c>
      <c r="B11723" s="202" t="s">
        <v>8591</v>
      </c>
      <c r="C11723" s="200" t="s">
        <v>204</v>
      </c>
      <c r="D11723" s="896">
        <v>-429550</v>
      </c>
      <c r="E11723" s="201">
        <v>45839</v>
      </c>
      <c r="F11723" s="200" t="s">
        <v>296</v>
      </c>
      <c r="G11723" s="200" t="s">
        <v>5422</v>
      </c>
      <c r="H11723" s="200" t="s">
        <v>346</v>
      </c>
      <c r="I11723" s="648" t="s">
        <v>329</v>
      </c>
    </row>
    <row r="11724" spans="1:9" ht="15" customHeight="1">
      <c r="A11724" s="199">
        <v>45840</v>
      </c>
      <c r="B11724" s="202" t="s">
        <v>7162</v>
      </c>
      <c r="C11724" s="200" t="s">
        <v>204</v>
      </c>
      <c r="D11724" s="896">
        <v>-1230000</v>
      </c>
      <c r="E11724" s="201">
        <v>45839</v>
      </c>
      <c r="F11724" s="200" t="s">
        <v>296</v>
      </c>
      <c r="G11724" s="200" t="s">
        <v>415</v>
      </c>
      <c r="H11724" s="200" t="s">
        <v>346</v>
      </c>
    </row>
    <row r="11725" spans="1:9" ht="15" customHeight="1">
      <c r="A11725" s="199">
        <v>45840</v>
      </c>
      <c r="B11725" s="202" t="s">
        <v>7163</v>
      </c>
      <c r="C11725" s="200" t="s">
        <v>372</v>
      </c>
      <c r="D11725" s="204">
        <v>-12500</v>
      </c>
      <c r="E11725" s="201">
        <v>45839</v>
      </c>
      <c r="F11725" s="200" t="s">
        <v>296</v>
      </c>
      <c r="G11725" s="200" t="s">
        <v>415</v>
      </c>
      <c r="H11725" s="200" t="s">
        <v>346</v>
      </c>
    </row>
    <row r="11726" spans="1:9" ht="15" customHeight="1">
      <c r="A11726" s="199">
        <v>45840</v>
      </c>
      <c r="B11726" s="202" t="s">
        <v>8604</v>
      </c>
      <c r="C11726" s="200" t="s">
        <v>372</v>
      </c>
      <c r="D11726" s="204">
        <v>-7500</v>
      </c>
      <c r="E11726" s="201">
        <v>45839</v>
      </c>
      <c r="F11726" s="200" t="s">
        <v>296</v>
      </c>
      <c r="G11726" s="200" t="s">
        <v>415</v>
      </c>
      <c r="H11726" s="200" t="s">
        <v>346</v>
      </c>
    </row>
    <row r="11727" spans="1:9" ht="15" customHeight="1">
      <c r="A11727" s="199">
        <v>45840</v>
      </c>
      <c r="B11727" s="202" t="s">
        <v>8605</v>
      </c>
      <c r="C11727" s="200" t="s">
        <v>204</v>
      </c>
      <c r="D11727" s="896">
        <v>-11969152</v>
      </c>
      <c r="E11727" s="201">
        <v>45839</v>
      </c>
      <c r="F11727" s="200" t="s">
        <v>296</v>
      </c>
      <c r="G11727" s="200" t="s">
        <v>4520</v>
      </c>
      <c r="H11727" s="200" t="s">
        <v>322</v>
      </c>
    </row>
    <row r="11728" spans="1:9" ht="15" customHeight="1">
      <c r="A11728" s="199">
        <v>45840</v>
      </c>
      <c r="B11728" s="202" t="s">
        <v>8606</v>
      </c>
      <c r="C11728" s="200" t="s">
        <v>372</v>
      </c>
      <c r="D11728" s="204">
        <v>-256849</v>
      </c>
      <c r="E11728" s="201">
        <v>45839</v>
      </c>
      <c r="F11728" s="200" t="s">
        <v>296</v>
      </c>
      <c r="G11728" s="200" t="s">
        <v>4520</v>
      </c>
      <c r="H11728" s="200" t="s">
        <v>322</v>
      </c>
    </row>
    <row r="11729" spans="1:9" ht="15" customHeight="1">
      <c r="A11729" s="199">
        <v>45840</v>
      </c>
      <c r="B11729" s="202" t="s">
        <v>8607</v>
      </c>
      <c r="C11729" s="200" t="s">
        <v>204</v>
      </c>
      <c r="D11729" s="896">
        <v>-10501001</v>
      </c>
      <c r="E11729" s="201">
        <v>45839</v>
      </c>
      <c r="F11729" s="200" t="s">
        <v>256</v>
      </c>
      <c r="G11729" s="200" t="s">
        <v>256</v>
      </c>
      <c r="H11729" s="200" t="s">
        <v>260</v>
      </c>
    </row>
    <row r="11730" spans="1:9" ht="15" customHeight="1">
      <c r="A11730" s="199">
        <v>45840</v>
      </c>
      <c r="B11730" s="202" t="s">
        <v>8608</v>
      </c>
      <c r="C11730" s="200" t="s">
        <v>204</v>
      </c>
      <c r="D11730" s="896">
        <v>-231812</v>
      </c>
      <c r="E11730" s="201">
        <v>45839</v>
      </c>
      <c r="F11730" s="200" t="s">
        <v>256</v>
      </c>
      <c r="G11730" s="200" t="s">
        <v>256</v>
      </c>
      <c r="H11730" s="200" t="s">
        <v>267</v>
      </c>
    </row>
    <row r="11731" spans="1:9" ht="15" customHeight="1">
      <c r="A11731" s="199">
        <v>45840</v>
      </c>
      <c r="B11731" s="202" t="s">
        <v>8609</v>
      </c>
      <c r="C11731" s="200" t="s">
        <v>372</v>
      </c>
      <c r="D11731" s="204">
        <v>-4760</v>
      </c>
      <c r="E11731" s="201">
        <v>45839</v>
      </c>
      <c r="F11731" s="200" t="s">
        <v>256</v>
      </c>
      <c r="G11731" s="200" t="s">
        <v>256</v>
      </c>
      <c r="H11731" s="200" t="s">
        <v>267</v>
      </c>
    </row>
    <row r="11732" spans="1:9" ht="15" customHeight="1">
      <c r="A11732" s="199">
        <v>45840</v>
      </c>
      <c r="B11732" s="202" t="s">
        <v>8610</v>
      </c>
      <c r="C11732" s="200" t="s">
        <v>372</v>
      </c>
      <c r="D11732" s="204">
        <v>-1428</v>
      </c>
      <c r="E11732" s="201">
        <v>45839</v>
      </c>
      <c r="F11732" s="200" t="s">
        <v>256</v>
      </c>
      <c r="G11732" s="200" t="s">
        <v>256</v>
      </c>
      <c r="H11732" s="200" t="s">
        <v>267</v>
      </c>
    </row>
    <row r="11733" spans="1:9" ht="15" customHeight="1">
      <c r="A11733" s="199">
        <v>45840</v>
      </c>
      <c r="B11733" s="202" t="s">
        <v>8611</v>
      </c>
      <c r="C11733" s="200" t="s">
        <v>204</v>
      </c>
      <c r="D11733" s="896">
        <v>-1130834</v>
      </c>
      <c r="E11733" s="201">
        <v>45839</v>
      </c>
      <c r="F11733" s="200" t="s">
        <v>296</v>
      </c>
      <c r="G11733" s="200" t="s">
        <v>1983</v>
      </c>
      <c r="H11733" s="200" t="s">
        <v>326</v>
      </c>
    </row>
    <row r="11734" spans="1:9" ht="15" customHeight="1">
      <c r="A11734" s="199">
        <v>45840</v>
      </c>
      <c r="B11734" s="202" t="s">
        <v>8612</v>
      </c>
      <c r="C11734" s="200" t="s">
        <v>372</v>
      </c>
      <c r="D11734" s="204">
        <v>-41015</v>
      </c>
      <c r="E11734" s="201">
        <v>45839</v>
      </c>
      <c r="F11734" s="200" t="s">
        <v>296</v>
      </c>
      <c r="G11734" s="200" t="s">
        <v>1983</v>
      </c>
      <c r="H11734" s="200" t="s">
        <v>326</v>
      </c>
    </row>
    <row r="11735" spans="1:9" ht="15" customHeight="1">
      <c r="A11735" s="199">
        <v>45840</v>
      </c>
      <c r="B11735" s="202" t="s">
        <v>8611</v>
      </c>
      <c r="C11735" s="200" t="s">
        <v>204</v>
      </c>
      <c r="D11735" s="896">
        <v>-1130833</v>
      </c>
      <c r="E11735" s="201">
        <v>45839</v>
      </c>
      <c r="F11735" s="200" t="s">
        <v>296</v>
      </c>
      <c r="G11735" s="200" t="s">
        <v>1980</v>
      </c>
      <c r="H11735" s="200" t="s">
        <v>326</v>
      </c>
    </row>
    <row r="11736" spans="1:9" ht="15" customHeight="1">
      <c r="A11736" s="199">
        <v>45840</v>
      </c>
      <c r="B11736" s="202" t="s">
        <v>8612</v>
      </c>
      <c r="C11736" s="200" t="s">
        <v>372</v>
      </c>
      <c r="D11736" s="204">
        <v>-41015</v>
      </c>
      <c r="E11736" s="201">
        <v>45839</v>
      </c>
      <c r="F11736" s="200" t="s">
        <v>296</v>
      </c>
      <c r="G11736" s="200" t="s">
        <v>1980</v>
      </c>
      <c r="H11736" s="200" t="s">
        <v>326</v>
      </c>
    </row>
    <row r="11737" spans="1:9" ht="15" customHeight="1">
      <c r="A11737" s="199">
        <v>45835</v>
      </c>
      <c r="B11737" s="202" t="s">
        <v>1514</v>
      </c>
      <c r="C11737" s="200" t="s">
        <v>204</v>
      </c>
      <c r="D11737" s="896">
        <v>-12700</v>
      </c>
      <c r="E11737" s="201">
        <v>45839</v>
      </c>
      <c r="F11737" s="200" t="s">
        <v>256</v>
      </c>
      <c r="G11737" s="200" t="s">
        <v>107</v>
      </c>
      <c r="H11737" s="200" t="s">
        <v>275</v>
      </c>
      <c r="I11737" s="200" t="s">
        <v>1515</v>
      </c>
    </row>
    <row r="11738" spans="1:9" ht="15" customHeight="1">
      <c r="A11738" s="199">
        <v>45835</v>
      </c>
      <c r="B11738" s="202" t="s">
        <v>5618</v>
      </c>
      <c r="C11738" s="200" t="s">
        <v>204</v>
      </c>
      <c r="D11738" s="896">
        <v>-12700</v>
      </c>
      <c r="E11738" s="201">
        <v>45839</v>
      </c>
      <c r="F11738" s="200" t="s">
        <v>256</v>
      </c>
      <c r="G11738" s="200" t="s">
        <v>107</v>
      </c>
      <c r="H11738" s="200" t="s">
        <v>275</v>
      </c>
      <c r="I11738" s="200" t="s">
        <v>1515</v>
      </c>
    </row>
    <row r="11739" spans="1:9" ht="15" customHeight="1">
      <c r="A11739" s="199">
        <v>45835</v>
      </c>
      <c r="B11739" s="202" t="s">
        <v>1521</v>
      </c>
      <c r="C11739" s="200" t="s">
        <v>204</v>
      </c>
      <c r="D11739" s="896">
        <v>-45199</v>
      </c>
      <c r="E11739" s="201">
        <v>45839</v>
      </c>
      <c r="F11739" s="200" t="s">
        <v>256</v>
      </c>
      <c r="G11739" s="200" t="s">
        <v>107</v>
      </c>
      <c r="H11739" s="200" t="s">
        <v>275</v>
      </c>
      <c r="I11739" s="200" t="s">
        <v>1515</v>
      </c>
    </row>
    <row r="11740" spans="1:9" ht="15" customHeight="1">
      <c r="A11740" s="199">
        <v>45840</v>
      </c>
      <c r="B11740" s="202" t="s">
        <v>8613</v>
      </c>
      <c r="C11740" s="200" t="s">
        <v>204</v>
      </c>
      <c r="D11740" s="896">
        <v>-570000</v>
      </c>
      <c r="E11740" s="201">
        <v>45839</v>
      </c>
      <c r="F11740" s="200" t="s">
        <v>296</v>
      </c>
      <c r="G11740" s="200" t="s">
        <v>522</v>
      </c>
      <c r="H11740" s="200" t="s">
        <v>326</v>
      </c>
    </row>
    <row r="11741" spans="1:9" ht="15" customHeight="1">
      <c r="A11741" s="199">
        <v>45840</v>
      </c>
      <c r="B11741" s="202" t="s">
        <v>8614</v>
      </c>
      <c r="C11741" s="200" t="s">
        <v>372</v>
      </c>
      <c r="D11741" s="204">
        <v>-20674</v>
      </c>
      <c r="E11741" s="201">
        <v>45839</v>
      </c>
      <c r="F11741" s="200" t="s">
        <v>296</v>
      </c>
      <c r="G11741" s="200" t="s">
        <v>522</v>
      </c>
      <c r="H11741" s="200" t="s">
        <v>326</v>
      </c>
    </row>
    <row r="11742" spans="1:9" ht="15" customHeight="1">
      <c r="A11742" s="199">
        <v>45840</v>
      </c>
      <c r="B11742" s="202" t="s">
        <v>8615</v>
      </c>
      <c r="C11742" s="200" t="s">
        <v>204</v>
      </c>
      <c r="D11742" s="896">
        <v>-131000</v>
      </c>
      <c r="E11742" s="201">
        <v>45839</v>
      </c>
      <c r="F11742" s="200" t="s">
        <v>256</v>
      </c>
      <c r="G11742" s="200" t="s">
        <v>256</v>
      </c>
      <c r="H11742" s="200" t="s">
        <v>265</v>
      </c>
    </row>
    <row r="11743" spans="1:9" ht="15" customHeight="1">
      <c r="A11743" s="199">
        <v>45840</v>
      </c>
      <c r="B11743" s="202" t="s">
        <v>8616</v>
      </c>
      <c r="C11743" s="200" t="s">
        <v>204</v>
      </c>
      <c r="D11743" s="896">
        <v>-4805671.5</v>
      </c>
      <c r="E11743" s="201">
        <v>45839</v>
      </c>
      <c r="F11743" s="200" t="s">
        <v>296</v>
      </c>
      <c r="G11743" s="200" t="s">
        <v>522</v>
      </c>
      <c r="H11743" s="200" t="s">
        <v>2715</v>
      </c>
    </row>
    <row r="11744" spans="1:9" ht="15" customHeight="1">
      <c r="A11744" s="199">
        <v>45840</v>
      </c>
      <c r="B11744" s="202" t="s">
        <v>8616</v>
      </c>
      <c r="C11744" s="200" t="s">
        <v>204</v>
      </c>
      <c r="D11744" s="896">
        <v>-4805671.5</v>
      </c>
      <c r="E11744" s="201">
        <v>45839</v>
      </c>
      <c r="F11744" s="200" t="s">
        <v>296</v>
      </c>
      <c r="G11744" s="200" t="s">
        <v>807</v>
      </c>
      <c r="H11744" s="200" t="s">
        <v>2715</v>
      </c>
    </row>
    <row r="11745" spans="1:9" ht="15" customHeight="1">
      <c r="A11745" s="199">
        <v>45840</v>
      </c>
      <c r="B11745" s="202" t="s">
        <v>8617</v>
      </c>
      <c r="C11745" s="200" t="s">
        <v>204</v>
      </c>
      <c r="D11745" s="896">
        <v>-5410828.5</v>
      </c>
      <c r="E11745" s="201">
        <v>45839</v>
      </c>
      <c r="F11745" s="200" t="s">
        <v>296</v>
      </c>
      <c r="G11745" s="200" t="s">
        <v>1983</v>
      </c>
      <c r="H11745" s="200" t="s">
        <v>2715</v>
      </c>
    </row>
    <row r="11746" spans="1:9" ht="15" customHeight="1">
      <c r="A11746" s="199">
        <v>45840</v>
      </c>
      <c r="B11746" s="202" t="s">
        <v>8617</v>
      </c>
      <c r="C11746" s="200" t="s">
        <v>204</v>
      </c>
      <c r="D11746" s="896">
        <v>-5410828.5</v>
      </c>
      <c r="E11746" s="201">
        <v>45839</v>
      </c>
      <c r="F11746" s="200" t="s">
        <v>296</v>
      </c>
      <c r="G11746" s="200" t="s">
        <v>1980</v>
      </c>
      <c r="H11746" s="200" t="s">
        <v>2715</v>
      </c>
    </row>
    <row r="11747" spans="1:9" ht="15" customHeight="1">
      <c r="A11747" s="199">
        <v>45840</v>
      </c>
      <c r="B11747" s="202" t="s">
        <v>8618</v>
      </c>
      <c r="C11747" s="200" t="s">
        <v>204</v>
      </c>
      <c r="D11747" s="896">
        <v>-9527097</v>
      </c>
      <c r="E11747" s="201">
        <v>45839</v>
      </c>
      <c r="F11747" s="200" t="s">
        <v>2714</v>
      </c>
      <c r="G11747" s="200" t="s">
        <v>1731</v>
      </c>
      <c r="H11747" s="200" t="s">
        <v>2715</v>
      </c>
    </row>
    <row r="11748" spans="1:9" ht="15" customHeight="1">
      <c r="A11748" s="199">
        <v>45840</v>
      </c>
      <c r="B11748" s="202" t="s">
        <v>8619</v>
      </c>
      <c r="C11748" s="200" t="s">
        <v>204</v>
      </c>
      <c r="D11748" s="896">
        <v>-5517620</v>
      </c>
      <c r="E11748" s="201">
        <v>45839</v>
      </c>
      <c r="F11748" s="200" t="s">
        <v>296</v>
      </c>
      <c r="G11748" s="200" t="s">
        <v>44</v>
      </c>
      <c r="H11748" s="200" t="s">
        <v>2715</v>
      </c>
    </row>
    <row r="11749" spans="1:9" ht="15" customHeight="1">
      <c r="A11749" s="199">
        <v>45840</v>
      </c>
      <c r="B11749" s="202" t="s">
        <v>8619</v>
      </c>
      <c r="C11749" s="200" t="s">
        <v>204</v>
      </c>
      <c r="D11749" s="896">
        <v>-5517620</v>
      </c>
      <c r="E11749" s="201">
        <v>45839</v>
      </c>
      <c r="F11749" s="200" t="s">
        <v>296</v>
      </c>
      <c r="G11749" s="200" t="s">
        <v>1825</v>
      </c>
      <c r="H11749" s="200" t="s">
        <v>2715</v>
      </c>
    </row>
    <row r="11750" spans="1:9" ht="15" customHeight="1">
      <c r="A11750" s="199">
        <v>45833</v>
      </c>
      <c r="B11750" s="202" t="s">
        <v>8620</v>
      </c>
      <c r="C11750" s="200" t="s">
        <v>204</v>
      </c>
      <c r="D11750" s="896">
        <v>-527260</v>
      </c>
      <c r="E11750" s="201">
        <v>45839</v>
      </c>
      <c r="F11750" s="200" t="s">
        <v>296</v>
      </c>
      <c r="G11750" s="200" t="s">
        <v>57</v>
      </c>
      <c r="H11750" s="200" t="s">
        <v>97</v>
      </c>
      <c r="I11750" s="200" t="s">
        <v>8621</v>
      </c>
    </row>
    <row r="11751" spans="1:9" ht="15" customHeight="1">
      <c r="A11751" s="199">
        <v>45833</v>
      </c>
      <c r="B11751" s="202" t="s">
        <v>8622</v>
      </c>
      <c r="C11751" s="200" t="s">
        <v>204</v>
      </c>
      <c r="D11751" s="896">
        <v>-250000</v>
      </c>
      <c r="E11751" s="201">
        <v>45839</v>
      </c>
      <c r="F11751" s="200" t="s">
        <v>296</v>
      </c>
      <c r="G11751" s="200" t="s">
        <v>57</v>
      </c>
      <c r="H11751" s="200" t="s">
        <v>97</v>
      </c>
      <c r="I11751" s="200" t="s">
        <v>8621</v>
      </c>
    </row>
    <row r="11752" spans="1:9" ht="15" customHeight="1">
      <c r="A11752" s="199">
        <v>45833</v>
      </c>
      <c r="B11752" s="202" t="s">
        <v>3126</v>
      </c>
      <c r="C11752" s="200" t="s">
        <v>204</v>
      </c>
      <c r="D11752" s="896">
        <v>-17800</v>
      </c>
      <c r="E11752" s="201">
        <v>45839</v>
      </c>
      <c r="F11752" s="200" t="s">
        <v>296</v>
      </c>
      <c r="G11752" s="200" t="s">
        <v>57</v>
      </c>
      <c r="H11752" s="200" t="s">
        <v>97</v>
      </c>
      <c r="I11752" s="200" t="s">
        <v>8621</v>
      </c>
    </row>
    <row r="11753" spans="1:9" ht="15" customHeight="1">
      <c r="A11753" s="199">
        <v>45833</v>
      </c>
      <c r="B11753" s="202" t="s">
        <v>4536</v>
      </c>
      <c r="C11753" s="200" t="s">
        <v>204</v>
      </c>
      <c r="D11753" s="896">
        <v>-17800</v>
      </c>
      <c r="E11753" s="201">
        <v>45839</v>
      </c>
      <c r="F11753" s="200" t="s">
        <v>296</v>
      </c>
      <c r="G11753" s="200" t="s">
        <v>57</v>
      </c>
      <c r="H11753" s="200" t="s">
        <v>97</v>
      </c>
      <c r="I11753" s="200" t="s">
        <v>8621</v>
      </c>
    </row>
    <row r="11754" spans="1:9" ht="15" customHeight="1">
      <c r="A11754" s="199">
        <v>45833</v>
      </c>
      <c r="B11754" s="202" t="s">
        <v>1523</v>
      </c>
      <c r="C11754" s="200" t="s">
        <v>204</v>
      </c>
      <c r="D11754" s="896">
        <v>-20000</v>
      </c>
      <c r="E11754" s="201">
        <v>45839</v>
      </c>
      <c r="F11754" s="200" t="s">
        <v>296</v>
      </c>
      <c r="G11754" s="200" t="s">
        <v>57</v>
      </c>
      <c r="H11754" s="200" t="s">
        <v>97</v>
      </c>
      <c r="I11754" s="200" t="s">
        <v>8621</v>
      </c>
    </row>
    <row r="11755" spans="1:9" ht="15" customHeight="1">
      <c r="A11755" s="199">
        <v>45833</v>
      </c>
      <c r="B11755" s="202" t="s">
        <v>1745</v>
      </c>
      <c r="C11755" s="200" t="s">
        <v>204</v>
      </c>
      <c r="D11755" s="896">
        <v>-30000</v>
      </c>
      <c r="E11755" s="201">
        <v>45839</v>
      </c>
      <c r="F11755" s="200" t="s">
        <v>296</v>
      </c>
      <c r="G11755" s="200" t="s">
        <v>57</v>
      </c>
      <c r="H11755" s="200" t="s">
        <v>97</v>
      </c>
      <c r="I11755" s="200" t="s">
        <v>8621</v>
      </c>
    </row>
    <row r="11756" spans="1:9" ht="15" customHeight="1">
      <c r="A11756" s="199">
        <v>45833</v>
      </c>
      <c r="B11756" s="202" t="s">
        <v>1743</v>
      </c>
      <c r="C11756" s="200" t="s">
        <v>204</v>
      </c>
      <c r="D11756" s="896">
        <v>-30000</v>
      </c>
      <c r="E11756" s="201">
        <v>45839</v>
      </c>
      <c r="F11756" s="200" t="s">
        <v>296</v>
      </c>
      <c r="G11756" s="200" t="s">
        <v>57</v>
      </c>
      <c r="H11756" s="200" t="s">
        <v>97</v>
      </c>
      <c r="I11756" s="200" t="s">
        <v>8621</v>
      </c>
    </row>
    <row r="11757" spans="1:9" ht="15" customHeight="1">
      <c r="A11757" s="199">
        <v>45833</v>
      </c>
      <c r="B11757" s="202" t="s">
        <v>4533</v>
      </c>
      <c r="C11757" s="200" t="s">
        <v>204</v>
      </c>
      <c r="D11757" s="896">
        <v>-58123</v>
      </c>
      <c r="E11757" s="201">
        <v>45839</v>
      </c>
      <c r="F11757" s="200" t="s">
        <v>296</v>
      </c>
      <c r="G11757" s="200" t="s">
        <v>57</v>
      </c>
      <c r="H11757" s="200" t="s">
        <v>97</v>
      </c>
      <c r="I11757" s="200" t="s">
        <v>8621</v>
      </c>
    </row>
    <row r="11758" spans="1:9" ht="15" customHeight="1">
      <c r="A11758" s="199">
        <v>45833</v>
      </c>
      <c r="B11758" s="202" t="s">
        <v>8623</v>
      </c>
      <c r="C11758" s="200" t="s">
        <v>204</v>
      </c>
      <c r="D11758" s="896">
        <v>-12600</v>
      </c>
      <c r="E11758" s="201">
        <v>45839</v>
      </c>
      <c r="F11758" s="200" t="s">
        <v>296</v>
      </c>
      <c r="G11758" s="200" t="s">
        <v>57</v>
      </c>
      <c r="H11758" s="200" t="s">
        <v>97</v>
      </c>
      <c r="I11758" s="200" t="s">
        <v>8621</v>
      </c>
    </row>
    <row r="11759" spans="1:9" ht="15" customHeight="1">
      <c r="A11759" s="199">
        <v>45833</v>
      </c>
      <c r="B11759" s="202" t="s">
        <v>8624</v>
      </c>
      <c r="C11759" s="200" t="s">
        <v>204</v>
      </c>
      <c r="D11759" s="896">
        <v>-17000</v>
      </c>
      <c r="E11759" s="201">
        <v>45839</v>
      </c>
      <c r="F11759" s="200" t="s">
        <v>296</v>
      </c>
      <c r="G11759" s="200" t="s">
        <v>57</v>
      </c>
      <c r="H11759" s="200" t="s">
        <v>97</v>
      </c>
      <c r="I11759" s="200" t="s">
        <v>8621</v>
      </c>
    </row>
    <row r="11760" spans="1:9" ht="15" customHeight="1">
      <c r="A11760" s="199">
        <v>45841</v>
      </c>
      <c r="B11760" s="202" t="s">
        <v>8625</v>
      </c>
      <c r="C11760" s="200" t="s">
        <v>204</v>
      </c>
      <c r="D11760" s="896">
        <v>-670104</v>
      </c>
      <c r="E11760" s="201">
        <v>45839</v>
      </c>
      <c r="F11760" s="200" t="s">
        <v>296</v>
      </c>
      <c r="G11760" s="200" t="s">
        <v>57</v>
      </c>
      <c r="H11760" s="200" t="s">
        <v>121</v>
      </c>
    </row>
    <row r="11761" spans="1:9" ht="15" customHeight="1">
      <c r="A11761" s="199">
        <v>45841</v>
      </c>
      <c r="B11761" s="202" t="s">
        <v>8626</v>
      </c>
      <c r="C11761" s="200" t="s">
        <v>204</v>
      </c>
      <c r="D11761" s="896">
        <v>-4520200</v>
      </c>
      <c r="E11761" s="201">
        <v>45839</v>
      </c>
      <c r="F11761" s="200" t="s">
        <v>296</v>
      </c>
      <c r="G11761" s="200" t="s">
        <v>44</v>
      </c>
      <c r="H11761" s="200" t="s">
        <v>366</v>
      </c>
    </row>
    <row r="11762" spans="1:9" ht="15" customHeight="1">
      <c r="A11762" s="199">
        <v>45841</v>
      </c>
      <c r="B11762" s="202" t="s">
        <v>8627</v>
      </c>
      <c r="C11762" s="200" t="s">
        <v>372</v>
      </c>
      <c r="D11762" s="204">
        <v>-97000</v>
      </c>
      <c r="E11762" s="201">
        <v>45839</v>
      </c>
      <c r="F11762" s="200" t="s">
        <v>296</v>
      </c>
      <c r="G11762" s="200" t="s">
        <v>44</v>
      </c>
      <c r="H11762" s="200" t="s">
        <v>366</v>
      </c>
      <c r="I11762" s="648" t="s">
        <v>329</v>
      </c>
    </row>
    <row r="11763" spans="1:9" ht="15" customHeight="1">
      <c r="A11763" s="199">
        <v>45841</v>
      </c>
      <c r="B11763" s="202" t="s">
        <v>8628</v>
      </c>
      <c r="C11763" s="200" t="s">
        <v>204</v>
      </c>
      <c r="D11763" s="896">
        <v>-73000</v>
      </c>
      <c r="E11763" s="201">
        <v>45839</v>
      </c>
      <c r="F11763" s="200" t="s">
        <v>256</v>
      </c>
      <c r="G11763" s="200" t="s">
        <v>256</v>
      </c>
      <c r="H11763" s="200" t="s">
        <v>9</v>
      </c>
    </row>
    <row r="11764" spans="1:9" ht="15" customHeight="1">
      <c r="A11764" s="199">
        <v>45841</v>
      </c>
      <c r="B11764" s="202" t="s">
        <v>8629</v>
      </c>
      <c r="C11764" s="200" t="s">
        <v>204</v>
      </c>
      <c r="D11764" s="896">
        <v>-1644437</v>
      </c>
      <c r="E11764" s="201">
        <v>45839</v>
      </c>
      <c r="F11764" s="200" t="s">
        <v>297</v>
      </c>
      <c r="G11764" s="200" t="s">
        <v>69</v>
      </c>
      <c r="H11764" s="200" t="s">
        <v>5376</v>
      </c>
    </row>
    <row r="11765" spans="1:9" ht="15" customHeight="1">
      <c r="A11765" s="199">
        <v>45841</v>
      </c>
      <c r="B11765" s="202" t="s">
        <v>8630</v>
      </c>
      <c r="C11765" s="200" t="s">
        <v>372</v>
      </c>
      <c r="D11765" s="204">
        <v>-51261</v>
      </c>
      <c r="E11765" s="201">
        <v>45839</v>
      </c>
      <c r="F11765" s="200" t="s">
        <v>297</v>
      </c>
      <c r="G11765" s="200" t="s">
        <v>69</v>
      </c>
      <c r="H11765" s="200" t="s">
        <v>5376</v>
      </c>
    </row>
    <row r="11766" spans="1:9" ht="15" customHeight="1">
      <c r="A11766" s="199">
        <v>45841</v>
      </c>
      <c r="B11766" s="202" t="s">
        <v>8631</v>
      </c>
      <c r="C11766" s="200" t="s">
        <v>372</v>
      </c>
      <c r="D11766" s="204">
        <v>-12303</v>
      </c>
      <c r="E11766" s="201">
        <v>45839</v>
      </c>
      <c r="F11766" s="200" t="s">
        <v>297</v>
      </c>
      <c r="G11766" s="200" t="s">
        <v>69</v>
      </c>
      <c r="H11766" s="200" t="s">
        <v>5376</v>
      </c>
    </row>
    <row r="11767" spans="1:9" ht="15" customHeight="1">
      <c r="A11767" s="199">
        <v>45841</v>
      </c>
      <c r="B11767" s="202" t="s">
        <v>8632</v>
      </c>
      <c r="C11767" s="200" t="s">
        <v>204</v>
      </c>
      <c r="D11767" s="896">
        <v>-2890000</v>
      </c>
      <c r="E11767" s="201">
        <v>45839</v>
      </c>
      <c r="F11767" s="200" t="s">
        <v>297</v>
      </c>
      <c r="G11767" s="200" t="s">
        <v>69</v>
      </c>
      <c r="H11767" s="200" t="s">
        <v>342</v>
      </c>
    </row>
    <row r="11768" spans="1:9" ht="15" customHeight="1">
      <c r="A11768" s="199">
        <v>45813</v>
      </c>
      <c r="B11768" s="202" t="s">
        <v>8633</v>
      </c>
      <c r="C11768" s="200" t="s">
        <v>204</v>
      </c>
      <c r="D11768" s="896">
        <v>-40000</v>
      </c>
      <c r="E11768" s="201">
        <v>45839</v>
      </c>
      <c r="F11768" s="200" t="s">
        <v>296</v>
      </c>
      <c r="G11768" s="200" t="s">
        <v>57</v>
      </c>
      <c r="H11768" s="200" t="s">
        <v>105</v>
      </c>
      <c r="I11768" s="200" t="s">
        <v>8634</v>
      </c>
    </row>
    <row r="11769" spans="1:9" ht="15" customHeight="1">
      <c r="A11769" s="199">
        <v>45820</v>
      </c>
      <c r="B11769" s="202" t="s">
        <v>8635</v>
      </c>
      <c r="C11769" s="200" t="s">
        <v>204</v>
      </c>
      <c r="D11769" s="896">
        <v>-15000</v>
      </c>
      <c r="E11769" s="201">
        <v>45839</v>
      </c>
      <c r="F11769" s="200" t="s">
        <v>296</v>
      </c>
      <c r="G11769" s="200" t="s">
        <v>57</v>
      </c>
      <c r="H11769" s="200" t="s">
        <v>105</v>
      </c>
      <c r="I11769" s="200" t="s">
        <v>8634</v>
      </c>
    </row>
    <row r="11770" spans="1:9" ht="15" customHeight="1">
      <c r="A11770" s="199">
        <v>45815</v>
      </c>
      <c r="B11770" s="202" t="s">
        <v>8636</v>
      </c>
      <c r="C11770" s="200" t="s">
        <v>204</v>
      </c>
      <c r="D11770" s="896">
        <v>-30000</v>
      </c>
      <c r="E11770" s="201">
        <v>45839</v>
      </c>
      <c r="F11770" s="200" t="s">
        <v>296</v>
      </c>
      <c r="G11770" s="200" t="s">
        <v>57</v>
      </c>
      <c r="H11770" s="200" t="s">
        <v>105</v>
      </c>
      <c r="I11770" s="200" t="s">
        <v>8634</v>
      </c>
    </row>
    <row r="11771" spans="1:9" ht="15" customHeight="1">
      <c r="A11771" s="199">
        <v>45825</v>
      </c>
      <c r="B11771" s="202" t="s">
        <v>8637</v>
      </c>
      <c r="C11771" s="200" t="s">
        <v>204</v>
      </c>
      <c r="D11771" s="896">
        <v>-20000</v>
      </c>
      <c r="E11771" s="201">
        <v>45839</v>
      </c>
      <c r="F11771" s="200" t="s">
        <v>296</v>
      </c>
      <c r="G11771" s="200" t="s">
        <v>57</v>
      </c>
      <c r="H11771" s="200" t="s">
        <v>105</v>
      </c>
      <c r="I11771" s="200" t="s">
        <v>8634</v>
      </c>
    </row>
    <row r="11772" spans="1:9" ht="15" customHeight="1">
      <c r="A11772" s="199">
        <v>45828</v>
      </c>
      <c r="B11772" s="202" t="s">
        <v>8638</v>
      </c>
      <c r="C11772" s="200" t="s">
        <v>204</v>
      </c>
      <c r="D11772" s="896">
        <v>-30000</v>
      </c>
      <c r="E11772" s="201">
        <v>45839</v>
      </c>
      <c r="F11772" s="200" t="s">
        <v>296</v>
      </c>
      <c r="G11772" s="200" t="s">
        <v>57</v>
      </c>
      <c r="H11772" s="200" t="s">
        <v>105</v>
      </c>
      <c r="I11772" s="200" t="s">
        <v>8634</v>
      </c>
    </row>
    <row r="11773" spans="1:9" ht="15" customHeight="1">
      <c r="A11773" s="199">
        <v>45821</v>
      </c>
      <c r="B11773" s="202" t="s">
        <v>4533</v>
      </c>
      <c r="C11773" s="200" t="s">
        <v>204</v>
      </c>
      <c r="D11773" s="896">
        <v>-76151</v>
      </c>
      <c r="E11773" s="201">
        <v>45839</v>
      </c>
      <c r="F11773" s="200" t="s">
        <v>296</v>
      </c>
      <c r="G11773" s="200" t="s">
        <v>57</v>
      </c>
      <c r="H11773" s="200" t="s">
        <v>105</v>
      </c>
      <c r="I11773" s="200" t="s">
        <v>8634</v>
      </c>
    </row>
    <row r="11774" spans="1:9" ht="15" customHeight="1">
      <c r="A11774" s="199">
        <v>45828</v>
      </c>
      <c r="B11774" s="202" t="s">
        <v>4533</v>
      </c>
      <c r="C11774" s="200" t="s">
        <v>204</v>
      </c>
      <c r="D11774" s="896">
        <v>-70000</v>
      </c>
      <c r="E11774" s="201">
        <v>45839</v>
      </c>
      <c r="F11774" s="200" t="s">
        <v>296</v>
      </c>
      <c r="G11774" s="200" t="s">
        <v>57</v>
      </c>
      <c r="H11774" s="200" t="s">
        <v>105</v>
      </c>
      <c r="I11774" s="200" t="s">
        <v>8634</v>
      </c>
    </row>
    <row r="11775" spans="1:9" ht="15" customHeight="1">
      <c r="A11775" s="199">
        <v>45841</v>
      </c>
      <c r="B11775" s="202" t="s">
        <v>8639</v>
      </c>
      <c r="C11775" s="200" t="s">
        <v>204</v>
      </c>
      <c r="D11775" s="896">
        <v>-1161500</v>
      </c>
      <c r="E11775" s="201">
        <v>45839</v>
      </c>
      <c r="F11775" s="200" t="s">
        <v>256</v>
      </c>
      <c r="G11775" s="200" t="s">
        <v>107</v>
      </c>
      <c r="H11775" s="200" t="s">
        <v>116</v>
      </c>
    </row>
    <row r="11776" spans="1:9" ht="15" customHeight="1">
      <c r="A11776" s="199">
        <v>45841</v>
      </c>
      <c r="B11776" s="202" t="s">
        <v>8640</v>
      </c>
      <c r="C11776" s="200" t="s">
        <v>372</v>
      </c>
      <c r="D11776" s="204">
        <v>-28500</v>
      </c>
      <c r="E11776" s="201">
        <v>45839</v>
      </c>
      <c r="F11776" s="200" t="s">
        <v>256</v>
      </c>
      <c r="G11776" s="200" t="s">
        <v>107</v>
      </c>
      <c r="H11776" s="200" t="s">
        <v>116</v>
      </c>
    </row>
    <row r="11777" spans="1:9" ht="15" customHeight="1">
      <c r="A11777" s="199">
        <v>45841</v>
      </c>
      <c r="B11777" s="202" t="s">
        <v>8641</v>
      </c>
      <c r="C11777" s="200" t="s">
        <v>204</v>
      </c>
      <c r="D11777" s="896">
        <v>-554400</v>
      </c>
      <c r="E11777" s="201">
        <v>45839</v>
      </c>
      <c r="F11777" s="200" t="s">
        <v>296</v>
      </c>
      <c r="G11777" s="200" t="s">
        <v>1980</v>
      </c>
      <c r="H11777" s="200" t="s">
        <v>326</v>
      </c>
    </row>
    <row r="11778" spans="1:9" ht="15" customHeight="1">
      <c r="A11778" s="199">
        <v>45841</v>
      </c>
      <c r="B11778" s="202" t="s">
        <v>8642</v>
      </c>
      <c r="C11778" s="200" t="s">
        <v>372</v>
      </c>
      <c r="D11778" s="204">
        <v>-5600</v>
      </c>
      <c r="E11778" s="201">
        <v>45839</v>
      </c>
      <c r="F11778" s="200" t="s">
        <v>296</v>
      </c>
      <c r="G11778" s="200" t="s">
        <v>1980</v>
      </c>
      <c r="H11778" s="200" t="s">
        <v>326</v>
      </c>
    </row>
    <row r="11779" spans="1:9" ht="15" customHeight="1">
      <c r="A11779" s="199">
        <v>45841</v>
      </c>
      <c r="B11779" s="202" t="s">
        <v>8641</v>
      </c>
      <c r="C11779" s="200" t="s">
        <v>204</v>
      </c>
      <c r="D11779" s="896">
        <v>-554400</v>
      </c>
      <c r="E11779" s="201">
        <v>45839</v>
      </c>
      <c r="F11779" s="200" t="s">
        <v>296</v>
      </c>
      <c r="G11779" s="200" t="s">
        <v>1983</v>
      </c>
      <c r="H11779" s="200" t="s">
        <v>326</v>
      </c>
    </row>
    <row r="11780" spans="1:9" ht="15" customHeight="1">
      <c r="A11780" s="199">
        <v>45841</v>
      </c>
      <c r="B11780" s="202" t="s">
        <v>8642</v>
      </c>
      <c r="C11780" s="200" t="s">
        <v>372</v>
      </c>
      <c r="D11780" s="204">
        <v>-5600</v>
      </c>
      <c r="E11780" s="201">
        <v>45839</v>
      </c>
      <c r="F11780" s="200" t="s">
        <v>296</v>
      </c>
      <c r="G11780" s="200" t="s">
        <v>1983</v>
      </c>
      <c r="H11780" s="200" t="s">
        <v>326</v>
      </c>
    </row>
    <row r="11781" spans="1:9" ht="15" customHeight="1">
      <c r="A11781" s="199">
        <v>45841</v>
      </c>
      <c r="B11781" s="202" t="s">
        <v>8643</v>
      </c>
      <c r="C11781" s="200" t="s">
        <v>204</v>
      </c>
      <c r="D11781" s="896">
        <v>-12293899</v>
      </c>
      <c r="E11781" s="201">
        <v>45839</v>
      </c>
      <c r="F11781" s="200" t="s">
        <v>296</v>
      </c>
      <c r="G11781" s="200" t="s">
        <v>1980</v>
      </c>
      <c r="H11781" s="200" t="s">
        <v>1079</v>
      </c>
    </row>
    <row r="11782" spans="1:9" ht="15" customHeight="1">
      <c r="A11782" s="199">
        <v>45841</v>
      </c>
      <c r="B11782" s="202" t="s">
        <v>8643</v>
      </c>
      <c r="C11782" s="200" t="s">
        <v>204</v>
      </c>
      <c r="D11782" s="896">
        <v>-12293899</v>
      </c>
      <c r="E11782" s="201">
        <v>45839</v>
      </c>
      <c r="F11782" s="200" t="s">
        <v>296</v>
      </c>
      <c r="G11782" s="200" t="s">
        <v>1983</v>
      </c>
      <c r="H11782" s="200" t="s">
        <v>1079</v>
      </c>
    </row>
    <row r="11783" spans="1:9" ht="15" customHeight="1">
      <c r="A11783" s="199">
        <v>45841</v>
      </c>
      <c r="B11783" s="202" t="s">
        <v>8643</v>
      </c>
      <c r="C11783" s="200" t="s">
        <v>204</v>
      </c>
      <c r="D11783" s="896">
        <v>-2731978</v>
      </c>
      <c r="E11783" s="201">
        <v>45839</v>
      </c>
      <c r="F11783" s="200" t="s">
        <v>296</v>
      </c>
      <c r="G11783" s="200" t="s">
        <v>522</v>
      </c>
      <c r="H11783" s="200" t="s">
        <v>1079</v>
      </c>
    </row>
    <row r="11784" spans="1:9" ht="15" customHeight="1">
      <c r="A11784" s="199">
        <v>45841</v>
      </c>
      <c r="B11784" s="727" t="s">
        <v>8644</v>
      </c>
      <c r="C11784" s="200" t="s">
        <v>204</v>
      </c>
      <c r="D11784" s="896">
        <v>-1350000</v>
      </c>
      <c r="E11784" s="201">
        <v>45839</v>
      </c>
      <c r="F11784" s="200" t="s">
        <v>296</v>
      </c>
      <c r="G11784" s="200" t="s">
        <v>4520</v>
      </c>
      <c r="H11784" s="200" t="s">
        <v>442</v>
      </c>
    </row>
    <row r="11785" spans="1:9" ht="15" customHeight="1">
      <c r="A11785" s="199">
        <v>45841</v>
      </c>
      <c r="B11785" s="202" t="s">
        <v>8645</v>
      </c>
      <c r="C11785" s="200" t="s">
        <v>204</v>
      </c>
      <c r="D11785" s="896">
        <v>-400000</v>
      </c>
      <c r="E11785" s="201">
        <v>45839</v>
      </c>
      <c r="F11785" s="200" t="s">
        <v>296</v>
      </c>
      <c r="G11785" s="200" t="s">
        <v>1825</v>
      </c>
      <c r="H11785" s="200" t="s">
        <v>366</v>
      </c>
    </row>
    <row r="11786" spans="1:9" ht="15" customHeight="1">
      <c r="A11786" s="199">
        <v>45841</v>
      </c>
      <c r="B11786" s="202" t="s">
        <v>7915</v>
      </c>
      <c r="C11786" s="200" t="s">
        <v>204</v>
      </c>
      <c r="D11786" s="896">
        <v>-152000</v>
      </c>
      <c r="E11786" s="201">
        <v>45839</v>
      </c>
      <c r="F11786" s="200" t="s">
        <v>297</v>
      </c>
      <c r="G11786" s="200" t="s">
        <v>71</v>
      </c>
      <c r="H11786" s="200" t="s">
        <v>268</v>
      </c>
      <c r="I11786" s="648" t="s">
        <v>329</v>
      </c>
    </row>
    <row r="11787" spans="1:9" ht="15" customHeight="1">
      <c r="A11787" s="199">
        <v>45841</v>
      </c>
      <c r="B11787" s="202" t="s">
        <v>7915</v>
      </c>
      <c r="C11787" s="200" t="s">
        <v>204</v>
      </c>
      <c r="D11787" s="896">
        <v>-38000</v>
      </c>
      <c r="E11787" s="201">
        <v>45839</v>
      </c>
      <c r="F11787" s="200" t="s">
        <v>296</v>
      </c>
      <c r="G11787" s="200" t="s">
        <v>2418</v>
      </c>
      <c r="H11787" s="200" t="s">
        <v>268</v>
      </c>
      <c r="I11787" s="648" t="s">
        <v>329</v>
      </c>
    </row>
    <row r="11788" spans="1:9" ht="15" customHeight="1">
      <c r="A11788" s="199">
        <v>45841</v>
      </c>
      <c r="B11788" s="202" t="s">
        <v>7915</v>
      </c>
      <c r="C11788" s="200" t="s">
        <v>204</v>
      </c>
      <c r="D11788" s="896">
        <v>-56000</v>
      </c>
      <c r="E11788" s="201">
        <v>45839</v>
      </c>
      <c r="F11788" s="200" t="s">
        <v>297</v>
      </c>
      <c r="G11788" s="200" t="s">
        <v>69</v>
      </c>
      <c r="H11788" s="200" t="s">
        <v>268</v>
      </c>
    </row>
    <row r="11789" spans="1:9" ht="15" customHeight="1">
      <c r="A11789" s="199">
        <v>45841</v>
      </c>
      <c r="B11789" s="202" t="s">
        <v>7915</v>
      </c>
      <c r="C11789" s="200" t="s">
        <v>204</v>
      </c>
      <c r="D11789" s="896">
        <v>-18000</v>
      </c>
      <c r="E11789" s="201">
        <v>45839</v>
      </c>
      <c r="F11789" s="200" t="s">
        <v>10</v>
      </c>
      <c r="G11789" s="200" t="s">
        <v>10</v>
      </c>
      <c r="H11789" s="200" t="s">
        <v>268</v>
      </c>
      <c r="I11789" s="200" t="s">
        <v>61</v>
      </c>
    </row>
    <row r="11790" spans="1:9" ht="15" customHeight="1">
      <c r="A11790" s="199">
        <v>45841</v>
      </c>
      <c r="B11790" s="202" t="s">
        <v>7915</v>
      </c>
      <c r="C11790" s="200" t="s">
        <v>204</v>
      </c>
      <c r="D11790" s="896">
        <v>-18000</v>
      </c>
      <c r="E11790" s="201">
        <v>45839</v>
      </c>
      <c r="F11790" s="200" t="s">
        <v>296</v>
      </c>
      <c r="G11790" s="200" t="s">
        <v>1311</v>
      </c>
      <c r="H11790" s="200" t="s">
        <v>268</v>
      </c>
      <c r="I11790" s="648" t="s">
        <v>329</v>
      </c>
    </row>
    <row r="11791" spans="1:9" ht="15" customHeight="1">
      <c r="A11791" s="199">
        <v>45841</v>
      </c>
      <c r="B11791" s="202" t="s">
        <v>7915</v>
      </c>
      <c r="C11791" s="200" t="s">
        <v>204</v>
      </c>
      <c r="D11791" s="896">
        <v>-221648</v>
      </c>
      <c r="E11791" s="201">
        <v>45839</v>
      </c>
      <c r="F11791" s="200" t="s">
        <v>296</v>
      </c>
      <c r="G11791" s="200" t="s">
        <v>415</v>
      </c>
      <c r="H11791" s="200" t="s">
        <v>268</v>
      </c>
    </row>
    <row r="11792" spans="1:9" ht="15" customHeight="1">
      <c r="A11792" s="199">
        <v>45841</v>
      </c>
      <c r="B11792" s="202" t="s">
        <v>7915</v>
      </c>
      <c r="C11792" s="200" t="s">
        <v>204</v>
      </c>
      <c r="D11792" s="896">
        <v>-10000</v>
      </c>
      <c r="E11792" s="201">
        <v>45839</v>
      </c>
      <c r="F11792" s="200" t="s">
        <v>256</v>
      </c>
      <c r="G11792" s="200" t="s">
        <v>256</v>
      </c>
      <c r="H11792" s="200" t="s">
        <v>268</v>
      </c>
    </row>
    <row r="11793" spans="1:9" ht="15" customHeight="1">
      <c r="A11793" s="199">
        <v>45841</v>
      </c>
      <c r="B11793" s="202" t="s">
        <v>7916</v>
      </c>
      <c r="C11793" s="200" t="s">
        <v>372</v>
      </c>
      <c r="D11793" s="204">
        <v>-5220</v>
      </c>
      <c r="E11793" s="201">
        <v>45839</v>
      </c>
      <c r="F11793" s="200" t="s">
        <v>296</v>
      </c>
      <c r="G11793" s="200" t="s">
        <v>415</v>
      </c>
      <c r="H11793" s="200" t="s">
        <v>268</v>
      </c>
    </row>
    <row r="11794" spans="1:9" ht="15" customHeight="1">
      <c r="A11794" s="199">
        <v>45841</v>
      </c>
      <c r="B11794" s="202" t="s">
        <v>1927</v>
      </c>
      <c r="C11794" s="200" t="s">
        <v>372</v>
      </c>
      <c r="D11794" s="204">
        <v>-3132</v>
      </c>
      <c r="E11794" s="201">
        <v>45839</v>
      </c>
      <c r="F11794" s="200" t="s">
        <v>296</v>
      </c>
      <c r="G11794" s="200" t="s">
        <v>415</v>
      </c>
      <c r="H11794" s="200" t="s">
        <v>268</v>
      </c>
    </row>
    <row r="11795" spans="1:9" ht="15" customHeight="1">
      <c r="A11795" s="199">
        <v>45841</v>
      </c>
      <c r="B11795" s="202" t="s">
        <v>8646</v>
      </c>
      <c r="C11795" s="200" t="s">
        <v>204</v>
      </c>
      <c r="D11795" s="896">
        <v>-726730</v>
      </c>
      <c r="E11795" s="201">
        <v>45839</v>
      </c>
      <c r="F11795" s="200" t="s">
        <v>296</v>
      </c>
      <c r="G11795" s="200" t="s">
        <v>1980</v>
      </c>
      <c r="H11795" s="200" t="s">
        <v>429</v>
      </c>
    </row>
    <row r="11796" spans="1:9" ht="15" customHeight="1">
      <c r="A11796" s="199">
        <v>45841</v>
      </c>
      <c r="B11796" s="202" t="s">
        <v>3874</v>
      </c>
      <c r="C11796" s="200" t="s">
        <v>136</v>
      </c>
      <c r="D11796" s="896">
        <v>-21900</v>
      </c>
      <c r="E11796" s="201">
        <v>45839</v>
      </c>
      <c r="F11796" s="200" t="s">
        <v>297</v>
      </c>
      <c r="G11796" s="200" t="s">
        <v>3892</v>
      </c>
      <c r="H11796" s="200" t="s">
        <v>342</v>
      </c>
    </row>
    <row r="11797" spans="1:9" ht="15" customHeight="1">
      <c r="A11797" s="199">
        <v>45832</v>
      </c>
      <c r="B11797" s="202" t="s">
        <v>6946</v>
      </c>
      <c r="C11797" s="200" t="s">
        <v>307</v>
      </c>
      <c r="D11797" s="204">
        <v>-6500</v>
      </c>
      <c r="E11797" s="201">
        <v>45839</v>
      </c>
      <c r="F11797" s="200" t="s">
        <v>296</v>
      </c>
      <c r="G11797" s="200" t="s">
        <v>415</v>
      </c>
      <c r="H11797" s="200" t="s">
        <v>268</v>
      </c>
      <c r="I11797" s="200" t="s">
        <v>1899</v>
      </c>
    </row>
    <row r="11798" spans="1:9" ht="15" customHeight="1">
      <c r="A11798" s="199">
        <v>45832</v>
      </c>
      <c r="B11798" s="202" t="s">
        <v>7949</v>
      </c>
      <c r="C11798" s="200" t="s">
        <v>307</v>
      </c>
      <c r="D11798" s="204">
        <v>-17000</v>
      </c>
      <c r="E11798" s="201">
        <v>45839</v>
      </c>
      <c r="F11798" s="200" t="s">
        <v>296</v>
      </c>
      <c r="G11798" s="200" t="s">
        <v>415</v>
      </c>
      <c r="H11798" s="200" t="s">
        <v>268</v>
      </c>
      <c r="I11798" s="200" t="s">
        <v>1899</v>
      </c>
    </row>
    <row r="11799" spans="1:9" ht="15" customHeight="1">
      <c r="A11799" s="199">
        <v>45833</v>
      </c>
      <c r="B11799" s="202" t="s">
        <v>2774</v>
      </c>
      <c r="C11799" s="200" t="s">
        <v>307</v>
      </c>
      <c r="D11799" s="204">
        <v>-17000</v>
      </c>
      <c r="E11799" s="201">
        <v>45839</v>
      </c>
      <c r="F11799" s="200" t="s">
        <v>296</v>
      </c>
      <c r="G11799" s="200" t="s">
        <v>415</v>
      </c>
      <c r="H11799" s="200" t="s">
        <v>268</v>
      </c>
      <c r="I11799" s="200" t="s">
        <v>1899</v>
      </c>
    </row>
    <row r="11800" spans="1:9" ht="15" customHeight="1">
      <c r="A11800" s="199">
        <v>45833</v>
      </c>
      <c r="B11800" s="202" t="s">
        <v>8647</v>
      </c>
      <c r="C11800" s="200" t="s">
        <v>307</v>
      </c>
      <c r="D11800" s="204">
        <v>-6500</v>
      </c>
      <c r="E11800" s="201">
        <v>45839</v>
      </c>
      <c r="F11800" s="200" t="s">
        <v>296</v>
      </c>
      <c r="G11800" s="200" t="s">
        <v>415</v>
      </c>
      <c r="H11800" s="200" t="s">
        <v>268</v>
      </c>
      <c r="I11800" s="200" t="s">
        <v>1899</v>
      </c>
    </row>
    <row r="11801" spans="1:9" ht="15" customHeight="1">
      <c r="A11801" s="199">
        <v>45833</v>
      </c>
      <c r="B11801" s="202" t="s">
        <v>8648</v>
      </c>
      <c r="C11801" s="200" t="s">
        <v>307</v>
      </c>
      <c r="D11801" s="204">
        <v>-6500</v>
      </c>
      <c r="E11801" s="201">
        <v>45839</v>
      </c>
      <c r="F11801" s="200" t="s">
        <v>296</v>
      </c>
      <c r="G11801" s="200" t="s">
        <v>415</v>
      </c>
      <c r="H11801" s="200" t="s">
        <v>268</v>
      </c>
      <c r="I11801" s="200" t="s">
        <v>1899</v>
      </c>
    </row>
    <row r="11802" spans="1:9" ht="15" customHeight="1">
      <c r="A11802" s="199">
        <v>45833</v>
      </c>
      <c r="B11802" s="202" t="s">
        <v>6946</v>
      </c>
      <c r="C11802" s="200" t="s">
        <v>307</v>
      </c>
      <c r="D11802" s="204">
        <v>-6500</v>
      </c>
      <c r="E11802" s="201">
        <v>45839</v>
      </c>
      <c r="F11802" s="200" t="s">
        <v>296</v>
      </c>
      <c r="G11802" s="200" t="s">
        <v>415</v>
      </c>
      <c r="H11802" s="200" t="s">
        <v>268</v>
      </c>
      <c r="I11802" s="200" t="s">
        <v>1899</v>
      </c>
    </row>
    <row r="11803" spans="1:9" ht="15" customHeight="1">
      <c r="A11803" s="199">
        <v>45833</v>
      </c>
      <c r="B11803" s="202" t="s">
        <v>498</v>
      </c>
      <c r="C11803" s="200" t="s">
        <v>307</v>
      </c>
      <c r="D11803" s="204">
        <v>-5200</v>
      </c>
      <c r="E11803" s="201">
        <v>45839</v>
      </c>
      <c r="F11803" s="200" t="s">
        <v>296</v>
      </c>
      <c r="G11803" s="200" t="s">
        <v>415</v>
      </c>
      <c r="H11803" s="200" t="s">
        <v>342</v>
      </c>
      <c r="I11803" s="200" t="s">
        <v>1899</v>
      </c>
    </row>
    <row r="11804" spans="1:9" ht="15" customHeight="1">
      <c r="A11804" s="199">
        <v>45833</v>
      </c>
      <c r="B11804" s="202" t="s">
        <v>8649</v>
      </c>
      <c r="C11804" s="200" t="s">
        <v>307</v>
      </c>
      <c r="D11804" s="204">
        <v>-17000</v>
      </c>
      <c r="E11804" s="201">
        <v>45839</v>
      </c>
      <c r="F11804" s="200" t="s">
        <v>296</v>
      </c>
      <c r="G11804" s="200" t="s">
        <v>415</v>
      </c>
      <c r="H11804" s="200" t="s">
        <v>268</v>
      </c>
      <c r="I11804" s="200" t="s">
        <v>1899</v>
      </c>
    </row>
    <row r="11805" spans="1:9" ht="15" customHeight="1">
      <c r="A11805" s="199">
        <v>45839</v>
      </c>
      <c r="B11805" s="202" t="s">
        <v>8650</v>
      </c>
      <c r="C11805" s="200" t="s">
        <v>307</v>
      </c>
      <c r="D11805" s="204">
        <v>-100000</v>
      </c>
      <c r="E11805" s="201">
        <v>45839</v>
      </c>
      <c r="F11805" s="200" t="s">
        <v>296</v>
      </c>
      <c r="G11805" s="200" t="s">
        <v>415</v>
      </c>
      <c r="H11805" s="200" t="s">
        <v>268</v>
      </c>
      <c r="I11805" s="200" t="s">
        <v>1899</v>
      </c>
    </row>
    <row r="11806" spans="1:9" ht="15" customHeight="1">
      <c r="A11806" s="199">
        <v>45839</v>
      </c>
      <c r="B11806" s="202" t="s">
        <v>8651</v>
      </c>
      <c r="C11806" s="200" t="s">
        <v>307</v>
      </c>
      <c r="D11806" s="204">
        <v>-19900</v>
      </c>
      <c r="E11806" s="201">
        <v>45839</v>
      </c>
      <c r="F11806" s="200" t="s">
        <v>296</v>
      </c>
      <c r="G11806" s="200" t="s">
        <v>415</v>
      </c>
      <c r="H11806" s="200" t="s">
        <v>268</v>
      </c>
      <c r="I11806" s="200" t="s">
        <v>1899</v>
      </c>
    </row>
    <row r="11807" spans="1:9" ht="15" customHeight="1">
      <c r="A11807" s="199">
        <v>45839</v>
      </c>
      <c r="B11807" s="202" t="s">
        <v>8651</v>
      </c>
      <c r="C11807" s="200" t="s">
        <v>307</v>
      </c>
      <c r="D11807" s="204">
        <v>-19900</v>
      </c>
      <c r="E11807" s="201">
        <v>45839</v>
      </c>
      <c r="F11807" s="200" t="s">
        <v>296</v>
      </c>
      <c r="G11807" s="200" t="s">
        <v>415</v>
      </c>
      <c r="H11807" s="200" t="s">
        <v>268</v>
      </c>
      <c r="I11807" s="200" t="s">
        <v>1899</v>
      </c>
    </row>
    <row r="11808" spans="1:9" ht="15" customHeight="1">
      <c r="A11808" s="199">
        <v>45839</v>
      </c>
      <c r="B11808" s="202" t="s">
        <v>8652</v>
      </c>
      <c r="C11808" s="200" t="s">
        <v>307</v>
      </c>
      <c r="D11808" s="204">
        <v>-18000</v>
      </c>
      <c r="E11808" s="201">
        <v>45839</v>
      </c>
      <c r="F11808" s="200" t="s">
        <v>296</v>
      </c>
      <c r="G11808" s="200" t="s">
        <v>415</v>
      </c>
      <c r="H11808" s="200" t="s">
        <v>342</v>
      </c>
      <c r="I11808" s="200" t="s">
        <v>1899</v>
      </c>
    </row>
    <row r="11809" spans="1:9" ht="15" customHeight="1">
      <c r="A11809" s="199">
        <v>45839</v>
      </c>
      <c r="B11809" s="202" t="s">
        <v>8653</v>
      </c>
      <c r="C11809" s="200" t="s">
        <v>307</v>
      </c>
      <c r="D11809" s="204">
        <v>-28000</v>
      </c>
      <c r="E11809" s="201">
        <v>45839</v>
      </c>
      <c r="F11809" s="200" t="s">
        <v>296</v>
      </c>
      <c r="G11809" s="200" t="s">
        <v>415</v>
      </c>
      <c r="H11809" s="200" t="s">
        <v>342</v>
      </c>
      <c r="I11809" s="648" t="s">
        <v>329</v>
      </c>
    </row>
    <row r="11810" spans="1:9" ht="15" customHeight="1">
      <c r="A11810" s="199">
        <v>45841</v>
      </c>
      <c r="B11810" s="202" t="s">
        <v>8654</v>
      </c>
      <c r="C11810" s="200" t="s">
        <v>307</v>
      </c>
      <c r="D11810" s="204">
        <v>-600900</v>
      </c>
      <c r="E11810" s="201">
        <v>45839</v>
      </c>
      <c r="F11810" s="200" t="s">
        <v>297</v>
      </c>
      <c r="G11810" s="200" t="s">
        <v>69</v>
      </c>
      <c r="H11810" s="200" t="s">
        <v>346</v>
      </c>
      <c r="I11810" s="648" t="s">
        <v>329</v>
      </c>
    </row>
    <row r="11811" spans="1:9" ht="15" customHeight="1">
      <c r="A11811" s="199">
        <v>45810</v>
      </c>
      <c r="B11811" s="202" t="s">
        <v>8655</v>
      </c>
      <c r="C11811" s="200" t="s">
        <v>307</v>
      </c>
      <c r="D11811" s="204">
        <v>-50018</v>
      </c>
      <c r="E11811" s="201">
        <v>45839</v>
      </c>
      <c r="F11811" s="200" t="s">
        <v>296</v>
      </c>
      <c r="G11811" s="200" t="s">
        <v>1825</v>
      </c>
      <c r="H11811" s="200" t="s">
        <v>326</v>
      </c>
      <c r="I11811" s="200" t="s">
        <v>8656</v>
      </c>
    </row>
    <row r="11812" spans="1:9" ht="15" customHeight="1">
      <c r="A11812" s="199">
        <v>45811</v>
      </c>
      <c r="B11812" s="202" t="s">
        <v>5849</v>
      </c>
      <c r="C11812" s="200" t="s">
        <v>307</v>
      </c>
      <c r="D11812" s="204">
        <v>-50000</v>
      </c>
      <c r="E11812" s="201">
        <v>45839</v>
      </c>
      <c r="F11812" s="200" t="s">
        <v>296</v>
      </c>
      <c r="G11812" s="200" t="s">
        <v>1825</v>
      </c>
      <c r="H11812" s="200" t="s">
        <v>326</v>
      </c>
      <c r="I11812" s="200" t="s">
        <v>8656</v>
      </c>
    </row>
    <row r="11813" spans="1:9" ht="15" customHeight="1">
      <c r="A11813" s="199">
        <v>45811</v>
      </c>
      <c r="B11813" s="202" t="s">
        <v>8657</v>
      </c>
      <c r="C11813" s="200" t="s">
        <v>307</v>
      </c>
      <c r="D11813" s="204">
        <v>-50000</v>
      </c>
      <c r="E11813" s="201">
        <v>45839</v>
      </c>
      <c r="F11813" s="200" t="s">
        <v>296</v>
      </c>
      <c r="G11813" s="200" t="s">
        <v>1825</v>
      </c>
      <c r="H11813" s="200" t="s">
        <v>326</v>
      </c>
      <c r="I11813" s="200" t="s">
        <v>8656</v>
      </c>
    </row>
    <row r="11814" spans="1:9" ht="15" customHeight="1">
      <c r="A11814" s="199">
        <v>45813</v>
      </c>
      <c r="B11814" s="202" t="s">
        <v>8655</v>
      </c>
      <c r="C11814" s="200" t="s">
        <v>307</v>
      </c>
      <c r="D11814" s="204">
        <v>-50063</v>
      </c>
      <c r="E11814" s="201">
        <v>45839</v>
      </c>
      <c r="F11814" s="200" t="s">
        <v>296</v>
      </c>
      <c r="G11814" s="200" t="s">
        <v>1825</v>
      </c>
      <c r="H11814" s="200" t="s">
        <v>326</v>
      </c>
      <c r="I11814" s="200" t="s">
        <v>8656</v>
      </c>
    </row>
    <row r="11815" spans="1:9" ht="15" customHeight="1">
      <c r="A11815" s="199">
        <v>45813</v>
      </c>
      <c r="B11815" s="202" t="s">
        <v>8658</v>
      </c>
      <c r="C11815" s="200" t="s">
        <v>307</v>
      </c>
      <c r="D11815" s="204">
        <v>-132900</v>
      </c>
      <c r="E11815" s="201">
        <v>45839</v>
      </c>
      <c r="F11815" s="200" t="s">
        <v>296</v>
      </c>
      <c r="G11815" s="200" t="s">
        <v>1825</v>
      </c>
      <c r="H11815" s="200" t="s">
        <v>429</v>
      </c>
      <c r="I11815" s="200" t="s">
        <v>8656</v>
      </c>
    </row>
    <row r="11816" spans="1:9" ht="15" customHeight="1">
      <c r="A11816" s="199">
        <v>45814</v>
      </c>
      <c r="B11816" s="202" t="s">
        <v>8659</v>
      </c>
      <c r="C11816" s="200" t="s">
        <v>307</v>
      </c>
      <c r="D11816" s="204">
        <v>-197500</v>
      </c>
      <c r="E11816" s="201">
        <v>45839</v>
      </c>
      <c r="F11816" s="200" t="s">
        <v>296</v>
      </c>
      <c r="G11816" s="200" t="s">
        <v>1825</v>
      </c>
      <c r="H11816" s="200" t="s">
        <v>488</v>
      </c>
      <c r="I11816" s="200" t="s">
        <v>8656</v>
      </c>
    </row>
    <row r="11817" spans="1:9" ht="15" customHeight="1">
      <c r="A11817" s="199">
        <v>45814</v>
      </c>
      <c r="B11817" s="202" t="s">
        <v>8660</v>
      </c>
      <c r="C11817" s="200" t="s">
        <v>307</v>
      </c>
      <c r="D11817" s="204">
        <v>-50015</v>
      </c>
      <c r="E11817" s="201">
        <v>45839</v>
      </c>
      <c r="F11817" s="200" t="s">
        <v>296</v>
      </c>
      <c r="G11817" s="200" t="s">
        <v>1825</v>
      </c>
      <c r="H11817" s="200" t="s">
        <v>429</v>
      </c>
      <c r="I11817" s="200" t="s">
        <v>8656</v>
      </c>
    </row>
    <row r="11818" spans="1:9" ht="15" customHeight="1">
      <c r="A11818" s="199">
        <v>45814</v>
      </c>
      <c r="B11818" s="202" t="s">
        <v>8655</v>
      </c>
      <c r="C11818" s="200" t="s">
        <v>307</v>
      </c>
      <c r="D11818" s="204">
        <v>-50000</v>
      </c>
      <c r="E11818" s="201">
        <v>45839</v>
      </c>
      <c r="F11818" s="200" t="s">
        <v>296</v>
      </c>
      <c r="G11818" s="200" t="s">
        <v>1825</v>
      </c>
      <c r="H11818" s="200" t="s">
        <v>326</v>
      </c>
      <c r="I11818" s="200" t="s">
        <v>8656</v>
      </c>
    </row>
    <row r="11819" spans="1:9" ht="15" customHeight="1">
      <c r="A11819" s="199">
        <v>45815</v>
      </c>
      <c r="B11819" s="202" t="s">
        <v>8655</v>
      </c>
      <c r="C11819" s="200" t="s">
        <v>307</v>
      </c>
      <c r="D11819" s="204">
        <v>-29998</v>
      </c>
      <c r="E11819" s="201">
        <v>45839</v>
      </c>
      <c r="F11819" s="200" t="s">
        <v>296</v>
      </c>
      <c r="G11819" s="200" t="s">
        <v>1825</v>
      </c>
      <c r="H11819" s="200" t="s">
        <v>326</v>
      </c>
      <c r="I11819" s="200" t="s">
        <v>8656</v>
      </c>
    </row>
    <row r="11820" spans="1:9" ht="15" customHeight="1">
      <c r="A11820" s="199">
        <v>45819</v>
      </c>
      <c r="B11820" s="202" t="s">
        <v>5849</v>
      </c>
      <c r="C11820" s="200" t="s">
        <v>307</v>
      </c>
      <c r="D11820" s="204">
        <v>-30000</v>
      </c>
      <c r="E11820" s="201">
        <v>45839</v>
      </c>
      <c r="F11820" s="200" t="s">
        <v>296</v>
      </c>
      <c r="G11820" s="200" t="s">
        <v>1825</v>
      </c>
      <c r="H11820" s="200" t="s">
        <v>326</v>
      </c>
      <c r="I11820" s="200" t="s">
        <v>8656</v>
      </c>
    </row>
    <row r="11821" spans="1:9" ht="15" customHeight="1">
      <c r="A11821" s="199">
        <v>45821</v>
      </c>
      <c r="B11821" s="202" t="s">
        <v>8655</v>
      </c>
      <c r="C11821" s="200" t="s">
        <v>307</v>
      </c>
      <c r="D11821" s="204">
        <v>-100000</v>
      </c>
      <c r="E11821" s="201">
        <v>45839</v>
      </c>
      <c r="F11821" s="200" t="s">
        <v>296</v>
      </c>
      <c r="G11821" s="200" t="s">
        <v>1825</v>
      </c>
      <c r="H11821" s="200" t="s">
        <v>326</v>
      </c>
      <c r="I11821" s="200" t="s">
        <v>8656</v>
      </c>
    </row>
    <row r="11822" spans="1:9" ht="15" customHeight="1">
      <c r="A11822" s="199">
        <v>45825</v>
      </c>
      <c r="B11822" s="202" t="s">
        <v>5849</v>
      </c>
      <c r="C11822" s="200" t="s">
        <v>307</v>
      </c>
      <c r="D11822" s="204">
        <v>-50000</v>
      </c>
      <c r="E11822" s="201">
        <v>45839</v>
      </c>
      <c r="F11822" s="200" t="s">
        <v>296</v>
      </c>
      <c r="G11822" s="200" t="s">
        <v>1825</v>
      </c>
      <c r="H11822" s="200" t="s">
        <v>326</v>
      </c>
      <c r="I11822" s="200" t="s">
        <v>8656</v>
      </c>
    </row>
    <row r="11823" spans="1:9" ht="15" customHeight="1">
      <c r="A11823" s="199">
        <v>45825</v>
      </c>
      <c r="B11823" s="202" t="s">
        <v>8661</v>
      </c>
      <c r="C11823" s="200" t="s">
        <v>307</v>
      </c>
      <c r="D11823" s="204">
        <v>-55000</v>
      </c>
      <c r="E11823" s="201">
        <v>45839</v>
      </c>
      <c r="F11823" s="200" t="s">
        <v>296</v>
      </c>
      <c r="G11823" s="200" t="s">
        <v>1825</v>
      </c>
      <c r="H11823" s="200" t="s">
        <v>429</v>
      </c>
      <c r="I11823" s="200" t="s">
        <v>8656</v>
      </c>
    </row>
    <row r="11824" spans="1:9" ht="15" customHeight="1">
      <c r="A11824" s="199">
        <v>45825</v>
      </c>
      <c r="B11824" s="202" t="s">
        <v>8662</v>
      </c>
      <c r="C11824" s="200" t="s">
        <v>307</v>
      </c>
      <c r="D11824" s="204">
        <v>-172000</v>
      </c>
      <c r="E11824" s="201">
        <v>45839</v>
      </c>
      <c r="F11824" s="200" t="s">
        <v>296</v>
      </c>
      <c r="G11824" s="200" t="s">
        <v>1825</v>
      </c>
      <c r="H11824" s="200" t="s">
        <v>429</v>
      </c>
      <c r="I11824" s="200" t="s">
        <v>8656</v>
      </c>
    </row>
    <row r="11825" spans="1:9" ht="15" customHeight="1">
      <c r="A11825" s="199">
        <v>45826</v>
      </c>
      <c r="B11825" s="202" t="s">
        <v>8655</v>
      </c>
      <c r="C11825" s="200" t="s">
        <v>307</v>
      </c>
      <c r="D11825" s="204">
        <v>-100076</v>
      </c>
      <c r="E11825" s="201">
        <v>45839</v>
      </c>
      <c r="F11825" s="200" t="s">
        <v>296</v>
      </c>
      <c r="G11825" s="200" t="s">
        <v>1825</v>
      </c>
      <c r="H11825" s="200" t="s">
        <v>326</v>
      </c>
      <c r="I11825" s="200" t="s">
        <v>8656</v>
      </c>
    </row>
    <row r="11826" spans="1:9" ht="15" customHeight="1">
      <c r="A11826" s="199">
        <v>45828</v>
      </c>
      <c r="B11826" s="202" t="s">
        <v>8663</v>
      </c>
      <c r="C11826" s="200" t="s">
        <v>307</v>
      </c>
      <c r="D11826" s="204">
        <v>-25000</v>
      </c>
      <c r="E11826" s="201">
        <v>45839</v>
      </c>
      <c r="F11826" s="200" t="s">
        <v>296</v>
      </c>
      <c r="G11826" s="200" t="s">
        <v>1825</v>
      </c>
      <c r="H11826" s="200" t="s">
        <v>326</v>
      </c>
      <c r="I11826" s="200" t="s">
        <v>8656</v>
      </c>
    </row>
    <row r="11827" spans="1:9" ht="15" customHeight="1">
      <c r="A11827" s="199">
        <v>45830</v>
      </c>
      <c r="B11827" s="202" t="s">
        <v>8655</v>
      </c>
      <c r="C11827" s="200" t="s">
        <v>307</v>
      </c>
      <c r="D11827" s="204">
        <v>-50008</v>
      </c>
      <c r="E11827" s="201">
        <v>45839</v>
      </c>
      <c r="F11827" s="200" t="s">
        <v>296</v>
      </c>
      <c r="G11827" s="200" t="s">
        <v>1825</v>
      </c>
      <c r="H11827" s="200" t="s">
        <v>326</v>
      </c>
      <c r="I11827" s="200" t="s">
        <v>8656</v>
      </c>
    </row>
    <row r="11828" spans="1:9" ht="15" customHeight="1">
      <c r="A11828" s="199">
        <v>45831</v>
      </c>
      <c r="B11828" s="202" t="s">
        <v>8664</v>
      </c>
      <c r="C11828" s="200" t="s">
        <v>307</v>
      </c>
      <c r="D11828" s="204">
        <v>-20019</v>
      </c>
      <c r="E11828" s="201">
        <v>45839</v>
      </c>
      <c r="F11828" s="200" t="s">
        <v>296</v>
      </c>
      <c r="G11828" s="200" t="s">
        <v>1825</v>
      </c>
      <c r="H11828" s="200" t="s">
        <v>366</v>
      </c>
      <c r="I11828" s="200" t="s">
        <v>8656</v>
      </c>
    </row>
    <row r="11829" spans="1:9" ht="15" customHeight="1">
      <c r="A11829" s="199">
        <v>45831</v>
      </c>
      <c r="B11829" s="202" t="s">
        <v>8665</v>
      </c>
      <c r="C11829" s="200" t="s">
        <v>307</v>
      </c>
      <c r="D11829" s="204">
        <v>-8000</v>
      </c>
      <c r="E11829" s="201">
        <v>45839</v>
      </c>
      <c r="F11829" s="200" t="s">
        <v>296</v>
      </c>
      <c r="G11829" s="200" t="s">
        <v>1825</v>
      </c>
      <c r="H11829" s="200" t="s">
        <v>366</v>
      </c>
      <c r="I11829" s="200" t="s">
        <v>8656</v>
      </c>
    </row>
    <row r="11830" spans="1:9" ht="15" customHeight="1">
      <c r="A11830" s="199">
        <v>45832</v>
      </c>
      <c r="B11830" s="202" t="s">
        <v>8666</v>
      </c>
      <c r="C11830" s="200" t="s">
        <v>307</v>
      </c>
      <c r="D11830" s="204">
        <v>-140500</v>
      </c>
      <c r="E11830" s="201">
        <v>45839</v>
      </c>
      <c r="F11830" s="200" t="s">
        <v>296</v>
      </c>
      <c r="G11830" s="200" t="s">
        <v>1825</v>
      </c>
      <c r="H11830" s="200" t="s">
        <v>429</v>
      </c>
      <c r="I11830" s="200" t="s">
        <v>8656</v>
      </c>
    </row>
    <row r="11831" spans="1:9" ht="15" customHeight="1">
      <c r="A11831" s="199">
        <v>45833</v>
      </c>
      <c r="B11831" s="202" t="s">
        <v>8667</v>
      </c>
      <c r="C11831" s="200" t="s">
        <v>307</v>
      </c>
      <c r="D11831" s="204">
        <v>-20000</v>
      </c>
      <c r="E11831" s="201">
        <v>45839</v>
      </c>
      <c r="F11831" s="200" t="s">
        <v>296</v>
      </c>
      <c r="G11831" s="200" t="s">
        <v>1825</v>
      </c>
      <c r="H11831" s="200" t="s">
        <v>326</v>
      </c>
      <c r="I11831" s="200" t="s">
        <v>8656</v>
      </c>
    </row>
    <row r="11832" spans="1:9" ht="15" customHeight="1">
      <c r="A11832" s="199">
        <v>45833</v>
      </c>
      <c r="B11832" s="202" t="s">
        <v>8655</v>
      </c>
      <c r="C11832" s="200" t="s">
        <v>307</v>
      </c>
      <c r="D11832" s="204">
        <v>-50005</v>
      </c>
      <c r="E11832" s="201">
        <v>45839</v>
      </c>
      <c r="F11832" s="200" t="s">
        <v>296</v>
      </c>
      <c r="G11832" s="200" t="s">
        <v>1825</v>
      </c>
      <c r="H11832" s="200" t="s">
        <v>326</v>
      </c>
      <c r="I11832" s="200" t="s">
        <v>8656</v>
      </c>
    </row>
    <row r="11833" spans="1:9" ht="15" customHeight="1">
      <c r="A11833" s="199">
        <v>45833</v>
      </c>
      <c r="B11833" s="202" t="s">
        <v>5849</v>
      </c>
      <c r="C11833" s="200" t="s">
        <v>307</v>
      </c>
      <c r="D11833" s="204">
        <v>-50000</v>
      </c>
      <c r="E11833" s="201">
        <v>45839</v>
      </c>
      <c r="F11833" s="200" t="s">
        <v>296</v>
      </c>
      <c r="G11833" s="200" t="s">
        <v>1825</v>
      </c>
      <c r="H11833" s="200" t="s">
        <v>326</v>
      </c>
      <c r="I11833" s="200" t="s">
        <v>8656</v>
      </c>
    </row>
    <row r="11834" spans="1:9" ht="15" customHeight="1">
      <c r="A11834" s="199">
        <v>45834</v>
      </c>
      <c r="B11834" s="202" t="s">
        <v>8668</v>
      </c>
      <c r="C11834" s="200" t="s">
        <v>307</v>
      </c>
      <c r="D11834" s="204">
        <v>-21000</v>
      </c>
      <c r="E11834" s="201">
        <v>45839</v>
      </c>
      <c r="F11834" s="200" t="s">
        <v>296</v>
      </c>
      <c r="G11834" s="200" t="s">
        <v>1825</v>
      </c>
      <c r="H11834" s="200" t="s">
        <v>326</v>
      </c>
      <c r="I11834" s="200" t="s">
        <v>8656</v>
      </c>
    </row>
    <row r="11835" spans="1:9" ht="15" customHeight="1">
      <c r="A11835" s="199">
        <v>45834</v>
      </c>
      <c r="B11835" s="202" t="s">
        <v>8669</v>
      </c>
      <c r="C11835" s="200" t="s">
        <v>307</v>
      </c>
      <c r="D11835" s="204">
        <v>-19000</v>
      </c>
      <c r="E11835" s="201">
        <v>45839</v>
      </c>
      <c r="F11835" s="200" t="s">
        <v>296</v>
      </c>
      <c r="G11835" s="200" t="s">
        <v>1825</v>
      </c>
      <c r="H11835" s="200" t="s">
        <v>326</v>
      </c>
      <c r="I11835" s="200" t="s">
        <v>8656</v>
      </c>
    </row>
    <row r="11836" spans="1:9" ht="15" customHeight="1">
      <c r="A11836" s="199">
        <v>45834</v>
      </c>
      <c r="B11836" s="202" t="s">
        <v>8655</v>
      </c>
      <c r="C11836" s="200" t="s">
        <v>307</v>
      </c>
      <c r="D11836" s="204">
        <v>-50000</v>
      </c>
      <c r="E11836" s="201">
        <v>45839</v>
      </c>
      <c r="F11836" s="200" t="s">
        <v>296</v>
      </c>
      <c r="G11836" s="200" t="s">
        <v>1825</v>
      </c>
      <c r="H11836" s="200" t="s">
        <v>326</v>
      </c>
      <c r="I11836" s="200" t="s">
        <v>8656</v>
      </c>
    </row>
    <row r="11837" spans="1:9" ht="15" customHeight="1">
      <c r="A11837" s="199">
        <v>45834</v>
      </c>
      <c r="B11837" s="202" t="s">
        <v>8670</v>
      </c>
      <c r="C11837" s="200" t="s">
        <v>307</v>
      </c>
      <c r="D11837" s="204">
        <v>-14800</v>
      </c>
      <c r="E11837" s="201">
        <v>45839</v>
      </c>
      <c r="F11837" s="200" t="s">
        <v>296</v>
      </c>
      <c r="G11837" s="200" t="s">
        <v>1825</v>
      </c>
      <c r="H11837" s="200" t="s">
        <v>326</v>
      </c>
      <c r="I11837" s="200" t="s">
        <v>8656</v>
      </c>
    </row>
    <row r="11838" spans="1:9" ht="15" customHeight="1">
      <c r="A11838" s="199">
        <v>45834</v>
      </c>
      <c r="B11838" s="202" t="s">
        <v>8671</v>
      </c>
      <c r="C11838" s="200" t="s">
        <v>307</v>
      </c>
      <c r="D11838" s="204">
        <v>-20053</v>
      </c>
      <c r="E11838" s="201">
        <v>45839</v>
      </c>
      <c r="F11838" s="200" t="s">
        <v>296</v>
      </c>
      <c r="G11838" s="200" t="s">
        <v>1825</v>
      </c>
      <c r="H11838" s="200" t="s">
        <v>326</v>
      </c>
      <c r="I11838" s="200" t="s">
        <v>8656</v>
      </c>
    </row>
    <row r="11839" spans="1:9" ht="15" customHeight="1">
      <c r="A11839" s="199">
        <v>45834</v>
      </c>
      <c r="B11839" s="202" t="s">
        <v>8671</v>
      </c>
      <c r="C11839" s="200" t="s">
        <v>307</v>
      </c>
      <c r="D11839" s="204">
        <v>-20020</v>
      </c>
      <c r="E11839" s="201">
        <v>45839</v>
      </c>
      <c r="F11839" s="200" t="s">
        <v>296</v>
      </c>
      <c r="G11839" s="200" t="s">
        <v>1825</v>
      </c>
      <c r="H11839" s="200" t="s">
        <v>326</v>
      </c>
      <c r="I11839" s="200" t="s">
        <v>8656</v>
      </c>
    </row>
    <row r="11840" spans="1:9" ht="15" customHeight="1">
      <c r="A11840" s="199">
        <v>45834</v>
      </c>
      <c r="B11840" s="202" t="s">
        <v>8672</v>
      </c>
      <c r="C11840" s="200" t="s">
        <v>307</v>
      </c>
      <c r="D11840" s="204">
        <v>-30010</v>
      </c>
      <c r="E11840" s="201">
        <v>45839</v>
      </c>
      <c r="F11840" s="200" t="s">
        <v>296</v>
      </c>
      <c r="G11840" s="200" t="s">
        <v>1825</v>
      </c>
      <c r="H11840" s="200" t="s">
        <v>429</v>
      </c>
      <c r="I11840" s="648" t="s">
        <v>329</v>
      </c>
    </row>
    <row r="11841" spans="1:9" ht="15" customHeight="1">
      <c r="A11841" s="199">
        <v>45826</v>
      </c>
      <c r="B11841" s="202" t="s">
        <v>8673</v>
      </c>
      <c r="C11841" s="200" t="s">
        <v>307</v>
      </c>
      <c r="D11841" s="204">
        <v>-8400</v>
      </c>
      <c r="E11841" s="201">
        <v>45839</v>
      </c>
      <c r="F11841" s="200" t="s">
        <v>296</v>
      </c>
      <c r="G11841" s="200" t="s">
        <v>1983</v>
      </c>
      <c r="H11841" s="200" t="s">
        <v>326</v>
      </c>
      <c r="I11841" s="200" t="s">
        <v>2951</v>
      </c>
    </row>
    <row r="11842" spans="1:9" ht="15" customHeight="1">
      <c r="A11842" s="199">
        <v>45828</v>
      </c>
      <c r="B11842" s="202" t="s">
        <v>8674</v>
      </c>
      <c r="C11842" s="200" t="s">
        <v>307</v>
      </c>
      <c r="D11842" s="204">
        <v>-15000</v>
      </c>
      <c r="E11842" s="201">
        <v>45839</v>
      </c>
      <c r="F11842" s="200" t="s">
        <v>296</v>
      </c>
      <c r="G11842" s="200" t="s">
        <v>1983</v>
      </c>
      <c r="H11842" s="200" t="s">
        <v>326</v>
      </c>
      <c r="I11842" s="200" t="s">
        <v>2951</v>
      </c>
    </row>
    <row r="11843" spans="1:9" ht="15" customHeight="1">
      <c r="A11843" s="199">
        <v>45828</v>
      </c>
      <c r="B11843" s="202" t="s">
        <v>8675</v>
      </c>
      <c r="C11843" s="200" t="s">
        <v>307</v>
      </c>
      <c r="D11843" s="204">
        <v>-91000</v>
      </c>
      <c r="E11843" s="201">
        <v>45839</v>
      </c>
      <c r="F11843" s="200" t="s">
        <v>296</v>
      </c>
      <c r="G11843" s="200" t="s">
        <v>1983</v>
      </c>
      <c r="H11843" s="200" t="s">
        <v>326</v>
      </c>
      <c r="I11843" s="200" t="s">
        <v>2951</v>
      </c>
    </row>
    <row r="11844" spans="1:9" ht="15" customHeight="1">
      <c r="A11844" s="199">
        <v>45828</v>
      </c>
      <c r="B11844" s="202" t="s">
        <v>6993</v>
      </c>
      <c r="C11844" s="200" t="s">
        <v>307</v>
      </c>
      <c r="D11844" s="204">
        <v>-70000</v>
      </c>
      <c r="E11844" s="201">
        <v>45839</v>
      </c>
      <c r="F11844" s="200" t="s">
        <v>296</v>
      </c>
      <c r="G11844" s="200" t="s">
        <v>1983</v>
      </c>
      <c r="H11844" s="200" t="s">
        <v>326</v>
      </c>
      <c r="I11844" s="200" t="s">
        <v>2951</v>
      </c>
    </row>
    <row r="11845" spans="1:9" ht="15" customHeight="1">
      <c r="A11845" s="199">
        <v>45828</v>
      </c>
      <c r="B11845" s="202" t="s">
        <v>4313</v>
      </c>
      <c r="C11845" s="200" t="s">
        <v>307</v>
      </c>
      <c r="D11845" s="204">
        <v>-35000</v>
      </c>
      <c r="E11845" s="201">
        <v>45839</v>
      </c>
      <c r="F11845" s="200" t="s">
        <v>296</v>
      </c>
      <c r="G11845" s="200" t="s">
        <v>1983</v>
      </c>
      <c r="H11845" s="200" t="s">
        <v>326</v>
      </c>
      <c r="I11845" s="200" t="s">
        <v>2951</v>
      </c>
    </row>
    <row r="11846" spans="1:9" ht="15" customHeight="1">
      <c r="A11846" s="199">
        <v>45832</v>
      </c>
      <c r="B11846" s="202" t="s">
        <v>8676</v>
      </c>
      <c r="C11846" s="200" t="s">
        <v>307</v>
      </c>
      <c r="D11846" s="204">
        <v>-1032000</v>
      </c>
      <c r="E11846" s="201">
        <v>45839</v>
      </c>
      <c r="F11846" s="200" t="s">
        <v>296</v>
      </c>
      <c r="G11846" s="200" t="s">
        <v>1983</v>
      </c>
      <c r="H11846" s="200" t="s">
        <v>421</v>
      </c>
      <c r="I11846" s="200" t="s">
        <v>2951</v>
      </c>
    </row>
    <row r="11847" spans="1:9" ht="15" customHeight="1">
      <c r="A11847" s="199">
        <v>45832</v>
      </c>
      <c r="B11847" s="202" t="s">
        <v>2213</v>
      </c>
      <c r="C11847" s="200" t="s">
        <v>307</v>
      </c>
      <c r="D11847" s="204">
        <v>-120000</v>
      </c>
      <c r="E11847" s="201">
        <v>45839</v>
      </c>
      <c r="F11847" s="200" t="s">
        <v>296</v>
      </c>
      <c r="G11847" s="200" t="s">
        <v>1983</v>
      </c>
      <c r="H11847" s="200" t="s">
        <v>326</v>
      </c>
      <c r="I11847" s="200" t="s">
        <v>2951</v>
      </c>
    </row>
    <row r="11848" spans="1:9" ht="15" customHeight="1">
      <c r="A11848" s="199">
        <v>45832</v>
      </c>
      <c r="B11848" s="202" t="s">
        <v>8677</v>
      </c>
      <c r="C11848" s="200" t="s">
        <v>307</v>
      </c>
      <c r="D11848" s="204">
        <v>-41000</v>
      </c>
      <c r="E11848" s="201">
        <v>45839</v>
      </c>
      <c r="F11848" s="200" t="s">
        <v>296</v>
      </c>
      <c r="G11848" s="200" t="s">
        <v>1983</v>
      </c>
      <c r="H11848" s="200" t="s">
        <v>326</v>
      </c>
      <c r="I11848" s="200" t="s">
        <v>2951</v>
      </c>
    </row>
    <row r="11849" spans="1:9" ht="15" customHeight="1">
      <c r="A11849" s="199">
        <v>45833</v>
      </c>
      <c r="B11849" s="202" t="s">
        <v>8678</v>
      </c>
      <c r="C11849" s="200" t="s">
        <v>307</v>
      </c>
      <c r="D11849" s="204">
        <v>-50000</v>
      </c>
      <c r="E11849" s="201">
        <v>45839</v>
      </c>
      <c r="F11849" s="200" t="s">
        <v>296</v>
      </c>
      <c r="G11849" s="200" t="s">
        <v>1983</v>
      </c>
      <c r="H11849" s="200" t="s">
        <v>326</v>
      </c>
      <c r="I11849" s="200" t="s">
        <v>2951</v>
      </c>
    </row>
    <row r="11850" spans="1:9" ht="15" customHeight="1">
      <c r="A11850" s="199">
        <v>45832</v>
      </c>
      <c r="B11850" s="202" t="s">
        <v>8679</v>
      </c>
      <c r="C11850" s="200" t="s">
        <v>307</v>
      </c>
      <c r="D11850" s="204">
        <v>-840000</v>
      </c>
      <c r="E11850" s="201">
        <v>45839</v>
      </c>
      <c r="F11850" s="200" t="s">
        <v>296</v>
      </c>
      <c r="G11850" s="200" t="s">
        <v>1983</v>
      </c>
      <c r="H11850" s="200" t="s">
        <v>488</v>
      </c>
      <c r="I11850" s="200" t="s">
        <v>2951</v>
      </c>
    </row>
    <row r="11851" spans="1:9" ht="15" customHeight="1">
      <c r="A11851" s="199">
        <v>45835</v>
      </c>
      <c r="B11851" s="202" t="s">
        <v>2955</v>
      </c>
      <c r="C11851" s="200" t="s">
        <v>307</v>
      </c>
      <c r="D11851" s="204">
        <v>-19000</v>
      </c>
      <c r="E11851" s="201">
        <v>45839</v>
      </c>
      <c r="F11851" s="200" t="s">
        <v>296</v>
      </c>
      <c r="G11851" s="200" t="s">
        <v>1983</v>
      </c>
      <c r="H11851" s="200" t="s">
        <v>326</v>
      </c>
      <c r="I11851" s="648" t="s">
        <v>329</v>
      </c>
    </row>
    <row r="11852" spans="1:9" ht="15" customHeight="1">
      <c r="A11852" s="199">
        <v>45826</v>
      </c>
      <c r="B11852" s="202" t="s">
        <v>8680</v>
      </c>
      <c r="C11852" s="200" t="s">
        <v>307</v>
      </c>
      <c r="D11852" s="204">
        <v>-31600</v>
      </c>
      <c r="E11852" s="201">
        <v>45839</v>
      </c>
      <c r="F11852" s="200" t="s">
        <v>296</v>
      </c>
      <c r="G11852" s="200" t="s">
        <v>1980</v>
      </c>
      <c r="H11852" s="200" t="s">
        <v>326</v>
      </c>
      <c r="I11852" s="200" t="s">
        <v>2951</v>
      </c>
    </row>
    <row r="11853" spans="1:9" ht="15" customHeight="1">
      <c r="A11853" s="199">
        <v>45826</v>
      </c>
      <c r="B11853" s="202" t="s">
        <v>8681</v>
      </c>
      <c r="C11853" s="200" t="s">
        <v>307</v>
      </c>
      <c r="D11853" s="204">
        <v>-14800</v>
      </c>
      <c r="E11853" s="201">
        <v>45839</v>
      </c>
      <c r="F11853" s="200" t="s">
        <v>296</v>
      </c>
      <c r="G11853" s="200" t="s">
        <v>1980</v>
      </c>
      <c r="H11853" s="200" t="s">
        <v>326</v>
      </c>
      <c r="I11853" s="200" t="s">
        <v>2951</v>
      </c>
    </row>
    <row r="11854" spans="1:9" ht="15" customHeight="1">
      <c r="A11854" s="199">
        <v>45827</v>
      </c>
      <c r="B11854" s="202" t="s">
        <v>8674</v>
      </c>
      <c r="C11854" s="200" t="s">
        <v>307</v>
      </c>
      <c r="D11854" s="204">
        <v>-12000</v>
      </c>
      <c r="E11854" s="201">
        <v>45839</v>
      </c>
      <c r="F11854" s="200" t="s">
        <v>296</v>
      </c>
      <c r="G11854" s="200" t="s">
        <v>1980</v>
      </c>
      <c r="H11854" s="200" t="s">
        <v>326</v>
      </c>
      <c r="I11854" s="200" t="s">
        <v>2951</v>
      </c>
    </row>
    <row r="11855" spans="1:9" ht="15" customHeight="1">
      <c r="A11855" s="199">
        <v>45827</v>
      </c>
      <c r="B11855" s="202" t="s">
        <v>8682</v>
      </c>
      <c r="C11855" s="200" t="s">
        <v>307</v>
      </c>
      <c r="D11855" s="204">
        <v>-13000</v>
      </c>
      <c r="E11855" s="201">
        <v>45839</v>
      </c>
      <c r="F11855" s="200" t="s">
        <v>296</v>
      </c>
      <c r="G11855" s="200" t="s">
        <v>1980</v>
      </c>
      <c r="H11855" s="200" t="s">
        <v>326</v>
      </c>
      <c r="I11855" s="200" t="s">
        <v>2951</v>
      </c>
    </row>
    <row r="11856" spans="1:9" ht="15" customHeight="1">
      <c r="A11856" s="199">
        <v>45827</v>
      </c>
      <c r="B11856" s="202" t="s">
        <v>8682</v>
      </c>
      <c r="C11856" s="200" t="s">
        <v>307</v>
      </c>
      <c r="D11856" s="204">
        <v>-17000</v>
      </c>
      <c r="E11856" s="201">
        <v>45839</v>
      </c>
      <c r="F11856" s="200" t="s">
        <v>296</v>
      </c>
      <c r="G11856" s="200" t="s">
        <v>1980</v>
      </c>
      <c r="H11856" s="200" t="s">
        <v>326</v>
      </c>
      <c r="I11856" s="200" t="s">
        <v>2951</v>
      </c>
    </row>
    <row r="11857" spans="1:9" ht="15" customHeight="1">
      <c r="A11857" s="199">
        <v>45828</v>
      </c>
      <c r="B11857" s="202" t="s">
        <v>2954</v>
      </c>
      <c r="C11857" s="200" t="s">
        <v>307</v>
      </c>
      <c r="D11857" s="204">
        <v>-73500</v>
      </c>
      <c r="E11857" s="201">
        <v>45839</v>
      </c>
      <c r="F11857" s="200" t="s">
        <v>296</v>
      </c>
      <c r="G11857" s="200" t="s">
        <v>1980</v>
      </c>
      <c r="H11857" s="200" t="s">
        <v>326</v>
      </c>
      <c r="I11857" s="200" t="s">
        <v>2951</v>
      </c>
    </row>
    <row r="11858" spans="1:9" ht="15" customHeight="1">
      <c r="A11858" s="199">
        <v>45832</v>
      </c>
      <c r="B11858" s="202" t="s">
        <v>5853</v>
      </c>
      <c r="C11858" s="200" t="s">
        <v>307</v>
      </c>
      <c r="D11858" s="204">
        <v>-70048</v>
      </c>
      <c r="E11858" s="201">
        <v>45839</v>
      </c>
      <c r="F11858" s="200" t="s">
        <v>296</v>
      </c>
      <c r="G11858" s="200" t="s">
        <v>1980</v>
      </c>
      <c r="H11858" s="200" t="s">
        <v>326</v>
      </c>
      <c r="I11858" s="200" t="s">
        <v>2951</v>
      </c>
    </row>
    <row r="11859" spans="1:9" ht="15" customHeight="1">
      <c r="A11859" s="199">
        <v>45832</v>
      </c>
      <c r="B11859" s="202" t="s">
        <v>8683</v>
      </c>
      <c r="C11859" s="200" t="s">
        <v>307</v>
      </c>
      <c r="D11859" s="204">
        <v>-150071</v>
      </c>
      <c r="E11859" s="201">
        <v>45839</v>
      </c>
      <c r="F11859" s="200" t="s">
        <v>296</v>
      </c>
      <c r="G11859" s="200" t="s">
        <v>1980</v>
      </c>
      <c r="H11859" s="200" t="s">
        <v>326</v>
      </c>
      <c r="I11859" s="200" t="s">
        <v>2951</v>
      </c>
    </row>
    <row r="11860" spans="1:9" ht="15" customHeight="1">
      <c r="A11860" s="199">
        <v>45832</v>
      </c>
      <c r="B11860" s="202" t="s">
        <v>7963</v>
      </c>
      <c r="C11860" s="200" t="s">
        <v>307</v>
      </c>
      <c r="D11860" s="204">
        <v>-165041</v>
      </c>
      <c r="E11860" s="201">
        <v>45839</v>
      </c>
      <c r="F11860" s="200" t="s">
        <v>296</v>
      </c>
      <c r="G11860" s="200" t="s">
        <v>1980</v>
      </c>
      <c r="H11860" s="200" t="s">
        <v>326</v>
      </c>
      <c r="I11860" s="200" t="s">
        <v>2951</v>
      </c>
    </row>
    <row r="11861" spans="1:9" ht="15" customHeight="1">
      <c r="A11861" s="199">
        <v>45832</v>
      </c>
      <c r="B11861" s="202" t="s">
        <v>8679</v>
      </c>
      <c r="C11861" s="200" t="s">
        <v>307</v>
      </c>
      <c r="D11861" s="204">
        <v>-1005000</v>
      </c>
      <c r="E11861" s="201">
        <v>45839</v>
      </c>
      <c r="F11861" s="200" t="s">
        <v>296</v>
      </c>
      <c r="G11861" s="200" t="s">
        <v>1980</v>
      </c>
      <c r="H11861" s="200" t="s">
        <v>488</v>
      </c>
      <c r="I11861" s="200" t="s">
        <v>2951</v>
      </c>
    </row>
    <row r="11862" spans="1:9" ht="15" customHeight="1">
      <c r="A11862" s="199">
        <v>45832</v>
      </c>
      <c r="B11862" s="202" t="s">
        <v>8684</v>
      </c>
      <c r="C11862" s="200" t="s">
        <v>307</v>
      </c>
      <c r="D11862" s="204">
        <v>-41000</v>
      </c>
      <c r="E11862" s="201">
        <v>45839</v>
      </c>
      <c r="F11862" s="200" t="s">
        <v>296</v>
      </c>
      <c r="G11862" s="200" t="s">
        <v>1980</v>
      </c>
      <c r="H11862" s="200" t="s">
        <v>326</v>
      </c>
      <c r="I11862" s="200" t="s">
        <v>2951</v>
      </c>
    </row>
    <row r="11863" spans="1:9" ht="15" customHeight="1">
      <c r="A11863" s="199">
        <v>45833</v>
      </c>
      <c r="B11863" s="202" t="s">
        <v>8685</v>
      </c>
      <c r="C11863" s="200" t="s">
        <v>307</v>
      </c>
      <c r="D11863" s="204">
        <v>-50000</v>
      </c>
      <c r="E11863" s="201">
        <v>45839</v>
      </c>
      <c r="F11863" s="200" t="s">
        <v>296</v>
      </c>
      <c r="G11863" s="200" t="s">
        <v>1980</v>
      </c>
      <c r="H11863" s="200" t="s">
        <v>326</v>
      </c>
      <c r="I11863" s="200" t="s">
        <v>2951</v>
      </c>
    </row>
    <row r="11864" spans="1:9" ht="15" customHeight="1">
      <c r="A11864" s="199">
        <v>45833</v>
      </c>
      <c r="B11864" s="202" t="s">
        <v>8686</v>
      </c>
      <c r="C11864" s="200" t="s">
        <v>307</v>
      </c>
      <c r="D11864" s="204">
        <v>-80400</v>
      </c>
      <c r="E11864" s="201">
        <v>45839</v>
      </c>
      <c r="F11864" s="200" t="s">
        <v>296</v>
      </c>
      <c r="G11864" s="200" t="s">
        <v>1980</v>
      </c>
      <c r="H11864" s="200" t="s">
        <v>488</v>
      </c>
      <c r="I11864" s="200" t="s">
        <v>2951</v>
      </c>
    </row>
    <row r="11865" spans="1:9" ht="15" customHeight="1">
      <c r="A11865" s="199">
        <v>45835</v>
      </c>
      <c r="B11865" s="202" t="s">
        <v>8687</v>
      </c>
      <c r="C11865" s="200" t="s">
        <v>307</v>
      </c>
      <c r="D11865" s="204">
        <v>-44000</v>
      </c>
      <c r="E11865" s="201">
        <v>45839</v>
      </c>
      <c r="F11865" s="200" t="s">
        <v>296</v>
      </c>
      <c r="G11865" s="200" t="s">
        <v>1980</v>
      </c>
      <c r="H11865" s="200" t="s">
        <v>326</v>
      </c>
      <c r="I11865" s="200" t="s">
        <v>2951</v>
      </c>
    </row>
    <row r="11866" spans="1:9" ht="15" customHeight="1">
      <c r="A11866" s="199">
        <v>45835</v>
      </c>
      <c r="B11866" s="202" t="s">
        <v>8688</v>
      </c>
      <c r="C11866" s="200" t="s">
        <v>307</v>
      </c>
      <c r="D11866" s="204">
        <v>-95000</v>
      </c>
      <c r="E11866" s="201">
        <v>45839</v>
      </c>
      <c r="F11866" s="200" t="s">
        <v>296</v>
      </c>
      <c r="G11866" s="200" t="s">
        <v>1980</v>
      </c>
      <c r="H11866" s="200" t="s">
        <v>421</v>
      </c>
      <c r="I11866" s="648" t="s">
        <v>329</v>
      </c>
    </row>
    <row r="11867" spans="1:9" ht="15" customHeight="1">
      <c r="A11867" s="199">
        <v>45827</v>
      </c>
      <c r="B11867" s="202" t="s">
        <v>8689</v>
      </c>
      <c r="C11867" s="200" t="s">
        <v>307</v>
      </c>
      <c r="D11867" s="204">
        <v>-130000</v>
      </c>
      <c r="E11867" s="201">
        <v>45839</v>
      </c>
      <c r="F11867" s="200" t="s">
        <v>296</v>
      </c>
      <c r="G11867" s="200" t="s">
        <v>807</v>
      </c>
      <c r="H11867" s="200" t="s">
        <v>326</v>
      </c>
      <c r="I11867" s="200" t="s">
        <v>8690</v>
      </c>
    </row>
    <row r="11868" spans="1:9" ht="15" customHeight="1">
      <c r="A11868" s="199">
        <v>45827</v>
      </c>
      <c r="B11868" s="202" t="s">
        <v>8691</v>
      </c>
      <c r="C11868" s="200" t="s">
        <v>307</v>
      </c>
      <c r="D11868" s="204">
        <v>-536000</v>
      </c>
      <c r="E11868" s="201">
        <v>45839</v>
      </c>
      <c r="F11868" s="200" t="s">
        <v>296</v>
      </c>
      <c r="G11868" s="200" t="s">
        <v>807</v>
      </c>
      <c r="H11868" s="200" t="s">
        <v>1079</v>
      </c>
      <c r="I11868" s="200" t="s">
        <v>8690</v>
      </c>
    </row>
    <row r="11869" spans="1:9" ht="15" customHeight="1">
      <c r="A11869" s="199">
        <v>45827</v>
      </c>
      <c r="B11869" s="202" t="s">
        <v>2637</v>
      </c>
      <c r="C11869" s="200" t="s">
        <v>307</v>
      </c>
      <c r="D11869" s="204">
        <v>-45000</v>
      </c>
      <c r="E11869" s="201">
        <v>45839</v>
      </c>
      <c r="F11869" s="200" t="s">
        <v>296</v>
      </c>
      <c r="G11869" s="200" t="s">
        <v>807</v>
      </c>
      <c r="H11869" s="200" t="s">
        <v>326</v>
      </c>
      <c r="I11869" s="200" t="s">
        <v>8690</v>
      </c>
    </row>
    <row r="11870" spans="1:9" ht="15" customHeight="1">
      <c r="A11870" s="199">
        <v>45828</v>
      </c>
      <c r="B11870" s="202" t="s">
        <v>8692</v>
      </c>
      <c r="C11870" s="200" t="s">
        <v>307</v>
      </c>
      <c r="D11870" s="204">
        <v>-5000</v>
      </c>
      <c r="E11870" s="201">
        <v>45839</v>
      </c>
      <c r="F11870" s="200" t="s">
        <v>296</v>
      </c>
      <c r="G11870" s="200" t="s">
        <v>807</v>
      </c>
      <c r="H11870" s="200" t="s">
        <v>326</v>
      </c>
      <c r="I11870" s="200" t="s">
        <v>8690</v>
      </c>
    </row>
    <row r="11871" spans="1:9" ht="15" customHeight="1">
      <c r="A11871" s="199">
        <v>45828</v>
      </c>
      <c r="B11871" s="202" t="s">
        <v>8693</v>
      </c>
      <c r="C11871" s="200" t="s">
        <v>307</v>
      </c>
      <c r="D11871" s="204">
        <v>-20000</v>
      </c>
      <c r="E11871" s="201">
        <v>45839</v>
      </c>
      <c r="F11871" s="200" t="s">
        <v>296</v>
      </c>
      <c r="G11871" s="200" t="s">
        <v>807</v>
      </c>
      <c r="H11871" s="200" t="s">
        <v>326</v>
      </c>
      <c r="I11871" s="200" t="s">
        <v>8690</v>
      </c>
    </row>
    <row r="11872" spans="1:9" ht="15" customHeight="1">
      <c r="A11872" s="199">
        <v>45829</v>
      </c>
      <c r="B11872" s="202" t="s">
        <v>2637</v>
      </c>
      <c r="C11872" s="200" t="s">
        <v>307</v>
      </c>
      <c r="D11872" s="204">
        <v>-45000</v>
      </c>
      <c r="E11872" s="201">
        <v>45839</v>
      </c>
      <c r="F11872" s="200" t="s">
        <v>296</v>
      </c>
      <c r="G11872" s="200" t="s">
        <v>807</v>
      </c>
      <c r="H11872" s="200" t="s">
        <v>326</v>
      </c>
      <c r="I11872" s="200" t="s">
        <v>8690</v>
      </c>
    </row>
    <row r="11873" spans="1:9" ht="15" customHeight="1">
      <c r="A11873" s="199">
        <v>45832</v>
      </c>
      <c r="B11873" s="202" t="s">
        <v>1892</v>
      </c>
      <c r="C11873" s="200" t="s">
        <v>307</v>
      </c>
      <c r="D11873" s="204">
        <v>-14800</v>
      </c>
      <c r="E11873" s="201">
        <v>45839</v>
      </c>
      <c r="F11873" s="200" t="s">
        <v>296</v>
      </c>
      <c r="G11873" s="200" t="s">
        <v>807</v>
      </c>
      <c r="H11873" s="200" t="s">
        <v>326</v>
      </c>
      <c r="I11873" s="200" t="s">
        <v>8690</v>
      </c>
    </row>
    <row r="11874" spans="1:9" ht="15" customHeight="1">
      <c r="A11874" s="199">
        <v>45832</v>
      </c>
      <c r="B11874" s="202" t="s">
        <v>8694</v>
      </c>
      <c r="C11874" s="200" t="s">
        <v>307</v>
      </c>
      <c r="D11874" s="204">
        <v>-20000</v>
      </c>
      <c r="E11874" s="201">
        <v>45839</v>
      </c>
      <c r="F11874" s="200" t="s">
        <v>296</v>
      </c>
      <c r="G11874" s="200" t="s">
        <v>807</v>
      </c>
      <c r="H11874" s="200" t="s">
        <v>326</v>
      </c>
      <c r="I11874" s="200" t="s">
        <v>8690</v>
      </c>
    </row>
    <row r="11875" spans="1:9" ht="15" customHeight="1">
      <c r="A11875" s="199">
        <v>45832</v>
      </c>
      <c r="B11875" s="202" t="s">
        <v>8689</v>
      </c>
      <c r="C11875" s="200" t="s">
        <v>307</v>
      </c>
      <c r="D11875" s="204">
        <v>-100000</v>
      </c>
      <c r="E11875" s="201">
        <v>45839</v>
      </c>
      <c r="F11875" s="200" t="s">
        <v>296</v>
      </c>
      <c r="G11875" s="200" t="s">
        <v>807</v>
      </c>
      <c r="H11875" s="200" t="s">
        <v>326</v>
      </c>
      <c r="I11875" s="200" t="s">
        <v>8690</v>
      </c>
    </row>
    <row r="11876" spans="1:9" ht="15" customHeight="1">
      <c r="A11876" s="199">
        <v>45833</v>
      </c>
      <c r="B11876" s="202" t="s">
        <v>2637</v>
      </c>
      <c r="C11876" s="200" t="s">
        <v>307</v>
      </c>
      <c r="D11876" s="204">
        <v>-33000</v>
      </c>
      <c r="E11876" s="201">
        <v>45839</v>
      </c>
      <c r="F11876" s="200" t="s">
        <v>296</v>
      </c>
      <c r="G11876" s="200" t="s">
        <v>807</v>
      </c>
      <c r="H11876" s="200" t="s">
        <v>326</v>
      </c>
      <c r="I11876" s="200" t="s">
        <v>8690</v>
      </c>
    </row>
    <row r="11877" spans="1:9" ht="15" customHeight="1">
      <c r="A11877" s="199">
        <v>45833</v>
      </c>
      <c r="B11877" s="202" t="s">
        <v>8695</v>
      </c>
      <c r="C11877" s="200" t="s">
        <v>307</v>
      </c>
      <c r="D11877" s="204">
        <v>-48269</v>
      </c>
      <c r="E11877" s="201">
        <v>45839</v>
      </c>
      <c r="F11877" s="200" t="s">
        <v>296</v>
      </c>
      <c r="G11877" s="200" t="s">
        <v>807</v>
      </c>
      <c r="H11877" s="200" t="s">
        <v>429</v>
      </c>
      <c r="I11877" s="200" t="s">
        <v>8690</v>
      </c>
    </row>
    <row r="11878" spans="1:9" ht="15" customHeight="1">
      <c r="A11878" s="199">
        <v>45834</v>
      </c>
      <c r="B11878" s="202" t="s">
        <v>8696</v>
      </c>
      <c r="C11878" s="200" t="s">
        <v>307</v>
      </c>
      <c r="D11878" s="204">
        <v>-100000</v>
      </c>
      <c r="E11878" s="201">
        <v>45839</v>
      </c>
      <c r="F11878" s="200" t="s">
        <v>296</v>
      </c>
      <c r="G11878" s="200" t="s">
        <v>807</v>
      </c>
      <c r="H11878" s="200" t="s">
        <v>326</v>
      </c>
      <c r="I11878" s="200" t="s">
        <v>8690</v>
      </c>
    </row>
    <row r="11879" spans="1:9" ht="15" customHeight="1">
      <c r="A11879" s="199">
        <v>45834</v>
      </c>
      <c r="B11879" s="202" t="s">
        <v>8697</v>
      </c>
      <c r="C11879" s="200" t="s">
        <v>307</v>
      </c>
      <c r="D11879" s="204">
        <v>-100056</v>
      </c>
      <c r="E11879" s="201">
        <v>45839</v>
      </c>
      <c r="F11879" s="200" t="s">
        <v>296</v>
      </c>
      <c r="G11879" s="200" t="s">
        <v>807</v>
      </c>
      <c r="H11879" s="200" t="s">
        <v>326</v>
      </c>
      <c r="I11879" s="200" t="s">
        <v>8690</v>
      </c>
    </row>
    <row r="11880" spans="1:9" ht="15" customHeight="1">
      <c r="A11880" s="199">
        <v>45810</v>
      </c>
      <c r="B11880" s="202" t="s">
        <v>1890</v>
      </c>
      <c r="C11880" s="200" t="s">
        <v>307</v>
      </c>
      <c r="D11880" s="204">
        <v>-14800</v>
      </c>
      <c r="E11880" s="201">
        <v>45839</v>
      </c>
      <c r="F11880" s="200" t="s">
        <v>296</v>
      </c>
      <c r="G11880" s="200" t="s">
        <v>807</v>
      </c>
      <c r="H11880" s="200" t="s">
        <v>326</v>
      </c>
      <c r="I11880" s="200" t="s">
        <v>8690</v>
      </c>
    </row>
    <row r="11881" spans="1:9" ht="15" customHeight="1">
      <c r="A11881" s="199">
        <v>45811</v>
      </c>
      <c r="B11881" s="202" t="s">
        <v>1892</v>
      </c>
      <c r="C11881" s="200" t="s">
        <v>307</v>
      </c>
      <c r="D11881" s="204">
        <v>-14800</v>
      </c>
      <c r="E11881" s="201">
        <v>45839</v>
      </c>
      <c r="F11881" s="200" t="s">
        <v>296</v>
      </c>
      <c r="G11881" s="200" t="s">
        <v>807</v>
      </c>
      <c r="H11881" s="200" t="s">
        <v>326</v>
      </c>
      <c r="I11881" s="200" t="s">
        <v>8690</v>
      </c>
    </row>
    <row r="11882" spans="1:9" ht="15" customHeight="1">
      <c r="A11882" s="199">
        <v>45811</v>
      </c>
      <c r="B11882" s="202" t="s">
        <v>4294</v>
      </c>
      <c r="C11882" s="200" t="s">
        <v>307</v>
      </c>
      <c r="D11882" s="204">
        <v>-180006</v>
      </c>
      <c r="E11882" s="201">
        <v>45839</v>
      </c>
      <c r="F11882" s="200" t="s">
        <v>296</v>
      </c>
      <c r="G11882" s="200" t="s">
        <v>807</v>
      </c>
      <c r="H11882" s="200" t="s">
        <v>326</v>
      </c>
      <c r="I11882" s="200" t="s">
        <v>8690</v>
      </c>
    </row>
    <row r="11883" spans="1:9" ht="15" customHeight="1">
      <c r="A11883" s="199">
        <v>45811</v>
      </c>
      <c r="B11883" s="202" t="s">
        <v>2637</v>
      </c>
      <c r="C11883" s="200" t="s">
        <v>307</v>
      </c>
      <c r="D11883" s="204">
        <v>-40000</v>
      </c>
      <c r="E11883" s="201">
        <v>45839</v>
      </c>
      <c r="F11883" s="200" t="s">
        <v>296</v>
      </c>
      <c r="G11883" s="200" t="s">
        <v>807</v>
      </c>
      <c r="H11883" s="200" t="s">
        <v>326</v>
      </c>
      <c r="I11883" s="200" t="s">
        <v>8690</v>
      </c>
    </row>
    <row r="11884" spans="1:9" ht="15" customHeight="1">
      <c r="A11884" s="199">
        <v>45811</v>
      </c>
      <c r="B11884" s="202" t="s">
        <v>8698</v>
      </c>
      <c r="C11884" s="200" t="s">
        <v>307</v>
      </c>
      <c r="D11884" s="204">
        <v>-215000</v>
      </c>
      <c r="E11884" s="201">
        <v>45839</v>
      </c>
      <c r="F11884" s="200" t="s">
        <v>296</v>
      </c>
      <c r="G11884" s="200" t="s">
        <v>807</v>
      </c>
      <c r="H11884" s="200" t="s">
        <v>326</v>
      </c>
      <c r="I11884" s="200" t="s">
        <v>8690</v>
      </c>
    </row>
    <row r="11885" spans="1:9" ht="15" customHeight="1">
      <c r="A11885" s="199">
        <v>45811</v>
      </c>
      <c r="B11885" s="202" t="s">
        <v>1890</v>
      </c>
      <c r="C11885" s="200" t="s">
        <v>307</v>
      </c>
      <c r="D11885" s="204">
        <v>-14800</v>
      </c>
      <c r="E11885" s="201">
        <v>45839</v>
      </c>
      <c r="F11885" s="200" t="s">
        <v>296</v>
      </c>
      <c r="G11885" s="200" t="s">
        <v>807</v>
      </c>
      <c r="H11885" s="200" t="s">
        <v>326</v>
      </c>
      <c r="I11885" s="200" t="s">
        <v>8690</v>
      </c>
    </row>
    <row r="11886" spans="1:9" ht="15" customHeight="1">
      <c r="A11886" s="199">
        <v>45811</v>
      </c>
      <c r="B11886" s="202" t="s">
        <v>1892</v>
      </c>
      <c r="C11886" s="200" t="s">
        <v>307</v>
      </c>
      <c r="D11886" s="204">
        <v>-14800</v>
      </c>
      <c r="E11886" s="201">
        <v>45839</v>
      </c>
      <c r="F11886" s="200" t="s">
        <v>296</v>
      </c>
      <c r="G11886" s="200" t="s">
        <v>807</v>
      </c>
      <c r="H11886" s="200" t="s">
        <v>326</v>
      </c>
      <c r="I11886" s="200" t="s">
        <v>8690</v>
      </c>
    </row>
    <row r="11887" spans="1:9" ht="15" customHeight="1">
      <c r="A11887" s="199">
        <v>45811</v>
      </c>
      <c r="B11887" s="202" t="s">
        <v>8695</v>
      </c>
      <c r="C11887" s="200" t="s">
        <v>307</v>
      </c>
      <c r="D11887" s="204">
        <v>-58000</v>
      </c>
      <c r="E11887" s="201">
        <v>45839</v>
      </c>
      <c r="F11887" s="200" t="s">
        <v>296</v>
      </c>
      <c r="G11887" s="200" t="s">
        <v>807</v>
      </c>
      <c r="H11887" s="200" t="s">
        <v>429</v>
      </c>
      <c r="I11887" s="200" t="s">
        <v>8690</v>
      </c>
    </row>
    <row r="11888" spans="1:9" ht="15" customHeight="1">
      <c r="A11888" s="199">
        <v>45813</v>
      </c>
      <c r="B11888" s="202" t="s">
        <v>2637</v>
      </c>
      <c r="C11888" s="200" t="s">
        <v>307</v>
      </c>
      <c r="D11888" s="204">
        <v>-30000</v>
      </c>
      <c r="E11888" s="201">
        <v>45839</v>
      </c>
      <c r="F11888" s="200" t="s">
        <v>296</v>
      </c>
      <c r="G11888" s="200" t="s">
        <v>807</v>
      </c>
      <c r="H11888" s="200" t="s">
        <v>326</v>
      </c>
      <c r="I11888" s="200" t="s">
        <v>8690</v>
      </c>
    </row>
    <row r="11889" spans="1:9" ht="15" customHeight="1">
      <c r="A11889" s="199">
        <v>45813</v>
      </c>
      <c r="B11889" s="202" t="s">
        <v>8695</v>
      </c>
      <c r="C11889" s="200" t="s">
        <v>307</v>
      </c>
      <c r="D11889" s="204">
        <v>-50015</v>
      </c>
      <c r="E11889" s="201">
        <v>45839</v>
      </c>
      <c r="F11889" s="200" t="s">
        <v>296</v>
      </c>
      <c r="G11889" s="200" t="s">
        <v>807</v>
      </c>
      <c r="H11889" s="200" t="s">
        <v>429</v>
      </c>
      <c r="I11889" s="200" t="s">
        <v>8690</v>
      </c>
    </row>
    <row r="11890" spans="1:9" ht="15" customHeight="1">
      <c r="A11890" s="199">
        <v>45814</v>
      </c>
      <c r="B11890" s="202" t="s">
        <v>1890</v>
      </c>
      <c r="C11890" s="200" t="s">
        <v>307</v>
      </c>
      <c r="D11890" s="204">
        <v>-14800</v>
      </c>
      <c r="E11890" s="201">
        <v>45839</v>
      </c>
      <c r="F11890" s="200" t="s">
        <v>296</v>
      </c>
      <c r="G11890" s="200" t="s">
        <v>807</v>
      </c>
      <c r="H11890" s="200" t="s">
        <v>326</v>
      </c>
      <c r="I11890" s="200" t="s">
        <v>8690</v>
      </c>
    </row>
    <row r="11891" spans="1:9" ht="15" customHeight="1">
      <c r="A11891" s="199">
        <v>45817</v>
      </c>
      <c r="B11891" s="202" t="s">
        <v>1892</v>
      </c>
      <c r="C11891" s="200" t="s">
        <v>307</v>
      </c>
      <c r="D11891" s="204">
        <v>-14800</v>
      </c>
      <c r="E11891" s="201">
        <v>45839</v>
      </c>
      <c r="F11891" s="200" t="s">
        <v>296</v>
      </c>
      <c r="G11891" s="200" t="s">
        <v>807</v>
      </c>
      <c r="H11891" s="200" t="s">
        <v>326</v>
      </c>
      <c r="I11891" s="200" t="s">
        <v>8690</v>
      </c>
    </row>
    <row r="11892" spans="1:9" ht="15" customHeight="1">
      <c r="A11892" s="199">
        <v>45817</v>
      </c>
      <c r="B11892" s="202" t="s">
        <v>8699</v>
      </c>
      <c r="C11892" s="200" t="s">
        <v>307</v>
      </c>
      <c r="D11892" s="204">
        <v>-20000</v>
      </c>
      <c r="E11892" s="201">
        <v>45839</v>
      </c>
      <c r="F11892" s="200" t="s">
        <v>296</v>
      </c>
      <c r="G11892" s="200" t="s">
        <v>807</v>
      </c>
      <c r="H11892" s="200" t="s">
        <v>326</v>
      </c>
      <c r="I11892" s="200" t="s">
        <v>8690</v>
      </c>
    </row>
    <row r="11893" spans="1:9" ht="15" customHeight="1">
      <c r="A11893" s="199">
        <v>45817</v>
      </c>
      <c r="B11893" s="202" t="s">
        <v>8700</v>
      </c>
      <c r="C11893" s="200" t="s">
        <v>307</v>
      </c>
      <c r="D11893" s="204">
        <v>-20000</v>
      </c>
      <c r="E11893" s="201">
        <v>45839</v>
      </c>
      <c r="F11893" s="200" t="s">
        <v>296</v>
      </c>
      <c r="G11893" s="200" t="s">
        <v>807</v>
      </c>
      <c r="H11893" s="200" t="s">
        <v>326</v>
      </c>
      <c r="I11893" s="200" t="s">
        <v>8690</v>
      </c>
    </row>
    <row r="11894" spans="1:9" ht="15" customHeight="1">
      <c r="A11894" s="199">
        <v>45817</v>
      </c>
      <c r="B11894" s="202" t="s">
        <v>2637</v>
      </c>
      <c r="C11894" s="200" t="s">
        <v>307</v>
      </c>
      <c r="D11894" s="204">
        <v>-23000</v>
      </c>
      <c r="E11894" s="201">
        <v>45839</v>
      </c>
      <c r="F11894" s="200" t="s">
        <v>296</v>
      </c>
      <c r="G11894" s="200" t="s">
        <v>807</v>
      </c>
      <c r="H11894" s="200" t="s">
        <v>326</v>
      </c>
      <c r="I11894" s="200" t="s">
        <v>8690</v>
      </c>
    </row>
    <row r="11895" spans="1:9" ht="15" customHeight="1">
      <c r="A11895" s="199">
        <v>45817</v>
      </c>
      <c r="B11895" s="202" t="s">
        <v>8697</v>
      </c>
      <c r="C11895" s="200" t="s">
        <v>307</v>
      </c>
      <c r="D11895" s="204">
        <v>-60014</v>
      </c>
      <c r="E11895" s="201">
        <v>45839</v>
      </c>
      <c r="F11895" s="200" t="s">
        <v>296</v>
      </c>
      <c r="G11895" s="200" t="s">
        <v>807</v>
      </c>
      <c r="H11895" s="200" t="s">
        <v>326</v>
      </c>
      <c r="I11895" s="200" t="s">
        <v>8690</v>
      </c>
    </row>
    <row r="11896" spans="1:9" ht="15" customHeight="1">
      <c r="A11896" s="199">
        <v>45817</v>
      </c>
      <c r="B11896" s="202" t="s">
        <v>8701</v>
      </c>
      <c r="C11896" s="200" t="s">
        <v>307</v>
      </c>
      <c r="D11896" s="204">
        <v>-170000</v>
      </c>
      <c r="E11896" s="201">
        <v>45839</v>
      </c>
      <c r="F11896" s="200" t="s">
        <v>296</v>
      </c>
      <c r="G11896" s="200" t="s">
        <v>807</v>
      </c>
      <c r="H11896" s="200" t="s">
        <v>326</v>
      </c>
      <c r="I11896" s="200" t="s">
        <v>8690</v>
      </c>
    </row>
    <row r="11897" spans="1:9" ht="15" customHeight="1">
      <c r="A11897" s="199">
        <v>45819</v>
      </c>
      <c r="B11897" s="202" t="s">
        <v>2637</v>
      </c>
      <c r="C11897" s="200" t="s">
        <v>307</v>
      </c>
      <c r="D11897" s="204">
        <v>-23000</v>
      </c>
      <c r="E11897" s="201">
        <v>45839</v>
      </c>
      <c r="F11897" s="200" t="s">
        <v>296</v>
      </c>
      <c r="G11897" s="200" t="s">
        <v>807</v>
      </c>
      <c r="H11897" s="200" t="s">
        <v>326</v>
      </c>
      <c r="I11897" s="200" t="s">
        <v>8690</v>
      </c>
    </row>
    <row r="11898" spans="1:9" ht="15" customHeight="1">
      <c r="A11898" s="199">
        <v>45820</v>
      </c>
      <c r="B11898" s="202" t="s">
        <v>8697</v>
      </c>
      <c r="C11898" s="200" t="s">
        <v>307</v>
      </c>
      <c r="D11898" s="204">
        <v>-100010</v>
      </c>
      <c r="E11898" s="201">
        <v>45839</v>
      </c>
      <c r="F11898" s="200" t="s">
        <v>296</v>
      </c>
      <c r="G11898" s="200" t="s">
        <v>807</v>
      </c>
      <c r="H11898" s="200" t="s">
        <v>326</v>
      </c>
      <c r="I11898" s="200" t="s">
        <v>8690</v>
      </c>
    </row>
    <row r="11899" spans="1:9" ht="15" customHeight="1">
      <c r="A11899" s="199">
        <v>45820</v>
      </c>
      <c r="B11899" s="202" t="s">
        <v>8695</v>
      </c>
      <c r="C11899" s="200" t="s">
        <v>307</v>
      </c>
      <c r="D11899" s="204">
        <v>-40009</v>
      </c>
      <c r="E11899" s="201">
        <v>45839</v>
      </c>
      <c r="F11899" s="200" t="s">
        <v>296</v>
      </c>
      <c r="G11899" s="200" t="s">
        <v>807</v>
      </c>
      <c r="H11899" s="200" t="s">
        <v>429</v>
      </c>
      <c r="I11899" s="200" t="s">
        <v>8690</v>
      </c>
    </row>
    <row r="11900" spans="1:9" ht="15" customHeight="1">
      <c r="A11900" s="199">
        <v>45821</v>
      </c>
      <c r="B11900" s="202" t="s">
        <v>2637</v>
      </c>
      <c r="C11900" s="200" t="s">
        <v>307</v>
      </c>
      <c r="D11900" s="204">
        <v>-46000</v>
      </c>
      <c r="E11900" s="201">
        <v>45839</v>
      </c>
      <c r="F11900" s="200" t="s">
        <v>296</v>
      </c>
      <c r="G11900" s="200" t="s">
        <v>807</v>
      </c>
      <c r="H11900" s="200" t="s">
        <v>326</v>
      </c>
      <c r="I11900" s="200" t="s">
        <v>8690</v>
      </c>
    </row>
    <row r="11901" spans="1:9" ht="15" customHeight="1">
      <c r="A11901" s="199">
        <v>45822</v>
      </c>
      <c r="B11901" s="202" t="s">
        <v>1890</v>
      </c>
      <c r="C11901" s="200" t="s">
        <v>307</v>
      </c>
      <c r="D11901" s="204">
        <v>-14800</v>
      </c>
      <c r="E11901" s="201">
        <v>45839</v>
      </c>
      <c r="F11901" s="200" t="s">
        <v>296</v>
      </c>
      <c r="G11901" s="200" t="s">
        <v>807</v>
      </c>
      <c r="H11901" s="200" t="s">
        <v>326</v>
      </c>
      <c r="I11901" s="200" t="s">
        <v>8690</v>
      </c>
    </row>
    <row r="11902" spans="1:9" ht="15" customHeight="1">
      <c r="A11902" s="199">
        <v>45823</v>
      </c>
      <c r="B11902" s="202" t="s">
        <v>8697</v>
      </c>
      <c r="C11902" s="200" t="s">
        <v>307</v>
      </c>
      <c r="D11902" s="204">
        <v>-180058</v>
      </c>
      <c r="E11902" s="201">
        <v>45839</v>
      </c>
      <c r="F11902" s="200" t="s">
        <v>296</v>
      </c>
      <c r="G11902" s="200" t="s">
        <v>807</v>
      </c>
      <c r="H11902" s="200" t="s">
        <v>326</v>
      </c>
      <c r="I11902" s="200" t="s">
        <v>8690</v>
      </c>
    </row>
    <row r="11903" spans="1:9" ht="15" customHeight="1">
      <c r="A11903" s="199">
        <v>45824</v>
      </c>
      <c r="B11903" s="202" t="s">
        <v>1892</v>
      </c>
      <c r="C11903" s="200" t="s">
        <v>307</v>
      </c>
      <c r="D11903" s="204">
        <v>-14800</v>
      </c>
      <c r="E11903" s="201">
        <v>45839</v>
      </c>
      <c r="F11903" s="200" t="s">
        <v>296</v>
      </c>
      <c r="G11903" s="200" t="s">
        <v>807</v>
      </c>
      <c r="H11903" s="200" t="s">
        <v>326</v>
      </c>
      <c r="I11903" s="200" t="s">
        <v>8690</v>
      </c>
    </row>
    <row r="11904" spans="1:9" ht="15" customHeight="1">
      <c r="A11904" s="199">
        <v>45824</v>
      </c>
      <c r="B11904" s="202" t="s">
        <v>8702</v>
      </c>
      <c r="C11904" s="200" t="s">
        <v>307</v>
      </c>
      <c r="D11904" s="204">
        <v>-20000</v>
      </c>
      <c r="E11904" s="201">
        <v>45839</v>
      </c>
      <c r="F11904" s="200" t="s">
        <v>296</v>
      </c>
      <c r="G11904" s="200" t="s">
        <v>807</v>
      </c>
      <c r="H11904" s="200" t="s">
        <v>326</v>
      </c>
      <c r="I11904" s="200" t="s">
        <v>8690</v>
      </c>
    </row>
    <row r="11905" spans="1:9" ht="15" customHeight="1">
      <c r="A11905" s="199">
        <v>45824</v>
      </c>
      <c r="B11905" s="202" t="s">
        <v>8703</v>
      </c>
      <c r="C11905" s="200" t="s">
        <v>307</v>
      </c>
      <c r="D11905" s="204">
        <v>-20000</v>
      </c>
      <c r="E11905" s="201">
        <v>45839</v>
      </c>
      <c r="F11905" s="200" t="s">
        <v>296</v>
      </c>
      <c r="G11905" s="200" t="s">
        <v>807</v>
      </c>
      <c r="H11905" s="200" t="s">
        <v>326</v>
      </c>
      <c r="I11905" s="200" t="s">
        <v>8690</v>
      </c>
    </row>
    <row r="11906" spans="1:9" ht="15" customHeight="1">
      <c r="A11906" s="199">
        <v>45825</v>
      </c>
      <c r="B11906" s="202" t="s">
        <v>8695</v>
      </c>
      <c r="C11906" s="200" t="s">
        <v>307</v>
      </c>
      <c r="D11906" s="204">
        <v>-40008</v>
      </c>
      <c r="E11906" s="201">
        <v>45839</v>
      </c>
      <c r="F11906" s="200" t="s">
        <v>296</v>
      </c>
      <c r="G11906" s="200" t="s">
        <v>807</v>
      </c>
      <c r="H11906" s="200" t="s">
        <v>429</v>
      </c>
      <c r="I11906" s="200" t="s">
        <v>8690</v>
      </c>
    </row>
    <row r="11907" spans="1:9" ht="15" customHeight="1">
      <c r="A11907" s="199">
        <v>45813</v>
      </c>
      <c r="B11907" s="202" t="s">
        <v>8704</v>
      </c>
      <c r="C11907" s="200" t="s">
        <v>307</v>
      </c>
      <c r="D11907" s="204">
        <v>-10000</v>
      </c>
      <c r="E11907" s="201">
        <v>45839</v>
      </c>
      <c r="F11907" s="200" t="s">
        <v>296</v>
      </c>
      <c r="G11907" s="200" t="s">
        <v>522</v>
      </c>
      <c r="H11907" s="200" t="s">
        <v>488</v>
      </c>
      <c r="I11907" s="200" t="s">
        <v>8690</v>
      </c>
    </row>
    <row r="11908" spans="1:9" ht="15" customHeight="1">
      <c r="A11908" s="199">
        <v>45817</v>
      </c>
      <c r="B11908" s="202" t="s">
        <v>8705</v>
      </c>
      <c r="C11908" s="200" t="s">
        <v>307</v>
      </c>
      <c r="D11908" s="204">
        <v>-497500</v>
      </c>
      <c r="E11908" s="201">
        <v>45839</v>
      </c>
      <c r="F11908" s="200" t="s">
        <v>296</v>
      </c>
      <c r="G11908" s="200" t="s">
        <v>522</v>
      </c>
      <c r="H11908" s="200" t="s">
        <v>488</v>
      </c>
      <c r="I11908" s="200" t="s">
        <v>8690</v>
      </c>
    </row>
    <row r="11909" spans="1:9" ht="15" customHeight="1">
      <c r="A11909" s="199">
        <v>45826</v>
      </c>
      <c r="B11909" s="202" t="s">
        <v>8706</v>
      </c>
      <c r="C11909" s="200" t="s">
        <v>307</v>
      </c>
      <c r="D11909" s="204">
        <v>-234000</v>
      </c>
      <c r="E11909" s="201">
        <v>45839</v>
      </c>
      <c r="F11909" s="200" t="s">
        <v>296</v>
      </c>
      <c r="G11909" s="200" t="s">
        <v>522</v>
      </c>
      <c r="H11909" s="200" t="s">
        <v>488</v>
      </c>
      <c r="I11909" s="200" t="s">
        <v>8690</v>
      </c>
    </row>
    <row r="11910" spans="1:9" ht="15" customHeight="1">
      <c r="A11910" s="199">
        <v>45826</v>
      </c>
      <c r="B11910" s="202" t="s">
        <v>2970</v>
      </c>
      <c r="C11910" s="200" t="s">
        <v>307</v>
      </c>
      <c r="D11910" s="204">
        <v>-20000</v>
      </c>
      <c r="E11910" s="201">
        <v>45839</v>
      </c>
      <c r="F11910" s="200" t="s">
        <v>296</v>
      </c>
      <c r="G11910" s="200" t="s">
        <v>522</v>
      </c>
      <c r="H11910" s="200" t="s">
        <v>326</v>
      </c>
      <c r="I11910" s="648" t="s">
        <v>329</v>
      </c>
    </row>
    <row r="11911" spans="1:9" ht="15" customHeight="1">
      <c r="A11911" s="199">
        <v>45839</v>
      </c>
      <c r="B11911" s="202" t="s">
        <v>8707</v>
      </c>
      <c r="C11911" s="200" t="s">
        <v>204</v>
      </c>
      <c r="D11911" s="896">
        <v>-3856749</v>
      </c>
      <c r="E11911" s="201">
        <v>45839</v>
      </c>
      <c r="F11911" s="200" t="s">
        <v>298</v>
      </c>
    </row>
    <row r="11912" spans="1:9" ht="15" customHeight="1">
      <c r="A11912" s="199">
        <v>45839</v>
      </c>
      <c r="B11912" s="202" t="s">
        <v>8707</v>
      </c>
      <c r="C11912" s="200" t="s">
        <v>204</v>
      </c>
      <c r="D11912" s="896">
        <v>-1129522</v>
      </c>
      <c r="E11912" s="201">
        <v>45839</v>
      </c>
      <c r="F11912" s="200" t="s">
        <v>315</v>
      </c>
    </row>
    <row r="11913" spans="1:9" ht="15" customHeight="1">
      <c r="A11913" s="199">
        <v>45840</v>
      </c>
      <c r="B11913" s="202" t="s">
        <v>8708</v>
      </c>
      <c r="C11913" s="200" t="s">
        <v>204</v>
      </c>
      <c r="D11913" s="896">
        <v>800000</v>
      </c>
      <c r="E11913" s="201">
        <v>45839</v>
      </c>
      <c r="F11913" s="200" t="s">
        <v>296</v>
      </c>
      <c r="G11913" s="200" t="s">
        <v>57</v>
      </c>
    </row>
    <row r="11914" spans="1:9" ht="15" customHeight="1">
      <c r="A11914" s="199">
        <v>45841</v>
      </c>
      <c r="B11914" s="202" t="s">
        <v>8709</v>
      </c>
      <c r="C11914" s="200" t="s">
        <v>204</v>
      </c>
      <c r="D11914" s="896">
        <v>800000</v>
      </c>
      <c r="E11914" s="201">
        <v>45839</v>
      </c>
      <c r="F11914" s="200" t="s">
        <v>296</v>
      </c>
      <c r="G11914" s="200" t="s">
        <v>57</v>
      </c>
    </row>
    <row r="11915" spans="1:9" ht="15" customHeight="1">
      <c r="A11915" s="199">
        <v>45840</v>
      </c>
      <c r="B11915" s="202" t="s">
        <v>8519</v>
      </c>
      <c r="C11915" s="200" t="s">
        <v>204</v>
      </c>
      <c r="D11915" s="896">
        <v>507000</v>
      </c>
      <c r="E11915" s="201">
        <v>45839</v>
      </c>
      <c r="F11915" s="200" t="s">
        <v>295</v>
      </c>
    </row>
    <row r="11916" spans="1:9" ht="15" customHeight="1">
      <c r="A11916" s="199">
        <v>45839</v>
      </c>
      <c r="B11916" s="202" t="s">
        <v>313</v>
      </c>
      <c r="C11916" s="200" t="s">
        <v>314</v>
      </c>
      <c r="D11916" s="204">
        <v>-11111111</v>
      </c>
      <c r="E11916" s="201">
        <v>45839</v>
      </c>
      <c r="F11916" s="200" t="s">
        <v>298</v>
      </c>
    </row>
    <row r="11917" spans="1:9" ht="15" customHeight="1">
      <c r="A11917" s="199">
        <v>45839</v>
      </c>
      <c r="B11917" s="202" t="s">
        <v>313</v>
      </c>
      <c r="C11917" s="200" t="s">
        <v>314</v>
      </c>
      <c r="D11917" s="204">
        <v>-2503349</v>
      </c>
      <c r="E11917" s="201">
        <v>45839</v>
      </c>
      <c r="F11917" s="200" t="s">
        <v>315</v>
      </c>
    </row>
    <row r="11918" spans="1:9" ht="15" customHeight="1">
      <c r="A11918" s="199">
        <v>45839</v>
      </c>
      <c r="B11918" s="202" t="s">
        <v>8710</v>
      </c>
      <c r="C11918" s="200" t="s">
        <v>314</v>
      </c>
      <c r="D11918" s="204">
        <v>1224891</v>
      </c>
      <c r="E11918" s="201">
        <v>45839</v>
      </c>
      <c r="F11918" s="200" t="s">
        <v>295</v>
      </c>
    </row>
    <row r="11919" spans="1:9" ht="15" customHeight="1">
      <c r="A11919" s="199">
        <v>45839</v>
      </c>
      <c r="B11919" s="202" t="s">
        <v>8711</v>
      </c>
      <c r="C11919" s="200" t="s">
        <v>136</v>
      </c>
      <c r="D11919" s="204">
        <v>1480794</v>
      </c>
      <c r="E11919" s="201">
        <v>45839</v>
      </c>
      <c r="F11919" s="200" t="s">
        <v>295</v>
      </c>
    </row>
    <row r="11920" spans="1:9" ht="15" customHeight="1">
      <c r="A11920" s="199">
        <v>45827</v>
      </c>
      <c r="B11920" s="202" t="s">
        <v>8712</v>
      </c>
      <c r="C11920" s="200" t="s">
        <v>307</v>
      </c>
      <c r="D11920" s="204">
        <v>-25000</v>
      </c>
      <c r="E11920" s="201">
        <v>45839</v>
      </c>
      <c r="F11920" s="200" t="s">
        <v>256</v>
      </c>
      <c r="G11920" s="200" t="s">
        <v>107</v>
      </c>
      <c r="H11920" s="200" t="s">
        <v>277</v>
      </c>
    </row>
    <row r="11921" spans="1:9" ht="15" customHeight="1">
      <c r="A11921" s="199">
        <v>45833</v>
      </c>
      <c r="B11921" s="202" t="s">
        <v>1740</v>
      </c>
      <c r="C11921" s="200" t="s">
        <v>307</v>
      </c>
      <c r="D11921" s="204">
        <v>-65000</v>
      </c>
      <c r="E11921" s="201">
        <v>45839</v>
      </c>
      <c r="F11921" s="200" t="s">
        <v>256</v>
      </c>
      <c r="G11921" s="200" t="s">
        <v>107</v>
      </c>
      <c r="H11921" s="200" t="s">
        <v>277</v>
      </c>
    </row>
    <row r="11922" spans="1:9" ht="15" customHeight="1">
      <c r="A11922" s="199">
        <v>45833</v>
      </c>
      <c r="B11922" s="202" t="s">
        <v>8713</v>
      </c>
      <c r="C11922" s="200" t="s">
        <v>307</v>
      </c>
      <c r="D11922" s="204">
        <v>-14000</v>
      </c>
      <c r="E11922" s="201">
        <v>45839</v>
      </c>
      <c r="F11922" s="200" t="s">
        <v>256</v>
      </c>
      <c r="G11922" s="200" t="s">
        <v>107</v>
      </c>
      <c r="H11922" s="200" t="s">
        <v>277</v>
      </c>
    </row>
    <row r="11923" spans="1:9" ht="15" customHeight="1">
      <c r="A11923" s="199">
        <v>45833</v>
      </c>
      <c r="B11923" s="202" t="s">
        <v>8713</v>
      </c>
      <c r="C11923" s="200" t="s">
        <v>307</v>
      </c>
      <c r="D11923" s="204">
        <v>-17000</v>
      </c>
      <c r="E11923" s="201">
        <v>45839</v>
      </c>
      <c r="F11923" s="200" t="s">
        <v>256</v>
      </c>
      <c r="G11923" s="200" t="s">
        <v>107</v>
      </c>
      <c r="H11923" s="200" t="s">
        <v>277</v>
      </c>
    </row>
    <row r="11924" spans="1:9" ht="15" customHeight="1">
      <c r="A11924" s="199">
        <v>45833</v>
      </c>
      <c r="B11924" s="202" t="s">
        <v>1743</v>
      </c>
      <c r="C11924" s="200" t="s">
        <v>307</v>
      </c>
      <c r="D11924" s="204">
        <v>-39500</v>
      </c>
      <c r="E11924" s="201">
        <v>45839</v>
      </c>
      <c r="F11924" s="200" t="s">
        <v>256</v>
      </c>
      <c r="G11924" s="200" t="s">
        <v>107</v>
      </c>
      <c r="H11924" s="200" t="s">
        <v>277</v>
      </c>
    </row>
    <row r="11925" spans="1:9" ht="15" customHeight="1">
      <c r="A11925" s="199">
        <v>45834</v>
      </c>
      <c r="B11925" s="202" t="s">
        <v>8713</v>
      </c>
      <c r="C11925" s="200" t="s">
        <v>307</v>
      </c>
      <c r="D11925" s="204">
        <v>-9500</v>
      </c>
      <c r="E11925" s="201">
        <v>45839</v>
      </c>
      <c r="F11925" s="200" t="s">
        <v>256</v>
      </c>
      <c r="G11925" s="200" t="s">
        <v>107</v>
      </c>
      <c r="H11925" s="200" t="s">
        <v>277</v>
      </c>
    </row>
    <row r="11926" spans="1:9" ht="15" customHeight="1">
      <c r="A11926" s="199">
        <v>45834</v>
      </c>
      <c r="B11926" s="202" t="s">
        <v>1419</v>
      </c>
      <c r="C11926" s="200" t="s">
        <v>307</v>
      </c>
      <c r="D11926" s="204">
        <v>-120000</v>
      </c>
      <c r="E11926" s="201">
        <v>45839</v>
      </c>
      <c r="F11926" s="200" t="s">
        <v>256</v>
      </c>
      <c r="G11926" s="200" t="s">
        <v>107</v>
      </c>
      <c r="H11926" s="200" t="s">
        <v>277</v>
      </c>
    </row>
    <row r="11927" spans="1:9" ht="15" customHeight="1">
      <c r="A11927" s="199">
        <v>45825</v>
      </c>
      <c r="B11927" s="202" t="s">
        <v>8714</v>
      </c>
      <c r="C11927" s="200" t="s">
        <v>307</v>
      </c>
      <c r="D11927" s="204">
        <v>-25000</v>
      </c>
      <c r="E11927" s="201">
        <v>45839</v>
      </c>
      <c r="F11927" s="200" t="s">
        <v>297</v>
      </c>
      <c r="G11927" s="200" t="s">
        <v>3892</v>
      </c>
      <c r="H11927" s="200" t="s">
        <v>268</v>
      </c>
      <c r="I11927" s="200" t="s">
        <v>4979</v>
      </c>
    </row>
    <row r="11928" spans="1:9" ht="15" customHeight="1">
      <c r="A11928" s="199">
        <v>45825</v>
      </c>
      <c r="B11928" s="202" t="s">
        <v>7247</v>
      </c>
      <c r="C11928" s="200" t="s">
        <v>307</v>
      </c>
      <c r="D11928" s="204">
        <v>-40000</v>
      </c>
      <c r="E11928" s="201">
        <v>45839</v>
      </c>
      <c r="F11928" s="200" t="s">
        <v>297</v>
      </c>
      <c r="G11928" s="200" t="s">
        <v>3892</v>
      </c>
      <c r="H11928" s="200" t="s">
        <v>268</v>
      </c>
      <c r="I11928" s="200" t="s">
        <v>4979</v>
      </c>
    </row>
    <row r="11929" spans="1:9" ht="15" customHeight="1">
      <c r="A11929" s="199">
        <v>45827</v>
      </c>
      <c r="B11929" s="202" t="s">
        <v>2773</v>
      </c>
      <c r="C11929" s="200" t="s">
        <v>307</v>
      </c>
      <c r="D11929" s="204">
        <v>-25000</v>
      </c>
      <c r="E11929" s="201">
        <v>45839</v>
      </c>
      <c r="F11929" s="200" t="s">
        <v>296</v>
      </c>
      <c r="G11929" s="200" t="s">
        <v>1362</v>
      </c>
      <c r="H11929" s="200" t="s">
        <v>268</v>
      </c>
      <c r="I11929" s="200" t="s">
        <v>4979</v>
      </c>
    </row>
    <row r="11930" spans="1:9" ht="15" customHeight="1">
      <c r="A11930" s="199">
        <v>45827</v>
      </c>
      <c r="B11930" s="202" t="s">
        <v>8715</v>
      </c>
      <c r="C11930" s="200" t="s">
        <v>307</v>
      </c>
      <c r="D11930" s="204">
        <v>-20000</v>
      </c>
      <c r="E11930" s="201">
        <v>45839</v>
      </c>
      <c r="F11930" s="200" t="s">
        <v>296</v>
      </c>
      <c r="G11930" s="200" t="s">
        <v>1362</v>
      </c>
      <c r="H11930" s="200" t="s">
        <v>268</v>
      </c>
      <c r="I11930" s="200" t="s">
        <v>4979</v>
      </c>
    </row>
    <row r="11931" spans="1:9" ht="15" customHeight="1">
      <c r="A11931" s="199">
        <v>45827</v>
      </c>
      <c r="B11931" s="202" t="s">
        <v>8716</v>
      </c>
      <c r="C11931" s="200" t="s">
        <v>307</v>
      </c>
      <c r="D11931" s="204">
        <v>-18000</v>
      </c>
      <c r="E11931" s="201">
        <v>45839</v>
      </c>
      <c r="F11931" s="200" t="s">
        <v>296</v>
      </c>
      <c r="G11931" s="200" t="s">
        <v>1362</v>
      </c>
      <c r="H11931" s="200" t="s">
        <v>268</v>
      </c>
      <c r="I11931" s="200" t="s">
        <v>4979</v>
      </c>
    </row>
    <row r="11932" spans="1:9" ht="15" customHeight="1">
      <c r="A11932" s="199">
        <v>45827</v>
      </c>
      <c r="B11932" s="202" t="s">
        <v>8717</v>
      </c>
      <c r="C11932" s="200" t="s">
        <v>307</v>
      </c>
      <c r="D11932" s="204">
        <v>-25000</v>
      </c>
      <c r="E11932" s="201">
        <v>45839</v>
      </c>
      <c r="F11932" s="200" t="s">
        <v>296</v>
      </c>
      <c r="G11932" s="200" t="s">
        <v>1362</v>
      </c>
      <c r="H11932" s="200" t="s">
        <v>268</v>
      </c>
      <c r="I11932" s="200" t="s">
        <v>4979</v>
      </c>
    </row>
    <row r="11933" spans="1:9" ht="15" customHeight="1">
      <c r="A11933" s="199">
        <v>45827</v>
      </c>
      <c r="B11933" s="202" t="s">
        <v>8715</v>
      </c>
      <c r="C11933" s="200" t="s">
        <v>307</v>
      </c>
      <c r="D11933" s="204">
        <v>-20000</v>
      </c>
      <c r="E11933" s="201">
        <v>45839</v>
      </c>
      <c r="F11933" s="200" t="s">
        <v>296</v>
      </c>
      <c r="G11933" s="200" t="s">
        <v>1362</v>
      </c>
      <c r="H11933" s="200" t="s">
        <v>342</v>
      </c>
      <c r="I11933" s="200" t="s">
        <v>4979</v>
      </c>
    </row>
    <row r="11934" spans="1:9" ht="15" customHeight="1">
      <c r="A11934" s="199">
        <v>45827</v>
      </c>
      <c r="B11934" s="202" t="s">
        <v>8718</v>
      </c>
      <c r="C11934" s="200" t="s">
        <v>307</v>
      </c>
      <c r="D11934" s="204">
        <v>-16800</v>
      </c>
      <c r="E11934" s="201">
        <v>45839</v>
      </c>
      <c r="F11934" s="200" t="s">
        <v>296</v>
      </c>
      <c r="G11934" s="200" t="s">
        <v>1362</v>
      </c>
      <c r="H11934" s="200" t="s">
        <v>342</v>
      </c>
      <c r="I11934" s="200" t="s">
        <v>4979</v>
      </c>
    </row>
    <row r="11935" spans="1:9" ht="15" customHeight="1">
      <c r="A11935" s="199">
        <v>45827</v>
      </c>
      <c r="B11935" s="202" t="s">
        <v>8719</v>
      </c>
      <c r="C11935" s="200" t="s">
        <v>307</v>
      </c>
      <c r="D11935" s="204">
        <v>-25000</v>
      </c>
      <c r="E11935" s="201">
        <v>45839</v>
      </c>
      <c r="F11935" s="200" t="s">
        <v>296</v>
      </c>
      <c r="G11935" s="200" t="s">
        <v>1362</v>
      </c>
      <c r="H11935" s="200" t="s">
        <v>268</v>
      </c>
      <c r="I11935" s="648" t="s">
        <v>329</v>
      </c>
    </row>
    <row r="11936" spans="1:9" ht="15" customHeight="1">
      <c r="A11936" s="199">
        <v>45832</v>
      </c>
      <c r="B11936" s="202" t="s">
        <v>8720</v>
      </c>
      <c r="C11936" s="200" t="s">
        <v>307</v>
      </c>
      <c r="D11936" s="204">
        <v>-60000</v>
      </c>
      <c r="E11936" s="201">
        <v>45839</v>
      </c>
      <c r="F11936" s="200" t="s">
        <v>297</v>
      </c>
      <c r="G11936" s="200" t="s">
        <v>3892</v>
      </c>
      <c r="H11936" s="200" t="s">
        <v>5384</v>
      </c>
      <c r="I11936" s="200" t="s">
        <v>4979</v>
      </c>
    </row>
    <row r="11937" spans="1:9" ht="15" customHeight="1">
      <c r="A11937" s="199">
        <v>45833</v>
      </c>
      <c r="B11937" s="202" t="s">
        <v>8721</v>
      </c>
      <c r="C11937" s="200" t="s">
        <v>307</v>
      </c>
      <c r="D11937" s="204">
        <v>-25000</v>
      </c>
      <c r="E11937" s="201">
        <v>45839</v>
      </c>
      <c r="F11937" s="200" t="s">
        <v>297</v>
      </c>
      <c r="G11937" s="200" t="s">
        <v>3892</v>
      </c>
      <c r="H11937" s="200" t="s">
        <v>268</v>
      </c>
      <c r="I11937" s="200" t="s">
        <v>4979</v>
      </c>
    </row>
    <row r="11938" spans="1:9" ht="15" customHeight="1">
      <c r="A11938" s="199">
        <v>45833</v>
      </c>
      <c r="B11938" s="202" t="s">
        <v>8721</v>
      </c>
      <c r="C11938" s="200" t="s">
        <v>307</v>
      </c>
      <c r="D11938" s="204">
        <v>-25000</v>
      </c>
      <c r="E11938" s="201">
        <v>45839</v>
      </c>
      <c r="F11938" s="200" t="s">
        <v>297</v>
      </c>
      <c r="G11938" s="200" t="s">
        <v>3892</v>
      </c>
      <c r="H11938" s="200" t="s">
        <v>268</v>
      </c>
      <c r="I11938" s="200" t="s">
        <v>4979</v>
      </c>
    </row>
    <row r="11939" spans="1:9" ht="15" customHeight="1">
      <c r="A11939" s="199">
        <v>45834</v>
      </c>
      <c r="B11939" s="202" t="s">
        <v>7247</v>
      </c>
      <c r="C11939" s="200" t="s">
        <v>307</v>
      </c>
      <c r="D11939" s="204">
        <v>-32000</v>
      </c>
      <c r="E11939" s="201">
        <v>45839</v>
      </c>
      <c r="F11939" s="200" t="s">
        <v>297</v>
      </c>
      <c r="G11939" s="200" t="s">
        <v>3892</v>
      </c>
      <c r="H11939" s="200" t="s">
        <v>268</v>
      </c>
      <c r="I11939" s="200" t="s">
        <v>4979</v>
      </c>
    </row>
    <row r="11940" spans="1:9" ht="15" customHeight="1">
      <c r="A11940" s="199">
        <v>45834</v>
      </c>
      <c r="B11940" s="202" t="s">
        <v>8722</v>
      </c>
      <c r="C11940" s="200" t="s">
        <v>307</v>
      </c>
      <c r="D11940" s="204">
        <v>-7000</v>
      </c>
      <c r="E11940" s="201">
        <v>45839</v>
      </c>
      <c r="F11940" s="200" t="s">
        <v>297</v>
      </c>
      <c r="G11940" s="200" t="s">
        <v>3892</v>
      </c>
      <c r="H11940" s="200" t="s">
        <v>5384</v>
      </c>
      <c r="I11940" s="200" t="s">
        <v>4979</v>
      </c>
    </row>
    <row r="11941" spans="1:9" ht="15" customHeight="1">
      <c r="A11941" s="199">
        <v>45834</v>
      </c>
      <c r="B11941" s="202" t="s">
        <v>8723</v>
      </c>
      <c r="C11941" s="200" t="s">
        <v>307</v>
      </c>
      <c r="D11941" s="204">
        <v>-67000</v>
      </c>
      <c r="E11941" s="201">
        <v>45839</v>
      </c>
      <c r="F11941" s="200" t="s">
        <v>297</v>
      </c>
      <c r="G11941" s="200" t="s">
        <v>3892</v>
      </c>
      <c r="H11941" s="200" t="s">
        <v>5384</v>
      </c>
      <c r="I11941" s="200" t="s">
        <v>4979</v>
      </c>
    </row>
    <row r="11942" spans="1:9" ht="15" customHeight="1">
      <c r="A11942" s="199">
        <v>45834</v>
      </c>
      <c r="B11942" s="202" t="s">
        <v>268</v>
      </c>
      <c r="C11942" s="200" t="s">
        <v>307</v>
      </c>
      <c r="D11942" s="204">
        <v>-24000</v>
      </c>
      <c r="E11942" s="201">
        <v>45839</v>
      </c>
      <c r="F11942" s="200" t="s">
        <v>297</v>
      </c>
      <c r="G11942" s="200" t="s">
        <v>3892</v>
      </c>
      <c r="H11942" s="200" t="s">
        <v>268</v>
      </c>
      <c r="I11942" s="200" t="s">
        <v>4979</v>
      </c>
    </row>
    <row r="11943" spans="1:9" ht="15" customHeight="1">
      <c r="A11943" s="199">
        <v>45834</v>
      </c>
      <c r="B11943" s="202" t="s">
        <v>8724</v>
      </c>
      <c r="C11943" s="200" t="s">
        <v>307</v>
      </c>
      <c r="D11943" s="204">
        <v>-60000</v>
      </c>
      <c r="E11943" s="201">
        <v>45839</v>
      </c>
      <c r="F11943" s="200" t="s">
        <v>296</v>
      </c>
      <c r="G11943" s="200" t="s">
        <v>3360</v>
      </c>
      <c r="H11943" s="200" t="s">
        <v>268</v>
      </c>
      <c r="I11943" s="200" t="s">
        <v>4979</v>
      </c>
    </row>
    <row r="11944" spans="1:9" ht="15" customHeight="1">
      <c r="A11944" s="199">
        <v>45834</v>
      </c>
      <c r="B11944" s="202" t="s">
        <v>8725</v>
      </c>
      <c r="C11944" s="200" t="s">
        <v>307</v>
      </c>
      <c r="D11944" s="204">
        <v>-15000</v>
      </c>
      <c r="E11944" s="201">
        <v>45839</v>
      </c>
      <c r="F11944" s="200" t="s">
        <v>296</v>
      </c>
      <c r="G11944" s="200" t="s">
        <v>3360</v>
      </c>
      <c r="H11944" s="200" t="s">
        <v>342</v>
      </c>
      <c r="I11944" s="200" t="s">
        <v>4979</v>
      </c>
    </row>
    <row r="11945" spans="1:9" ht="15" customHeight="1">
      <c r="A11945" s="199">
        <v>45834</v>
      </c>
      <c r="B11945" s="202" t="s">
        <v>8724</v>
      </c>
      <c r="C11945" s="200" t="s">
        <v>307</v>
      </c>
      <c r="D11945" s="204">
        <v>-56000</v>
      </c>
      <c r="E11945" s="201">
        <v>45839</v>
      </c>
      <c r="F11945" s="200" t="s">
        <v>296</v>
      </c>
      <c r="G11945" s="200" t="s">
        <v>3360</v>
      </c>
      <c r="H11945" s="200" t="s">
        <v>268</v>
      </c>
      <c r="I11945" s="200" t="s">
        <v>4979</v>
      </c>
    </row>
    <row r="11946" spans="1:9" ht="15" customHeight="1">
      <c r="A11946" s="199">
        <v>45834</v>
      </c>
      <c r="B11946" s="202" t="s">
        <v>268</v>
      </c>
      <c r="C11946" s="200" t="s">
        <v>307</v>
      </c>
      <c r="D11946" s="204">
        <v>-35000</v>
      </c>
      <c r="E11946" s="201">
        <v>45839</v>
      </c>
      <c r="F11946" s="200" t="s">
        <v>296</v>
      </c>
      <c r="G11946" s="200" t="s">
        <v>3360</v>
      </c>
      <c r="H11946" s="200" t="s">
        <v>268</v>
      </c>
      <c r="I11946" s="200" t="s">
        <v>4979</v>
      </c>
    </row>
    <row r="11947" spans="1:9" ht="15" customHeight="1">
      <c r="A11947" s="199">
        <v>45834</v>
      </c>
      <c r="B11947" s="202" t="s">
        <v>8726</v>
      </c>
      <c r="C11947" s="200" t="s">
        <v>307</v>
      </c>
      <c r="D11947" s="204">
        <v>-40000</v>
      </c>
      <c r="E11947" s="201">
        <v>45839</v>
      </c>
      <c r="F11947" s="200" t="s">
        <v>296</v>
      </c>
      <c r="G11947" s="200" t="s">
        <v>3360</v>
      </c>
      <c r="H11947" s="200" t="s">
        <v>268</v>
      </c>
      <c r="I11947" s="200" t="s">
        <v>4979</v>
      </c>
    </row>
    <row r="11948" spans="1:9" ht="15" customHeight="1">
      <c r="A11948" s="199">
        <v>45834</v>
      </c>
      <c r="B11948" s="202" t="s">
        <v>8727</v>
      </c>
      <c r="C11948" s="200" t="s">
        <v>307</v>
      </c>
      <c r="D11948" s="204">
        <v>-25400</v>
      </c>
      <c r="E11948" s="201">
        <v>45839</v>
      </c>
      <c r="F11948" s="200" t="s">
        <v>296</v>
      </c>
      <c r="G11948" s="200" t="s">
        <v>3360</v>
      </c>
      <c r="H11948" s="200" t="s">
        <v>268</v>
      </c>
      <c r="I11948" s="200" t="s">
        <v>4979</v>
      </c>
    </row>
    <row r="11949" spans="1:9" ht="15" customHeight="1">
      <c r="A11949" s="199">
        <v>45834</v>
      </c>
      <c r="B11949" s="202" t="s">
        <v>8728</v>
      </c>
      <c r="C11949" s="200" t="s">
        <v>307</v>
      </c>
      <c r="D11949" s="204">
        <v>-14000</v>
      </c>
      <c r="E11949" s="201">
        <v>45839</v>
      </c>
      <c r="F11949" s="200" t="s">
        <v>296</v>
      </c>
      <c r="G11949" s="200" t="s">
        <v>3360</v>
      </c>
      <c r="H11949" s="200" t="s">
        <v>342</v>
      </c>
      <c r="I11949" s="200" t="s">
        <v>4979</v>
      </c>
    </row>
    <row r="11950" spans="1:9" ht="15" customHeight="1">
      <c r="A11950" s="199">
        <v>45834</v>
      </c>
      <c r="B11950" s="202" t="s">
        <v>2773</v>
      </c>
      <c r="C11950" s="200" t="s">
        <v>307</v>
      </c>
      <c r="D11950" s="204">
        <v>-22000</v>
      </c>
      <c r="E11950" s="201">
        <v>45839</v>
      </c>
      <c r="F11950" s="200" t="s">
        <v>296</v>
      </c>
      <c r="G11950" s="200" t="s">
        <v>3360</v>
      </c>
      <c r="H11950" s="200" t="s">
        <v>268</v>
      </c>
      <c r="I11950" s="200" t="s">
        <v>4979</v>
      </c>
    </row>
    <row r="11951" spans="1:9" ht="15" customHeight="1">
      <c r="A11951" s="199">
        <v>45834</v>
      </c>
      <c r="B11951" s="202" t="s">
        <v>7242</v>
      </c>
      <c r="C11951" s="200" t="s">
        <v>307</v>
      </c>
      <c r="D11951" s="204">
        <v>-20000</v>
      </c>
      <c r="E11951" s="201">
        <v>45839</v>
      </c>
      <c r="F11951" s="200" t="s">
        <v>297</v>
      </c>
      <c r="G11951" s="200" t="s">
        <v>3892</v>
      </c>
      <c r="H11951" s="200" t="s">
        <v>268</v>
      </c>
      <c r="I11951" s="648" t="s">
        <v>329</v>
      </c>
    </row>
    <row r="11952" spans="1:9" ht="15" customHeight="1">
      <c r="A11952" s="199">
        <v>45834</v>
      </c>
      <c r="B11952" s="202" t="s">
        <v>8729</v>
      </c>
      <c r="C11952" s="200" t="s">
        <v>307</v>
      </c>
      <c r="D11952" s="204">
        <v>-25000</v>
      </c>
      <c r="E11952" s="201">
        <v>45839</v>
      </c>
      <c r="F11952" s="200" t="s">
        <v>296</v>
      </c>
      <c r="G11952" s="200" t="s">
        <v>3360</v>
      </c>
      <c r="H11952" s="200" t="s">
        <v>268</v>
      </c>
      <c r="I11952" s="200" t="s">
        <v>4979</v>
      </c>
    </row>
    <row r="11953" spans="1:9" ht="15" customHeight="1">
      <c r="A11953" s="199">
        <v>45834</v>
      </c>
      <c r="B11953" s="202" t="s">
        <v>8730</v>
      </c>
      <c r="C11953" s="200" t="s">
        <v>307</v>
      </c>
      <c r="D11953" s="204">
        <v>-32000</v>
      </c>
      <c r="E11953" s="201">
        <v>45839</v>
      </c>
      <c r="F11953" s="200" t="s">
        <v>296</v>
      </c>
      <c r="G11953" s="200" t="s">
        <v>3360</v>
      </c>
      <c r="H11953" s="200" t="s">
        <v>268</v>
      </c>
      <c r="I11953" s="200" t="s">
        <v>4979</v>
      </c>
    </row>
    <row r="11954" spans="1:9" ht="15" customHeight="1">
      <c r="A11954" s="199">
        <v>45834</v>
      </c>
      <c r="B11954" s="202" t="s">
        <v>8731</v>
      </c>
      <c r="C11954" s="200" t="s">
        <v>307</v>
      </c>
      <c r="D11954" s="204">
        <v>-50000</v>
      </c>
      <c r="E11954" s="201">
        <v>45839</v>
      </c>
      <c r="F11954" s="200" t="s">
        <v>296</v>
      </c>
      <c r="G11954" s="200" t="s">
        <v>3360</v>
      </c>
      <c r="H11954" s="200" t="s">
        <v>268</v>
      </c>
      <c r="I11954" s="200" t="s">
        <v>4979</v>
      </c>
    </row>
    <row r="11955" spans="1:9" ht="15" customHeight="1">
      <c r="A11955" s="199">
        <v>45834</v>
      </c>
      <c r="B11955" s="202" t="s">
        <v>8732</v>
      </c>
      <c r="C11955" s="200" t="s">
        <v>307</v>
      </c>
      <c r="D11955" s="204">
        <v>-18000</v>
      </c>
      <c r="E11955" s="201">
        <v>45839</v>
      </c>
      <c r="F11955" s="200" t="s">
        <v>296</v>
      </c>
      <c r="G11955" s="200" t="s">
        <v>3360</v>
      </c>
      <c r="H11955" s="200" t="s">
        <v>342</v>
      </c>
      <c r="I11955" s="200" t="s">
        <v>4979</v>
      </c>
    </row>
    <row r="11956" spans="1:9" ht="15" customHeight="1">
      <c r="A11956" s="199">
        <v>45834</v>
      </c>
      <c r="B11956" s="202" t="s">
        <v>8733</v>
      </c>
      <c r="C11956" s="200" t="s">
        <v>307</v>
      </c>
      <c r="D11956" s="204">
        <v>-22000</v>
      </c>
      <c r="E11956" s="201">
        <v>45839</v>
      </c>
      <c r="F11956" s="200" t="s">
        <v>296</v>
      </c>
      <c r="G11956" s="200" t="s">
        <v>3360</v>
      </c>
      <c r="H11956" s="200" t="s">
        <v>268</v>
      </c>
      <c r="I11956" s="200" t="s">
        <v>4979</v>
      </c>
    </row>
    <row r="11957" spans="1:9" ht="15" customHeight="1">
      <c r="A11957" s="199">
        <v>45834</v>
      </c>
      <c r="B11957" s="202" t="s">
        <v>7242</v>
      </c>
      <c r="C11957" s="200" t="s">
        <v>307</v>
      </c>
      <c r="D11957" s="204">
        <v>-20000</v>
      </c>
      <c r="E11957" s="201">
        <v>45839</v>
      </c>
      <c r="F11957" s="200" t="s">
        <v>296</v>
      </c>
      <c r="G11957" s="200" t="s">
        <v>3360</v>
      </c>
      <c r="H11957" s="200" t="s">
        <v>268</v>
      </c>
      <c r="I11957" s="200" t="s">
        <v>4979</v>
      </c>
    </row>
    <row r="11958" spans="1:9" ht="15" customHeight="1">
      <c r="A11958" s="199">
        <v>45834</v>
      </c>
      <c r="B11958" s="202" t="s">
        <v>355</v>
      </c>
      <c r="C11958" s="200" t="s">
        <v>307</v>
      </c>
      <c r="D11958" s="204">
        <v>-20000</v>
      </c>
      <c r="E11958" s="201">
        <v>45839</v>
      </c>
      <c r="F11958" s="200" t="s">
        <v>296</v>
      </c>
      <c r="G11958" s="200" t="s">
        <v>3360</v>
      </c>
      <c r="H11958" s="200" t="s">
        <v>268</v>
      </c>
      <c r="I11958" s="648" t="s">
        <v>329</v>
      </c>
    </row>
    <row r="11959" spans="1:9" ht="15" customHeight="1">
      <c r="A11959" s="199">
        <v>45835</v>
      </c>
      <c r="B11959" s="202" t="s">
        <v>268</v>
      </c>
      <c r="C11959" s="200" t="s">
        <v>307</v>
      </c>
      <c r="D11959" s="204">
        <v>-34000</v>
      </c>
      <c r="E11959" s="201">
        <v>45839</v>
      </c>
      <c r="F11959" s="200" t="s">
        <v>296</v>
      </c>
      <c r="G11959" s="200" t="s">
        <v>3849</v>
      </c>
      <c r="H11959" s="200" t="s">
        <v>268</v>
      </c>
      <c r="I11959" s="200" t="s">
        <v>4979</v>
      </c>
    </row>
    <row r="11960" spans="1:9" ht="15" customHeight="1">
      <c r="A11960" s="199">
        <v>45836</v>
      </c>
      <c r="B11960" s="202" t="s">
        <v>8734</v>
      </c>
      <c r="C11960" s="200" t="s">
        <v>307</v>
      </c>
      <c r="D11960" s="204">
        <v>-12000</v>
      </c>
      <c r="E11960" s="201">
        <v>45839</v>
      </c>
      <c r="F11960" s="200" t="s">
        <v>296</v>
      </c>
      <c r="G11960" s="200" t="s">
        <v>3849</v>
      </c>
      <c r="H11960" s="200" t="s">
        <v>342</v>
      </c>
      <c r="I11960" s="200" t="s">
        <v>4979</v>
      </c>
    </row>
    <row r="11961" spans="1:9" ht="15" customHeight="1">
      <c r="A11961" s="199">
        <v>45837</v>
      </c>
      <c r="B11961" s="202" t="s">
        <v>8732</v>
      </c>
      <c r="C11961" s="200" t="s">
        <v>307</v>
      </c>
      <c r="D11961" s="204">
        <v>-22000</v>
      </c>
      <c r="E11961" s="201">
        <v>45839</v>
      </c>
      <c r="F11961" s="200" t="s">
        <v>296</v>
      </c>
      <c r="G11961" s="200" t="s">
        <v>3849</v>
      </c>
      <c r="H11961" s="200" t="s">
        <v>342</v>
      </c>
      <c r="I11961" s="200" t="s">
        <v>4979</v>
      </c>
    </row>
    <row r="11962" spans="1:9" ht="15" customHeight="1">
      <c r="A11962" s="199">
        <v>45837</v>
      </c>
      <c r="B11962" s="202" t="s">
        <v>268</v>
      </c>
      <c r="C11962" s="200" t="s">
        <v>307</v>
      </c>
      <c r="D11962" s="204">
        <v>-30000</v>
      </c>
      <c r="E11962" s="201">
        <v>45839</v>
      </c>
      <c r="F11962" s="200" t="s">
        <v>296</v>
      </c>
      <c r="G11962" s="200" t="s">
        <v>3849</v>
      </c>
      <c r="H11962" s="200" t="s">
        <v>268</v>
      </c>
      <c r="I11962" s="648" t="s">
        <v>329</v>
      </c>
    </row>
    <row r="11963" spans="1:9" ht="15" customHeight="1">
      <c r="A11963" s="199">
        <v>45842</v>
      </c>
      <c r="B11963" s="202" t="s">
        <v>8735</v>
      </c>
      <c r="C11963" s="200" t="s">
        <v>307</v>
      </c>
      <c r="D11963" s="204">
        <v>-242800</v>
      </c>
      <c r="E11963" s="201">
        <v>45839</v>
      </c>
      <c r="F11963" s="200" t="s">
        <v>256</v>
      </c>
      <c r="G11963" s="200" t="s">
        <v>256</v>
      </c>
      <c r="H11963" s="200" t="s">
        <v>263</v>
      </c>
      <c r="I11963" s="648" t="s">
        <v>329</v>
      </c>
    </row>
    <row r="11964" spans="1:9" ht="15" customHeight="1">
      <c r="A11964" s="199">
        <v>45841</v>
      </c>
      <c r="B11964" s="202" t="s">
        <v>8736</v>
      </c>
      <c r="C11964" s="200" t="s">
        <v>398</v>
      </c>
      <c r="D11964" s="204">
        <v>-7900</v>
      </c>
      <c r="E11964" s="201">
        <v>45839</v>
      </c>
      <c r="F11964" s="200" t="s">
        <v>256</v>
      </c>
      <c r="G11964" s="200" t="s">
        <v>107</v>
      </c>
      <c r="H11964" s="200" t="s">
        <v>116</v>
      </c>
    </row>
    <row r="11965" spans="1:9" ht="15" customHeight="1">
      <c r="A11965" s="199">
        <v>45839</v>
      </c>
      <c r="B11965" s="202" t="s">
        <v>8737</v>
      </c>
      <c r="C11965" s="200" t="s">
        <v>398</v>
      </c>
      <c r="D11965" s="204">
        <v>5204</v>
      </c>
      <c r="E11965" s="201">
        <v>45839</v>
      </c>
      <c r="F11965" s="200" t="s">
        <v>256</v>
      </c>
      <c r="G11965" s="200" t="s">
        <v>107</v>
      </c>
      <c r="H11965" s="200" t="s">
        <v>277</v>
      </c>
      <c r="I11965" s="648" t="s">
        <v>329</v>
      </c>
    </row>
    <row r="11966" spans="1:9" ht="15" customHeight="1">
      <c r="A11966" s="199">
        <v>45842</v>
      </c>
      <c r="B11966" s="202" t="s">
        <v>8738</v>
      </c>
      <c r="C11966" s="200" t="s">
        <v>204</v>
      </c>
      <c r="D11966" s="896">
        <v>-1047692</v>
      </c>
      <c r="E11966" s="201">
        <v>45839</v>
      </c>
      <c r="F11966" s="200" t="s">
        <v>296</v>
      </c>
      <c r="G11966" s="200" t="s">
        <v>57</v>
      </c>
      <c r="H11966" s="200" t="s">
        <v>121</v>
      </c>
    </row>
    <row r="11967" spans="1:9" ht="15" customHeight="1">
      <c r="A11967" s="199">
        <v>45842</v>
      </c>
      <c r="B11967" s="202" t="s">
        <v>8739</v>
      </c>
      <c r="C11967" s="200" t="s">
        <v>204</v>
      </c>
      <c r="D11967" s="896">
        <v>-1351532</v>
      </c>
      <c r="E11967" s="201">
        <v>45839</v>
      </c>
      <c r="F11967" s="200" t="s">
        <v>296</v>
      </c>
      <c r="G11967" s="200" t="s">
        <v>807</v>
      </c>
      <c r="H11967" s="200" t="s">
        <v>421</v>
      </c>
      <c r="I11967" s="648" t="s">
        <v>329</v>
      </c>
    </row>
    <row r="11968" spans="1:9" ht="15" customHeight="1">
      <c r="A11968" s="199">
        <v>45842</v>
      </c>
      <c r="B11968" s="202" t="s">
        <v>8740</v>
      </c>
      <c r="C11968" s="200" t="s">
        <v>204</v>
      </c>
      <c r="D11968" s="896">
        <v>400000000</v>
      </c>
      <c r="E11968" s="201">
        <v>45839</v>
      </c>
      <c r="F11968" s="200" t="s">
        <v>652</v>
      </c>
      <c r="G11968" s="200" t="s">
        <v>6135</v>
      </c>
    </row>
    <row r="11969" spans="1:9" ht="15" customHeight="1">
      <c r="A11969" s="199">
        <v>45842</v>
      </c>
      <c r="B11969" s="202" t="s">
        <v>8741</v>
      </c>
      <c r="C11969" s="200" t="s">
        <v>204</v>
      </c>
      <c r="D11969" s="896">
        <v>100000000</v>
      </c>
      <c r="E11969" s="201">
        <v>45839</v>
      </c>
      <c r="F11969" s="200" t="s">
        <v>652</v>
      </c>
      <c r="G11969" s="200" t="s">
        <v>1825</v>
      </c>
    </row>
    <row r="11970" spans="1:9" s="895" customFormat="1" ht="15" customHeight="1">
      <c r="A11970" s="892">
        <v>45842</v>
      </c>
      <c r="B11970" s="893" t="s">
        <v>2783</v>
      </c>
      <c r="C11970" s="893" t="s">
        <v>204</v>
      </c>
      <c r="D11970" s="896">
        <v>120000000</v>
      </c>
      <c r="E11970" s="894">
        <v>45839</v>
      </c>
      <c r="F11970" s="893" t="s">
        <v>652</v>
      </c>
      <c r="G11970" s="893" t="s">
        <v>1980</v>
      </c>
      <c r="H11970" s="893"/>
      <c r="I11970" s="893"/>
    </row>
    <row r="11971" spans="1:9" s="203" customFormat="1" ht="15" customHeight="1">
      <c r="A11971" s="661">
        <v>45842</v>
      </c>
      <c r="B11971" s="202" t="s">
        <v>8742</v>
      </c>
      <c r="C11971" s="202" t="s">
        <v>204</v>
      </c>
      <c r="D11971" s="896">
        <v>-441364</v>
      </c>
      <c r="E11971" s="201">
        <v>45839</v>
      </c>
      <c r="F11971" s="202" t="s">
        <v>296</v>
      </c>
      <c r="G11971" s="202" t="s">
        <v>1980</v>
      </c>
      <c r="H11971" s="202" t="s">
        <v>429</v>
      </c>
      <c r="I11971" s="202"/>
    </row>
    <row r="11972" spans="1:9" ht="15" customHeight="1">
      <c r="A11972" s="199">
        <v>45842</v>
      </c>
      <c r="B11972" s="202" t="s">
        <v>8743</v>
      </c>
      <c r="C11972" s="202" t="s">
        <v>204</v>
      </c>
      <c r="D11972" s="896">
        <v>-11876586</v>
      </c>
      <c r="E11972" s="201">
        <v>45839</v>
      </c>
      <c r="F11972" s="200" t="s">
        <v>256</v>
      </c>
      <c r="G11972" s="200" t="s">
        <v>256</v>
      </c>
      <c r="H11972" s="200" t="s">
        <v>259</v>
      </c>
    </row>
    <row r="11973" spans="1:9" ht="15" customHeight="1">
      <c r="A11973" s="199">
        <v>45842</v>
      </c>
      <c r="B11973" s="202" t="s">
        <v>8744</v>
      </c>
      <c r="C11973" s="202" t="s">
        <v>204</v>
      </c>
      <c r="D11973" s="896">
        <v>-32147841</v>
      </c>
      <c r="E11973" s="201">
        <v>45839</v>
      </c>
      <c r="F11973" s="200" t="s">
        <v>297</v>
      </c>
      <c r="G11973" s="200" t="s">
        <v>3892</v>
      </c>
      <c r="H11973" s="200" t="s">
        <v>5376</v>
      </c>
    </row>
    <row r="11974" spans="1:9" ht="15" customHeight="1">
      <c r="A11974" s="199">
        <v>45842</v>
      </c>
      <c r="B11974" s="202" t="s">
        <v>8745</v>
      </c>
      <c r="C11974" s="202" t="s">
        <v>204</v>
      </c>
      <c r="D11974" s="896">
        <v>-578313</v>
      </c>
      <c r="E11974" s="201">
        <v>45839</v>
      </c>
      <c r="F11974" s="200" t="s">
        <v>296</v>
      </c>
      <c r="G11974" s="200" t="s">
        <v>1362</v>
      </c>
      <c r="H11974" s="200" t="s">
        <v>5376</v>
      </c>
      <c r="I11974" s="648" t="s">
        <v>329</v>
      </c>
    </row>
    <row r="11975" spans="1:9" ht="15" customHeight="1">
      <c r="A11975" s="199">
        <v>45842</v>
      </c>
      <c r="B11975" s="202" t="s">
        <v>8746</v>
      </c>
      <c r="C11975" s="202" t="s">
        <v>204</v>
      </c>
      <c r="D11975" s="896">
        <v>-128268</v>
      </c>
      <c r="E11975" s="201">
        <v>45839</v>
      </c>
      <c r="F11975" s="200" t="s">
        <v>296</v>
      </c>
      <c r="G11975" s="200" t="s">
        <v>44</v>
      </c>
      <c r="H11975" s="200" t="s">
        <v>366</v>
      </c>
    </row>
    <row r="11976" spans="1:9" ht="15" customHeight="1">
      <c r="A11976" s="199">
        <v>45842</v>
      </c>
      <c r="B11976" s="202" t="s">
        <v>8747</v>
      </c>
      <c r="C11976" s="202" t="s">
        <v>204</v>
      </c>
      <c r="D11976" s="896">
        <v>-404779</v>
      </c>
      <c r="E11976" s="201">
        <v>45839</v>
      </c>
      <c r="F11976" s="200" t="s">
        <v>296</v>
      </c>
      <c r="G11976" s="200" t="s">
        <v>44</v>
      </c>
      <c r="H11976" s="200" t="s">
        <v>366</v>
      </c>
    </row>
    <row r="11977" spans="1:9" ht="15" customHeight="1">
      <c r="A11977" s="199">
        <v>45842</v>
      </c>
      <c r="B11977" s="202" t="s">
        <v>8748</v>
      </c>
      <c r="C11977" s="202" t="s">
        <v>204</v>
      </c>
      <c r="D11977" s="896">
        <v>-73096</v>
      </c>
      <c r="E11977" s="201">
        <v>45839</v>
      </c>
      <c r="F11977" s="200" t="s">
        <v>296</v>
      </c>
      <c r="G11977" s="200" t="s">
        <v>44</v>
      </c>
      <c r="H11977" s="200" t="s">
        <v>366</v>
      </c>
    </row>
    <row r="11978" spans="1:9" ht="15" customHeight="1">
      <c r="A11978" s="199">
        <v>45842</v>
      </c>
      <c r="B11978" s="202" t="s">
        <v>8749</v>
      </c>
      <c r="C11978" s="202" t="s">
        <v>204</v>
      </c>
      <c r="D11978" s="896">
        <v>-816667</v>
      </c>
      <c r="E11978" s="201">
        <v>45839</v>
      </c>
      <c r="F11978" s="200" t="s">
        <v>296</v>
      </c>
      <c r="G11978" s="200" t="s">
        <v>522</v>
      </c>
      <c r="H11978" s="200" t="s">
        <v>366</v>
      </c>
    </row>
    <row r="11979" spans="1:9" ht="15" customHeight="1">
      <c r="A11979" s="199">
        <v>45842</v>
      </c>
      <c r="B11979" s="202" t="s">
        <v>8750</v>
      </c>
      <c r="C11979" s="202" t="s">
        <v>204</v>
      </c>
      <c r="D11979" s="896">
        <v>-362963</v>
      </c>
      <c r="E11979" s="201">
        <v>45839</v>
      </c>
      <c r="F11979" s="200" t="s">
        <v>296</v>
      </c>
      <c r="G11979" s="200" t="s">
        <v>44</v>
      </c>
      <c r="H11979" s="200" t="s">
        <v>366</v>
      </c>
    </row>
    <row r="11980" spans="1:9" ht="15" customHeight="1">
      <c r="A11980" s="199">
        <v>45842</v>
      </c>
      <c r="B11980" s="202" t="s">
        <v>8751</v>
      </c>
      <c r="C11980" s="202" t="s">
        <v>204</v>
      </c>
      <c r="D11980" s="896">
        <v>-5893261</v>
      </c>
      <c r="E11980" s="201">
        <v>45839</v>
      </c>
      <c r="F11980" s="200" t="s">
        <v>296</v>
      </c>
      <c r="G11980" s="200" t="s">
        <v>44</v>
      </c>
      <c r="H11980" s="200" t="s">
        <v>366</v>
      </c>
    </row>
    <row r="11981" spans="1:9" ht="15" customHeight="1">
      <c r="A11981" s="199">
        <v>45842</v>
      </c>
      <c r="B11981" s="202" t="s">
        <v>8752</v>
      </c>
      <c r="C11981" s="202" t="s">
        <v>204</v>
      </c>
      <c r="D11981" s="896">
        <v>-772834</v>
      </c>
      <c r="E11981" s="201">
        <v>45839</v>
      </c>
      <c r="F11981" s="200" t="s">
        <v>296</v>
      </c>
      <c r="G11981" s="200" t="s">
        <v>522</v>
      </c>
      <c r="H11981" s="200" t="s">
        <v>366</v>
      </c>
    </row>
    <row r="11982" spans="1:9" ht="15" customHeight="1">
      <c r="A11982" s="199">
        <v>45842</v>
      </c>
      <c r="B11982" s="202" t="s">
        <v>8753</v>
      </c>
      <c r="C11982" s="202" t="s">
        <v>204</v>
      </c>
      <c r="D11982" s="896">
        <v>-2578433</v>
      </c>
      <c r="E11982" s="201">
        <v>45839</v>
      </c>
      <c r="F11982" s="200" t="s">
        <v>296</v>
      </c>
      <c r="G11982" s="200" t="s">
        <v>1983</v>
      </c>
      <c r="H11982" s="200" t="s">
        <v>366</v>
      </c>
    </row>
    <row r="11983" spans="1:9" ht="15" customHeight="1">
      <c r="A11983" s="199">
        <v>45842</v>
      </c>
      <c r="B11983" s="202" t="s">
        <v>8754</v>
      </c>
      <c r="C11983" s="202" t="s">
        <v>204</v>
      </c>
      <c r="D11983" s="896">
        <v>-2578433</v>
      </c>
      <c r="E11983" s="201">
        <v>45839</v>
      </c>
      <c r="F11983" s="200" t="s">
        <v>296</v>
      </c>
      <c r="G11983" s="200" t="s">
        <v>1980</v>
      </c>
      <c r="H11983" s="200" t="s">
        <v>366</v>
      </c>
    </row>
    <row r="11984" spans="1:9" ht="15" customHeight="1">
      <c r="A11984" s="199">
        <v>45842</v>
      </c>
      <c r="B11984" s="202" t="s">
        <v>8755</v>
      </c>
      <c r="C11984" s="202" t="s">
        <v>204</v>
      </c>
      <c r="D11984" s="896">
        <v>-682103</v>
      </c>
      <c r="E11984" s="201">
        <v>45839</v>
      </c>
      <c r="F11984" s="200" t="s">
        <v>296</v>
      </c>
      <c r="G11984" s="200" t="s">
        <v>44</v>
      </c>
      <c r="H11984" s="200" t="s">
        <v>366</v>
      </c>
    </row>
    <row r="11985" spans="1:8" ht="15" customHeight="1">
      <c r="A11985" s="199">
        <v>45842</v>
      </c>
      <c r="B11985" s="202" t="s">
        <v>8756</v>
      </c>
      <c r="C11985" s="202" t="s">
        <v>204</v>
      </c>
      <c r="D11985" s="896">
        <v>-1630062</v>
      </c>
      <c r="E11985" s="201">
        <v>45839</v>
      </c>
      <c r="F11985" s="200" t="s">
        <v>296</v>
      </c>
      <c r="G11985" s="200" t="s">
        <v>1980</v>
      </c>
      <c r="H11985" s="200" t="s">
        <v>366</v>
      </c>
    </row>
    <row r="11986" spans="1:8" ht="15" customHeight="1">
      <c r="A11986" s="199">
        <v>45842</v>
      </c>
      <c r="B11986" s="202" t="s">
        <v>8757</v>
      </c>
      <c r="C11986" s="202" t="s">
        <v>204</v>
      </c>
      <c r="D11986" s="896">
        <v>-1630062</v>
      </c>
      <c r="E11986" s="201">
        <v>45839</v>
      </c>
      <c r="F11986" s="200" t="s">
        <v>296</v>
      </c>
      <c r="G11986" s="200" t="s">
        <v>44</v>
      </c>
      <c r="H11986" s="200" t="s">
        <v>366</v>
      </c>
    </row>
    <row r="11987" spans="1:8" ht="15" customHeight="1">
      <c r="A11987" s="199">
        <v>45842</v>
      </c>
      <c r="B11987" s="202" t="s">
        <v>8758</v>
      </c>
      <c r="C11987" s="202" t="s">
        <v>204</v>
      </c>
      <c r="D11987" s="896">
        <v>-5049000</v>
      </c>
      <c r="E11987" s="201">
        <v>45839</v>
      </c>
      <c r="F11987" s="200" t="s">
        <v>296</v>
      </c>
      <c r="G11987" s="200" t="s">
        <v>1983</v>
      </c>
      <c r="H11987" s="200" t="s">
        <v>442</v>
      </c>
    </row>
    <row r="11988" spans="1:8" ht="15" customHeight="1">
      <c r="A11988" s="199">
        <v>45842</v>
      </c>
      <c r="B11988" s="202" t="s">
        <v>8759</v>
      </c>
      <c r="C11988" s="202" t="s">
        <v>204</v>
      </c>
      <c r="D11988" s="896">
        <v>-6732000</v>
      </c>
      <c r="E11988" s="201">
        <v>45839</v>
      </c>
      <c r="F11988" s="200" t="s">
        <v>296</v>
      </c>
      <c r="G11988" s="200" t="s">
        <v>1983</v>
      </c>
      <c r="H11988" s="200" t="s">
        <v>442</v>
      </c>
    </row>
    <row r="11989" spans="1:8" ht="15" customHeight="1">
      <c r="A11989" s="199">
        <v>45842</v>
      </c>
      <c r="B11989" s="202" t="s">
        <v>8759</v>
      </c>
      <c r="C11989" s="202" t="s">
        <v>204</v>
      </c>
      <c r="D11989" s="896">
        <v>-7227000</v>
      </c>
      <c r="E11989" s="201">
        <v>45839</v>
      </c>
      <c r="F11989" s="200" t="s">
        <v>296</v>
      </c>
      <c r="G11989" s="200" t="s">
        <v>1983</v>
      </c>
      <c r="H11989" s="200" t="s">
        <v>442</v>
      </c>
    </row>
    <row r="11990" spans="1:8" ht="15" customHeight="1">
      <c r="A11990" s="199">
        <v>45842</v>
      </c>
      <c r="B11990" s="202" t="s">
        <v>8758</v>
      </c>
      <c r="C11990" s="202" t="s">
        <v>204</v>
      </c>
      <c r="D11990" s="896">
        <v>-1683000</v>
      </c>
      <c r="E11990" s="201">
        <v>45839</v>
      </c>
      <c r="F11990" s="200" t="s">
        <v>296</v>
      </c>
      <c r="G11990" s="200" t="s">
        <v>807</v>
      </c>
      <c r="H11990" s="200" t="s">
        <v>442</v>
      </c>
    </row>
    <row r="11991" spans="1:8" ht="15" customHeight="1">
      <c r="A11991" s="199">
        <v>45842</v>
      </c>
      <c r="B11991" s="202" t="s">
        <v>8760</v>
      </c>
      <c r="C11991" s="202" t="s">
        <v>204</v>
      </c>
      <c r="D11991" s="896">
        <v>-7754406.2999999998</v>
      </c>
      <c r="E11991" s="201">
        <v>45839</v>
      </c>
      <c r="F11991" s="200" t="s">
        <v>296</v>
      </c>
      <c r="G11991" s="200" t="s">
        <v>44</v>
      </c>
      <c r="H11991" s="200" t="s">
        <v>322</v>
      </c>
    </row>
    <row r="11992" spans="1:8" ht="15" customHeight="1">
      <c r="A11992" s="199">
        <v>45842</v>
      </c>
      <c r="B11992" s="202" t="s">
        <v>8760</v>
      </c>
      <c r="C11992" s="202" t="s">
        <v>204</v>
      </c>
      <c r="D11992" s="896">
        <v>-43941635.700000003</v>
      </c>
      <c r="E11992" s="201">
        <v>45839</v>
      </c>
      <c r="F11992" s="200" t="s">
        <v>296</v>
      </c>
      <c r="G11992" s="200" t="s">
        <v>1825</v>
      </c>
      <c r="H11992" s="200" t="s">
        <v>322</v>
      </c>
    </row>
    <row r="11993" spans="1:8" ht="15" customHeight="1">
      <c r="A11993" s="199">
        <v>45842</v>
      </c>
      <c r="B11993" s="202" t="s">
        <v>7646</v>
      </c>
      <c r="C11993" s="200" t="s">
        <v>204</v>
      </c>
      <c r="D11993" s="896">
        <v>-667500</v>
      </c>
      <c r="E11993" s="201">
        <v>45839</v>
      </c>
      <c r="F11993" s="200" t="s">
        <v>297</v>
      </c>
      <c r="G11993" s="200" t="s">
        <v>69</v>
      </c>
      <c r="H11993" s="200" t="s">
        <v>5376</v>
      </c>
    </row>
    <row r="11994" spans="1:8" ht="15" customHeight="1">
      <c r="A11994" s="199">
        <v>45842</v>
      </c>
      <c r="B11994" s="202" t="s">
        <v>8761</v>
      </c>
      <c r="C11994" s="200" t="s">
        <v>204</v>
      </c>
      <c r="D11994" s="896">
        <v>-1850000</v>
      </c>
      <c r="E11994" s="201">
        <v>45839</v>
      </c>
      <c r="F11994" s="200" t="s">
        <v>296</v>
      </c>
      <c r="G11994" s="200" t="s">
        <v>415</v>
      </c>
      <c r="H11994" s="200" t="s">
        <v>342</v>
      </c>
    </row>
    <row r="11995" spans="1:8" ht="15" customHeight="1">
      <c r="A11995" s="199">
        <v>45842</v>
      </c>
      <c r="B11995" s="202" t="s">
        <v>8762</v>
      </c>
      <c r="C11995" s="200" t="s">
        <v>204</v>
      </c>
      <c r="D11995" s="896">
        <v>-5036101</v>
      </c>
      <c r="E11995" s="201">
        <v>45839</v>
      </c>
      <c r="F11995" s="200" t="s">
        <v>296</v>
      </c>
      <c r="G11995" s="200" t="s">
        <v>1980</v>
      </c>
      <c r="H11995" s="200" t="s">
        <v>366</v>
      </c>
    </row>
    <row r="11996" spans="1:8" ht="15" customHeight="1">
      <c r="A11996" s="199">
        <v>45842</v>
      </c>
      <c r="B11996" s="202" t="s">
        <v>8763</v>
      </c>
      <c r="C11996" s="200" t="s">
        <v>372</v>
      </c>
      <c r="D11996" s="204">
        <v>-108071</v>
      </c>
      <c r="E11996" s="201">
        <v>45839</v>
      </c>
      <c r="F11996" s="200" t="s">
        <v>296</v>
      </c>
      <c r="G11996" s="200" t="s">
        <v>1980</v>
      </c>
      <c r="H11996" s="200" t="s">
        <v>366</v>
      </c>
    </row>
    <row r="11997" spans="1:8" ht="15" customHeight="1">
      <c r="A11997" s="199">
        <v>45842</v>
      </c>
      <c r="B11997" s="202" t="s">
        <v>8762</v>
      </c>
      <c r="C11997" s="200" t="s">
        <v>204</v>
      </c>
      <c r="D11997" s="896">
        <v>-10222788</v>
      </c>
      <c r="E11997" s="201">
        <v>45839</v>
      </c>
      <c r="F11997" s="200" t="s">
        <v>296</v>
      </c>
      <c r="G11997" s="200" t="s">
        <v>1983</v>
      </c>
      <c r="H11997" s="200" t="s">
        <v>366</v>
      </c>
    </row>
    <row r="11998" spans="1:8" ht="15" customHeight="1">
      <c r="A11998" s="199">
        <v>45842</v>
      </c>
      <c r="B11998" s="202" t="s">
        <v>8763</v>
      </c>
      <c r="C11998" s="200" t="s">
        <v>372</v>
      </c>
      <c r="D11998" s="204">
        <v>-219373</v>
      </c>
      <c r="E11998" s="201">
        <v>45839</v>
      </c>
      <c r="F11998" s="200" t="s">
        <v>296</v>
      </c>
      <c r="G11998" s="200" t="s">
        <v>1983</v>
      </c>
      <c r="H11998" s="200" t="s">
        <v>366</v>
      </c>
    </row>
    <row r="11999" spans="1:8" ht="15" customHeight="1">
      <c r="A11999" s="199">
        <v>45842</v>
      </c>
      <c r="B11999" s="202" t="s">
        <v>8764</v>
      </c>
      <c r="C11999" s="200" t="s">
        <v>204</v>
      </c>
      <c r="D11999" s="896">
        <v>-138040</v>
      </c>
      <c r="E11999" s="201">
        <v>45839</v>
      </c>
      <c r="F11999" s="200" t="s">
        <v>296</v>
      </c>
      <c r="G11999" s="200" t="s">
        <v>807</v>
      </c>
      <c r="H11999" s="200" t="s">
        <v>366</v>
      </c>
    </row>
    <row r="12000" spans="1:8" ht="15" customHeight="1">
      <c r="A12000" s="199">
        <v>45842</v>
      </c>
      <c r="B12000" s="202" t="s">
        <v>8765</v>
      </c>
      <c r="C12000" s="200" t="s">
        <v>204</v>
      </c>
      <c r="D12000" s="896">
        <v>-138040</v>
      </c>
      <c r="E12000" s="201">
        <v>45839</v>
      </c>
      <c r="F12000" s="200" t="s">
        <v>296</v>
      </c>
      <c r="G12000" s="200" t="s">
        <v>1825</v>
      </c>
      <c r="H12000" s="200" t="s">
        <v>366</v>
      </c>
    </row>
    <row r="12001" spans="1:9" ht="15" customHeight="1">
      <c r="A12001" s="199">
        <v>45842</v>
      </c>
      <c r="B12001" s="202" t="s">
        <v>8766</v>
      </c>
      <c r="C12001" s="200" t="s">
        <v>204</v>
      </c>
      <c r="D12001" s="896">
        <v>-26054690</v>
      </c>
      <c r="E12001" s="201">
        <v>45839</v>
      </c>
      <c r="F12001" s="200" t="s">
        <v>296</v>
      </c>
      <c r="G12001" s="200" t="s">
        <v>807</v>
      </c>
      <c r="H12001" s="200" t="s">
        <v>442</v>
      </c>
    </row>
    <row r="12002" spans="1:9" ht="15" customHeight="1">
      <c r="A12002" s="199">
        <v>45842</v>
      </c>
      <c r="B12002" s="202" t="s">
        <v>8766</v>
      </c>
      <c r="C12002" s="200" t="s">
        <v>204</v>
      </c>
      <c r="D12002" s="896">
        <v>-26054690</v>
      </c>
      <c r="E12002" s="201">
        <v>45839</v>
      </c>
      <c r="F12002" s="200" t="s">
        <v>296</v>
      </c>
      <c r="G12002" s="200" t="s">
        <v>1980</v>
      </c>
      <c r="H12002" s="200" t="s">
        <v>442</v>
      </c>
    </row>
    <row r="12003" spans="1:9" ht="15" customHeight="1">
      <c r="A12003" s="199">
        <v>45842</v>
      </c>
      <c r="B12003" s="202" t="s">
        <v>8766</v>
      </c>
      <c r="C12003" s="200" t="s">
        <v>204</v>
      </c>
      <c r="D12003" s="896">
        <v>-26054690</v>
      </c>
      <c r="E12003" s="201">
        <v>45839</v>
      </c>
      <c r="F12003" s="200" t="s">
        <v>296</v>
      </c>
      <c r="G12003" s="200" t="s">
        <v>1983</v>
      </c>
      <c r="H12003" s="200" t="s">
        <v>442</v>
      </c>
    </row>
    <row r="12004" spans="1:9" ht="15" customHeight="1">
      <c r="A12004" s="199">
        <v>45842</v>
      </c>
      <c r="B12004" s="202" t="s">
        <v>8766</v>
      </c>
      <c r="C12004" s="200" t="s">
        <v>204</v>
      </c>
      <c r="D12004" s="896">
        <v>-26054690</v>
      </c>
      <c r="E12004" s="201">
        <v>45839</v>
      </c>
      <c r="F12004" s="200" t="s">
        <v>296</v>
      </c>
      <c r="G12004" s="200" t="s">
        <v>1825</v>
      </c>
      <c r="H12004" s="200" t="s">
        <v>442</v>
      </c>
    </row>
    <row r="12005" spans="1:9" ht="15" customHeight="1">
      <c r="A12005" s="199">
        <v>45842</v>
      </c>
      <c r="B12005" s="202" t="s">
        <v>8767</v>
      </c>
      <c r="C12005" s="200" t="s">
        <v>204</v>
      </c>
      <c r="D12005" s="896">
        <v>-772000</v>
      </c>
      <c r="E12005" s="201">
        <v>45839</v>
      </c>
      <c r="F12005" s="200" t="s">
        <v>296</v>
      </c>
      <c r="G12005" s="200" t="s">
        <v>4520</v>
      </c>
      <c r="H12005" s="200" t="s">
        <v>322</v>
      </c>
    </row>
    <row r="12006" spans="1:9" ht="15" customHeight="1">
      <c r="A12006" s="199">
        <v>45842</v>
      </c>
      <c r="B12006" s="202" t="s">
        <v>8768</v>
      </c>
      <c r="C12006" s="200" t="s">
        <v>372</v>
      </c>
      <c r="D12006" s="204">
        <v>-28000</v>
      </c>
      <c r="E12006" s="201">
        <v>45839</v>
      </c>
      <c r="F12006" s="200" t="s">
        <v>296</v>
      </c>
      <c r="G12006" s="200" t="s">
        <v>4520</v>
      </c>
      <c r="H12006" s="200" t="s">
        <v>322</v>
      </c>
    </row>
    <row r="12007" spans="1:9" ht="15" customHeight="1">
      <c r="A12007" s="199">
        <v>45842</v>
      </c>
      <c r="B12007" s="202" t="s">
        <v>8769</v>
      </c>
      <c r="C12007" s="200" t="s">
        <v>204</v>
      </c>
      <c r="D12007" s="896">
        <v>-808500</v>
      </c>
      <c r="E12007" s="201">
        <v>45839</v>
      </c>
      <c r="F12007" s="200" t="s">
        <v>296</v>
      </c>
      <c r="G12007" s="200" t="s">
        <v>415</v>
      </c>
      <c r="H12007" s="200" t="s">
        <v>342</v>
      </c>
    </row>
    <row r="12008" spans="1:9" ht="15" customHeight="1">
      <c r="A12008" s="199">
        <v>45845</v>
      </c>
      <c r="B12008" s="202" t="s">
        <v>7179</v>
      </c>
      <c r="C12008" s="200" t="s">
        <v>204</v>
      </c>
      <c r="D12008" s="896">
        <v>-27244177</v>
      </c>
      <c r="E12008" s="201">
        <v>45839</v>
      </c>
      <c r="F12008" s="200" t="s">
        <v>315</v>
      </c>
    </row>
    <row r="12009" spans="1:9" ht="15" customHeight="1">
      <c r="A12009" s="199">
        <v>45845</v>
      </c>
      <c r="B12009" s="202" t="s">
        <v>8770</v>
      </c>
      <c r="C12009" s="200" t="s">
        <v>204</v>
      </c>
      <c r="D12009" s="896">
        <v>-1267826</v>
      </c>
      <c r="E12009" s="201">
        <v>45839</v>
      </c>
      <c r="F12009" s="200" t="s">
        <v>296</v>
      </c>
      <c r="G12009" s="200" t="s">
        <v>1825</v>
      </c>
      <c r="H12009" s="200" t="s">
        <v>366</v>
      </c>
    </row>
    <row r="12010" spans="1:9" ht="15" customHeight="1">
      <c r="A12010" s="199">
        <v>45845</v>
      </c>
      <c r="B12010" s="202" t="s">
        <v>8771</v>
      </c>
      <c r="C12010" s="200" t="s">
        <v>204</v>
      </c>
      <c r="D12010" s="896">
        <v>-1630062</v>
      </c>
      <c r="E12010" s="201">
        <v>45839</v>
      </c>
      <c r="F12010" s="200" t="s">
        <v>296</v>
      </c>
      <c r="G12010" s="200" t="s">
        <v>807</v>
      </c>
      <c r="H12010" s="200" t="s">
        <v>366</v>
      </c>
    </row>
    <row r="12011" spans="1:9" ht="15" customHeight="1">
      <c r="A12011" s="199">
        <v>45845</v>
      </c>
      <c r="B12011" s="202" t="s">
        <v>8772</v>
      </c>
      <c r="C12011" s="200" t="s">
        <v>204</v>
      </c>
      <c r="D12011" s="896">
        <v>-8478333</v>
      </c>
      <c r="E12011" s="201">
        <v>45839</v>
      </c>
      <c r="F12011" s="200" t="s">
        <v>296</v>
      </c>
      <c r="G12011" s="200" t="s">
        <v>5466</v>
      </c>
      <c r="H12011" s="200" t="s">
        <v>5376</v>
      </c>
    </row>
    <row r="12012" spans="1:9" ht="15" customHeight="1">
      <c r="A12012" s="199">
        <v>45845</v>
      </c>
      <c r="B12012" s="202" t="s">
        <v>8773</v>
      </c>
      <c r="C12012" s="200" t="s">
        <v>204</v>
      </c>
      <c r="D12012" s="896">
        <v>-1000000</v>
      </c>
      <c r="E12012" s="201">
        <v>45839</v>
      </c>
      <c r="F12012" s="200" t="s">
        <v>296</v>
      </c>
      <c r="G12012" s="200" t="s">
        <v>3849</v>
      </c>
      <c r="H12012" s="200" t="s">
        <v>342</v>
      </c>
    </row>
    <row r="12013" spans="1:9" ht="15" customHeight="1">
      <c r="A12013" s="199">
        <v>45845</v>
      </c>
      <c r="B12013" s="202" t="s">
        <v>8774</v>
      </c>
      <c r="C12013" s="200" t="s">
        <v>204</v>
      </c>
      <c r="D12013" s="896">
        <v>-1006855</v>
      </c>
      <c r="E12013" s="201">
        <v>45839</v>
      </c>
      <c r="F12013" s="200" t="s">
        <v>297</v>
      </c>
      <c r="G12013" s="200" t="s">
        <v>71</v>
      </c>
      <c r="H12013" s="200" t="s">
        <v>5376</v>
      </c>
    </row>
    <row r="12014" spans="1:9" ht="15" customHeight="1">
      <c r="A12014" s="199">
        <v>45845</v>
      </c>
      <c r="B12014" s="202" t="s">
        <v>8775</v>
      </c>
      <c r="C12014" s="200" t="s">
        <v>204</v>
      </c>
      <c r="D12014" s="896">
        <v>-764116</v>
      </c>
      <c r="E12014" s="201">
        <v>45839</v>
      </c>
      <c r="F12014" s="200" t="s">
        <v>297</v>
      </c>
      <c r="G12014" s="200" t="s">
        <v>71</v>
      </c>
      <c r="H12014" s="200" t="s">
        <v>5376</v>
      </c>
    </row>
    <row r="12015" spans="1:9" ht="15" customHeight="1">
      <c r="A12015" s="199">
        <v>45845</v>
      </c>
      <c r="B12015" s="202" t="s">
        <v>8776</v>
      </c>
      <c r="C12015" s="200" t="s">
        <v>204</v>
      </c>
      <c r="D12015" s="896">
        <v>-5382000</v>
      </c>
      <c r="E12015" s="201">
        <v>45839</v>
      </c>
      <c r="F12015" s="200" t="s">
        <v>256</v>
      </c>
      <c r="G12015" s="200" t="s">
        <v>256</v>
      </c>
      <c r="H12015" s="200" t="s">
        <v>257</v>
      </c>
    </row>
    <row r="12016" spans="1:9" ht="15" customHeight="1">
      <c r="A12016" s="199">
        <v>45824</v>
      </c>
      <c r="B12016" s="202" t="s">
        <v>8777</v>
      </c>
      <c r="C12016" s="200" t="s">
        <v>204</v>
      </c>
      <c r="D12016" s="896">
        <v>-6900</v>
      </c>
      <c r="E12016" s="201">
        <v>45839</v>
      </c>
      <c r="F12016" s="200" t="s">
        <v>296</v>
      </c>
      <c r="G12016" s="200" t="s">
        <v>1735</v>
      </c>
      <c r="H12016" s="200" t="s">
        <v>268</v>
      </c>
      <c r="I12016" s="200" t="s">
        <v>3272</v>
      </c>
    </row>
    <row r="12017" spans="1:9" ht="15" customHeight="1">
      <c r="A12017" s="199">
        <v>45824</v>
      </c>
      <c r="B12017" s="202" t="s">
        <v>8778</v>
      </c>
      <c r="C12017" s="200" t="s">
        <v>204</v>
      </c>
      <c r="D12017" s="896">
        <v>-25000</v>
      </c>
      <c r="E12017" s="201">
        <v>45839</v>
      </c>
      <c r="F12017" s="200" t="s">
        <v>296</v>
      </c>
      <c r="G12017" s="200" t="s">
        <v>5466</v>
      </c>
      <c r="H12017" s="200" t="s">
        <v>268</v>
      </c>
      <c r="I12017" s="200" t="s">
        <v>3272</v>
      </c>
    </row>
    <row r="12018" spans="1:9" ht="15" customHeight="1">
      <c r="A12018" s="199">
        <v>45824</v>
      </c>
      <c r="B12018" s="202" t="s">
        <v>8779</v>
      </c>
      <c r="C12018" s="200" t="s">
        <v>204</v>
      </c>
      <c r="D12018" s="896">
        <v>-7000</v>
      </c>
      <c r="E12018" s="201">
        <v>45839</v>
      </c>
      <c r="F12018" s="200" t="s">
        <v>296</v>
      </c>
      <c r="G12018" s="200" t="s">
        <v>5466</v>
      </c>
      <c r="H12018" s="200" t="s">
        <v>268</v>
      </c>
      <c r="I12018" s="200" t="s">
        <v>3272</v>
      </c>
    </row>
    <row r="12019" spans="1:9" ht="15" customHeight="1">
      <c r="A12019" s="199">
        <v>45824</v>
      </c>
      <c r="B12019" s="202" t="s">
        <v>8249</v>
      </c>
      <c r="C12019" s="200" t="s">
        <v>204</v>
      </c>
      <c r="D12019" s="896">
        <v>-30000</v>
      </c>
      <c r="E12019" s="201">
        <v>45839</v>
      </c>
      <c r="F12019" s="200" t="s">
        <v>296</v>
      </c>
      <c r="G12019" s="200" t="s">
        <v>5466</v>
      </c>
      <c r="H12019" s="200" t="s">
        <v>268</v>
      </c>
      <c r="I12019" s="200" t="s">
        <v>3272</v>
      </c>
    </row>
    <row r="12020" spans="1:9" ht="15" customHeight="1">
      <c r="A12020" s="199">
        <v>45824</v>
      </c>
      <c r="B12020" s="202" t="s">
        <v>8249</v>
      </c>
      <c r="C12020" s="200" t="s">
        <v>204</v>
      </c>
      <c r="D12020" s="896">
        <v>-30000</v>
      </c>
      <c r="E12020" s="201">
        <v>45839</v>
      </c>
      <c r="F12020" s="200" t="s">
        <v>296</v>
      </c>
      <c r="G12020" s="200" t="s">
        <v>5466</v>
      </c>
      <c r="H12020" s="200" t="s">
        <v>268</v>
      </c>
      <c r="I12020" s="200" t="s">
        <v>3272</v>
      </c>
    </row>
    <row r="12021" spans="1:9" ht="15" customHeight="1">
      <c r="A12021" s="199">
        <v>45824</v>
      </c>
      <c r="B12021" s="202" t="s">
        <v>8780</v>
      </c>
      <c r="C12021" s="200" t="s">
        <v>204</v>
      </c>
      <c r="D12021" s="896">
        <v>-40000</v>
      </c>
      <c r="E12021" s="201">
        <v>45839</v>
      </c>
      <c r="F12021" s="200" t="s">
        <v>296</v>
      </c>
      <c r="G12021" s="200" t="s">
        <v>5466</v>
      </c>
      <c r="H12021" s="200" t="s">
        <v>268</v>
      </c>
      <c r="I12021" s="200" t="s">
        <v>3272</v>
      </c>
    </row>
    <row r="12022" spans="1:9" ht="15" customHeight="1">
      <c r="A12022" s="199">
        <v>45825</v>
      </c>
      <c r="B12022" s="202" t="s">
        <v>8781</v>
      </c>
      <c r="C12022" s="200" t="s">
        <v>204</v>
      </c>
      <c r="D12022" s="896">
        <v>-21000</v>
      </c>
      <c r="E12022" s="201">
        <v>45839</v>
      </c>
      <c r="F12022" s="200" t="s">
        <v>296</v>
      </c>
      <c r="G12022" s="200" t="s">
        <v>5466</v>
      </c>
      <c r="H12022" s="200" t="s">
        <v>5384</v>
      </c>
      <c r="I12022" s="200" t="s">
        <v>3272</v>
      </c>
    </row>
    <row r="12023" spans="1:9" ht="15" customHeight="1">
      <c r="A12023" s="199">
        <v>45825</v>
      </c>
      <c r="B12023" s="202" t="s">
        <v>8781</v>
      </c>
      <c r="C12023" s="200" t="s">
        <v>204</v>
      </c>
      <c r="D12023" s="896">
        <v>-21000</v>
      </c>
      <c r="E12023" s="201">
        <v>45839</v>
      </c>
      <c r="F12023" s="200" t="s">
        <v>296</v>
      </c>
      <c r="G12023" s="200" t="s">
        <v>5466</v>
      </c>
      <c r="H12023" s="200" t="s">
        <v>5384</v>
      </c>
      <c r="I12023" s="200" t="s">
        <v>3272</v>
      </c>
    </row>
    <row r="12024" spans="1:9" ht="15" customHeight="1">
      <c r="A12024" s="199">
        <v>45825</v>
      </c>
      <c r="B12024" s="202" t="s">
        <v>8782</v>
      </c>
      <c r="C12024" s="200" t="s">
        <v>204</v>
      </c>
      <c r="D12024" s="896">
        <v>-6000</v>
      </c>
      <c r="E12024" s="201">
        <v>45839</v>
      </c>
      <c r="F12024" s="200" t="s">
        <v>296</v>
      </c>
      <c r="G12024" s="200" t="s">
        <v>5466</v>
      </c>
      <c r="H12024" s="200" t="s">
        <v>268</v>
      </c>
      <c r="I12024" s="200" t="s">
        <v>3272</v>
      </c>
    </row>
    <row r="12025" spans="1:9" ht="15" customHeight="1">
      <c r="A12025" s="199">
        <v>45825</v>
      </c>
      <c r="B12025" s="202" t="s">
        <v>7898</v>
      </c>
      <c r="C12025" s="200" t="s">
        <v>204</v>
      </c>
      <c r="D12025" s="896">
        <v>-6000</v>
      </c>
      <c r="E12025" s="201">
        <v>45839</v>
      </c>
      <c r="F12025" s="200" t="s">
        <v>296</v>
      </c>
      <c r="G12025" s="200" t="s">
        <v>5466</v>
      </c>
      <c r="H12025" s="200" t="s">
        <v>268</v>
      </c>
      <c r="I12025" s="200" t="s">
        <v>3272</v>
      </c>
    </row>
    <row r="12026" spans="1:9" ht="15" customHeight="1">
      <c r="A12026" s="199">
        <v>45825</v>
      </c>
      <c r="B12026" s="202" t="s">
        <v>8783</v>
      </c>
      <c r="C12026" s="200" t="s">
        <v>204</v>
      </c>
      <c r="D12026" s="896">
        <v>-30000</v>
      </c>
      <c r="E12026" s="201">
        <v>45839</v>
      </c>
      <c r="F12026" s="200" t="s">
        <v>296</v>
      </c>
      <c r="G12026" s="200" t="s">
        <v>5466</v>
      </c>
      <c r="H12026" s="200" t="s">
        <v>268</v>
      </c>
      <c r="I12026" s="200" t="s">
        <v>3272</v>
      </c>
    </row>
    <row r="12027" spans="1:9" ht="15" customHeight="1">
      <c r="A12027" s="199">
        <v>45825</v>
      </c>
      <c r="B12027" s="202" t="s">
        <v>7225</v>
      </c>
      <c r="C12027" s="200" t="s">
        <v>204</v>
      </c>
      <c r="D12027" s="896">
        <v>-7000</v>
      </c>
      <c r="E12027" s="201">
        <v>45839</v>
      </c>
      <c r="F12027" s="200" t="s">
        <v>296</v>
      </c>
      <c r="G12027" s="200" t="s">
        <v>5466</v>
      </c>
      <c r="H12027" s="200" t="s">
        <v>268</v>
      </c>
      <c r="I12027" s="200" t="s">
        <v>3272</v>
      </c>
    </row>
    <row r="12028" spans="1:9" ht="15" customHeight="1">
      <c r="A12028" s="199">
        <v>45825</v>
      </c>
      <c r="B12028" s="202" t="s">
        <v>1523</v>
      </c>
      <c r="C12028" s="200" t="s">
        <v>204</v>
      </c>
      <c r="D12028" s="896">
        <v>-12000</v>
      </c>
      <c r="E12028" s="201">
        <v>45839</v>
      </c>
      <c r="F12028" s="200" t="s">
        <v>296</v>
      </c>
      <c r="G12028" s="200" t="s">
        <v>5466</v>
      </c>
      <c r="H12028" s="200" t="s">
        <v>342</v>
      </c>
      <c r="I12028" s="200" t="s">
        <v>3272</v>
      </c>
    </row>
    <row r="12029" spans="1:9" ht="15" customHeight="1">
      <c r="A12029" s="199">
        <v>45825</v>
      </c>
      <c r="B12029" s="202" t="s">
        <v>8784</v>
      </c>
      <c r="C12029" s="200" t="s">
        <v>204</v>
      </c>
      <c r="D12029" s="896">
        <v>-20500</v>
      </c>
      <c r="E12029" s="201">
        <v>45839</v>
      </c>
      <c r="F12029" s="200" t="s">
        <v>296</v>
      </c>
      <c r="G12029" s="200" t="s">
        <v>5466</v>
      </c>
      <c r="H12029" s="200" t="s">
        <v>5384</v>
      </c>
      <c r="I12029" s="200" t="s">
        <v>3272</v>
      </c>
    </row>
    <row r="12030" spans="1:9" ht="15" customHeight="1">
      <c r="A12030" s="199">
        <v>45825</v>
      </c>
      <c r="B12030" s="202" t="s">
        <v>8249</v>
      </c>
      <c r="C12030" s="200" t="s">
        <v>204</v>
      </c>
      <c r="D12030" s="896">
        <v>-30000</v>
      </c>
      <c r="E12030" s="201">
        <v>45839</v>
      </c>
      <c r="F12030" s="200" t="s">
        <v>296</v>
      </c>
      <c r="G12030" s="200" t="s">
        <v>5466</v>
      </c>
      <c r="H12030" s="200" t="s">
        <v>268</v>
      </c>
      <c r="I12030" s="200" t="s">
        <v>3272</v>
      </c>
    </row>
    <row r="12031" spans="1:9" ht="15" customHeight="1">
      <c r="A12031" s="199">
        <v>45825</v>
      </c>
      <c r="B12031" s="202" t="s">
        <v>8785</v>
      </c>
      <c r="C12031" s="200" t="s">
        <v>204</v>
      </c>
      <c r="D12031" s="896">
        <v>-12000</v>
      </c>
      <c r="E12031" s="201">
        <v>45839</v>
      </c>
      <c r="F12031" s="200" t="s">
        <v>296</v>
      </c>
      <c r="G12031" s="200" t="s">
        <v>1735</v>
      </c>
      <c r="H12031" s="200" t="s">
        <v>268</v>
      </c>
      <c r="I12031" s="200" t="s">
        <v>3272</v>
      </c>
    </row>
    <row r="12032" spans="1:9" ht="15" customHeight="1">
      <c r="A12032" s="199">
        <v>45825</v>
      </c>
      <c r="B12032" s="202" t="s">
        <v>8786</v>
      </c>
      <c r="C12032" s="200" t="s">
        <v>204</v>
      </c>
      <c r="D12032" s="896">
        <v>-13550</v>
      </c>
      <c r="E12032" s="201">
        <v>45839</v>
      </c>
      <c r="F12032" s="200" t="s">
        <v>296</v>
      </c>
      <c r="G12032" s="200" t="s">
        <v>1735</v>
      </c>
      <c r="H12032" s="200" t="s">
        <v>268</v>
      </c>
      <c r="I12032" s="200" t="s">
        <v>3272</v>
      </c>
    </row>
    <row r="12033" spans="1:9" ht="15" customHeight="1">
      <c r="A12033" s="199">
        <v>45825</v>
      </c>
      <c r="B12033" s="202" t="s">
        <v>8787</v>
      </c>
      <c r="C12033" s="200" t="s">
        <v>204</v>
      </c>
      <c r="D12033" s="896">
        <v>-7050</v>
      </c>
      <c r="E12033" s="201">
        <v>45839</v>
      </c>
      <c r="F12033" s="200" t="s">
        <v>296</v>
      </c>
      <c r="G12033" s="200" t="s">
        <v>1735</v>
      </c>
      <c r="H12033" s="200" t="s">
        <v>268</v>
      </c>
      <c r="I12033" s="200" t="s">
        <v>3272</v>
      </c>
    </row>
    <row r="12034" spans="1:9" ht="15" customHeight="1">
      <c r="A12034" s="199">
        <v>45825</v>
      </c>
      <c r="B12034" s="202" t="s">
        <v>1706</v>
      </c>
      <c r="C12034" s="200" t="s">
        <v>204</v>
      </c>
      <c r="D12034" s="896">
        <v>-82000</v>
      </c>
      <c r="E12034" s="201">
        <v>45839</v>
      </c>
      <c r="F12034" s="200" t="s">
        <v>296</v>
      </c>
      <c r="G12034" s="200" t="s">
        <v>1735</v>
      </c>
      <c r="H12034" s="200" t="s">
        <v>268</v>
      </c>
      <c r="I12034" s="200" t="s">
        <v>3272</v>
      </c>
    </row>
    <row r="12035" spans="1:9" ht="15" customHeight="1">
      <c r="A12035" s="199">
        <v>45825</v>
      </c>
      <c r="B12035" s="202" t="s">
        <v>8788</v>
      </c>
      <c r="C12035" s="200" t="s">
        <v>204</v>
      </c>
      <c r="D12035" s="896">
        <v>-23000</v>
      </c>
      <c r="E12035" s="201">
        <v>45839</v>
      </c>
      <c r="F12035" s="200" t="s">
        <v>296</v>
      </c>
      <c r="G12035" s="200" t="s">
        <v>1735</v>
      </c>
      <c r="H12035" s="200" t="s">
        <v>342</v>
      </c>
      <c r="I12035" s="200" t="s">
        <v>3272</v>
      </c>
    </row>
    <row r="12036" spans="1:9" ht="15" customHeight="1">
      <c r="A12036" s="199">
        <v>45826</v>
      </c>
      <c r="B12036" s="202" t="s">
        <v>8788</v>
      </c>
      <c r="C12036" s="200" t="s">
        <v>204</v>
      </c>
      <c r="D12036" s="896">
        <v>-25000</v>
      </c>
      <c r="E12036" s="201">
        <v>45839</v>
      </c>
      <c r="F12036" s="200" t="s">
        <v>296</v>
      </c>
      <c r="G12036" s="200" t="s">
        <v>1735</v>
      </c>
      <c r="H12036" s="200" t="s">
        <v>342</v>
      </c>
      <c r="I12036" s="648" t="s">
        <v>329</v>
      </c>
    </row>
    <row r="12037" spans="1:9" ht="15" customHeight="1">
      <c r="A12037" s="199">
        <v>45826</v>
      </c>
      <c r="B12037" s="202" t="s">
        <v>8789</v>
      </c>
      <c r="C12037" s="200" t="s">
        <v>204</v>
      </c>
      <c r="D12037" s="896">
        <v>-10000</v>
      </c>
      <c r="E12037" s="201">
        <v>45839</v>
      </c>
      <c r="F12037" s="200" t="s">
        <v>296</v>
      </c>
      <c r="G12037" s="200" t="s">
        <v>5466</v>
      </c>
      <c r="H12037" s="200" t="s">
        <v>5384</v>
      </c>
      <c r="I12037" s="200" t="s">
        <v>3272</v>
      </c>
    </row>
    <row r="12038" spans="1:9" ht="15" customHeight="1">
      <c r="A12038" s="199">
        <v>45826</v>
      </c>
      <c r="B12038" s="202" t="s">
        <v>8252</v>
      </c>
      <c r="C12038" s="200" t="s">
        <v>204</v>
      </c>
      <c r="D12038" s="896">
        <v>-20000</v>
      </c>
      <c r="E12038" s="201">
        <v>45839</v>
      </c>
      <c r="F12038" s="200" t="s">
        <v>296</v>
      </c>
      <c r="G12038" s="200" t="s">
        <v>5466</v>
      </c>
      <c r="H12038" s="200" t="s">
        <v>268</v>
      </c>
      <c r="I12038" s="200" t="s">
        <v>3272</v>
      </c>
    </row>
    <row r="12039" spans="1:9" ht="15" customHeight="1">
      <c r="A12039" s="199">
        <v>45826</v>
      </c>
      <c r="B12039" s="202" t="s">
        <v>8252</v>
      </c>
      <c r="C12039" s="200" t="s">
        <v>204</v>
      </c>
      <c r="D12039" s="896">
        <v>-15000</v>
      </c>
      <c r="E12039" s="201">
        <v>45839</v>
      </c>
      <c r="F12039" s="200" t="s">
        <v>296</v>
      </c>
      <c r="G12039" s="200" t="s">
        <v>5466</v>
      </c>
      <c r="H12039" s="200" t="s">
        <v>268</v>
      </c>
      <c r="I12039" s="200" t="s">
        <v>3272</v>
      </c>
    </row>
    <row r="12040" spans="1:9" ht="15" customHeight="1">
      <c r="A12040" s="199">
        <v>45826</v>
      </c>
      <c r="B12040" s="202" t="s">
        <v>8790</v>
      </c>
      <c r="C12040" s="200" t="s">
        <v>204</v>
      </c>
      <c r="D12040" s="896">
        <v>-70000</v>
      </c>
      <c r="E12040" s="201">
        <v>45839</v>
      </c>
      <c r="F12040" s="200" t="s">
        <v>296</v>
      </c>
      <c r="G12040" s="200" t="s">
        <v>5466</v>
      </c>
      <c r="H12040" s="200" t="s">
        <v>268</v>
      </c>
      <c r="I12040" s="200" t="s">
        <v>3272</v>
      </c>
    </row>
    <row r="12041" spans="1:9" ht="15" customHeight="1">
      <c r="A12041" s="199">
        <v>45826</v>
      </c>
      <c r="B12041" s="202" t="s">
        <v>8791</v>
      </c>
      <c r="C12041" s="200" t="s">
        <v>204</v>
      </c>
      <c r="D12041" s="896">
        <v>-5700</v>
      </c>
      <c r="E12041" s="201">
        <v>45839</v>
      </c>
      <c r="F12041" s="200" t="s">
        <v>296</v>
      </c>
      <c r="G12041" s="200" t="s">
        <v>5466</v>
      </c>
      <c r="H12041" s="200" t="s">
        <v>268</v>
      </c>
      <c r="I12041" s="200" t="s">
        <v>3272</v>
      </c>
    </row>
    <row r="12042" spans="1:9" ht="15" customHeight="1">
      <c r="A12042" s="199">
        <v>45826</v>
      </c>
      <c r="B12042" s="202" t="s">
        <v>8792</v>
      </c>
      <c r="C12042" s="200" t="s">
        <v>204</v>
      </c>
      <c r="D12042" s="896">
        <v>-20000</v>
      </c>
      <c r="E12042" s="201">
        <v>45839</v>
      </c>
      <c r="F12042" s="200" t="s">
        <v>296</v>
      </c>
      <c r="G12042" s="200" t="s">
        <v>5466</v>
      </c>
      <c r="H12042" s="200" t="s">
        <v>268</v>
      </c>
      <c r="I12042" s="200" t="s">
        <v>3272</v>
      </c>
    </row>
    <row r="12043" spans="1:9" ht="15" customHeight="1">
      <c r="A12043" s="199">
        <v>45826</v>
      </c>
      <c r="B12043" s="202" t="s">
        <v>8793</v>
      </c>
      <c r="C12043" s="200" t="s">
        <v>204</v>
      </c>
      <c r="D12043" s="896">
        <v>-24992</v>
      </c>
      <c r="E12043" s="201">
        <v>45839</v>
      </c>
      <c r="F12043" s="200" t="s">
        <v>296</v>
      </c>
      <c r="G12043" s="200" t="s">
        <v>5466</v>
      </c>
      <c r="H12043" s="200" t="s">
        <v>268</v>
      </c>
      <c r="I12043" s="200" t="s">
        <v>3272</v>
      </c>
    </row>
    <row r="12044" spans="1:9" ht="15" customHeight="1">
      <c r="A12044" s="199">
        <v>45826</v>
      </c>
      <c r="B12044" s="202" t="s">
        <v>8793</v>
      </c>
      <c r="C12044" s="200" t="s">
        <v>204</v>
      </c>
      <c r="D12044" s="896">
        <v>-24000</v>
      </c>
      <c r="E12044" s="201">
        <v>45839</v>
      </c>
      <c r="F12044" s="200" t="s">
        <v>296</v>
      </c>
      <c r="G12044" s="200" t="s">
        <v>5466</v>
      </c>
      <c r="H12044" s="200" t="s">
        <v>268</v>
      </c>
      <c r="I12044" s="200" t="s">
        <v>3272</v>
      </c>
    </row>
    <row r="12045" spans="1:9" ht="15" customHeight="1">
      <c r="A12045" s="199">
        <v>45826</v>
      </c>
      <c r="B12045" s="202" t="s">
        <v>8794</v>
      </c>
      <c r="C12045" s="200" t="s">
        <v>204</v>
      </c>
      <c r="D12045" s="896">
        <v>-30000</v>
      </c>
      <c r="E12045" s="201">
        <v>45839</v>
      </c>
      <c r="F12045" s="200" t="s">
        <v>296</v>
      </c>
      <c r="G12045" s="200" t="s">
        <v>5466</v>
      </c>
      <c r="H12045" s="200" t="s">
        <v>268</v>
      </c>
      <c r="I12045" s="200" t="s">
        <v>3272</v>
      </c>
    </row>
    <row r="12046" spans="1:9" ht="15" customHeight="1">
      <c r="A12046" s="199">
        <v>45830</v>
      </c>
      <c r="B12046" s="202" t="s">
        <v>8795</v>
      </c>
      <c r="C12046" s="200" t="s">
        <v>204</v>
      </c>
      <c r="D12046" s="896">
        <v>-24210</v>
      </c>
      <c r="E12046" s="201">
        <v>45839</v>
      </c>
      <c r="F12046" s="200" t="s">
        <v>296</v>
      </c>
      <c r="G12046" s="200" t="s">
        <v>5466</v>
      </c>
      <c r="H12046" s="200" t="s">
        <v>5384</v>
      </c>
      <c r="I12046" s="200" t="s">
        <v>3272</v>
      </c>
    </row>
    <row r="12047" spans="1:9" ht="15" customHeight="1">
      <c r="A12047" s="199">
        <v>45831</v>
      </c>
      <c r="B12047" s="202" t="s">
        <v>8796</v>
      </c>
      <c r="C12047" s="200" t="s">
        <v>204</v>
      </c>
      <c r="D12047" s="896">
        <v>-25400</v>
      </c>
      <c r="E12047" s="201">
        <v>45839</v>
      </c>
      <c r="F12047" s="200" t="s">
        <v>296</v>
      </c>
      <c r="G12047" s="200" t="s">
        <v>5466</v>
      </c>
      <c r="H12047" s="200" t="s">
        <v>268</v>
      </c>
      <c r="I12047" s="200" t="s">
        <v>3272</v>
      </c>
    </row>
    <row r="12048" spans="1:9" ht="15" customHeight="1">
      <c r="A12048" s="199">
        <v>45831</v>
      </c>
      <c r="B12048" s="202" t="s">
        <v>8797</v>
      </c>
      <c r="C12048" s="200" t="s">
        <v>204</v>
      </c>
      <c r="D12048" s="896">
        <v>-25400</v>
      </c>
      <c r="E12048" s="201">
        <v>45839</v>
      </c>
      <c r="F12048" s="200" t="s">
        <v>296</v>
      </c>
      <c r="G12048" s="200" t="s">
        <v>5466</v>
      </c>
      <c r="H12048" s="200" t="s">
        <v>268</v>
      </c>
      <c r="I12048" s="200" t="s">
        <v>3272</v>
      </c>
    </row>
    <row r="12049" spans="1:9" ht="15" customHeight="1">
      <c r="A12049" s="199">
        <v>45831</v>
      </c>
      <c r="B12049" s="202" t="s">
        <v>8798</v>
      </c>
      <c r="C12049" s="200" t="s">
        <v>204</v>
      </c>
      <c r="D12049" s="896">
        <v>-80000</v>
      </c>
      <c r="E12049" s="201">
        <v>45839</v>
      </c>
      <c r="F12049" s="200" t="s">
        <v>296</v>
      </c>
      <c r="G12049" s="200" t="s">
        <v>5466</v>
      </c>
      <c r="H12049" s="200" t="s">
        <v>268</v>
      </c>
      <c r="I12049" s="200" t="s">
        <v>3272</v>
      </c>
    </row>
    <row r="12050" spans="1:9" ht="15" customHeight="1">
      <c r="A12050" s="199">
        <v>45832</v>
      </c>
      <c r="B12050" s="202" t="s">
        <v>8257</v>
      </c>
      <c r="C12050" s="200" t="s">
        <v>204</v>
      </c>
      <c r="D12050" s="896">
        <v>-30000</v>
      </c>
      <c r="E12050" s="201">
        <v>45839</v>
      </c>
      <c r="F12050" s="200" t="s">
        <v>296</v>
      </c>
      <c r="G12050" s="200" t="s">
        <v>5466</v>
      </c>
      <c r="H12050" s="200" t="s">
        <v>268</v>
      </c>
      <c r="I12050" s="200" t="s">
        <v>3272</v>
      </c>
    </row>
    <row r="12051" spans="1:9" ht="15" customHeight="1">
      <c r="A12051" s="199">
        <v>45832</v>
      </c>
      <c r="B12051" s="202" t="s">
        <v>8799</v>
      </c>
      <c r="C12051" s="200" t="s">
        <v>204</v>
      </c>
      <c r="D12051" s="896">
        <v>-30000</v>
      </c>
      <c r="E12051" s="201">
        <v>45839</v>
      </c>
      <c r="F12051" s="200" t="s">
        <v>296</v>
      </c>
      <c r="G12051" s="200" t="s">
        <v>5466</v>
      </c>
      <c r="H12051" s="200" t="s">
        <v>268</v>
      </c>
      <c r="I12051" s="200" t="s">
        <v>3272</v>
      </c>
    </row>
    <row r="12052" spans="1:9" ht="15" customHeight="1">
      <c r="A12052" s="199">
        <v>45832</v>
      </c>
      <c r="B12052" s="202" t="s">
        <v>8800</v>
      </c>
      <c r="C12052" s="200" t="s">
        <v>204</v>
      </c>
      <c r="D12052" s="896">
        <v>-6000</v>
      </c>
      <c r="E12052" s="201">
        <v>45839</v>
      </c>
      <c r="F12052" s="200" t="s">
        <v>296</v>
      </c>
      <c r="G12052" s="200" t="s">
        <v>5466</v>
      </c>
      <c r="H12052" s="200" t="s">
        <v>268</v>
      </c>
      <c r="I12052" s="200" t="s">
        <v>3272</v>
      </c>
    </row>
    <row r="12053" spans="1:9" ht="15" customHeight="1">
      <c r="A12053" s="199">
        <v>45832</v>
      </c>
      <c r="B12053" s="202" t="s">
        <v>8801</v>
      </c>
      <c r="C12053" s="200" t="s">
        <v>204</v>
      </c>
      <c r="D12053" s="896">
        <v>-50000</v>
      </c>
      <c r="E12053" s="201">
        <v>45839</v>
      </c>
      <c r="F12053" s="200" t="s">
        <v>296</v>
      </c>
      <c r="G12053" s="200" t="s">
        <v>5466</v>
      </c>
      <c r="H12053" s="200" t="s">
        <v>268</v>
      </c>
      <c r="I12053" s="200" t="s">
        <v>3272</v>
      </c>
    </row>
    <row r="12054" spans="1:9" ht="15" customHeight="1">
      <c r="A12054" s="199">
        <v>45832</v>
      </c>
      <c r="B12054" s="202" t="s">
        <v>8802</v>
      </c>
      <c r="C12054" s="200" t="s">
        <v>204</v>
      </c>
      <c r="D12054" s="896">
        <v>-50000</v>
      </c>
      <c r="E12054" s="201">
        <v>45839</v>
      </c>
      <c r="F12054" s="200" t="s">
        <v>296</v>
      </c>
      <c r="G12054" s="200" t="s">
        <v>5466</v>
      </c>
      <c r="H12054" s="200" t="s">
        <v>268</v>
      </c>
      <c r="I12054" s="200" t="s">
        <v>3272</v>
      </c>
    </row>
    <row r="12055" spans="1:9" ht="15" customHeight="1">
      <c r="A12055" s="199">
        <v>45832</v>
      </c>
      <c r="B12055" s="202" t="s">
        <v>8803</v>
      </c>
      <c r="C12055" s="200" t="s">
        <v>204</v>
      </c>
      <c r="D12055" s="896">
        <v>-6050</v>
      </c>
      <c r="E12055" s="201">
        <v>45839</v>
      </c>
      <c r="F12055" s="200" t="s">
        <v>296</v>
      </c>
      <c r="G12055" s="200" t="s">
        <v>5466</v>
      </c>
      <c r="H12055" s="200" t="s">
        <v>268</v>
      </c>
      <c r="I12055" s="200" t="s">
        <v>3272</v>
      </c>
    </row>
    <row r="12056" spans="1:9" ht="15" customHeight="1">
      <c r="A12056" s="199">
        <v>45832</v>
      </c>
      <c r="B12056" s="202" t="s">
        <v>8804</v>
      </c>
      <c r="C12056" s="200" t="s">
        <v>204</v>
      </c>
      <c r="D12056" s="896">
        <v>-11000</v>
      </c>
      <c r="E12056" s="201">
        <v>45839</v>
      </c>
      <c r="F12056" s="200" t="s">
        <v>296</v>
      </c>
      <c r="G12056" s="200" t="s">
        <v>5466</v>
      </c>
      <c r="H12056" s="200" t="s">
        <v>268</v>
      </c>
      <c r="I12056" s="200" t="s">
        <v>3272</v>
      </c>
    </row>
    <row r="12057" spans="1:9" ht="15" customHeight="1">
      <c r="A12057" s="199">
        <v>45832</v>
      </c>
      <c r="B12057" s="202" t="s">
        <v>8805</v>
      </c>
      <c r="C12057" s="200" t="s">
        <v>204</v>
      </c>
      <c r="D12057" s="896">
        <v>-11000</v>
      </c>
      <c r="E12057" s="201">
        <v>45839</v>
      </c>
      <c r="F12057" s="200" t="s">
        <v>296</v>
      </c>
      <c r="G12057" s="200" t="s">
        <v>5466</v>
      </c>
      <c r="H12057" s="200" t="s">
        <v>268</v>
      </c>
      <c r="I12057" s="200" t="s">
        <v>3272</v>
      </c>
    </row>
    <row r="12058" spans="1:9" ht="15" customHeight="1">
      <c r="A12058" s="199">
        <v>45832</v>
      </c>
      <c r="B12058" s="202" t="s">
        <v>8806</v>
      </c>
      <c r="C12058" s="200" t="s">
        <v>204</v>
      </c>
      <c r="D12058" s="896">
        <v>-11000</v>
      </c>
      <c r="E12058" s="201">
        <v>45839</v>
      </c>
      <c r="F12058" s="200" t="s">
        <v>296</v>
      </c>
      <c r="G12058" s="200" t="s">
        <v>5466</v>
      </c>
      <c r="H12058" s="200" t="s">
        <v>268</v>
      </c>
      <c r="I12058" s="200" t="s">
        <v>3272</v>
      </c>
    </row>
    <row r="12059" spans="1:9" ht="15" customHeight="1">
      <c r="A12059" s="199">
        <v>45832</v>
      </c>
      <c r="B12059" s="202" t="s">
        <v>8807</v>
      </c>
      <c r="C12059" s="200" t="s">
        <v>204</v>
      </c>
      <c r="D12059" s="896">
        <v>-14500</v>
      </c>
      <c r="E12059" s="201">
        <v>45839</v>
      </c>
      <c r="F12059" s="200" t="s">
        <v>296</v>
      </c>
      <c r="G12059" s="200" t="s">
        <v>5466</v>
      </c>
      <c r="H12059" s="200" t="s">
        <v>342</v>
      </c>
      <c r="I12059" s="200" t="s">
        <v>3272</v>
      </c>
    </row>
    <row r="12060" spans="1:9" ht="15" customHeight="1">
      <c r="A12060" s="199">
        <v>45832</v>
      </c>
      <c r="B12060" s="202" t="s">
        <v>8808</v>
      </c>
      <c r="C12060" s="200" t="s">
        <v>204</v>
      </c>
      <c r="D12060" s="896">
        <v>-30000</v>
      </c>
      <c r="E12060" s="201">
        <v>45839</v>
      </c>
      <c r="F12060" s="200" t="s">
        <v>296</v>
      </c>
      <c r="G12060" s="200" t="s">
        <v>5466</v>
      </c>
      <c r="H12060" s="200" t="s">
        <v>268</v>
      </c>
      <c r="I12060" s="200" t="s">
        <v>3272</v>
      </c>
    </row>
    <row r="12061" spans="1:9" ht="15" customHeight="1">
      <c r="A12061" s="199">
        <v>45832</v>
      </c>
      <c r="B12061" s="202" t="s">
        <v>8809</v>
      </c>
      <c r="C12061" s="200" t="s">
        <v>204</v>
      </c>
      <c r="D12061" s="896">
        <v>-30000</v>
      </c>
      <c r="E12061" s="201">
        <v>45839</v>
      </c>
      <c r="F12061" s="200" t="s">
        <v>296</v>
      </c>
      <c r="G12061" s="200" t="s">
        <v>5466</v>
      </c>
      <c r="H12061" s="200" t="s">
        <v>268</v>
      </c>
      <c r="I12061" s="200" t="s">
        <v>3272</v>
      </c>
    </row>
    <row r="12062" spans="1:9" ht="15" customHeight="1">
      <c r="A12062" s="199">
        <v>45832</v>
      </c>
      <c r="B12062" s="202" t="s">
        <v>8810</v>
      </c>
      <c r="C12062" s="200" t="s">
        <v>204</v>
      </c>
      <c r="D12062" s="896">
        <v>-30000</v>
      </c>
      <c r="E12062" s="201">
        <v>45839</v>
      </c>
      <c r="F12062" s="200" t="s">
        <v>296</v>
      </c>
      <c r="G12062" s="200" t="s">
        <v>5466</v>
      </c>
      <c r="H12062" s="200" t="s">
        <v>268</v>
      </c>
      <c r="I12062" s="200" t="s">
        <v>3272</v>
      </c>
    </row>
    <row r="12063" spans="1:9" ht="15" customHeight="1">
      <c r="A12063" s="199">
        <v>45832</v>
      </c>
      <c r="B12063" s="202" t="s">
        <v>8811</v>
      </c>
      <c r="C12063" s="200" t="s">
        <v>204</v>
      </c>
      <c r="D12063" s="896">
        <v>-7000</v>
      </c>
      <c r="E12063" s="201">
        <v>45839</v>
      </c>
      <c r="F12063" s="200" t="s">
        <v>296</v>
      </c>
      <c r="G12063" s="200" t="s">
        <v>5466</v>
      </c>
      <c r="H12063" s="200" t="s">
        <v>268</v>
      </c>
      <c r="I12063" s="200" t="s">
        <v>3272</v>
      </c>
    </row>
    <row r="12064" spans="1:9" ht="15" customHeight="1">
      <c r="A12064" s="199">
        <v>45832</v>
      </c>
      <c r="B12064" s="202" t="s">
        <v>8812</v>
      </c>
      <c r="C12064" s="200" t="s">
        <v>204</v>
      </c>
      <c r="D12064" s="896">
        <v>-10000</v>
      </c>
      <c r="E12064" s="201">
        <v>45839</v>
      </c>
      <c r="F12064" s="200" t="s">
        <v>296</v>
      </c>
      <c r="G12064" s="200" t="s">
        <v>5466</v>
      </c>
      <c r="H12064" s="200" t="s">
        <v>268</v>
      </c>
      <c r="I12064" s="200" t="s">
        <v>3272</v>
      </c>
    </row>
    <row r="12065" spans="1:9" ht="15" customHeight="1">
      <c r="A12065" s="199">
        <v>45832</v>
      </c>
      <c r="B12065" s="202" t="s">
        <v>8813</v>
      </c>
      <c r="C12065" s="200" t="s">
        <v>204</v>
      </c>
      <c r="D12065" s="896">
        <v>-10000</v>
      </c>
      <c r="E12065" s="201">
        <v>45839</v>
      </c>
      <c r="F12065" s="200" t="s">
        <v>296</v>
      </c>
      <c r="G12065" s="200" t="s">
        <v>5466</v>
      </c>
      <c r="H12065" s="200" t="s">
        <v>268</v>
      </c>
      <c r="I12065" s="200" t="s">
        <v>3272</v>
      </c>
    </row>
    <row r="12066" spans="1:9" ht="15" customHeight="1">
      <c r="A12066" s="199">
        <v>45832</v>
      </c>
      <c r="B12066" s="202" t="s">
        <v>8814</v>
      </c>
      <c r="C12066" s="200" t="s">
        <v>204</v>
      </c>
      <c r="D12066" s="896">
        <v>-11000</v>
      </c>
      <c r="E12066" s="201">
        <v>45839</v>
      </c>
      <c r="F12066" s="200" t="s">
        <v>296</v>
      </c>
      <c r="G12066" s="200" t="s">
        <v>5466</v>
      </c>
      <c r="H12066" s="200" t="s">
        <v>268</v>
      </c>
      <c r="I12066" s="200" t="s">
        <v>3272</v>
      </c>
    </row>
    <row r="12067" spans="1:9" ht="15" customHeight="1">
      <c r="A12067" s="199">
        <v>45832</v>
      </c>
      <c r="B12067" s="202" t="s">
        <v>8815</v>
      </c>
      <c r="C12067" s="200" t="s">
        <v>204</v>
      </c>
      <c r="D12067" s="896">
        <v>-13500</v>
      </c>
      <c r="E12067" s="201">
        <v>45839</v>
      </c>
      <c r="F12067" s="200" t="s">
        <v>296</v>
      </c>
      <c r="G12067" s="200" t="s">
        <v>5466</v>
      </c>
      <c r="H12067" s="200" t="s">
        <v>342</v>
      </c>
      <c r="I12067" s="200" t="s">
        <v>3272</v>
      </c>
    </row>
    <row r="12068" spans="1:9" ht="15" customHeight="1">
      <c r="A12068" s="199">
        <v>45832</v>
      </c>
      <c r="B12068" s="202" t="s">
        <v>7894</v>
      </c>
      <c r="C12068" s="200" t="s">
        <v>204</v>
      </c>
      <c r="D12068" s="896">
        <v>-10000</v>
      </c>
      <c r="E12068" s="201">
        <v>45839</v>
      </c>
      <c r="F12068" s="200" t="s">
        <v>296</v>
      </c>
      <c r="G12068" s="200" t="s">
        <v>5466</v>
      </c>
      <c r="H12068" s="200" t="s">
        <v>268</v>
      </c>
      <c r="I12068" s="200" t="s">
        <v>3272</v>
      </c>
    </row>
    <row r="12069" spans="1:9" ht="15" customHeight="1">
      <c r="A12069" s="199">
        <v>45832</v>
      </c>
      <c r="B12069" s="202" t="s">
        <v>8816</v>
      </c>
      <c r="C12069" s="200" t="s">
        <v>204</v>
      </c>
      <c r="D12069" s="896">
        <v>-80000</v>
      </c>
      <c r="E12069" s="201">
        <v>45839</v>
      </c>
      <c r="F12069" s="200" t="s">
        <v>296</v>
      </c>
      <c r="G12069" s="200" t="s">
        <v>5466</v>
      </c>
      <c r="H12069" s="200" t="s">
        <v>268</v>
      </c>
      <c r="I12069" s="200" t="s">
        <v>3272</v>
      </c>
    </row>
    <row r="12070" spans="1:9" ht="15" customHeight="1">
      <c r="A12070" s="199">
        <v>45832</v>
      </c>
      <c r="B12070" s="202" t="s">
        <v>8817</v>
      </c>
      <c r="C12070" s="200" t="s">
        <v>204</v>
      </c>
      <c r="D12070" s="896">
        <v>-20000</v>
      </c>
      <c r="E12070" s="201">
        <v>45839</v>
      </c>
      <c r="F12070" s="200" t="s">
        <v>296</v>
      </c>
      <c r="G12070" s="200" t="s">
        <v>5466</v>
      </c>
      <c r="H12070" s="200" t="s">
        <v>268</v>
      </c>
      <c r="I12070" s="200" t="s">
        <v>3272</v>
      </c>
    </row>
    <row r="12071" spans="1:9" ht="15" customHeight="1">
      <c r="A12071" s="199">
        <v>45832</v>
      </c>
      <c r="B12071" s="202" t="s">
        <v>8818</v>
      </c>
      <c r="C12071" s="200" t="s">
        <v>204</v>
      </c>
      <c r="D12071" s="896">
        <v>-20000</v>
      </c>
      <c r="E12071" s="201">
        <v>45839</v>
      </c>
      <c r="F12071" s="200" t="s">
        <v>296</v>
      </c>
      <c r="G12071" s="200" t="s">
        <v>5466</v>
      </c>
      <c r="H12071" s="200" t="s">
        <v>268</v>
      </c>
      <c r="I12071" s="200" t="s">
        <v>3272</v>
      </c>
    </row>
    <row r="12072" spans="1:9" ht="15" customHeight="1">
      <c r="A12072" s="199">
        <v>45832</v>
      </c>
      <c r="B12072" s="202" t="s">
        <v>8819</v>
      </c>
      <c r="C12072" s="200" t="s">
        <v>204</v>
      </c>
      <c r="D12072" s="896">
        <v>-10000</v>
      </c>
      <c r="E12072" s="201">
        <v>45839</v>
      </c>
      <c r="F12072" s="200" t="s">
        <v>296</v>
      </c>
      <c r="G12072" s="200" t="s">
        <v>5466</v>
      </c>
      <c r="H12072" s="200" t="s">
        <v>342</v>
      </c>
      <c r="I12072" s="200" t="s">
        <v>3272</v>
      </c>
    </row>
    <row r="12073" spans="1:9" ht="15" customHeight="1">
      <c r="A12073" s="199">
        <v>45834</v>
      </c>
      <c r="B12073" s="202" t="s">
        <v>8820</v>
      </c>
      <c r="C12073" s="200" t="s">
        <v>204</v>
      </c>
      <c r="D12073" s="896">
        <v>-17100</v>
      </c>
      <c r="E12073" s="201">
        <v>45839</v>
      </c>
      <c r="F12073" s="200" t="s">
        <v>296</v>
      </c>
      <c r="G12073" s="200" t="s">
        <v>5466</v>
      </c>
      <c r="H12073" s="200" t="s">
        <v>5384</v>
      </c>
      <c r="I12073" s="200" t="s">
        <v>3272</v>
      </c>
    </row>
    <row r="12074" spans="1:9" ht="15" customHeight="1">
      <c r="A12074" s="199">
        <v>45834</v>
      </c>
      <c r="B12074" s="202" t="s">
        <v>8820</v>
      </c>
      <c r="C12074" s="200" t="s">
        <v>204</v>
      </c>
      <c r="D12074" s="896">
        <v>-4745</v>
      </c>
      <c r="E12074" s="201">
        <v>45839</v>
      </c>
      <c r="F12074" s="200" t="s">
        <v>296</v>
      </c>
      <c r="G12074" s="200" t="s">
        <v>5466</v>
      </c>
      <c r="H12074" s="200" t="s">
        <v>5384</v>
      </c>
      <c r="I12074" s="200" t="s">
        <v>3272</v>
      </c>
    </row>
    <row r="12075" spans="1:9" ht="15" customHeight="1">
      <c r="A12075" s="199">
        <v>45834</v>
      </c>
      <c r="B12075" s="202" t="s">
        <v>8252</v>
      </c>
      <c r="C12075" s="200" t="s">
        <v>204</v>
      </c>
      <c r="D12075" s="896">
        <v>-15000</v>
      </c>
      <c r="E12075" s="201">
        <v>45839</v>
      </c>
      <c r="F12075" s="200" t="s">
        <v>296</v>
      </c>
      <c r="G12075" s="200" t="s">
        <v>5466</v>
      </c>
      <c r="H12075" s="200" t="s">
        <v>268</v>
      </c>
      <c r="I12075" s="200" t="s">
        <v>3272</v>
      </c>
    </row>
    <row r="12076" spans="1:9" ht="15" customHeight="1">
      <c r="A12076" s="199">
        <v>45835</v>
      </c>
      <c r="B12076" s="202" t="s">
        <v>8252</v>
      </c>
      <c r="C12076" s="200" t="s">
        <v>204</v>
      </c>
      <c r="D12076" s="896">
        <v>-15000</v>
      </c>
      <c r="E12076" s="201">
        <v>45839</v>
      </c>
      <c r="F12076" s="200" t="s">
        <v>296</v>
      </c>
      <c r="G12076" s="200" t="s">
        <v>5466</v>
      </c>
      <c r="H12076" s="200" t="s">
        <v>268</v>
      </c>
      <c r="I12076" s="200" t="s">
        <v>3272</v>
      </c>
    </row>
    <row r="12077" spans="1:9" ht="15" customHeight="1">
      <c r="A12077" s="199">
        <v>45845</v>
      </c>
      <c r="B12077" s="202" t="s">
        <v>8821</v>
      </c>
      <c r="C12077" s="200" t="s">
        <v>204</v>
      </c>
      <c r="D12077" s="896">
        <v>-676515</v>
      </c>
      <c r="E12077" s="201">
        <v>45839</v>
      </c>
      <c r="F12077" s="200" t="s">
        <v>10</v>
      </c>
      <c r="G12077" s="200" t="s">
        <v>10</v>
      </c>
      <c r="H12077" s="200" t="s">
        <v>5384</v>
      </c>
      <c r="I12077" s="200" t="s">
        <v>80</v>
      </c>
    </row>
    <row r="12078" spans="1:9" ht="15" customHeight="1">
      <c r="A12078" s="199">
        <v>45845</v>
      </c>
      <c r="B12078" s="202" t="s">
        <v>8822</v>
      </c>
      <c r="C12078" s="200" t="s">
        <v>204</v>
      </c>
      <c r="D12078" s="896">
        <v>-727610</v>
      </c>
      <c r="E12078" s="201">
        <v>45839</v>
      </c>
      <c r="F12078" s="200" t="s">
        <v>296</v>
      </c>
      <c r="G12078" s="200" t="s">
        <v>415</v>
      </c>
      <c r="H12078" s="200" t="s">
        <v>342</v>
      </c>
    </row>
    <row r="12079" spans="1:9" ht="15" customHeight="1">
      <c r="A12079" s="199">
        <v>45845</v>
      </c>
      <c r="B12079" s="202" t="s">
        <v>8823</v>
      </c>
      <c r="C12079" s="200" t="s">
        <v>372</v>
      </c>
      <c r="D12079" s="204">
        <v>-26390</v>
      </c>
      <c r="E12079" s="201">
        <v>45839</v>
      </c>
      <c r="F12079" s="200" t="s">
        <v>296</v>
      </c>
      <c r="G12079" s="200" t="s">
        <v>415</v>
      </c>
      <c r="H12079" s="200" t="s">
        <v>342</v>
      </c>
    </row>
    <row r="12080" spans="1:9" ht="15" customHeight="1">
      <c r="A12080" s="199">
        <v>45845</v>
      </c>
      <c r="B12080" s="202" t="s">
        <v>8824</v>
      </c>
      <c r="C12080" s="200" t="s">
        <v>204</v>
      </c>
      <c r="D12080" s="896">
        <v>-128000</v>
      </c>
      <c r="E12080" s="201">
        <v>45839</v>
      </c>
      <c r="F12080" s="200" t="s">
        <v>10</v>
      </c>
      <c r="G12080" s="200" t="s">
        <v>10</v>
      </c>
      <c r="H12080" s="200" t="s">
        <v>5384</v>
      </c>
      <c r="I12080" s="200" t="s">
        <v>31</v>
      </c>
    </row>
    <row r="12081" spans="1:8" ht="15" customHeight="1">
      <c r="A12081" s="199">
        <v>45845</v>
      </c>
      <c r="B12081" s="202" t="s">
        <v>8825</v>
      </c>
      <c r="C12081" s="200" t="s">
        <v>204</v>
      </c>
      <c r="D12081" s="896">
        <v>-65000</v>
      </c>
      <c r="E12081" s="201">
        <v>45839</v>
      </c>
      <c r="F12081" s="200" t="s">
        <v>296</v>
      </c>
      <c r="G12081" s="200" t="s">
        <v>1980</v>
      </c>
      <c r="H12081" s="200" t="s">
        <v>322</v>
      </c>
    </row>
    <row r="12082" spans="1:8" ht="15" customHeight="1">
      <c r="A12082" s="199">
        <v>45845</v>
      </c>
      <c r="B12082" s="202" t="s">
        <v>8825</v>
      </c>
      <c r="C12082" s="200" t="s">
        <v>204</v>
      </c>
      <c r="D12082" s="896">
        <v>-65000</v>
      </c>
      <c r="E12082" s="201">
        <v>45839</v>
      </c>
      <c r="F12082" s="200" t="s">
        <v>296</v>
      </c>
      <c r="G12082" s="200" t="s">
        <v>1983</v>
      </c>
      <c r="H12082" s="200" t="s">
        <v>322</v>
      </c>
    </row>
    <row r="12083" spans="1:8" ht="15" customHeight="1">
      <c r="A12083" s="199">
        <v>45845</v>
      </c>
      <c r="B12083" s="202" t="s">
        <v>8826</v>
      </c>
      <c r="C12083" s="200" t="s">
        <v>204</v>
      </c>
      <c r="D12083" s="896">
        <v>-7792560</v>
      </c>
      <c r="E12083" s="201">
        <v>45839</v>
      </c>
      <c r="F12083" s="200" t="s">
        <v>296</v>
      </c>
      <c r="G12083" s="200" t="s">
        <v>1825</v>
      </c>
      <c r="H12083" s="200" t="s">
        <v>488</v>
      </c>
    </row>
    <row r="12084" spans="1:8" ht="15" customHeight="1">
      <c r="A12084" s="199">
        <v>45845</v>
      </c>
      <c r="B12084" s="202" t="s">
        <v>8827</v>
      </c>
      <c r="C12084" s="200" t="s">
        <v>372</v>
      </c>
      <c r="D12084" s="204">
        <v>-328800</v>
      </c>
      <c r="E12084" s="201">
        <v>45839</v>
      </c>
      <c r="F12084" s="200" t="s">
        <v>296</v>
      </c>
      <c r="G12084" s="200" t="s">
        <v>1825</v>
      </c>
      <c r="H12084" s="200" t="s">
        <v>488</v>
      </c>
    </row>
    <row r="12085" spans="1:8" ht="15" customHeight="1">
      <c r="A12085" s="199">
        <v>45845</v>
      </c>
      <c r="B12085" s="202" t="s">
        <v>8828</v>
      </c>
      <c r="C12085" s="200" t="s">
        <v>372</v>
      </c>
      <c r="D12085" s="204">
        <v>-98640</v>
      </c>
      <c r="E12085" s="201">
        <v>45839</v>
      </c>
      <c r="F12085" s="200" t="s">
        <v>296</v>
      </c>
      <c r="G12085" s="200" t="s">
        <v>1825</v>
      </c>
      <c r="H12085" s="200" t="s">
        <v>488</v>
      </c>
    </row>
    <row r="12086" spans="1:8" ht="15" customHeight="1">
      <c r="A12086" s="199">
        <v>45845</v>
      </c>
      <c r="B12086" s="202" t="s">
        <v>8826</v>
      </c>
      <c r="C12086" s="200" t="s">
        <v>204</v>
      </c>
      <c r="D12086" s="896">
        <v>-3673026</v>
      </c>
      <c r="E12086" s="201">
        <v>45839</v>
      </c>
      <c r="F12086" s="200" t="s">
        <v>296</v>
      </c>
      <c r="G12086" s="200" t="s">
        <v>1980</v>
      </c>
      <c r="H12086" s="200" t="s">
        <v>488</v>
      </c>
    </row>
    <row r="12087" spans="1:8" ht="15" customHeight="1">
      <c r="A12087" s="199">
        <v>45845</v>
      </c>
      <c r="B12087" s="202" t="s">
        <v>8827</v>
      </c>
      <c r="C12087" s="200" t="s">
        <v>372</v>
      </c>
      <c r="D12087" s="204">
        <v>-154980</v>
      </c>
      <c r="E12087" s="201">
        <v>45839</v>
      </c>
      <c r="F12087" s="200" t="s">
        <v>296</v>
      </c>
      <c r="G12087" s="200" t="s">
        <v>1980</v>
      </c>
      <c r="H12087" s="200" t="s">
        <v>488</v>
      </c>
    </row>
    <row r="12088" spans="1:8" ht="15" customHeight="1">
      <c r="A12088" s="199">
        <v>45845</v>
      </c>
      <c r="B12088" s="202" t="s">
        <v>8828</v>
      </c>
      <c r="C12088" s="200" t="s">
        <v>372</v>
      </c>
      <c r="D12088" s="204">
        <v>-46494</v>
      </c>
      <c r="E12088" s="201">
        <v>45839</v>
      </c>
      <c r="F12088" s="200" t="s">
        <v>296</v>
      </c>
      <c r="G12088" s="200" t="s">
        <v>1980</v>
      </c>
      <c r="H12088" s="200" t="s">
        <v>488</v>
      </c>
    </row>
    <row r="12089" spans="1:8" ht="15" customHeight="1">
      <c r="A12089" s="199">
        <v>45845</v>
      </c>
      <c r="B12089" s="202" t="s">
        <v>8826</v>
      </c>
      <c r="C12089" s="200" t="s">
        <v>204</v>
      </c>
      <c r="D12089" s="896">
        <v>-4174044</v>
      </c>
      <c r="E12089" s="201">
        <v>45839</v>
      </c>
      <c r="F12089" s="200" t="s">
        <v>296</v>
      </c>
      <c r="G12089" s="200" t="s">
        <v>1983</v>
      </c>
      <c r="H12089" s="200" t="s">
        <v>488</v>
      </c>
    </row>
    <row r="12090" spans="1:8" ht="15" customHeight="1">
      <c r="A12090" s="199">
        <v>45845</v>
      </c>
      <c r="B12090" s="202" t="s">
        <v>8827</v>
      </c>
      <c r="C12090" s="200" t="s">
        <v>372</v>
      </c>
      <c r="D12090" s="204">
        <v>-176120</v>
      </c>
      <c r="E12090" s="201">
        <v>45839</v>
      </c>
      <c r="F12090" s="200" t="s">
        <v>296</v>
      </c>
      <c r="G12090" s="200" t="s">
        <v>1983</v>
      </c>
      <c r="H12090" s="200" t="s">
        <v>488</v>
      </c>
    </row>
    <row r="12091" spans="1:8" ht="15" customHeight="1">
      <c r="A12091" s="199">
        <v>45845</v>
      </c>
      <c r="B12091" s="202" t="s">
        <v>8828</v>
      </c>
      <c r="C12091" s="200" t="s">
        <v>372</v>
      </c>
      <c r="D12091" s="204">
        <v>-52836</v>
      </c>
      <c r="E12091" s="201">
        <v>45839</v>
      </c>
      <c r="F12091" s="200" t="s">
        <v>296</v>
      </c>
      <c r="G12091" s="200" t="s">
        <v>1983</v>
      </c>
      <c r="H12091" s="200" t="s">
        <v>488</v>
      </c>
    </row>
    <row r="12092" spans="1:8" ht="15" customHeight="1">
      <c r="A12092" s="199">
        <v>45845</v>
      </c>
      <c r="B12092" s="202" t="s">
        <v>8826</v>
      </c>
      <c r="C12092" s="200" t="s">
        <v>204</v>
      </c>
      <c r="D12092" s="896">
        <v>-14428560</v>
      </c>
      <c r="E12092" s="201">
        <v>45839</v>
      </c>
      <c r="F12092" s="200" t="s">
        <v>296</v>
      </c>
      <c r="G12092" s="200" t="s">
        <v>807</v>
      </c>
      <c r="H12092" s="200" t="s">
        <v>488</v>
      </c>
    </row>
    <row r="12093" spans="1:8" ht="15" customHeight="1">
      <c r="A12093" s="199">
        <v>45845</v>
      </c>
      <c r="B12093" s="202" t="s">
        <v>8827</v>
      </c>
      <c r="C12093" s="200" t="s">
        <v>372</v>
      </c>
      <c r="D12093" s="204">
        <v>-608800</v>
      </c>
      <c r="E12093" s="201">
        <v>45839</v>
      </c>
      <c r="F12093" s="200" t="s">
        <v>296</v>
      </c>
      <c r="G12093" s="200" t="s">
        <v>807</v>
      </c>
      <c r="H12093" s="200" t="s">
        <v>488</v>
      </c>
    </row>
    <row r="12094" spans="1:8" ht="15" customHeight="1">
      <c r="A12094" s="199">
        <v>45845</v>
      </c>
      <c r="B12094" s="202" t="s">
        <v>8828</v>
      </c>
      <c r="C12094" s="200" t="s">
        <v>372</v>
      </c>
      <c r="D12094" s="204">
        <v>-182640</v>
      </c>
      <c r="E12094" s="201">
        <v>45839</v>
      </c>
      <c r="F12094" s="200" t="s">
        <v>296</v>
      </c>
      <c r="G12094" s="200" t="s">
        <v>807</v>
      </c>
      <c r="H12094" s="200" t="s">
        <v>488</v>
      </c>
    </row>
    <row r="12095" spans="1:8" ht="15" customHeight="1">
      <c r="A12095" s="199">
        <v>45845</v>
      </c>
      <c r="B12095" s="202" t="s">
        <v>8829</v>
      </c>
      <c r="C12095" s="200" t="s">
        <v>204</v>
      </c>
      <c r="D12095" s="896">
        <v>-7523180</v>
      </c>
      <c r="E12095" s="201">
        <v>45839</v>
      </c>
      <c r="F12095" s="200" t="s">
        <v>296</v>
      </c>
      <c r="G12095" s="200" t="s">
        <v>807</v>
      </c>
      <c r="H12095" s="200" t="s">
        <v>1066</v>
      </c>
    </row>
    <row r="12096" spans="1:8" ht="15" customHeight="1">
      <c r="A12096" s="199">
        <v>45845</v>
      </c>
      <c r="B12096" s="202" t="s">
        <v>8829</v>
      </c>
      <c r="C12096" s="200" t="s">
        <v>204</v>
      </c>
      <c r="D12096" s="896">
        <v>-7523180</v>
      </c>
      <c r="E12096" s="201">
        <v>45839</v>
      </c>
      <c r="F12096" s="200" t="s">
        <v>296</v>
      </c>
      <c r="G12096" s="200" t="s">
        <v>1825</v>
      </c>
      <c r="H12096" s="200" t="s">
        <v>1066</v>
      </c>
    </row>
    <row r="12097" spans="1:9" ht="15" customHeight="1">
      <c r="A12097" s="199">
        <v>45845</v>
      </c>
      <c r="B12097" s="202" t="s">
        <v>8830</v>
      </c>
      <c r="C12097" s="200" t="s">
        <v>204</v>
      </c>
      <c r="D12097" s="896">
        <v>-472303</v>
      </c>
      <c r="E12097" s="201">
        <v>45839</v>
      </c>
      <c r="F12097" s="200" t="s">
        <v>297</v>
      </c>
      <c r="G12097" s="200" t="s">
        <v>71</v>
      </c>
      <c r="H12097" s="200" t="s">
        <v>5384</v>
      </c>
    </row>
    <row r="12098" spans="1:9" ht="15" customHeight="1">
      <c r="A12098" s="199">
        <v>45845</v>
      </c>
      <c r="B12098" s="202" t="s">
        <v>8831</v>
      </c>
      <c r="C12098" s="200" t="s">
        <v>204</v>
      </c>
      <c r="D12098" s="896">
        <v>-29900</v>
      </c>
      <c r="E12098" s="201">
        <v>45839</v>
      </c>
      <c r="F12098" s="200" t="s">
        <v>297</v>
      </c>
      <c r="G12098" s="200" t="s">
        <v>71</v>
      </c>
      <c r="H12098" s="200" t="s">
        <v>5384</v>
      </c>
    </row>
    <row r="12099" spans="1:9" ht="15" customHeight="1">
      <c r="A12099" s="199">
        <v>45832</v>
      </c>
      <c r="B12099" s="202" t="s">
        <v>2540</v>
      </c>
      <c r="C12099" s="200" t="s">
        <v>307</v>
      </c>
      <c r="D12099" s="204">
        <v>-29800</v>
      </c>
      <c r="E12099" s="201">
        <v>45839</v>
      </c>
      <c r="F12099" s="200" t="s">
        <v>296</v>
      </c>
      <c r="G12099" s="200" t="s">
        <v>57</v>
      </c>
      <c r="H12099" s="200" t="s">
        <v>97</v>
      </c>
      <c r="I12099" s="200" t="s">
        <v>211</v>
      </c>
    </row>
    <row r="12100" spans="1:9" ht="15" customHeight="1">
      <c r="A12100" s="199">
        <v>45832</v>
      </c>
      <c r="B12100" s="202" t="s">
        <v>2540</v>
      </c>
      <c r="C12100" s="200" t="s">
        <v>307</v>
      </c>
      <c r="D12100" s="204">
        <v>-12000</v>
      </c>
      <c r="E12100" s="201">
        <v>45839</v>
      </c>
      <c r="F12100" s="200" t="s">
        <v>296</v>
      </c>
      <c r="G12100" s="200" t="s">
        <v>57</v>
      </c>
      <c r="H12100" s="200" t="s">
        <v>97</v>
      </c>
      <c r="I12100" s="200" t="s">
        <v>211</v>
      </c>
    </row>
    <row r="12101" spans="1:9" ht="15" customHeight="1">
      <c r="A12101" s="199">
        <v>45832</v>
      </c>
      <c r="B12101" s="202" t="s">
        <v>2541</v>
      </c>
      <c r="C12101" s="200" t="s">
        <v>307</v>
      </c>
      <c r="D12101" s="204">
        <v>-5500</v>
      </c>
      <c r="E12101" s="201">
        <v>45839</v>
      </c>
      <c r="F12101" s="200" t="s">
        <v>296</v>
      </c>
      <c r="G12101" s="200" t="s">
        <v>57</v>
      </c>
      <c r="H12101" s="200" t="s">
        <v>97</v>
      </c>
      <c r="I12101" s="200" t="s">
        <v>211</v>
      </c>
    </row>
    <row r="12102" spans="1:9" ht="15" customHeight="1">
      <c r="A12102" s="199">
        <v>45832</v>
      </c>
      <c r="B12102" s="202" t="s">
        <v>2541</v>
      </c>
      <c r="C12102" s="200" t="s">
        <v>307</v>
      </c>
      <c r="D12102" s="204">
        <v>-9900</v>
      </c>
      <c r="E12102" s="201">
        <v>45839</v>
      </c>
      <c r="F12102" s="200" t="s">
        <v>296</v>
      </c>
      <c r="G12102" s="200" t="s">
        <v>57</v>
      </c>
      <c r="H12102" s="200" t="s">
        <v>97</v>
      </c>
      <c r="I12102" s="200" t="s">
        <v>211</v>
      </c>
    </row>
    <row r="12103" spans="1:9" ht="15" customHeight="1">
      <c r="A12103" s="199">
        <v>45832</v>
      </c>
      <c r="B12103" s="202" t="s">
        <v>2541</v>
      </c>
      <c r="C12103" s="200" t="s">
        <v>307</v>
      </c>
      <c r="D12103" s="204">
        <v>-12400</v>
      </c>
      <c r="E12103" s="201">
        <v>45839</v>
      </c>
      <c r="F12103" s="200" t="s">
        <v>296</v>
      </c>
      <c r="G12103" s="200" t="s">
        <v>57</v>
      </c>
      <c r="H12103" s="200" t="s">
        <v>97</v>
      </c>
      <c r="I12103" s="200" t="s">
        <v>211</v>
      </c>
    </row>
    <row r="12104" spans="1:9" ht="15" customHeight="1">
      <c r="A12104" s="199">
        <v>45832</v>
      </c>
      <c r="B12104" s="202" t="s">
        <v>1521</v>
      </c>
      <c r="C12104" s="200" t="s">
        <v>307</v>
      </c>
      <c r="D12104" s="204">
        <v>-153645</v>
      </c>
      <c r="E12104" s="201">
        <v>45839</v>
      </c>
      <c r="F12104" s="200" t="s">
        <v>296</v>
      </c>
      <c r="G12104" s="200" t="s">
        <v>57</v>
      </c>
      <c r="H12104" s="200" t="s">
        <v>97</v>
      </c>
      <c r="I12104" s="200" t="s">
        <v>211</v>
      </c>
    </row>
    <row r="12105" spans="1:9" ht="15" customHeight="1">
      <c r="A12105" s="199">
        <v>45832</v>
      </c>
      <c r="B12105" s="202" t="s">
        <v>2540</v>
      </c>
      <c r="C12105" s="200" t="s">
        <v>307</v>
      </c>
      <c r="D12105" s="204">
        <v>-45000</v>
      </c>
      <c r="E12105" s="201">
        <v>45839</v>
      </c>
      <c r="F12105" s="200" t="s">
        <v>296</v>
      </c>
      <c r="G12105" s="200" t="s">
        <v>57</v>
      </c>
      <c r="H12105" s="200" t="s">
        <v>97</v>
      </c>
      <c r="I12105" s="200" t="s">
        <v>211</v>
      </c>
    </row>
    <row r="12106" spans="1:9" ht="15" customHeight="1">
      <c r="A12106" s="199">
        <v>45832</v>
      </c>
      <c r="B12106" s="202" t="s">
        <v>8832</v>
      </c>
      <c r="C12106" s="200" t="s">
        <v>307</v>
      </c>
      <c r="D12106" s="204">
        <v>-216000</v>
      </c>
      <c r="E12106" s="201">
        <v>45839</v>
      </c>
      <c r="F12106" s="200" t="s">
        <v>296</v>
      </c>
      <c r="G12106" s="200" t="s">
        <v>57</v>
      </c>
      <c r="H12106" s="200" t="s">
        <v>97</v>
      </c>
      <c r="I12106" s="200" t="s">
        <v>211</v>
      </c>
    </row>
    <row r="12107" spans="1:9" ht="15" customHeight="1">
      <c r="A12107" s="199">
        <v>45833</v>
      </c>
      <c r="B12107" s="202" t="s">
        <v>2540</v>
      </c>
      <c r="C12107" s="200" t="s">
        <v>307</v>
      </c>
      <c r="D12107" s="204">
        <v>-15000</v>
      </c>
      <c r="E12107" s="201">
        <v>45839</v>
      </c>
      <c r="F12107" s="200" t="s">
        <v>296</v>
      </c>
      <c r="G12107" s="200" t="s">
        <v>57</v>
      </c>
      <c r="H12107" s="200" t="s">
        <v>97</v>
      </c>
      <c r="I12107" s="200" t="s">
        <v>211</v>
      </c>
    </row>
    <row r="12108" spans="1:9" ht="15" customHeight="1">
      <c r="A12108" s="199">
        <v>45833</v>
      </c>
      <c r="B12108" s="202" t="s">
        <v>2541</v>
      </c>
      <c r="C12108" s="200" t="s">
        <v>307</v>
      </c>
      <c r="D12108" s="204">
        <v>-12200</v>
      </c>
      <c r="E12108" s="201">
        <v>45839</v>
      </c>
      <c r="F12108" s="200" t="s">
        <v>296</v>
      </c>
      <c r="G12108" s="200" t="s">
        <v>57</v>
      </c>
      <c r="H12108" s="200" t="s">
        <v>97</v>
      </c>
      <c r="I12108" s="200" t="s">
        <v>211</v>
      </c>
    </row>
    <row r="12109" spans="1:9" ht="15" customHeight="1">
      <c r="A12109" s="199">
        <v>45833</v>
      </c>
      <c r="B12109" s="202" t="s">
        <v>2540</v>
      </c>
      <c r="C12109" s="200" t="s">
        <v>307</v>
      </c>
      <c r="D12109" s="204">
        <v>-61000</v>
      </c>
      <c r="E12109" s="201">
        <v>45839</v>
      </c>
      <c r="F12109" s="200" t="s">
        <v>296</v>
      </c>
      <c r="G12109" s="200" t="s">
        <v>57</v>
      </c>
      <c r="H12109" s="200" t="s">
        <v>97</v>
      </c>
      <c r="I12109" s="200" t="s">
        <v>211</v>
      </c>
    </row>
    <row r="12110" spans="1:9" ht="15" customHeight="1">
      <c r="A12110" s="199">
        <v>45833</v>
      </c>
      <c r="B12110" s="202" t="s">
        <v>8832</v>
      </c>
      <c r="C12110" s="200" t="s">
        <v>307</v>
      </c>
      <c r="D12110" s="204">
        <v>-200000</v>
      </c>
      <c r="E12110" s="201">
        <v>45839</v>
      </c>
      <c r="F12110" s="200" t="s">
        <v>296</v>
      </c>
      <c r="G12110" s="200" t="s">
        <v>57</v>
      </c>
      <c r="H12110" s="200" t="s">
        <v>97</v>
      </c>
      <c r="I12110" s="200" t="s">
        <v>211</v>
      </c>
    </row>
    <row r="12111" spans="1:9" ht="15" customHeight="1">
      <c r="A12111" s="199">
        <v>45834</v>
      </c>
      <c r="B12111" s="202" t="s">
        <v>2540</v>
      </c>
      <c r="C12111" s="200" t="s">
        <v>307</v>
      </c>
      <c r="D12111" s="204">
        <v>-30000</v>
      </c>
      <c r="E12111" s="201">
        <v>45839</v>
      </c>
      <c r="F12111" s="200" t="s">
        <v>296</v>
      </c>
      <c r="G12111" s="200" t="s">
        <v>57</v>
      </c>
      <c r="H12111" s="200" t="s">
        <v>97</v>
      </c>
      <c r="I12111" s="200" t="s">
        <v>211</v>
      </c>
    </row>
    <row r="12112" spans="1:9" ht="15" customHeight="1">
      <c r="A12112" s="199">
        <v>45834</v>
      </c>
      <c r="B12112" s="202" t="s">
        <v>2540</v>
      </c>
      <c r="C12112" s="200" t="s">
        <v>307</v>
      </c>
      <c r="D12112" s="204">
        <v>-45000</v>
      </c>
      <c r="E12112" s="201">
        <v>45839</v>
      </c>
      <c r="F12112" s="200" t="s">
        <v>296</v>
      </c>
      <c r="G12112" s="200" t="s">
        <v>57</v>
      </c>
      <c r="H12112" s="200" t="s">
        <v>97</v>
      </c>
      <c r="I12112" s="200" t="s">
        <v>211</v>
      </c>
    </row>
    <row r="12113" spans="1:9" ht="15" customHeight="1">
      <c r="A12113" s="199">
        <v>45834</v>
      </c>
      <c r="B12113" s="202" t="s">
        <v>2541</v>
      </c>
      <c r="C12113" s="200" t="s">
        <v>307</v>
      </c>
      <c r="D12113" s="204">
        <v>-11800</v>
      </c>
      <c r="E12113" s="201">
        <v>45839</v>
      </c>
      <c r="F12113" s="200" t="s">
        <v>296</v>
      </c>
      <c r="G12113" s="200" t="s">
        <v>57</v>
      </c>
      <c r="H12113" s="200" t="s">
        <v>97</v>
      </c>
      <c r="I12113" s="200" t="s">
        <v>211</v>
      </c>
    </row>
    <row r="12114" spans="1:9" ht="15" customHeight="1">
      <c r="A12114" s="199">
        <v>45834</v>
      </c>
      <c r="B12114" s="202" t="s">
        <v>2541</v>
      </c>
      <c r="C12114" s="200" t="s">
        <v>307</v>
      </c>
      <c r="D12114" s="204">
        <v>-11800</v>
      </c>
      <c r="E12114" s="201">
        <v>45839</v>
      </c>
      <c r="F12114" s="200" t="s">
        <v>296</v>
      </c>
      <c r="G12114" s="200" t="s">
        <v>57</v>
      </c>
      <c r="H12114" s="200" t="s">
        <v>97</v>
      </c>
      <c r="I12114" s="200" t="s">
        <v>211</v>
      </c>
    </row>
    <row r="12115" spans="1:9" ht="15" customHeight="1">
      <c r="A12115" s="199">
        <v>45834</v>
      </c>
      <c r="B12115" s="202" t="s">
        <v>1521</v>
      </c>
      <c r="C12115" s="200" t="s">
        <v>307</v>
      </c>
      <c r="D12115" s="204">
        <v>-175071</v>
      </c>
      <c r="E12115" s="201">
        <v>45839</v>
      </c>
      <c r="F12115" s="200" t="s">
        <v>296</v>
      </c>
      <c r="G12115" s="200" t="s">
        <v>57</v>
      </c>
      <c r="H12115" s="200" t="s">
        <v>97</v>
      </c>
      <c r="I12115" s="200" t="s">
        <v>211</v>
      </c>
    </row>
    <row r="12116" spans="1:9" ht="15" customHeight="1">
      <c r="A12116" s="199">
        <v>45834</v>
      </c>
      <c r="B12116" s="202" t="s">
        <v>8832</v>
      </c>
      <c r="C12116" s="200" t="s">
        <v>307</v>
      </c>
      <c r="D12116" s="204">
        <v>-100000</v>
      </c>
      <c r="E12116" s="201">
        <v>45839</v>
      </c>
      <c r="F12116" s="200" t="s">
        <v>296</v>
      </c>
      <c r="G12116" s="200" t="s">
        <v>57</v>
      </c>
      <c r="H12116" s="200" t="s">
        <v>97</v>
      </c>
      <c r="I12116" s="200" t="s">
        <v>211</v>
      </c>
    </row>
    <row r="12117" spans="1:9" ht="15" customHeight="1">
      <c r="A12117" s="199">
        <v>45835</v>
      </c>
      <c r="B12117" s="202" t="s">
        <v>2540</v>
      </c>
      <c r="C12117" s="200" t="s">
        <v>307</v>
      </c>
      <c r="D12117" s="204">
        <v>-49400</v>
      </c>
      <c r="E12117" s="201">
        <v>45839</v>
      </c>
      <c r="F12117" s="200" t="s">
        <v>296</v>
      </c>
      <c r="G12117" s="200" t="s">
        <v>57</v>
      </c>
      <c r="H12117" s="200" t="s">
        <v>97</v>
      </c>
      <c r="I12117" s="200" t="s">
        <v>211</v>
      </c>
    </row>
    <row r="12118" spans="1:9" ht="15" customHeight="1">
      <c r="A12118" s="199">
        <v>45835</v>
      </c>
      <c r="B12118" s="202" t="s">
        <v>2541</v>
      </c>
      <c r="C12118" s="200" t="s">
        <v>307</v>
      </c>
      <c r="D12118" s="204">
        <v>-12200</v>
      </c>
      <c r="E12118" s="201">
        <v>45839</v>
      </c>
      <c r="F12118" s="200" t="s">
        <v>296</v>
      </c>
      <c r="G12118" s="200" t="s">
        <v>57</v>
      </c>
      <c r="H12118" s="200" t="s">
        <v>97</v>
      </c>
      <c r="I12118" s="200" t="s">
        <v>211</v>
      </c>
    </row>
    <row r="12119" spans="1:9" ht="15" customHeight="1">
      <c r="A12119" s="199">
        <v>45835</v>
      </c>
      <c r="B12119" s="202" t="s">
        <v>2541</v>
      </c>
      <c r="C12119" s="200" t="s">
        <v>307</v>
      </c>
      <c r="D12119" s="204">
        <v>-11800</v>
      </c>
      <c r="E12119" s="201">
        <v>45839</v>
      </c>
      <c r="F12119" s="200" t="s">
        <v>296</v>
      </c>
      <c r="G12119" s="200" t="s">
        <v>57</v>
      </c>
      <c r="H12119" s="200" t="s">
        <v>97</v>
      </c>
      <c r="I12119" s="200" t="s">
        <v>211</v>
      </c>
    </row>
    <row r="12120" spans="1:9" ht="15" customHeight="1">
      <c r="A12120" s="199">
        <v>45835</v>
      </c>
      <c r="B12120" s="202" t="s">
        <v>2540</v>
      </c>
      <c r="C12120" s="200" t="s">
        <v>307</v>
      </c>
      <c r="D12120" s="204">
        <v>-30000</v>
      </c>
      <c r="E12120" s="201">
        <v>45839</v>
      </c>
      <c r="F12120" s="200" t="s">
        <v>296</v>
      </c>
      <c r="G12120" s="200" t="s">
        <v>57</v>
      </c>
      <c r="H12120" s="200" t="s">
        <v>97</v>
      </c>
      <c r="I12120" s="200" t="s">
        <v>211</v>
      </c>
    </row>
    <row r="12121" spans="1:9" ht="15" customHeight="1">
      <c r="A12121" s="199">
        <v>45835</v>
      </c>
      <c r="B12121" s="202" t="s">
        <v>8832</v>
      </c>
      <c r="C12121" s="200" t="s">
        <v>307</v>
      </c>
      <c r="D12121" s="204">
        <v>-80000</v>
      </c>
      <c r="E12121" s="201">
        <v>45839</v>
      </c>
      <c r="F12121" s="200" t="s">
        <v>296</v>
      </c>
      <c r="G12121" s="200" t="s">
        <v>57</v>
      </c>
      <c r="H12121" s="200" t="s">
        <v>97</v>
      </c>
      <c r="I12121" s="200" t="s">
        <v>211</v>
      </c>
    </row>
    <row r="12122" spans="1:9" ht="15" customHeight="1">
      <c r="A12122" s="199">
        <v>45836</v>
      </c>
      <c r="B12122" s="202" t="s">
        <v>2540</v>
      </c>
      <c r="C12122" s="200" t="s">
        <v>307</v>
      </c>
      <c r="D12122" s="204">
        <v>-37499</v>
      </c>
      <c r="E12122" s="201">
        <v>45839</v>
      </c>
      <c r="F12122" s="200" t="s">
        <v>296</v>
      </c>
      <c r="G12122" s="200" t="s">
        <v>57</v>
      </c>
      <c r="H12122" s="200" t="s">
        <v>97</v>
      </c>
      <c r="I12122" s="200" t="s">
        <v>211</v>
      </c>
    </row>
    <row r="12123" spans="1:9" ht="15" customHeight="1">
      <c r="A12123" s="199">
        <v>45836</v>
      </c>
      <c r="B12123" s="202" t="s">
        <v>2541</v>
      </c>
      <c r="C12123" s="200" t="s">
        <v>307</v>
      </c>
      <c r="D12123" s="204">
        <v>-12100</v>
      </c>
      <c r="E12123" s="201">
        <v>45839</v>
      </c>
      <c r="F12123" s="200" t="s">
        <v>296</v>
      </c>
      <c r="G12123" s="200" t="s">
        <v>57</v>
      </c>
      <c r="H12123" s="200" t="s">
        <v>97</v>
      </c>
      <c r="I12123" s="200" t="s">
        <v>211</v>
      </c>
    </row>
    <row r="12124" spans="1:9" ht="15" customHeight="1">
      <c r="A12124" s="199">
        <v>45836</v>
      </c>
      <c r="B12124" s="202" t="s">
        <v>2541</v>
      </c>
      <c r="C12124" s="200" t="s">
        <v>307</v>
      </c>
      <c r="D12124" s="204">
        <v>-12100</v>
      </c>
      <c r="E12124" s="201">
        <v>45839</v>
      </c>
      <c r="F12124" s="200" t="s">
        <v>296</v>
      </c>
      <c r="G12124" s="200" t="s">
        <v>57</v>
      </c>
      <c r="H12124" s="200" t="s">
        <v>97</v>
      </c>
      <c r="I12124" s="200" t="s">
        <v>211</v>
      </c>
    </row>
    <row r="12125" spans="1:9" ht="15" customHeight="1">
      <c r="A12125" s="199">
        <v>45836</v>
      </c>
      <c r="B12125" s="202" t="s">
        <v>2541</v>
      </c>
      <c r="C12125" s="200" t="s">
        <v>307</v>
      </c>
      <c r="D12125" s="204">
        <v>-12100</v>
      </c>
      <c r="E12125" s="201">
        <v>45839</v>
      </c>
      <c r="F12125" s="200" t="s">
        <v>296</v>
      </c>
      <c r="G12125" s="200" t="s">
        <v>57</v>
      </c>
      <c r="H12125" s="200" t="s">
        <v>97</v>
      </c>
      <c r="I12125" s="200" t="s">
        <v>211</v>
      </c>
    </row>
    <row r="12126" spans="1:9" ht="15" customHeight="1">
      <c r="A12126" s="199">
        <v>45836</v>
      </c>
      <c r="B12126" s="202" t="s">
        <v>2540</v>
      </c>
      <c r="C12126" s="200" t="s">
        <v>307</v>
      </c>
      <c r="D12126" s="204">
        <v>-79000</v>
      </c>
      <c r="E12126" s="201">
        <v>45839</v>
      </c>
      <c r="F12126" s="200" t="s">
        <v>296</v>
      </c>
      <c r="G12126" s="200" t="s">
        <v>57</v>
      </c>
      <c r="H12126" s="200" t="s">
        <v>97</v>
      </c>
      <c r="I12126" s="200" t="s">
        <v>211</v>
      </c>
    </row>
    <row r="12127" spans="1:9" ht="15" customHeight="1">
      <c r="A12127" s="199">
        <v>45836</v>
      </c>
      <c r="B12127" s="202" t="s">
        <v>8832</v>
      </c>
      <c r="C12127" s="200" t="s">
        <v>307</v>
      </c>
      <c r="D12127" s="204">
        <v>-188000</v>
      </c>
      <c r="E12127" s="201">
        <v>45839</v>
      </c>
      <c r="F12127" s="200" t="s">
        <v>296</v>
      </c>
      <c r="G12127" s="200" t="s">
        <v>57</v>
      </c>
      <c r="H12127" s="200" t="s">
        <v>97</v>
      </c>
      <c r="I12127" s="200" t="s">
        <v>211</v>
      </c>
    </row>
    <row r="12128" spans="1:9" ht="15" customHeight="1">
      <c r="A12128" s="199">
        <v>45836</v>
      </c>
      <c r="B12128" s="202" t="s">
        <v>1521</v>
      </c>
      <c r="C12128" s="200" t="s">
        <v>307</v>
      </c>
      <c r="D12128" s="204">
        <v>-158568</v>
      </c>
      <c r="E12128" s="201">
        <v>45839</v>
      </c>
      <c r="F12128" s="200" t="s">
        <v>296</v>
      </c>
      <c r="G12128" s="200" t="s">
        <v>57</v>
      </c>
      <c r="H12128" s="200" t="s">
        <v>97</v>
      </c>
      <c r="I12128" s="200" t="s">
        <v>211</v>
      </c>
    </row>
    <row r="12129" spans="1:9" ht="15" customHeight="1">
      <c r="A12129" s="199">
        <v>45837</v>
      </c>
      <c r="B12129" s="202" t="s">
        <v>2540</v>
      </c>
      <c r="C12129" s="200" t="s">
        <v>307</v>
      </c>
      <c r="D12129" s="204">
        <v>-56500</v>
      </c>
      <c r="E12129" s="201">
        <v>45839</v>
      </c>
      <c r="F12129" s="200" t="s">
        <v>296</v>
      </c>
      <c r="G12129" s="200" t="s">
        <v>57</v>
      </c>
      <c r="H12129" s="200" t="s">
        <v>97</v>
      </c>
      <c r="I12129" s="200" t="s">
        <v>211</v>
      </c>
    </row>
    <row r="12130" spans="1:9" ht="15" customHeight="1">
      <c r="A12130" s="199">
        <v>45837</v>
      </c>
      <c r="B12130" s="202" t="s">
        <v>2541</v>
      </c>
      <c r="C12130" s="200" t="s">
        <v>307</v>
      </c>
      <c r="D12130" s="204">
        <v>-15500</v>
      </c>
      <c r="E12130" s="201">
        <v>45839</v>
      </c>
      <c r="F12130" s="200" t="s">
        <v>296</v>
      </c>
      <c r="G12130" s="200" t="s">
        <v>57</v>
      </c>
      <c r="H12130" s="200" t="s">
        <v>97</v>
      </c>
      <c r="I12130" s="200" t="s">
        <v>211</v>
      </c>
    </row>
    <row r="12131" spans="1:9" ht="15" customHeight="1">
      <c r="A12131" s="199">
        <v>45837</v>
      </c>
      <c r="B12131" s="202" t="s">
        <v>2541</v>
      </c>
      <c r="C12131" s="200" t="s">
        <v>307</v>
      </c>
      <c r="D12131" s="204">
        <v>-12500</v>
      </c>
      <c r="E12131" s="201">
        <v>45839</v>
      </c>
      <c r="F12131" s="200" t="s">
        <v>296</v>
      </c>
      <c r="G12131" s="200" t="s">
        <v>57</v>
      </c>
      <c r="H12131" s="200" t="s">
        <v>97</v>
      </c>
      <c r="I12131" s="200" t="s">
        <v>211</v>
      </c>
    </row>
    <row r="12132" spans="1:9" ht="15" customHeight="1">
      <c r="A12132" s="199">
        <v>45837</v>
      </c>
      <c r="B12132" s="202" t="s">
        <v>2541</v>
      </c>
      <c r="C12132" s="200" t="s">
        <v>307</v>
      </c>
      <c r="D12132" s="204">
        <v>-21600</v>
      </c>
      <c r="E12132" s="201">
        <v>45839</v>
      </c>
      <c r="F12132" s="200" t="s">
        <v>296</v>
      </c>
      <c r="G12132" s="200" t="s">
        <v>57</v>
      </c>
      <c r="H12132" s="200" t="s">
        <v>97</v>
      </c>
      <c r="I12132" s="200" t="s">
        <v>211</v>
      </c>
    </row>
    <row r="12133" spans="1:9" ht="15" customHeight="1">
      <c r="A12133" s="199">
        <v>45837</v>
      </c>
      <c r="B12133" s="202" t="s">
        <v>2541</v>
      </c>
      <c r="C12133" s="200" t="s">
        <v>307</v>
      </c>
      <c r="D12133" s="204">
        <v>-19100</v>
      </c>
      <c r="E12133" s="201">
        <v>45839</v>
      </c>
      <c r="F12133" s="200" t="s">
        <v>296</v>
      </c>
      <c r="G12133" s="200" t="s">
        <v>57</v>
      </c>
      <c r="H12133" s="200" t="s">
        <v>97</v>
      </c>
      <c r="I12133" s="200" t="s">
        <v>211</v>
      </c>
    </row>
    <row r="12134" spans="1:9" ht="15" customHeight="1">
      <c r="A12134" s="199">
        <v>45837</v>
      </c>
      <c r="B12134" s="202" t="s">
        <v>1521</v>
      </c>
      <c r="C12134" s="200" t="s">
        <v>307</v>
      </c>
      <c r="D12134" s="204">
        <v>-132739</v>
      </c>
      <c r="E12134" s="201">
        <v>45839</v>
      </c>
      <c r="F12134" s="200" t="s">
        <v>296</v>
      </c>
      <c r="G12134" s="200" t="s">
        <v>57</v>
      </c>
      <c r="H12134" s="200" t="s">
        <v>97</v>
      </c>
      <c r="I12134" s="200" t="s">
        <v>211</v>
      </c>
    </row>
    <row r="12135" spans="1:9" ht="15" customHeight="1">
      <c r="A12135" s="199">
        <v>45838</v>
      </c>
      <c r="B12135" s="202" t="s">
        <v>8833</v>
      </c>
      <c r="C12135" s="200" t="s">
        <v>307</v>
      </c>
      <c r="D12135" s="204">
        <v>-277000</v>
      </c>
      <c r="E12135" s="201">
        <v>45839</v>
      </c>
      <c r="F12135" s="200" t="s">
        <v>296</v>
      </c>
      <c r="G12135" s="200" t="s">
        <v>57</v>
      </c>
      <c r="H12135" s="200" t="s">
        <v>97</v>
      </c>
      <c r="I12135" s="200" t="s">
        <v>211</v>
      </c>
    </row>
    <row r="12136" spans="1:9" ht="15" customHeight="1">
      <c r="A12136" s="199">
        <v>45846</v>
      </c>
      <c r="B12136" s="202" t="s">
        <v>8834</v>
      </c>
      <c r="C12136" s="200" t="s">
        <v>204</v>
      </c>
      <c r="D12136" s="896">
        <v>-318600</v>
      </c>
      <c r="E12136" s="201">
        <v>45839</v>
      </c>
      <c r="F12136" s="200" t="s">
        <v>256</v>
      </c>
      <c r="G12136" s="200" t="s">
        <v>256</v>
      </c>
      <c r="H12136" s="200" t="s">
        <v>269</v>
      </c>
    </row>
    <row r="12137" spans="1:9" ht="15" customHeight="1">
      <c r="A12137" s="199">
        <v>45846</v>
      </c>
      <c r="B12137" s="202" t="s">
        <v>8835</v>
      </c>
      <c r="C12137" s="200" t="s">
        <v>204</v>
      </c>
      <c r="D12137" s="896">
        <v>-429100</v>
      </c>
      <c r="E12137" s="201">
        <v>45839</v>
      </c>
      <c r="F12137" s="200" t="s">
        <v>256</v>
      </c>
      <c r="G12137" s="200" t="s">
        <v>256</v>
      </c>
      <c r="H12137" s="200" t="s">
        <v>269</v>
      </c>
    </row>
    <row r="12138" spans="1:9" ht="15" customHeight="1">
      <c r="A12138" s="199">
        <v>45847</v>
      </c>
      <c r="B12138" s="202" t="s">
        <v>8836</v>
      </c>
      <c r="C12138" s="200" t="s">
        <v>204</v>
      </c>
      <c r="D12138" s="896">
        <v>-1963919</v>
      </c>
      <c r="E12138" s="201">
        <v>45839</v>
      </c>
      <c r="F12138" s="200" t="s">
        <v>296</v>
      </c>
      <c r="G12138" s="200" t="s">
        <v>4577</v>
      </c>
      <c r="H12138" s="200" t="s">
        <v>8284</v>
      </c>
    </row>
    <row r="12139" spans="1:9" ht="15" customHeight="1">
      <c r="A12139" s="199">
        <v>45847</v>
      </c>
      <c r="B12139" s="202" t="s">
        <v>8837</v>
      </c>
      <c r="C12139" s="200" t="s">
        <v>204</v>
      </c>
      <c r="D12139" s="896">
        <v>-1010929</v>
      </c>
      <c r="E12139" s="201">
        <v>45839</v>
      </c>
      <c r="F12139" s="200" t="s">
        <v>296</v>
      </c>
      <c r="G12139" s="200" t="s">
        <v>4577</v>
      </c>
      <c r="H12139" s="200" t="s">
        <v>8284</v>
      </c>
    </row>
    <row r="12140" spans="1:9" ht="15" customHeight="1">
      <c r="A12140" s="199">
        <v>45847</v>
      </c>
      <c r="B12140" s="202" t="s">
        <v>8838</v>
      </c>
      <c r="C12140" s="200" t="s">
        <v>204</v>
      </c>
      <c r="D12140" s="896">
        <v>-306880</v>
      </c>
      <c r="E12140" s="201">
        <v>45839</v>
      </c>
      <c r="F12140" s="200" t="s">
        <v>256</v>
      </c>
      <c r="G12140" s="200" t="s">
        <v>256</v>
      </c>
      <c r="H12140" s="200" t="s">
        <v>269</v>
      </c>
    </row>
    <row r="12141" spans="1:9" ht="15" customHeight="1">
      <c r="A12141" s="199">
        <v>45847</v>
      </c>
      <c r="B12141" s="202" t="s">
        <v>8839</v>
      </c>
      <c r="C12141" s="200" t="s">
        <v>204</v>
      </c>
      <c r="D12141" s="896">
        <v>-230160</v>
      </c>
      <c r="E12141" s="201">
        <v>45839</v>
      </c>
      <c r="F12141" s="200" t="s">
        <v>256</v>
      </c>
      <c r="G12141" s="200" t="s">
        <v>256</v>
      </c>
      <c r="H12141" s="200" t="s">
        <v>269</v>
      </c>
    </row>
    <row r="12142" spans="1:9" ht="15" customHeight="1">
      <c r="A12142" s="199">
        <v>45847</v>
      </c>
      <c r="B12142" s="202" t="s">
        <v>8840</v>
      </c>
      <c r="C12142" s="200" t="s">
        <v>204</v>
      </c>
      <c r="D12142" s="896">
        <v>-295000</v>
      </c>
      <c r="E12142" s="201">
        <v>45839</v>
      </c>
      <c r="F12142" s="200" t="s">
        <v>296</v>
      </c>
      <c r="G12142" s="200" t="s">
        <v>1825</v>
      </c>
      <c r="H12142" s="200" t="s">
        <v>326</v>
      </c>
    </row>
    <row r="12143" spans="1:9" ht="15" customHeight="1">
      <c r="A12143" s="199">
        <v>45847</v>
      </c>
      <c r="B12143" s="202" t="s">
        <v>8841</v>
      </c>
      <c r="C12143" s="200" t="s">
        <v>204</v>
      </c>
      <c r="D12143" s="896">
        <v>-295000</v>
      </c>
      <c r="E12143" s="201">
        <v>45839</v>
      </c>
      <c r="F12143" s="200" t="s">
        <v>296</v>
      </c>
      <c r="G12143" s="200" t="s">
        <v>807</v>
      </c>
      <c r="H12143" s="200" t="s">
        <v>326</v>
      </c>
    </row>
    <row r="12144" spans="1:9" ht="15" customHeight="1">
      <c r="A12144" s="199">
        <v>45847</v>
      </c>
      <c r="B12144" s="202" t="s">
        <v>8842</v>
      </c>
      <c r="C12144" s="200" t="s">
        <v>372</v>
      </c>
      <c r="D12144" s="204">
        <v>-10699.5</v>
      </c>
      <c r="E12144" s="201">
        <v>45839</v>
      </c>
      <c r="F12144" s="200" t="s">
        <v>296</v>
      </c>
      <c r="G12144" s="200" t="s">
        <v>1825</v>
      </c>
      <c r="H12144" s="200" t="s">
        <v>326</v>
      </c>
    </row>
    <row r="12145" spans="1:9" ht="15" customHeight="1">
      <c r="A12145" s="199">
        <v>45847</v>
      </c>
      <c r="B12145" s="202" t="s">
        <v>8843</v>
      </c>
      <c r="C12145" s="200" t="s">
        <v>372</v>
      </c>
      <c r="D12145" s="204">
        <v>-10699.5</v>
      </c>
      <c r="E12145" s="201">
        <v>45839</v>
      </c>
      <c r="F12145" s="200" t="s">
        <v>296</v>
      </c>
      <c r="G12145" s="200" t="s">
        <v>807</v>
      </c>
      <c r="H12145" s="200" t="s">
        <v>326</v>
      </c>
    </row>
    <row r="12146" spans="1:9" ht="15" customHeight="1">
      <c r="A12146" s="199">
        <v>45847</v>
      </c>
      <c r="B12146" s="202" t="s">
        <v>8844</v>
      </c>
      <c r="C12146" s="200" t="s">
        <v>204</v>
      </c>
      <c r="D12146" s="896">
        <v>-135360</v>
      </c>
      <c r="E12146" s="201">
        <v>45839</v>
      </c>
      <c r="F12146" s="200" t="s">
        <v>256</v>
      </c>
      <c r="G12146" s="200" t="s">
        <v>256</v>
      </c>
      <c r="H12146" s="200" t="s">
        <v>115</v>
      </c>
    </row>
    <row r="12147" spans="1:9" ht="15" customHeight="1">
      <c r="A12147" s="199">
        <v>45847</v>
      </c>
      <c r="B12147" s="202" t="s">
        <v>8844</v>
      </c>
      <c r="C12147" s="200" t="s">
        <v>204</v>
      </c>
      <c r="D12147" s="896">
        <v>-115333</v>
      </c>
      <c r="E12147" s="201">
        <v>45839</v>
      </c>
      <c r="F12147" s="200" t="s">
        <v>256</v>
      </c>
      <c r="G12147" s="200" t="s">
        <v>107</v>
      </c>
      <c r="H12147" s="200" t="s">
        <v>115</v>
      </c>
    </row>
    <row r="12148" spans="1:9" ht="15" customHeight="1">
      <c r="A12148" s="199">
        <v>45847</v>
      </c>
      <c r="B12148" s="202" t="s">
        <v>8845</v>
      </c>
      <c r="C12148" s="200" t="s">
        <v>204</v>
      </c>
      <c r="D12148" s="896">
        <v>-590800</v>
      </c>
      <c r="E12148" s="201">
        <v>45839</v>
      </c>
      <c r="F12148" s="200" t="s">
        <v>256</v>
      </c>
      <c r="G12148" s="200" t="s">
        <v>256</v>
      </c>
      <c r="H12148" s="200" t="s">
        <v>267</v>
      </c>
    </row>
    <row r="12149" spans="1:9" ht="15" customHeight="1">
      <c r="A12149" s="199">
        <v>45847</v>
      </c>
      <c r="B12149" s="202" t="s">
        <v>8846</v>
      </c>
      <c r="C12149" s="200" t="s">
        <v>204</v>
      </c>
      <c r="D12149" s="896">
        <v>-68700843</v>
      </c>
      <c r="E12149" s="201">
        <v>45839</v>
      </c>
      <c r="F12149" s="200" t="s">
        <v>296</v>
      </c>
      <c r="G12149" s="200" t="s">
        <v>4577</v>
      </c>
      <c r="H12149" s="200" t="s">
        <v>1104</v>
      </c>
    </row>
    <row r="12150" spans="1:9" ht="15" customHeight="1">
      <c r="A12150" s="199">
        <v>45847</v>
      </c>
      <c r="B12150" s="202" t="s">
        <v>8847</v>
      </c>
      <c r="C12150" s="200" t="s">
        <v>204</v>
      </c>
      <c r="D12150" s="896">
        <v>-5592000</v>
      </c>
      <c r="E12150" s="201">
        <v>45839</v>
      </c>
      <c r="F12150" s="200" t="s">
        <v>296</v>
      </c>
      <c r="G12150" s="200" t="s">
        <v>2418</v>
      </c>
      <c r="H12150" s="200" t="s">
        <v>342</v>
      </c>
    </row>
    <row r="12151" spans="1:9" ht="15" customHeight="1">
      <c r="A12151" s="199">
        <v>45847</v>
      </c>
      <c r="B12151" s="202" t="s">
        <v>8848</v>
      </c>
      <c r="C12151" s="200" t="s">
        <v>204</v>
      </c>
      <c r="D12151" s="896">
        <v>-6037122</v>
      </c>
      <c r="E12151" s="201">
        <v>45839</v>
      </c>
      <c r="F12151" s="200" t="s">
        <v>296</v>
      </c>
      <c r="G12151" s="200" t="s">
        <v>3849</v>
      </c>
      <c r="H12151" s="200" t="s">
        <v>857</v>
      </c>
    </row>
    <row r="12152" spans="1:9" ht="15" customHeight="1">
      <c r="A12152" s="199">
        <v>45847</v>
      </c>
      <c r="B12152" s="202" t="s">
        <v>8849</v>
      </c>
      <c r="C12152" s="200" t="s">
        <v>204</v>
      </c>
      <c r="D12152" s="896">
        <v>-421347</v>
      </c>
      <c r="E12152" s="201">
        <v>45839</v>
      </c>
      <c r="F12152" s="200" t="s">
        <v>296</v>
      </c>
      <c r="G12152" s="200" t="s">
        <v>3360</v>
      </c>
      <c r="H12152" s="200" t="s">
        <v>857</v>
      </c>
      <c r="I12152" s="648" t="s">
        <v>329</v>
      </c>
    </row>
    <row r="12153" spans="1:9" ht="15" customHeight="1">
      <c r="A12153" s="199">
        <v>45847</v>
      </c>
      <c r="B12153" s="202" t="s">
        <v>8850</v>
      </c>
      <c r="C12153" s="200" t="s">
        <v>204</v>
      </c>
      <c r="D12153" s="896">
        <v>-128160</v>
      </c>
      <c r="E12153" s="201">
        <v>45839</v>
      </c>
      <c r="F12153" s="200" t="s">
        <v>256</v>
      </c>
      <c r="G12153" s="200" t="s">
        <v>256</v>
      </c>
      <c r="H12153" s="200" t="s">
        <v>267</v>
      </c>
    </row>
    <row r="12154" spans="1:9" ht="15" customHeight="1">
      <c r="A12154" s="199">
        <v>45847</v>
      </c>
      <c r="B12154" s="202" t="s">
        <v>8851</v>
      </c>
      <c r="C12154" s="200" t="s">
        <v>372</v>
      </c>
      <c r="D12154" s="204">
        <v>-15840</v>
      </c>
      <c r="E12154" s="201">
        <v>45839</v>
      </c>
      <c r="F12154" s="200" t="s">
        <v>256</v>
      </c>
      <c r="G12154" s="200" t="s">
        <v>256</v>
      </c>
      <c r="H12154" s="200" t="s">
        <v>267</v>
      </c>
    </row>
    <row r="12155" spans="1:9" ht="15" customHeight="1">
      <c r="A12155" s="199">
        <v>45847</v>
      </c>
      <c r="B12155" s="202" t="s">
        <v>8852</v>
      </c>
      <c r="C12155" s="200" t="s">
        <v>204</v>
      </c>
      <c r="D12155" s="896">
        <v>-3911303</v>
      </c>
      <c r="E12155" s="201">
        <v>45839</v>
      </c>
      <c r="F12155" s="200" t="s">
        <v>296</v>
      </c>
      <c r="G12155" s="200" t="s">
        <v>807</v>
      </c>
      <c r="H12155" s="200" t="s">
        <v>442</v>
      </c>
    </row>
    <row r="12156" spans="1:9" ht="15" customHeight="1">
      <c r="A12156" s="199">
        <v>45847</v>
      </c>
      <c r="B12156" s="202" t="s">
        <v>8853</v>
      </c>
      <c r="C12156" s="200" t="s">
        <v>204</v>
      </c>
      <c r="D12156" s="896">
        <v>-3850000</v>
      </c>
      <c r="E12156" s="201">
        <v>45839</v>
      </c>
      <c r="F12156" s="200" t="s">
        <v>296</v>
      </c>
      <c r="G12156" s="200" t="s">
        <v>1980</v>
      </c>
      <c r="H12156" s="200" t="s">
        <v>442</v>
      </c>
    </row>
    <row r="12157" spans="1:9" ht="15" customHeight="1">
      <c r="A12157" s="199">
        <v>45847</v>
      </c>
      <c r="B12157" s="202" t="s">
        <v>8854</v>
      </c>
      <c r="C12157" s="200" t="s">
        <v>204</v>
      </c>
      <c r="D12157" s="896">
        <v>-4954969</v>
      </c>
      <c r="E12157" s="201">
        <v>45839</v>
      </c>
      <c r="F12157" s="200" t="s">
        <v>296</v>
      </c>
      <c r="G12157" s="200" t="s">
        <v>1983</v>
      </c>
      <c r="H12157" s="200" t="s">
        <v>442</v>
      </c>
    </row>
    <row r="12158" spans="1:9" ht="15" customHeight="1">
      <c r="A12158" s="199">
        <v>45847</v>
      </c>
      <c r="B12158" s="202" t="s">
        <v>8855</v>
      </c>
      <c r="C12158" s="200" t="s">
        <v>204</v>
      </c>
      <c r="D12158" s="896">
        <v>-250320</v>
      </c>
      <c r="E12158" s="201">
        <v>45839</v>
      </c>
      <c r="F12158" s="200" t="s">
        <v>2714</v>
      </c>
      <c r="G12158" s="200" t="s">
        <v>513</v>
      </c>
      <c r="H12158" s="200" t="s">
        <v>381</v>
      </c>
    </row>
    <row r="12159" spans="1:9" ht="15" customHeight="1">
      <c r="A12159" s="199">
        <v>45847</v>
      </c>
      <c r="B12159" s="202" t="s">
        <v>8856</v>
      </c>
      <c r="C12159" s="200" t="s">
        <v>372</v>
      </c>
      <c r="D12159" s="204">
        <v>-10430</v>
      </c>
      <c r="E12159" s="201">
        <v>45839</v>
      </c>
      <c r="F12159" s="200" t="s">
        <v>2714</v>
      </c>
      <c r="G12159" s="200" t="s">
        <v>513</v>
      </c>
      <c r="H12159" s="200" t="s">
        <v>381</v>
      </c>
    </row>
    <row r="12160" spans="1:9" ht="15" customHeight="1">
      <c r="A12160" s="199">
        <v>45847</v>
      </c>
      <c r="B12160" s="202" t="s">
        <v>8855</v>
      </c>
      <c r="C12160" s="200" t="s">
        <v>204</v>
      </c>
      <c r="D12160" s="896">
        <v>-250320</v>
      </c>
      <c r="E12160" s="201">
        <v>45839</v>
      </c>
      <c r="F12160" s="200" t="s">
        <v>2714</v>
      </c>
      <c r="G12160" s="200" t="s">
        <v>321</v>
      </c>
      <c r="H12160" s="200" t="s">
        <v>381</v>
      </c>
    </row>
    <row r="12161" spans="1:8" ht="15" customHeight="1">
      <c r="A12161" s="199">
        <v>45847</v>
      </c>
      <c r="B12161" s="202" t="s">
        <v>8856</v>
      </c>
      <c r="C12161" s="200" t="s">
        <v>372</v>
      </c>
      <c r="D12161" s="204">
        <v>-10430</v>
      </c>
      <c r="E12161" s="201">
        <v>45839</v>
      </c>
      <c r="F12161" s="200" t="s">
        <v>2714</v>
      </c>
      <c r="G12161" s="200" t="s">
        <v>321</v>
      </c>
      <c r="H12161" s="200" t="s">
        <v>381</v>
      </c>
    </row>
    <row r="12162" spans="1:8" ht="15" customHeight="1">
      <c r="A12162" s="199">
        <v>45847</v>
      </c>
      <c r="B12162" s="202" t="s">
        <v>8855</v>
      </c>
      <c r="C12162" s="200" t="s">
        <v>204</v>
      </c>
      <c r="D12162" s="896">
        <v>-250320</v>
      </c>
      <c r="E12162" s="201">
        <v>45839</v>
      </c>
      <c r="F12162" s="200" t="s">
        <v>2714</v>
      </c>
      <c r="G12162" s="200" t="s">
        <v>337</v>
      </c>
      <c r="H12162" s="200" t="s">
        <v>381</v>
      </c>
    </row>
    <row r="12163" spans="1:8" ht="15" customHeight="1">
      <c r="A12163" s="199">
        <v>45847</v>
      </c>
      <c r="B12163" s="202" t="s">
        <v>8856</v>
      </c>
      <c r="C12163" s="200" t="s">
        <v>372</v>
      </c>
      <c r="D12163" s="204">
        <v>-10430</v>
      </c>
      <c r="E12163" s="201">
        <v>45839</v>
      </c>
      <c r="F12163" s="200" t="s">
        <v>2714</v>
      </c>
      <c r="G12163" s="200" t="s">
        <v>337</v>
      </c>
      <c r="H12163" s="200" t="s">
        <v>381</v>
      </c>
    </row>
    <row r="12164" spans="1:8" ht="15" customHeight="1">
      <c r="A12164" s="199">
        <v>45847</v>
      </c>
      <c r="B12164" s="202" t="s">
        <v>8855</v>
      </c>
      <c r="C12164" s="200" t="s">
        <v>204</v>
      </c>
      <c r="D12164" s="896">
        <v>-250320</v>
      </c>
      <c r="E12164" s="201">
        <v>45839</v>
      </c>
      <c r="F12164" s="200" t="s">
        <v>296</v>
      </c>
      <c r="G12164" s="200" t="s">
        <v>44</v>
      </c>
      <c r="H12164" s="200" t="s">
        <v>381</v>
      </c>
    </row>
    <row r="12165" spans="1:8" ht="15" customHeight="1">
      <c r="A12165" s="199">
        <v>45847</v>
      </c>
      <c r="B12165" s="202" t="s">
        <v>8856</v>
      </c>
      <c r="C12165" s="200" t="s">
        <v>372</v>
      </c>
      <c r="D12165" s="204">
        <v>-10430</v>
      </c>
      <c r="E12165" s="201">
        <v>45839</v>
      </c>
      <c r="F12165" s="200" t="s">
        <v>296</v>
      </c>
      <c r="G12165" s="200" t="s">
        <v>44</v>
      </c>
      <c r="H12165" s="200" t="s">
        <v>381</v>
      </c>
    </row>
    <row r="12166" spans="1:8" ht="15" customHeight="1">
      <c r="A12166" s="199">
        <v>45847</v>
      </c>
      <c r="B12166" s="202" t="s">
        <v>8855</v>
      </c>
      <c r="C12166" s="200" t="s">
        <v>204</v>
      </c>
      <c r="D12166" s="896">
        <v>-250320</v>
      </c>
      <c r="E12166" s="201">
        <v>45839</v>
      </c>
      <c r="F12166" s="200" t="s">
        <v>296</v>
      </c>
      <c r="G12166" s="200" t="s">
        <v>1825</v>
      </c>
      <c r="H12166" s="200" t="s">
        <v>381</v>
      </c>
    </row>
    <row r="12167" spans="1:8" ht="15" customHeight="1">
      <c r="A12167" s="199">
        <v>45847</v>
      </c>
      <c r="B12167" s="202" t="s">
        <v>8856</v>
      </c>
      <c r="C12167" s="200" t="s">
        <v>372</v>
      </c>
      <c r="D12167" s="204">
        <v>-10430</v>
      </c>
      <c r="E12167" s="201">
        <v>45839</v>
      </c>
      <c r="F12167" s="200" t="s">
        <v>296</v>
      </c>
      <c r="G12167" s="200" t="s">
        <v>1825</v>
      </c>
      <c r="H12167" s="200" t="s">
        <v>381</v>
      </c>
    </row>
    <row r="12168" spans="1:8" ht="15" customHeight="1">
      <c r="A12168" s="199">
        <v>45847</v>
      </c>
      <c r="B12168" s="202" t="s">
        <v>8855</v>
      </c>
      <c r="C12168" s="200" t="s">
        <v>204</v>
      </c>
      <c r="D12168" s="896">
        <v>-250320</v>
      </c>
      <c r="E12168" s="201">
        <v>45839</v>
      </c>
      <c r="F12168" s="200" t="s">
        <v>296</v>
      </c>
      <c r="G12168" s="200" t="s">
        <v>522</v>
      </c>
      <c r="H12168" s="200" t="s">
        <v>381</v>
      </c>
    </row>
    <row r="12169" spans="1:8" ht="15" customHeight="1">
      <c r="A12169" s="199">
        <v>45847</v>
      </c>
      <c r="B12169" s="202" t="s">
        <v>8856</v>
      </c>
      <c r="C12169" s="200" t="s">
        <v>372</v>
      </c>
      <c r="D12169" s="204">
        <v>-10430</v>
      </c>
      <c r="E12169" s="201">
        <v>45839</v>
      </c>
      <c r="F12169" s="200" t="s">
        <v>296</v>
      </c>
      <c r="G12169" s="200" t="s">
        <v>522</v>
      </c>
      <c r="H12169" s="200" t="s">
        <v>381</v>
      </c>
    </row>
    <row r="12170" spans="1:8" ht="15" customHeight="1">
      <c r="A12170" s="199">
        <v>45847</v>
      </c>
      <c r="B12170" s="202" t="s">
        <v>8855</v>
      </c>
      <c r="C12170" s="200" t="s">
        <v>204</v>
      </c>
      <c r="D12170" s="896">
        <v>-250320</v>
      </c>
      <c r="E12170" s="201">
        <v>45839</v>
      </c>
      <c r="F12170" s="200" t="s">
        <v>296</v>
      </c>
      <c r="G12170" s="200" t="s">
        <v>807</v>
      </c>
      <c r="H12170" s="200" t="s">
        <v>381</v>
      </c>
    </row>
    <row r="12171" spans="1:8" ht="15" customHeight="1">
      <c r="A12171" s="199">
        <v>45847</v>
      </c>
      <c r="B12171" s="202" t="s">
        <v>8856</v>
      </c>
      <c r="C12171" s="200" t="s">
        <v>372</v>
      </c>
      <c r="D12171" s="204">
        <v>-10430</v>
      </c>
      <c r="E12171" s="201">
        <v>45839</v>
      </c>
      <c r="F12171" s="200" t="s">
        <v>296</v>
      </c>
      <c r="G12171" s="200" t="s">
        <v>807</v>
      </c>
      <c r="H12171" s="200" t="s">
        <v>381</v>
      </c>
    </row>
    <row r="12172" spans="1:8" ht="15" customHeight="1">
      <c r="A12172" s="199">
        <v>45847</v>
      </c>
      <c r="B12172" s="202" t="s">
        <v>8855</v>
      </c>
      <c r="C12172" s="200" t="s">
        <v>204</v>
      </c>
      <c r="D12172" s="896">
        <v>-250320</v>
      </c>
      <c r="E12172" s="201">
        <v>45839</v>
      </c>
      <c r="F12172" s="200" t="s">
        <v>296</v>
      </c>
      <c r="G12172" s="200" t="s">
        <v>4577</v>
      </c>
      <c r="H12172" s="200" t="s">
        <v>381</v>
      </c>
    </row>
    <row r="12173" spans="1:8" ht="15" customHeight="1">
      <c r="A12173" s="199">
        <v>45847</v>
      </c>
      <c r="B12173" s="202" t="s">
        <v>8856</v>
      </c>
      <c r="C12173" s="200" t="s">
        <v>372</v>
      </c>
      <c r="D12173" s="204">
        <v>-10430</v>
      </c>
      <c r="E12173" s="201">
        <v>45839</v>
      </c>
      <c r="F12173" s="200" t="s">
        <v>296</v>
      </c>
      <c r="G12173" s="200" t="s">
        <v>4577</v>
      </c>
      <c r="H12173" s="200" t="s">
        <v>381</v>
      </c>
    </row>
    <row r="12174" spans="1:8" ht="15" customHeight="1">
      <c r="A12174" s="199">
        <v>45847</v>
      </c>
      <c r="B12174" s="202" t="s">
        <v>8855</v>
      </c>
      <c r="C12174" s="200" t="s">
        <v>204</v>
      </c>
      <c r="D12174" s="896">
        <v>-438144</v>
      </c>
      <c r="E12174" s="201">
        <v>45839</v>
      </c>
      <c r="F12174" s="200" t="s">
        <v>296</v>
      </c>
      <c r="G12174" s="200" t="s">
        <v>1980</v>
      </c>
      <c r="H12174" s="200" t="s">
        <v>381</v>
      </c>
    </row>
    <row r="12175" spans="1:8" ht="15" customHeight="1">
      <c r="A12175" s="199">
        <v>45847</v>
      </c>
      <c r="B12175" s="202" t="s">
        <v>8856</v>
      </c>
      <c r="C12175" s="200" t="s">
        <v>372</v>
      </c>
      <c r="D12175" s="204">
        <v>-18256</v>
      </c>
      <c r="E12175" s="201">
        <v>45839</v>
      </c>
      <c r="F12175" s="200" t="s">
        <v>296</v>
      </c>
      <c r="G12175" s="200" t="s">
        <v>1980</v>
      </c>
      <c r="H12175" s="200" t="s">
        <v>381</v>
      </c>
    </row>
    <row r="12176" spans="1:8" ht="15" customHeight="1">
      <c r="A12176" s="199">
        <v>45847</v>
      </c>
      <c r="B12176" s="202" t="s">
        <v>8855</v>
      </c>
      <c r="C12176" s="200" t="s">
        <v>204</v>
      </c>
      <c r="D12176" s="896">
        <v>-438144</v>
      </c>
      <c r="E12176" s="201">
        <v>45839</v>
      </c>
      <c r="F12176" s="200" t="s">
        <v>296</v>
      </c>
      <c r="G12176" s="200" t="s">
        <v>1983</v>
      </c>
      <c r="H12176" s="200" t="s">
        <v>381</v>
      </c>
    </row>
    <row r="12177" spans="1:9" ht="15" customHeight="1">
      <c r="A12177" s="199">
        <v>45847</v>
      </c>
      <c r="B12177" s="202" t="s">
        <v>8856</v>
      </c>
      <c r="C12177" s="200" t="s">
        <v>372</v>
      </c>
      <c r="D12177" s="204">
        <v>-18256</v>
      </c>
      <c r="E12177" s="201">
        <v>45839</v>
      </c>
      <c r="F12177" s="200" t="s">
        <v>296</v>
      </c>
      <c r="G12177" s="200" t="s">
        <v>1983</v>
      </c>
      <c r="H12177" s="200" t="s">
        <v>381</v>
      </c>
      <c r="I12177" s="648" t="s">
        <v>329</v>
      </c>
    </row>
    <row r="12178" spans="1:9" ht="15" customHeight="1">
      <c r="A12178" s="199">
        <v>45847</v>
      </c>
      <c r="B12178" s="202" t="s">
        <v>8857</v>
      </c>
      <c r="C12178" s="200" t="s">
        <v>204</v>
      </c>
      <c r="D12178" s="896">
        <v>-1163660</v>
      </c>
      <c r="E12178" s="201">
        <v>45839</v>
      </c>
      <c r="F12178" s="200" t="s">
        <v>296</v>
      </c>
      <c r="G12178" s="200" t="s">
        <v>1825</v>
      </c>
      <c r="H12178" s="200" t="s">
        <v>322</v>
      </c>
    </row>
    <row r="12179" spans="1:9" ht="15" customHeight="1">
      <c r="A12179" s="199">
        <v>45847</v>
      </c>
      <c r="B12179" s="202" t="s">
        <v>8857</v>
      </c>
      <c r="C12179" s="200" t="s">
        <v>204</v>
      </c>
      <c r="D12179" s="896">
        <v>-1163660</v>
      </c>
      <c r="E12179" s="201">
        <v>45839</v>
      </c>
      <c r="F12179" s="200" t="s">
        <v>296</v>
      </c>
      <c r="G12179" s="200" t="s">
        <v>807</v>
      </c>
      <c r="H12179" s="200" t="s">
        <v>322</v>
      </c>
      <c r="I12179" s="648" t="s">
        <v>329</v>
      </c>
    </row>
    <row r="12180" spans="1:9" ht="15" customHeight="1">
      <c r="A12180" s="199">
        <v>45847</v>
      </c>
      <c r="B12180" s="202" t="s">
        <v>8857</v>
      </c>
      <c r="C12180" s="200" t="s">
        <v>204</v>
      </c>
      <c r="D12180" s="896">
        <v>-1163661</v>
      </c>
      <c r="E12180" s="201">
        <v>45839</v>
      </c>
      <c r="F12180" s="200" t="s">
        <v>297</v>
      </c>
      <c r="G12180" s="200" t="s">
        <v>71</v>
      </c>
      <c r="H12180" s="200" t="s">
        <v>5384</v>
      </c>
    </row>
    <row r="12181" spans="1:9" ht="15" customHeight="1">
      <c r="A12181" s="199">
        <v>45847</v>
      </c>
      <c r="B12181" s="202" t="s">
        <v>8857</v>
      </c>
      <c r="C12181" s="200" t="s">
        <v>204</v>
      </c>
      <c r="D12181" s="896">
        <v>-1163661</v>
      </c>
      <c r="E12181" s="201">
        <v>45839</v>
      </c>
      <c r="F12181" s="200" t="s">
        <v>296</v>
      </c>
      <c r="G12181" s="200" t="s">
        <v>2418</v>
      </c>
      <c r="H12181" s="200" t="s">
        <v>5384</v>
      </c>
    </row>
    <row r="12182" spans="1:9" ht="15" customHeight="1">
      <c r="A12182" s="199">
        <v>45847</v>
      </c>
      <c r="B12182" s="202" t="s">
        <v>8857</v>
      </c>
      <c r="C12182" s="200" t="s">
        <v>204</v>
      </c>
      <c r="D12182" s="896">
        <v>-1163661</v>
      </c>
      <c r="E12182" s="201">
        <v>45839</v>
      </c>
      <c r="F12182" s="200" t="s">
        <v>296</v>
      </c>
      <c r="G12182" s="200" t="s">
        <v>2418</v>
      </c>
      <c r="H12182" s="200" t="s">
        <v>5384</v>
      </c>
    </row>
    <row r="12183" spans="1:9" ht="15" customHeight="1">
      <c r="A12183" s="199">
        <v>45847</v>
      </c>
      <c r="B12183" s="202" t="s">
        <v>8858</v>
      </c>
      <c r="C12183" s="200" t="s">
        <v>204</v>
      </c>
      <c r="D12183" s="896">
        <v>-165000</v>
      </c>
      <c r="E12183" s="201">
        <v>45839</v>
      </c>
      <c r="F12183" s="200" t="s">
        <v>256</v>
      </c>
      <c r="G12183" s="200" t="s">
        <v>256</v>
      </c>
      <c r="H12183" s="200" t="s">
        <v>267</v>
      </c>
    </row>
    <row r="12184" spans="1:9" ht="15" customHeight="1">
      <c r="A12184" s="199">
        <v>45847</v>
      </c>
      <c r="B12184" s="202" t="s">
        <v>8859</v>
      </c>
      <c r="C12184" s="200" t="s">
        <v>204</v>
      </c>
      <c r="D12184" s="896">
        <v>-78900</v>
      </c>
      <c r="E12184" s="201">
        <v>45839</v>
      </c>
      <c r="F12184" s="200" t="s">
        <v>256</v>
      </c>
      <c r="G12184" s="200" t="s">
        <v>256</v>
      </c>
      <c r="H12184" s="200" t="s">
        <v>267</v>
      </c>
    </row>
    <row r="12185" spans="1:9" ht="15" customHeight="1">
      <c r="A12185" s="199">
        <v>45847</v>
      </c>
      <c r="B12185" s="202" t="s">
        <v>8860</v>
      </c>
      <c r="C12185" s="200" t="s">
        <v>204</v>
      </c>
      <c r="D12185" s="896">
        <v>-1930000</v>
      </c>
      <c r="E12185" s="201">
        <v>45839</v>
      </c>
      <c r="F12185" s="200" t="s">
        <v>256</v>
      </c>
      <c r="G12185" s="200" t="s">
        <v>256</v>
      </c>
      <c r="H12185" s="200" t="s">
        <v>257</v>
      </c>
    </row>
    <row r="12186" spans="1:9" ht="15" customHeight="1">
      <c r="A12186" s="199">
        <v>45847</v>
      </c>
      <c r="B12186" s="202" t="s">
        <v>8861</v>
      </c>
      <c r="C12186" s="200" t="s">
        <v>204</v>
      </c>
      <c r="D12186" s="896">
        <v>-1955000</v>
      </c>
      <c r="E12186" s="201">
        <v>45839</v>
      </c>
      <c r="F12186" s="200" t="s">
        <v>256</v>
      </c>
      <c r="G12186" s="200" t="s">
        <v>107</v>
      </c>
      <c r="H12186" s="200" t="s">
        <v>116</v>
      </c>
    </row>
    <row r="12187" spans="1:9" ht="15" customHeight="1">
      <c r="A12187" s="199">
        <v>45847</v>
      </c>
      <c r="B12187" s="202" t="s">
        <v>8862</v>
      </c>
      <c r="C12187" s="200" t="s">
        <v>204</v>
      </c>
      <c r="D12187" s="896">
        <v>-2737000</v>
      </c>
      <c r="E12187" s="201">
        <v>45839</v>
      </c>
      <c r="F12187" s="200" t="s">
        <v>256</v>
      </c>
      <c r="G12187" s="200" t="s">
        <v>107</v>
      </c>
      <c r="H12187" s="200" t="s">
        <v>116</v>
      </c>
    </row>
    <row r="12188" spans="1:9" ht="15" customHeight="1">
      <c r="A12188" s="199">
        <v>45847</v>
      </c>
      <c r="B12188" s="202" t="s">
        <v>8863</v>
      </c>
      <c r="C12188" s="200" t="s">
        <v>204</v>
      </c>
      <c r="D12188" s="896">
        <v>-6397239</v>
      </c>
      <c r="E12188" s="201">
        <v>45839</v>
      </c>
      <c r="F12188" s="200" t="s">
        <v>296</v>
      </c>
      <c r="G12188" s="200" t="s">
        <v>2418</v>
      </c>
      <c r="H12188" s="200" t="s">
        <v>5376</v>
      </c>
    </row>
    <row r="12189" spans="1:9" ht="15" customHeight="1">
      <c r="A12189" s="199">
        <v>45847</v>
      </c>
      <c r="B12189" s="202" t="s">
        <v>8864</v>
      </c>
      <c r="C12189" s="200" t="s">
        <v>372</v>
      </c>
      <c r="D12189" s="204">
        <v>-280581</v>
      </c>
      <c r="E12189" s="201">
        <v>45839</v>
      </c>
      <c r="F12189" s="200" t="s">
        <v>296</v>
      </c>
      <c r="G12189" s="200" t="s">
        <v>2418</v>
      </c>
      <c r="H12189" s="200" t="s">
        <v>5376</v>
      </c>
    </row>
    <row r="12190" spans="1:9" ht="15" customHeight="1">
      <c r="A12190" s="199">
        <v>45847</v>
      </c>
      <c r="B12190" s="202" t="s">
        <v>8865</v>
      </c>
      <c r="C12190" s="200" t="s">
        <v>204</v>
      </c>
      <c r="D12190" s="896">
        <v>-3110400</v>
      </c>
      <c r="E12190" s="201">
        <v>45839</v>
      </c>
      <c r="F12190" s="200" t="s">
        <v>296</v>
      </c>
      <c r="G12190" s="200" t="s">
        <v>57</v>
      </c>
      <c r="H12190" s="200" t="s">
        <v>96</v>
      </c>
    </row>
    <row r="12191" spans="1:9" ht="15" customHeight="1">
      <c r="A12191" s="199">
        <v>45847</v>
      </c>
      <c r="B12191" s="202" t="s">
        <v>8866</v>
      </c>
      <c r="C12191" s="200" t="s">
        <v>372</v>
      </c>
      <c r="D12191" s="204">
        <v>-316800</v>
      </c>
      <c r="E12191" s="201">
        <v>45839</v>
      </c>
      <c r="F12191" s="200" t="s">
        <v>296</v>
      </c>
      <c r="G12191" s="200" t="s">
        <v>57</v>
      </c>
      <c r="H12191" s="200" t="s">
        <v>96</v>
      </c>
    </row>
    <row r="12192" spans="1:9" ht="15" customHeight="1">
      <c r="A12192" s="199">
        <v>45847</v>
      </c>
      <c r="B12192" s="202" t="s">
        <v>8867</v>
      </c>
      <c r="C12192" s="200" t="s">
        <v>204</v>
      </c>
      <c r="D12192" s="896">
        <v>-21900</v>
      </c>
      <c r="E12192" s="201">
        <v>45839</v>
      </c>
      <c r="F12192" s="200" t="s">
        <v>296</v>
      </c>
      <c r="G12192" s="200" t="s">
        <v>57</v>
      </c>
      <c r="H12192" s="200" t="s">
        <v>98</v>
      </c>
    </row>
    <row r="12193" spans="1:9" ht="15" customHeight="1">
      <c r="A12193" s="199">
        <v>45847</v>
      </c>
      <c r="B12193" s="202" t="s">
        <v>8868</v>
      </c>
      <c r="C12193" s="200" t="s">
        <v>204</v>
      </c>
      <c r="D12193" s="896">
        <v>-21900</v>
      </c>
      <c r="E12193" s="201">
        <v>45839</v>
      </c>
      <c r="F12193" s="200" t="s">
        <v>296</v>
      </c>
      <c r="G12193" s="200" t="s">
        <v>57</v>
      </c>
      <c r="H12193" s="200" t="s">
        <v>98</v>
      </c>
    </row>
    <row r="12194" spans="1:9" ht="15" customHeight="1">
      <c r="A12194" s="199">
        <v>45847</v>
      </c>
      <c r="B12194" s="202" t="s">
        <v>8869</v>
      </c>
      <c r="C12194" s="200" t="s">
        <v>204</v>
      </c>
      <c r="D12194" s="896">
        <v>-800000</v>
      </c>
      <c r="E12194" s="201">
        <v>45839</v>
      </c>
      <c r="F12194" s="200" t="s">
        <v>256</v>
      </c>
      <c r="G12194" s="200" t="s">
        <v>107</v>
      </c>
      <c r="H12194" s="200" t="s">
        <v>116</v>
      </c>
    </row>
    <row r="12195" spans="1:9" ht="15" customHeight="1">
      <c r="A12195" s="199">
        <v>45847</v>
      </c>
      <c r="B12195" s="202" t="s">
        <v>4736</v>
      </c>
      <c r="C12195" s="200" t="s">
        <v>204</v>
      </c>
      <c r="D12195" s="896">
        <v>-113100</v>
      </c>
      <c r="E12195" s="201">
        <v>45839</v>
      </c>
      <c r="F12195" s="200" t="s">
        <v>256</v>
      </c>
      <c r="G12195" s="200" t="s">
        <v>256</v>
      </c>
      <c r="H12195" s="200" t="s">
        <v>265</v>
      </c>
    </row>
    <row r="12196" spans="1:9" ht="15" customHeight="1">
      <c r="A12196" s="199">
        <v>45847</v>
      </c>
      <c r="B12196" s="202" t="s">
        <v>8870</v>
      </c>
      <c r="C12196" s="200" t="s">
        <v>204</v>
      </c>
      <c r="D12196" s="896">
        <v>-448000000</v>
      </c>
      <c r="E12196" s="201">
        <v>45839</v>
      </c>
      <c r="F12196" s="200" t="s">
        <v>298</v>
      </c>
      <c r="G12196" s="200" t="s">
        <v>4520</v>
      </c>
    </row>
    <row r="12197" spans="1:9" ht="15" customHeight="1">
      <c r="A12197" s="199">
        <v>45847</v>
      </c>
      <c r="B12197" s="202" t="s">
        <v>8871</v>
      </c>
      <c r="C12197" s="200" t="s">
        <v>204</v>
      </c>
      <c r="D12197" s="896">
        <v>-17977528</v>
      </c>
      <c r="E12197" s="201">
        <v>45839</v>
      </c>
      <c r="F12197" s="200" t="s">
        <v>296</v>
      </c>
      <c r="G12197" s="200" t="s">
        <v>57</v>
      </c>
      <c r="H12197" s="200" t="s">
        <v>104</v>
      </c>
    </row>
    <row r="12198" spans="1:9" ht="15" customHeight="1">
      <c r="A12198" s="199">
        <v>45847</v>
      </c>
      <c r="B12198" s="202" t="s">
        <v>8872</v>
      </c>
      <c r="C12198" s="200" t="s">
        <v>204</v>
      </c>
      <c r="D12198" s="896">
        <v>-3593750</v>
      </c>
      <c r="E12198" s="201">
        <v>45839</v>
      </c>
      <c r="F12198" s="200" t="s">
        <v>296</v>
      </c>
      <c r="G12198" s="200" t="s">
        <v>57</v>
      </c>
      <c r="H12198" s="200" t="s">
        <v>97</v>
      </c>
    </row>
    <row r="12199" spans="1:9" ht="15" customHeight="1">
      <c r="A12199" s="199">
        <v>45847</v>
      </c>
      <c r="B12199" s="202" t="s">
        <v>8873</v>
      </c>
      <c r="C12199" s="200" t="s">
        <v>204</v>
      </c>
      <c r="D12199" s="896">
        <v>-26095123</v>
      </c>
      <c r="E12199" s="201">
        <v>45839</v>
      </c>
      <c r="F12199" s="200" t="s">
        <v>296</v>
      </c>
      <c r="G12199" s="200" t="s">
        <v>1980</v>
      </c>
      <c r="H12199" s="200" t="s">
        <v>1104</v>
      </c>
    </row>
    <row r="12200" spans="1:9" ht="15" customHeight="1">
      <c r="A12200" s="199">
        <v>45847</v>
      </c>
      <c r="B12200" s="202" t="s">
        <v>8874</v>
      </c>
      <c r="C12200" s="200" t="s">
        <v>204</v>
      </c>
      <c r="D12200" s="896">
        <v>-2673000</v>
      </c>
      <c r="E12200" s="201">
        <v>45839</v>
      </c>
      <c r="F12200" s="200" t="s">
        <v>256</v>
      </c>
      <c r="G12200" s="200" t="s">
        <v>256</v>
      </c>
      <c r="H12200" s="200" t="s">
        <v>258</v>
      </c>
    </row>
    <row r="12201" spans="1:9" ht="15" customHeight="1">
      <c r="A12201" s="199">
        <v>45847</v>
      </c>
      <c r="B12201" s="202" t="s">
        <v>8875</v>
      </c>
      <c r="C12201" s="200" t="s">
        <v>204</v>
      </c>
      <c r="D12201" s="896">
        <v>-21708871</v>
      </c>
      <c r="E12201" s="201">
        <v>45839</v>
      </c>
      <c r="F12201" s="200" t="s">
        <v>296</v>
      </c>
      <c r="G12201" s="200" t="s">
        <v>3849</v>
      </c>
      <c r="H12201" s="200" t="s">
        <v>857</v>
      </c>
      <c r="I12201" s="648" t="s">
        <v>329</v>
      </c>
    </row>
    <row r="12202" spans="1:9" ht="15" customHeight="1">
      <c r="A12202" s="199">
        <v>45848</v>
      </c>
      <c r="B12202" s="202" t="s">
        <v>8530</v>
      </c>
      <c r="C12202" s="200" t="s">
        <v>204</v>
      </c>
      <c r="D12202" s="896">
        <v>-244680</v>
      </c>
      <c r="E12202" s="201">
        <v>45839</v>
      </c>
      <c r="F12202" s="200" t="s">
        <v>256</v>
      </c>
      <c r="G12202" s="200" t="s">
        <v>256</v>
      </c>
      <c r="H12202" s="200" t="s">
        <v>265</v>
      </c>
    </row>
    <row r="12203" spans="1:9" ht="15" customHeight="1">
      <c r="A12203" s="199">
        <v>45848</v>
      </c>
      <c r="B12203" s="202" t="s">
        <v>8876</v>
      </c>
      <c r="C12203" s="200" t="s">
        <v>204</v>
      </c>
      <c r="D12203" s="896">
        <v>-131710</v>
      </c>
      <c r="E12203" s="201">
        <v>45839</v>
      </c>
      <c r="F12203" s="200" t="s">
        <v>256</v>
      </c>
      <c r="G12203" s="200" t="s">
        <v>256</v>
      </c>
      <c r="H12203" s="200" t="s">
        <v>265</v>
      </c>
    </row>
    <row r="12204" spans="1:9" ht="15" customHeight="1">
      <c r="A12204" s="199">
        <v>45848</v>
      </c>
      <c r="B12204" s="202" t="s">
        <v>8877</v>
      </c>
      <c r="C12204" s="200" t="s">
        <v>204</v>
      </c>
      <c r="D12204" s="896">
        <v>-47155000</v>
      </c>
      <c r="E12204" s="201">
        <v>45839</v>
      </c>
      <c r="F12204" s="200" t="s">
        <v>525</v>
      </c>
    </row>
    <row r="12205" spans="1:9" ht="15" customHeight="1">
      <c r="A12205" s="199">
        <v>45848</v>
      </c>
      <c r="B12205" s="202" t="s">
        <v>8878</v>
      </c>
      <c r="C12205" s="200" t="s">
        <v>204</v>
      </c>
      <c r="D12205" s="896">
        <v>-3593000</v>
      </c>
      <c r="E12205" s="201">
        <v>45839</v>
      </c>
      <c r="F12205" s="200" t="s">
        <v>525</v>
      </c>
    </row>
    <row r="12206" spans="1:9" ht="15" customHeight="1">
      <c r="A12206" s="199">
        <v>45848</v>
      </c>
      <c r="B12206" s="202" t="s">
        <v>8879</v>
      </c>
      <c r="C12206" s="200" t="s">
        <v>204</v>
      </c>
      <c r="D12206" s="896">
        <v>-103942352</v>
      </c>
      <c r="E12206" s="201">
        <v>45839</v>
      </c>
      <c r="F12206" s="200" t="s">
        <v>296</v>
      </c>
      <c r="G12206" s="200" t="s">
        <v>1825</v>
      </c>
      <c r="H12206" s="200" t="s">
        <v>670</v>
      </c>
    </row>
    <row r="12207" spans="1:9" ht="15" customHeight="1">
      <c r="A12207" s="199">
        <v>45848</v>
      </c>
      <c r="B12207" s="202" t="s">
        <v>8880</v>
      </c>
      <c r="C12207" s="200" t="s">
        <v>204</v>
      </c>
      <c r="D12207" s="896">
        <v>-119711510</v>
      </c>
      <c r="E12207" s="201">
        <v>45839</v>
      </c>
      <c r="F12207" s="200" t="s">
        <v>296</v>
      </c>
      <c r="G12207" s="200" t="s">
        <v>522</v>
      </c>
      <c r="H12207" s="200" t="s">
        <v>5965</v>
      </c>
    </row>
    <row r="12208" spans="1:9" ht="15" customHeight="1">
      <c r="A12208" s="199">
        <v>45848</v>
      </c>
      <c r="B12208" s="202" t="s">
        <v>8881</v>
      </c>
      <c r="C12208" s="200" t="s">
        <v>204</v>
      </c>
      <c r="D12208" s="896">
        <v>-1920000</v>
      </c>
      <c r="E12208" s="201">
        <v>45839</v>
      </c>
      <c r="F12208" s="200" t="s">
        <v>296</v>
      </c>
      <c r="G12208" s="200" t="s">
        <v>522</v>
      </c>
      <c r="H12208" s="200" t="s">
        <v>421</v>
      </c>
    </row>
    <row r="12209" spans="1:9" ht="15" customHeight="1">
      <c r="A12209" s="199">
        <v>45848</v>
      </c>
      <c r="B12209" s="202" t="s">
        <v>8882</v>
      </c>
      <c r="C12209" s="200" t="s">
        <v>204</v>
      </c>
      <c r="D12209" s="896">
        <v>-5645441</v>
      </c>
      <c r="E12209" s="201">
        <v>45839</v>
      </c>
      <c r="F12209" s="200" t="s">
        <v>256</v>
      </c>
      <c r="G12209" s="200" t="s">
        <v>256</v>
      </c>
      <c r="H12209" s="200" t="s">
        <v>9</v>
      </c>
    </row>
    <row r="12210" spans="1:9" ht="15" customHeight="1">
      <c r="A12210" s="199">
        <v>45848</v>
      </c>
      <c r="B12210" s="202" t="s">
        <v>8883</v>
      </c>
      <c r="C12210" s="200" t="s">
        <v>204</v>
      </c>
      <c r="D12210" s="896">
        <v>-840000</v>
      </c>
      <c r="E12210" s="201">
        <v>45839</v>
      </c>
      <c r="F12210" s="200" t="s">
        <v>296</v>
      </c>
      <c r="G12210" s="200" t="s">
        <v>5466</v>
      </c>
      <c r="H12210" s="200" t="s">
        <v>342</v>
      </c>
      <c r="I12210" s="648" t="s">
        <v>329</v>
      </c>
    </row>
    <row r="12211" spans="1:9" ht="15" customHeight="1">
      <c r="A12211" s="199">
        <v>45848</v>
      </c>
      <c r="B12211" s="202" t="s">
        <v>7915</v>
      </c>
      <c r="C12211" s="200" t="s">
        <v>204</v>
      </c>
      <c r="D12211" s="896">
        <v>-134000</v>
      </c>
      <c r="E12211" s="201">
        <v>45839</v>
      </c>
      <c r="F12211" s="200" t="s">
        <v>296</v>
      </c>
      <c r="G12211" s="200" t="s">
        <v>2418</v>
      </c>
      <c r="H12211" s="200" t="s">
        <v>268</v>
      </c>
    </row>
    <row r="12212" spans="1:9" ht="15" customHeight="1">
      <c r="A12212" s="199">
        <v>45848</v>
      </c>
      <c r="B12212" s="202" t="s">
        <v>7915</v>
      </c>
      <c r="C12212" s="200" t="s">
        <v>204</v>
      </c>
      <c r="D12212" s="896">
        <v>-260143</v>
      </c>
      <c r="E12212" s="201">
        <v>45839</v>
      </c>
      <c r="F12212" s="200" t="s">
        <v>297</v>
      </c>
      <c r="G12212" s="200" t="s">
        <v>69</v>
      </c>
      <c r="H12212" s="200" t="s">
        <v>268</v>
      </c>
    </row>
    <row r="12213" spans="1:9" ht="15" customHeight="1">
      <c r="A12213" s="199">
        <v>45848</v>
      </c>
      <c r="B12213" s="202" t="s">
        <v>7915</v>
      </c>
      <c r="C12213" s="200" t="s">
        <v>204</v>
      </c>
      <c r="D12213" s="896">
        <v>-298144</v>
      </c>
      <c r="E12213" s="201">
        <v>45839</v>
      </c>
      <c r="F12213" s="200" t="s">
        <v>296</v>
      </c>
      <c r="G12213" s="200" t="s">
        <v>415</v>
      </c>
      <c r="H12213" s="200" t="s">
        <v>268</v>
      </c>
    </row>
    <row r="12214" spans="1:9" ht="15" customHeight="1">
      <c r="A12214" s="199">
        <v>45848</v>
      </c>
      <c r="B12214" s="202" t="s">
        <v>7915</v>
      </c>
      <c r="C12214" s="200" t="s">
        <v>204</v>
      </c>
      <c r="D12214" s="896">
        <v>-28000</v>
      </c>
      <c r="E12214" s="201">
        <v>45839</v>
      </c>
      <c r="F12214" s="200" t="s">
        <v>256</v>
      </c>
      <c r="G12214" s="200" t="s">
        <v>256</v>
      </c>
      <c r="H12214" s="200" t="s">
        <v>268</v>
      </c>
    </row>
    <row r="12215" spans="1:9" ht="15" customHeight="1">
      <c r="A12215" s="199">
        <v>45848</v>
      </c>
      <c r="B12215" s="202" t="s">
        <v>7915</v>
      </c>
      <c r="C12215" s="200" t="s">
        <v>204</v>
      </c>
      <c r="D12215" s="896">
        <v>-120000</v>
      </c>
      <c r="E12215" s="201">
        <v>45839</v>
      </c>
      <c r="F12215" s="200" t="s">
        <v>10</v>
      </c>
      <c r="G12215" s="200" t="s">
        <v>10</v>
      </c>
      <c r="H12215" s="200" t="s">
        <v>268</v>
      </c>
      <c r="I12215" s="200" t="s">
        <v>8884</v>
      </c>
    </row>
    <row r="12216" spans="1:9" ht="15" customHeight="1">
      <c r="A12216" s="199">
        <v>45848</v>
      </c>
      <c r="B12216" s="202" t="s">
        <v>7915</v>
      </c>
      <c r="C12216" s="200" t="s">
        <v>204</v>
      </c>
      <c r="D12216" s="896">
        <v>-58000</v>
      </c>
      <c r="E12216" s="201">
        <v>45839</v>
      </c>
      <c r="F12216" s="200" t="s">
        <v>297</v>
      </c>
      <c r="G12216" s="200" t="s">
        <v>71</v>
      </c>
      <c r="H12216" s="200" t="s">
        <v>268</v>
      </c>
    </row>
    <row r="12217" spans="1:9" ht="15" customHeight="1">
      <c r="A12217" s="199">
        <v>45848</v>
      </c>
      <c r="B12217" s="202" t="s">
        <v>7915</v>
      </c>
      <c r="C12217" s="200" t="s">
        <v>204</v>
      </c>
      <c r="D12217" s="896">
        <v>-10000</v>
      </c>
      <c r="E12217" s="201">
        <v>45839</v>
      </c>
      <c r="F12217" s="200" t="s">
        <v>296</v>
      </c>
      <c r="G12217" s="200" t="s">
        <v>44</v>
      </c>
      <c r="H12217" s="200" t="s">
        <v>442</v>
      </c>
    </row>
    <row r="12218" spans="1:9" ht="15" customHeight="1">
      <c r="A12218" s="199">
        <v>45848</v>
      </c>
      <c r="B12218" s="202" t="s">
        <v>7915</v>
      </c>
      <c r="C12218" s="200" t="s">
        <v>204</v>
      </c>
      <c r="D12218" s="896">
        <v>-28000</v>
      </c>
      <c r="E12218" s="201">
        <v>45839</v>
      </c>
      <c r="F12218" s="200" t="s">
        <v>296</v>
      </c>
      <c r="G12218" s="200" t="s">
        <v>1980</v>
      </c>
      <c r="H12218" s="200" t="s">
        <v>442</v>
      </c>
    </row>
    <row r="12219" spans="1:9" ht="15" customHeight="1">
      <c r="A12219" s="199">
        <v>45848</v>
      </c>
      <c r="B12219" s="202" t="s">
        <v>7915</v>
      </c>
      <c r="C12219" s="200" t="s">
        <v>204</v>
      </c>
      <c r="D12219" s="896">
        <v>-10000</v>
      </c>
      <c r="E12219" s="201">
        <v>45839</v>
      </c>
      <c r="F12219" s="200" t="s">
        <v>10</v>
      </c>
      <c r="G12219" s="200" t="s">
        <v>10</v>
      </c>
      <c r="H12219" s="200" t="s">
        <v>268</v>
      </c>
      <c r="I12219" s="200" t="s">
        <v>8885</v>
      </c>
    </row>
    <row r="12220" spans="1:9" ht="15" customHeight="1">
      <c r="A12220" s="199">
        <v>45848</v>
      </c>
      <c r="B12220" s="202" t="s">
        <v>7915</v>
      </c>
      <c r="C12220" s="200" t="s">
        <v>204</v>
      </c>
      <c r="D12220" s="896">
        <v>-20000</v>
      </c>
      <c r="E12220" s="201">
        <v>45839</v>
      </c>
      <c r="F12220" s="200" t="s">
        <v>10</v>
      </c>
      <c r="G12220" s="200" t="s">
        <v>10</v>
      </c>
      <c r="H12220" s="200" t="s">
        <v>268</v>
      </c>
      <c r="I12220" s="200" t="s">
        <v>8886</v>
      </c>
    </row>
    <row r="12221" spans="1:9" ht="15" customHeight="1">
      <c r="A12221" s="199">
        <v>45848</v>
      </c>
      <c r="B12221" s="202" t="s">
        <v>7916</v>
      </c>
      <c r="C12221" s="200" t="s">
        <v>372</v>
      </c>
      <c r="D12221" s="204">
        <v>-4910</v>
      </c>
      <c r="E12221" s="201">
        <v>45839</v>
      </c>
      <c r="F12221" s="200" t="s">
        <v>297</v>
      </c>
      <c r="G12221" s="200" t="s">
        <v>69</v>
      </c>
      <c r="H12221" s="200" t="s">
        <v>268</v>
      </c>
    </row>
    <row r="12222" spans="1:9" ht="15" customHeight="1">
      <c r="A12222" s="199">
        <v>45848</v>
      </c>
      <c r="B12222" s="202" t="s">
        <v>1927</v>
      </c>
      <c r="C12222" s="200" t="s">
        <v>372</v>
      </c>
      <c r="D12222" s="204">
        <v>-2946</v>
      </c>
      <c r="E12222" s="201">
        <v>45839</v>
      </c>
      <c r="F12222" s="200" t="s">
        <v>297</v>
      </c>
      <c r="G12222" s="200" t="s">
        <v>69</v>
      </c>
      <c r="H12222" s="200" t="s">
        <v>268</v>
      </c>
    </row>
    <row r="12223" spans="1:9" ht="15" customHeight="1">
      <c r="A12223" s="199">
        <v>45848</v>
      </c>
      <c r="B12223" s="202" t="s">
        <v>7916</v>
      </c>
      <c r="C12223" s="200" t="s">
        <v>372</v>
      </c>
      <c r="D12223" s="204">
        <v>-4910</v>
      </c>
      <c r="E12223" s="201">
        <v>45839</v>
      </c>
      <c r="F12223" s="200" t="s">
        <v>296</v>
      </c>
      <c r="G12223" s="200" t="s">
        <v>415</v>
      </c>
      <c r="H12223" s="200" t="s">
        <v>268</v>
      </c>
    </row>
    <row r="12224" spans="1:9" ht="15" customHeight="1">
      <c r="A12224" s="199">
        <v>45848</v>
      </c>
      <c r="B12224" s="202" t="s">
        <v>1927</v>
      </c>
      <c r="C12224" s="200" t="s">
        <v>372</v>
      </c>
      <c r="D12224" s="204">
        <v>-2946</v>
      </c>
      <c r="E12224" s="201">
        <v>45839</v>
      </c>
      <c r="F12224" s="200" t="s">
        <v>296</v>
      </c>
      <c r="G12224" s="200" t="s">
        <v>415</v>
      </c>
      <c r="H12224" s="200" t="s">
        <v>268</v>
      </c>
    </row>
    <row r="12225" spans="1:9" ht="15" customHeight="1">
      <c r="A12225" s="199">
        <v>45848</v>
      </c>
      <c r="B12225" s="202" t="s">
        <v>8887</v>
      </c>
      <c r="C12225" s="200" t="s">
        <v>204</v>
      </c>
      <c r="D12225" s="896">
        <v>-69600</v>
      </c>
      <c r="E12225" s="201">
        <v>45839</v>
      </c>
      <c r="F12225" s="200" t="s">
        <v>256</v>
      </c>
      <c r="G12225" s="200" t="s">
        <v>256</v>
      </c>
      <c r="H12225" s="200" t="s">
        <v>267</v>
      </c>
    </row>
    <row r="12226" spans="1:9" ht="15" customHeight="1">
      <c r="A12226" s="199">
        <v>45848</v>
      </c>
      <c r="B12226" s="202" t="s">
        <v>8888</v>
      </c>
      <c r="C12226" s="200" t="s">
        <v>204</v>
      </c>
      <c r="D12226" s="896">
        <v>-535900</v>
      </c>
      <c r="E12226" s="201">
        <v>45839</v>
      </c>
      <c r="F12226" s="200" t="s">
        <v>256</v>
      </c>
    </row>
    <row r="12227" spans="1:9" ht="15" customHeight="1">
      <c r="A12227" s="199">
        <v>45848</v>
      </c>
      <c r="B12227" s="202" t="s">
        <v>8889</v>
      </c>
      <c r="C12227" s="200" t="s">
        <v>204</v>
      </c>
      <c r="D12227" s="896">
        <v>-1425157</v>
      </c>
      <c r="E12227" s="201">
        <v>45839</v>
      </c>
      <c r="F12227" s="200" t="s">
        <v>256</v>
      </c>
      <c r="G12227" s="200" t="s">
        <v>107</v>
      </c>
      <c r="H12227" s="200" t="s">
        <v>116</v>
      </c>
    </row>
    <row r="12228" spans="1:9" ht="15" customHeight="1">
      <c r="A12228" s="199">
        <v>45848</v>
      </c>
      <c r="B12228" s="202" t="s">
        <v>8890</v>
      </c>
      <c r="C12228" s="200" t="s">
        <v>204</v>
      </c>
      <c r="D12228" s="896">
        <v>-21900</v>
      </c>
      <c r="E12228" s="201">
        <v>45839</v>
      </c>
      <c r="F12228" s="200" t="s">
        <v>296</v>
      </c>
      <c r="G12228" s="200" t="s">
        <v>57</v>
      </c>
      <c r="H12228" s="200" t="s">
        <v>98</v>
      </c>
    </row>
    <row r="12229" spans="1:9" ht="15" customHeight="1">
      <c r="A12229" s="199">
        <v>45848</v>
      </c>
      <c r="B12229" s="202" t="s">
        <v>8891</v>
      </c>
      <c r="C12229" s="200" t="s">
        <v>204</v>
      </c>
      <c r="D12229" s="896">
        <v>-17093642</v>
      </c>
      <c r="E12229" s="201">
        <v>45839</v>
      </c>
      <c r="F12229" s="200" t="s">
        <v>296</v>
      </c>
      <c r="G12229" s="200" t="s">
        <v>415</v>
      </c>
      <c r="H12229" s="200" t="s">
        <v>857</v>
      </c>
    </row>
    <row r="12230" spans="1:9" ht="15" customHeight="1">
      <c r="A12230" s="199">
        <v>45848</v>
      </c>
      <c r="B12230" s="202" t="s">
        <v>8892</v>
      </c>
      <c r="C12230" s="200" t="s">
        <v>204</v>
      </c>
      <c r="D12230" s="896">
        <v>-484793</v>
      </c>
      <c r="E12230" s="201">
        <v>45839</v>
      </c>
      <c r="F12230" s="200" t="s">
        <v>10</v>
      </c>
      <c r="G12230" s="200" t="s">
        <v>10</v>
      </c>
      <c r="H12230" s="200" t="s">
        <v>5384</v>
      </c>
      <c r="I12230" s="200" t="s">
        <v>8884</v>
      </c>
    </row>
    <row r="12231" spans="1:9" ht="15" customHeight="1">
      <c r="A12231" s="199">
        <v>45848</v>
      </c>
      <c r="B12231" s="202" t="s">
        <v>8893</v>
      </c>
      <c r="C12231" s="200" t="s">
        <v>372</v>
      </c>
      <c r="D12231" s="204">
        <v>-10457</v>
      </c>
      <c r="E12231" s="201">
        <v>45839</v>
      </c>
      <c r="F12231" s="200" t="s">
        <v>10</v>
      </c>
      <c r="G12231" s="200" t="s">
        <v>10</v>
      </c>
      <c r="H12231" s="200" t="s">
        <v>5384</v>
      </c>
      <c r="I12231" s="200" t="s">
        <v>8884</v>
      </c>
    </row>
    <row r="12232" spans="1:9" ht="15" customHeight="1">
      <c r="A12232" s="199">
        <v>45848</v>
      </c>
      <c r="B12232" s="202" t="s">
        <v>8894</v>
      </c>
      <c r="C12232" s="200" t="s">
        <v>372</v>
      </c>
      <c r="D12232" s="204">
        <v>-2510</v>
      </c>
      <c r="E12232" s="201">
        <v>45839</v>
      </c>
      <c r="F12232" s="200" t="s">
        <v>10</v>
      </c>
      <c r="G12232" s="200" t="s">
        <v>10</v>
      </c>
      <c r="H12232" s="200" t="s">
        <v>5384</v>
      </c>
      <c r="I12232" s="200" t="s">
        <v>8884</v>
      </c>
    </row>
    <row r="12233" spans="1:9" ht="15" customHeight="1">
      <c r="A12233" s="199">
        <v>45848</v>
      </c>
      <c r="B12233" s="202" t="s">
        <v>8895</v>
      </c>
      <c r="C12233" s="200" t="s">
        <v>204</v>
      </c>
      <c r="D12233" s="896">
        <v>-262967</v>
      </c>
      <c r="E12233" s="201">
        <v>45839</v>
      </c>
      <c r="F12233" s="200" t="s">
        <v>297</v>
      </c>
      <c r="G12233" s="200" t="s">
        <v>69</v>
      </c>
      <c r="H12233" s="200" t="s">
        <v>5384</v>
      </c>
    </row>
    <row r="12234" spans="1:9" ht="15" customHeight="1">
      <c r="A12234" s="199">
        <v>45848</v>
      </c>
      <c r="B12234" s="202" t="s">
        <v>8896</v>
      </c>
      <c r="C12234" s="200" t="s">
        <v>372</v>
      </c>
      <c r="D12234" s="204">
        <v>-5672</v>
      </c>
      <c r="E12234" s="201">
        <v>45839</v>
      </c>
      <c r="F12234" s="200" t="s">
        <v>297</v>
      </c>
      <c r="G12234" s="200" t="s">
        <v>69</v>
      </c>
      <c r="H12234" s="200" t="s">
        <v>5384</v>
      </c>
    </row>
    <row r="12235" spans="1:9" ht="15" customHeight="1">
      <c r="A12235" s="199">
        <v>45848</v>
      </c>
      <c r="B12235" s="202" t="s">
        <v>8897</v>
      </c>
      <c r="C12235" s="200" t="s">
        <v>372</v>
      </c>
      <c r="D12235" s="204">
        <v>-1361</v>
      </c>
      <c r="E12235" s="201">
        <v>45839</v>
      </c>
      <c r="F12235" s="200" t="s">
        <v>297</v>
      </c>
      <c r="G12235" s="200" t="s">
        <v>69</v>
      </c>
      <c r="H12235" s="200" t="s">
        <v>5384</v>
      </c>
    </row>
    <row r="12236" spans="1:9" ht="15" customHeight="1">
      <c r="A12236" s="199">
        <v>45848</v>
      </c>
      <c r="B12236" s="202" t="s">
        <v>8898</v>
      </c>
      <c r="C12236" s="200" t="s">
        <v>204</v>
      </c>
      <c r="D12236" s="896">
        <v>-51425</v>
      </c>
      <c r="E12236" s="201">
        <v>45839</v>
      </c>
      <c r="F12236" s="200" t="s">
        <v>296</v>
      </c>
      <c r="G12236" s="200" t="s">
        <v>415</v>
      </c>
      <c r="H12236" s="200" t="s">
        <v>5384</v>
      </c>
    </row>
    <row r="12237" spans="1:9" ht="15" customHeight="1">
      <c r="A12237" s="199">
        <v>45848</v>
      </c>
      <c r="B12237" s="202" t="s">
        <v>8899</v>
      </c>
      <c r="C12237" s="200" t="s">
        <v>372</v>
      </c>
      <c r="D12237" s="204">
        <v>-1109</v>
      </c>
      <c r="E12237" s="201">
        <v>45839</v>
      </c>
      <c r="F12237" s="200" t="s">
        <v>296</v>
      </c>
      <c r="G12237" s="200" t="s">
        <v>415</v>
      </c>
      <c r="H12237" s="200" t="s">
        <v>5384</v>
      </c>
    </row>
    <row r="12238" spans="1:9" ht="15" customHeight="1">
      <c r="A12238" s="199">
        <v>45848</v>
      </c>
      <c r="B12238" s="202" t="s">
        <v>8900</v>
      </c>
      <c r="C12238" s="200" t="s">
        <v>372</v>
      </c>
      <c r="D12238" s="204">
        <v>-266</v>
      </c>
      <c r="E12238" s="201">
        <v>45839</v>
      </c>
      <c r="F12238" s="200" t="s">
        <v>296</v>
      </c>
      <c r="G12238" s="200" t="s">
        <v>415</v>
      </c>
      <c r="H12238" s="200" t="s">
        <v>5384</v>
      </c>
    </row>
    <row r="12239" spans="1:9" ht="15" customHeight="1">
      <c r="A12239" s="199">
        <v>45848</v>
      </c>
      <c r="B12239" s="202" t="s">
        <v>8901</v>
      </c>
      <c r="C12239" s="200" t="s">
        <v>204</v>
      </c>
      <c r="D12239" s="896">
        <v>-3427911</v>
      </c>
      <c r="E12239" s="201">
        <v>45839</v>
      </c>
      <c r="F12239" s="200" t="s">
        <v>296</v>
      </c>
      <c r="G12239" s="200" t="s">
        <v>2418</v>
      </c>
      <c r="H12239" s="200" t="s">
        <v>5384</v>
      </c>
    </row>
    <row r="12240" spans="1:9" ht="15" customHeight="1">
      <c r="A12240" s="199">
        <v>45848</v>
      </c>
      <c r="B12240" s="202" t="s">
        <v>8902</v>
      </c>
      <c r="C12240" s="200" t="s">
        <v>372</v>
      </c>
      <c r="D12240" s="204">
        <v>-73941</v>
      </c>
      <c r="E12240" s="201">
        <v>45839</v>
      </c>
      <c r="F12240" s="200" t="s">
        <v>296</v>
      </c>
      <c r="G12240" s="200" t="s">
        <v>2418</v>
      </c>
      <c r="H12240" s="200" t="s">
        <v>5384</v>
      </c>
    </row>
    <row r="12241" spans="1:9" ht="15" customHeight="1">
      <c r="A12241" s="199">
        <v>45848</v>
      </c>
      <c r="B12241" s="202" t="s">
        <v>8903</v>
      </c>
      <c r="C12241" s="200" t="s">
        <v>372</v>
      </c>
      <c r="D12241" s="204">
        <v>-17746</v>
      </c>
      <c r="E12241" s="201">
        <v>45839</v>
      </c>
      <c r="F12241" s="200" t="s">
        <v>296</v>
      </c>
      <c r="G12241" s="200" t="s">
        <v>2418</v>
      </c>
      <c r="H12241" s="200" t="s">
        <v>5384</v>
      </c>
    </row>
    <row r="12242" spans="1:9" ht="15" customHeight="1">
      <c r="A12242" s="199">
        <v>45848</v>
      </c>
      <c r="B12242" s="202" t="s">
        <v>8904</v>
      </c>
      <c r="C12242" s="200" t="s">
        <v>204</v>
      </c>
      <c r="D12242" s="896">
        <v>-124120</v>
      </c>
      <c r="E12242" s="201">
        <v>45839</v>
      </c>
      <c r="F12242" s="200" t="s">
        <v>10</v>
      </c>
      <c r="G12242" s="200" t="s">
        <v>10</v>
      </c>
      <c r="H12242" s="200" t="s">
        <v>5384</v>
      </c>
      <c r="I12242" s="200" t="s">
        <v>61</v>
      </c>
    </row>
    <row r="12243" spans="1:9" ht="15" customHeight="1">
      <c r="A12243" s="199">
        <v>45848</v>
      </c>
      <c r="B12243" s="202" t="s">
        <v>8905</v>
      </c>
      <c r="C12243" s="200" t="s">
        <v>372</v>
      </c>
      <c r="D12243" s="204">
        <v>-2677</v>
      </c>
      <c r="E12243" s="201">
        <v>45839</v>
      </c>
      <c r="F12243" s="200" t="s">
        <v>10</v>
      </c>
      <c r="G12243" s="200" t="s">
        <v>10</v>
      </c>
      <c r="H12243" s="200" t="s">
        <v>5384</v>
      </c>
      <c r="I12243" s="200" t="s">
        <v>61</v>
      </c>
    </row>
    <row r="12244" spans="1:9" ht="15" customHeight="1">
      <c r="A12244" s="199">
        <v>45848</v>
      </c>
      <c r="B12244" s="202" t="s">
        <v>8906</v>
      </c>
      <c r="C12244" s="200" t="s">
        <v>372</v>
      </c>
      <c r="D12244" s="204">
        <v>-643</v>
      </c>
      <c r="E12244" s="201">
        <v>45839</v>
      </c>
      <c r="F12244" s="200" t="s">
        <v>10</v>
      </c>
      <c r="G12244" s="200" t="s">
        <v>10</v>
      </c>
      <c r="H12244" s="200" t="s">
        <v>5384</v>
      </c>
      <c r="I12244" s="200" t="s">
        <v>61</v>
      </c>
    </row>
    <row r="12245" spans="1:9" ht="15" customHeight="1">
      <c r="A12245" s="199">
        <v>45848</v>
      </c>
      <c r="B12245" s="202" t="s">
        <v>8907</v>
      </c>
      <c r="C12245" s="200" t="s">
        <v>204</v>
      </c>
      <c r="D12245" s="896">
        <v>-76552</v>
      </c>
      <c r="E12245" s="201">
        <v>45839</v>
      </c>
      <c r="F12245" s="200" t="s">
        <v>297</v>
      </c>
      <c r="G12245" s="200" t="s">
        <v>69</v>
      </c>
      <c r="H12245" s="200" t="s">
        <v>5384</v>
      </c>
    </row>
    <row r="12246" spans="1:9" ht="15" customHeight="1">
      <c r="A12246" s="199">
        <v>45848</v>
      </c>
      <c r="B12246" s="202" t="s">
        <v>8908</v>
      </c>
      <c r="C12246" s="200" t="s">
        <v>372</v>
      </c>
      <c r="D12246" s="204">
        <v>-1651</v>
      </c>
      <c r="E12246" s="201">
        <v>45839</v>
      </c>
      <c r="F12246" s="200" t="s">
        <v>297</v>
      </c>
      <c r="G12246" s="200" t="s">
        <v>69</v>
      </c>
      <c r="H12246" s="200" t="s">
        <v>5384</v>
      </c>
    </row>
    <row r="12247" spans="1:9" ht="15" customHeight="1">
      <c r="A12247" s="199">
        <v>45848</v>
      </c>
      <c r="B12247" s="202" t="s">
        <v>8909</v>
      </c>
      <c r="C12247" s="200" t="s">
        <v>372</v>
      </c>
      <c r="D12247" s="204">
        <v>-396</v>
      </c>
      <c r="E12247" s="201">
        <v>45839</v>
      </c>
      <c r="F12247" s="200" t="s">
        <v>297</v>
      </c>
      <c r="G12247" s="200" t="s">
        <v>69</v>
      </c>
      <c r="H12247" s="200" t="s">
        <v>5384</v>
      </c>
    </row>
    <row r="12248" spans="1:9" ht="15" customHeight="1">
      <c r="A12248" s="199">
        <v>45848</v>
      </c>
      <c r="B12248" s="202" t="s">
        <v>8910</v>
      </c>
      <c r="C12248" s="200" t="s">
        <v>204</v>
      </c>
      <c r="D12248" s="896">
        <v>-575605</v>
      </c>
      <c r="E12248" s="201">
        <v>45839</v>
      </c>
      <c r="F12248" s="200" t="s">
        <v>296</v>
      </c>
      <c r="G12248" s="200" t="s">
        <v>415</v>
      </c>
      <c r="H12248" s="200" t="s">
        <v>5384</v>
      </c>
    </row>
    <row r="12249" spans="1:9" ht="15" customHeight="1">
      <c r="A12249" s="199">
        <v>45848</v>
      </c>
      <c r="B12249" s="202" t="s">
        <v>8911</v>
      </c>
      <c r="C12249" s="200" t="s">
        <v>372</v>
      </c>
      <c r="D12249" s="204">
        <v>-12416</v>
      </c>
      <c r="E12249" s="201">
        <v>45839</v>
      </c>
      <c r="F12249" s="200" t="s">
        <v>296</v>
      </c>
      <c r="G12249" s="200" t="s">
        <v>415</v>
      </c>
      <c r="H12249" s="200" t="s">
        <v>5384</v>
      </c>
    </row>
    <row r="12250" spans="1:9" ht="15" customHeight="1">
      <c r="A12250" s="199">
        <v>45848</v>
      </c>
      <c r="B12250" s="202" t="s">
        <v>8912</v>
      </c>
      <c r="C12250" s="200" t="s">
        <v>372</v>
      </c>
      <c r="D12250" s="204">
        <v>-2980</v>
      </c>
      <c r="E12250" s="201">
        <v>45839</v>
      </c>
      <c r="F12250" s="200" t="s">
        <v>296</v>
      </c>
      <c r="G12250" s="200" t="s">
        <v>415</v>
      </c>
      <c r="H12250" s="200" t="s">
        <v>5384</v>
      </c>
    </row>
    <row r="12251" spans="1:9" ht="15" customHeight="1">
      <c r="A12251" s="199">
        <v>45848</v>
      </c>
      <c r="B12251" s="202" t="s">
        <v>7841</v>
      </c>
      <c r="C12251" s="200" t="s">
        <v>204</v>
      </c>
      <c r="D12251" s="896">
        <v>-45464</v>
      </c>
      <c r="E12251" s="201">
        <v>45839</v>
      </c>
      <c r="F12251" s="200" t="s">
        <v>297</v>
      </c>
      <c r="G12251" s="200" t="s">
        <v>71</v>
      </c>
      <c r="H12251" s="200" t="s">
        <v>5384</v>
      </c>
    </row>
    <row r="12252" spans="1:9" ht="15" customHeight="1">
      <c r="A12252" s="199">
        <v>45848</v>
      </c>
      <c r="B12252" s="202" t="s">
        <v>7842</v>
      </c>
      <c r="C12252" s="200" t="s">
        <v>372</v>
      </c>
      <c r="D12252" s="204">
        <v>-981</v>
      </c>
      <c r="E12252" s="201">
        <v>45839</v>
      </c>
      <c r="F12252" s="200" t="s">
        <v>297</v>
      </c>
      <c r="G12252" s="200" t="s">
        <v>71</v>
      </c>
      <c r="H12252" s="200" t="s">
        <v>5384</v>
      </c>
    </row>
    <row r="12253" spans="1:9" ht="15" customHeight="1">
      <c r="A12253" s="199">
        <v>45848</v>
      </c>
      <c r="B12253" s="202" t="s">
        <v>8913</v>
      </c>
      <c r="C12253" s="200" t="s">
        <v>372</v>
      </c>
      <c r="D12253" s="204">
        <v>-235</v>
      </c>
      <c r="E12253" s="201">
        <v>45839</v>
      </c>
      <c r="F12253" s="200" t="s">
        <v>297</v>
      </c>
      <c r="G12253" s="200" t="s">
        <v>71</v>
      </c>
      <c r="H12253" s="200" t="s">
        <v>5384</v>
      </c>
    </row>
    <row r="12254" spans="1:9" ht="15" customHeight="1">
      <c r="A12254" s="199">
        <v>45848</v>
      </c>
      <c r="B12254" s="202" t="s">
        <v>8914</v>
      </c>
      <c r="C12254" s="200" t="s">
        <v>204</v>
      </c>
      <c r="D12254" s="896">
        <v>-758394</v>
      </c>
      <c r="E12254" s="201">
        <v>45839</v>
      </c>
      <c r="F12254" s="200" t="s">
        <v>296</v>
      </c>
      <c r="G12254" s="200" t="s">
        <v>2418</v>
      </c>
      <c r="H12254" s="200" t="s">
        <v>5384</v>
      </c>
    </row>
    <row r="12255" spans="1:9" ht="15" customHeight="1">
      <c r="A12255" s="199">
        <v>45848</v>
      </c>
      <c r="B12255" s="202" t="s">
        <v>8915</v>
      </c>
      <c r="C12255" s="200" t="s">
        <v>372</v>
      </c>
      <c r="D12255" s="204">
        <v>-16359</v>
      </c>
      <c r="E12255" s="201">
        <v>45839</v>
      </c>
      <c r="F12255" s="200" t="s">
        <v>296</v>
      </c>
      <c r="G12255" s="200" t="s">
        <v>2418</v>
      </c>
      <c r="H12255" s="200" t="s">
        <v>5384</v>
      </c>
    </row>
    <row r="12256" spans="1:9" ht="15" customHeight="1">
      <c r="A12256" s="199">
        <v>45848</v>
      </c>
      <c r="B12256" s="202" t="s">
        <v>8916</v>
      </c>
      <c r="C12256" s="200" t="s">
        <v>372</v>
      </c>
      <c r="D12256" s="204">
        <v>-3926</v>
      </c>
      <c r="E12256" s="201">
        <v>45839</v>
      </c>
      <c r="F12256" s="200" t="s">
        <v>296</v>
      </c>
      <c r="G12256" s="200" t="s">
        <v>2418</v>
      </c>
      <c r="H12256" s="200" t="s">
        <v>5384</v>
      </c>
    </row>
    <row r="12257" spans="1:9" ht="15" customHeight="1">
      <c r="A12257" s="199">
        <v>45848</v>
      </c>
      <c r="B12257" s="202" t="s">
        <v>8917</v>
      </c>
      <c r="C12257" s="200" t="s">
        <v>204</v>
      </c>
      <c r="D12257" s="896">
        <v>-2452249</v>
      </c>
      <c r="E12257" s="201">
        <v>45839</v>
      </c>
      <c r="F12257" s="200" t="s">
        <v>297</v>
      </c>
      <c r="G12257" s="200" t="s">
        <v>69</v>
      </c>
      <c r="H12257" s="200" t="s">
        <v>5384</v>
      </c>
    </row>
    <row r="12258" spans="1:9" ht="15" customHeight="1">
      <c r="A12258" s="199">
        <v>45848</v>
      </c>
      <c r="B12258" s="202" t="s">
        <v>8918</v>
      </c>
      <c r="C12258" s="200" t="s">
        <v>372</v>
      </c>
      <c r="D12258" s="204">
        <v>-52896</v>
      </c>
      <c r="E12258" s="201">
        <v>45839</v>
      </c>
      <c r="F12258" s="200" t="s">
        <v>297</v>
      </c>
      <c r="G12258" s="200" t="s">
        <v>69</v>
      </c>
      <c r="H12258" s="200" t="s">
        <v>5384</v>
      </c>
    </row>
    <row r="12259" spans="1:9" ht="15" customHeight="1">
      <c r="A12259" s="199">
        <v>45848</v>
      </c>
      <c r="B12259" s="202" t="s">
        <v>8919</v>
      </c>
      <c r="C12259" s="200" t="s">
        <v>372</v>
      </c>
      <c r="D12259" s="204">
        <v>-12695</v>
      </c>
      <c r="E12259" s="201">
        <v>45839</v>
      </c>
      <c r="F12259" s="200" t="s">
        <v>297</v>
      </c>
      <c r="G12259" s="200" t="s">
        <v>69</v>
      </c>
      <c r="H12259" s="200" t="s">
        <v>5384</v>
      </c>
    </row>
    <row r="12260" spans="1:9" ht="15" customHeight="1">
      <c r="A12260" s="199">
        <v>45848</v>
      </c>
      <c r="B12260" s="202" t="s">
        <v>8920</v>
      </c>
      <c r="C12260" s="200" t="s">
        <v>204</v>
      </c>
      <c r="D12260" s="896">
        <v>-303754</v>
      </c>
      <c r="E12260" s="201">
        <v>45839</v>
      </c>
      <c r="F12260" s="200" t="s">
        <v>296</v>
      </c>
      <c r="G12260" s="200" t="s">
        <v>2418</v>
      </c>
      <c r="H12260" s="200" t="s">
        <v>5384</v>
      </c>
    </row>
    <row r="12261" spans="1:9" ht="15" customHeight="1">
      <c r="A12261" s="199">
        <v>45848</v>
      </c>
      <c r="B12261" s="202" t="s">
        <v>8921</v>
      </c>
      <c r="C12261" s="200" t="s">
        <v>372</v>
      </c>
      <c r="D12261" s="204">
        <v>-6552</v>
      </c>
      <c r="E12261" s="201">
        <v>45839</v>
      </c>
      <c r="F12261" s="200" t="s">
        <v>296</v>
      </c>
      <c r="G12261" s="200" t="s">
        <v>2418</v>
      </c>
      <c r="H12261" s="200" t="s">
        <v>5384</v>
      </c>
    </row>
    <row r="12262" spans="1:9" ht="15" customHeight="1">
      <c r="A12262" s="199">
        <v>45848</v>
      </c>
      <c r="B12262" s="202" t="s">
        <v>8922</v>
      </c>
      <c r="C12262" s="200" t="s">
        <v>372</v>
      </c>
      <c r="D12262" s="204">
        <v>-1573</v>
      </c>
      <c r="E12262" s="201">
        <v>45839</v>
      </c>
      <c r="F12262" s="200" t="s">
        <v>296</v>
      </c>
      <c r="G12262" s="200" t="s">
        <v>2418</v>
      </c>
      <c r="H12262" s="200" t="s">
        <v>5384</v>
      </c>
    </row>
    <row r="12263" spans="1:9" ht="15" customHeight="1">
      <c r="A12263" s="199">
        <v>45848</v>
      </c>
      <c r="B12263" s="202" t="s">
        <v>8923</v>
      </c>
      <c r="C12263" s="200" t="s">
        <v>204</v>
      </c>
      <c r="D12263" s="896">
        <v>-482307</v>
      </c>
      <c r="E12263" s="201">
        <v>45839</v>
      </c>
      <c r="F12263" s="200" t="s">
        <v>297</v>
      </c>
      <c r="G12263" s="200" t="s">
        <v>71</v>
      </c>
      <c r="H12263" s="200" t="s">
        <v>5376</v>
      </c>
    </row>
    <row r="12264" spans="1:9" ht="15" customHeight="1">
      <c r="A12264" s="199">
        <v>45848</v>
      </c>
      <c r="B12264" s="202" t="s">
        <v>8924</v>
      </c>
      <c r="C12264" s="200" t="s">
        <v>204</v>
      </c>
      <c r="D12264" s="896">
        <v>-13802</v>
      </c>
      <c r="E12264" s="201">
        <v>45839</v>
      </c>
      <c r="F12264" s="200" t="s">
        <v>10</v>
      </c>
      <c r="G12264" s="200" t="s">
        <v>10</v>
      </c>
      <c r="H12264" s="200" t="s">
        <v>5376</v>
      </c>
      <c r="I12264" s="200" t="s">
        <v>8886</v>
      </c>
    </row>
    <row r="12265" spans="1:9" ht="15" customHeight="1">
      <c r="A12265" s="199">
        <v>45848</v>
      </c>
      <c r="B12265" s="202" t="s">
        <v>8925</v>
      </c>
      <c r="C12265" s="200" t="s">
        <v>204</v>
      </c>
      <c r="D12265" s="896">
        <v>-200000</v>
      </c>
      <c r="E12265" s="201">
        <v>45839</v>
      </c>
      <c r="F12265" s="200" t="s">
        <v>256</v>
      </c>
      <c r="G12265" s="200" t="s">
        <v>256</v>
      </c>
      <c r="H12265" s="200" t="s">
        <v>9</v>
      </c>
    </row>
    <row r="12266" spans="1:9" ht="15" customHeight="1">
      <c r="A12266" s="199">
        <v>45848</v>
      </c>
      <c r="B12266" s="202" t="s">
        <v>8926</v>
      </c>
      <c r="C12266" s="200" t="s">
        <v>204</v>
      </c>
      <c r="D12266" s="896">
        <v>-721159</v>
      </c>
      <c r="E12266" s="201">
        <v>45839</v>
      </c>
      <c r="F12266" s="200" t="s">
        <v>256</v>
      </c>
      <c r="G12266" s="200" t="s">
        <v>256</v>
      </c>
      <c r="H12266" s="200" t="s">
        <v>263</v>
      </c>
    </row>
    <row r="12267" spans="1:9" ht="15" customHeight="1">
      <c r="A12267" s="199">
        <v>45848</v>
      </c>
      <c r="B12267" s="202" t="s">
        <v>8927</v>
      </c>
      <c r="C12267" s="200" t="s">
        <v>204</v>
      </c>
      <c r="D12267" s="896">
        <v>-540000</v>
      </c>
      <c r="E12267" s="201">
        <v>45839</v>
      </c>
      <c r="F12267" s="200" t="s">
        <v>256</v>
      </c>
      <c r="G12267" s="200" t="s">
        <v>256</v>
      </c>
      <c r="H12267" s="200" t="s">
        <v>258</v>
      </c>
    </row>
    <row r="12268" spans="1:9" ht="15" customHeight="1">
      <c r="A12268" s="199">
        <v>45848</v>
      </c>
      <c r="B12268" s="202" t="s">
        <v>8928</v>
      </c>
      <c r="C12268" s="200" t="s">
        <v>204</v>
      </c>
      <c r="D12268" s="896">
        <v>-265451</v>
      </c>
      <c r="E12268" s="201">
        <v>45839</v>
      </c>
      <c r="F12268" s="200" t="s">
        <v>297</v>
      </c>
      <c r="G12268" s="200" t="s">
        <v>69</v>
      </c>
      <c r="H12268" s="200" t="s">
        <v>5376</v>
      </c>
    </row>
    <row r="12269" spans="1:9" ht="15" customHeight="1">
      <c r="A12269" s="199">
        <v>45842</v>
      </c>
      <c r="B12269" s="202" t="s">
        <v>8929</v>
      </c>
      <c r="C12269" s="200" t="s">
        <v>136</v>
      </c>
      <c r="D12269" s="896">
        <v>-580960</v>
      </c>
      <c r="E12269" s="201">
        <v>45839</v>
      </c>
      <c r="F12269" s="200" t="s">
        <v>296</v>
      </c>
      <c r="G12269" s="200" t="s">
        <v>57</v>
      </c>
      <c r="H12269" s="200" t="s">
        <v>97</v>
      </c>
    </row>
    <row r="12270" spans="1:9" ht="15" customHeight="1">
      <c r="A12270" s="199">
        <v>45842</v>
      </c>
      <c r="B12270" s="202" t="s">
        <v>8930</v>
      </c>
      <c r="C12270" s="200" t="s">
        <v>136</v>
      </c>
      <c r="D12270" s="896">
        <v>-70000</v>
      </c>
      <c r="E12270" s="201">
        <v>45839</v>
      </c>
      <c r="F12270" s="200" t="s">
        <v>296</v>
      </c>
      <c r="G12270" s="200" t="s">
        <v>57</v>
      </c>
      <c r="H12270" s="200" t="s">
        <v>97</v>
      </c>
    </row>
    <row r="12271" spans="1:9" ht="15" customHeight="1">
      <c r="A12271" s="199">
        <v>45842</v>
      </c>
      <c r="B12271" s="202" t="s">
        <v>8931</v>
      </c>
      <c r="C12271" s="200" t="s">
        <v>136</v>
      </c>
      <c r="D12271" s="896">
        <v>-70000</v>
      </c>
      <c r="E12271" s="201">
        <v>45839</v>
      </c>
      <c r="F12271" s="200" t="s">
        <v>296</v>
      </c>
      <c r="G12271" s="200" t="s">
        <v>57</v>
      </c>
      <c r="H12271" s="200" t="s">
        <v>97</v>
      </c>
    </row>
    <row r="12272" spans="1:9" ht="15" customHeight="1">
      <c r="A12272" s="199">
        <v>45845</v>
      </c>
      <c r="B12272" s="202" t="s">
        <v>8932</v>
      </c>
      <c r="C12272" s="200" t="s">
        <v>307</v>
      </c>
      <c r="D12272" s="204">
        <v>-21000</v>
      </c>
      <c r="E12272" s="201">
        <v>45839</v>
      </c>
      <c r="F12272" s="200" t="s">
        <v>256</v>
      </c>
      <c r="G12272" s="200" t="s">
        <v>256</v>
      </c>
      <c r="H12272" s="200" t="s">
        <v>268</v>
      </c>
    </row>
    <row r="12273" spans="1:9" ht="15" customHeight="1">
      <c r="A12273" s="199">
        <v>45845</v>
      </c>
      <c r="B12273" s="202" t="s">
        <v>8933</v>
      </c>
      <c r="C12273" s="200" t="s">
        <v>307</v>
      </c>
      <c r="D12273" s="204">
        <v>-303976</v>
      </c>
      <c r="E12273" s="201">
        <v>45839</v>
      </c>
      <c r="F12273" s="200" t="s">
        <v>297</v>
      </c>
      <c r="G12273" s="200" t="s">
        <v>3892</v>
      </c>
      <c r="H12273" s="200" t="s">
        <v>346</v>
      </c>
      <c r="I12273" s="648" t="s">
        <v>329</v>
      </c>
    </row>
    <row r="12274" spans="1:9" ht="15" customHeight="1">
      <c r="A12274" s="199">
        <v>45833</v>
      </c>
      <c r="B12274" s="202" t="s">
        <v>8934</v>
      </c>
      <c r="C12274" s="200" t="s">
        <v>307</v>
      </c>
      <c r="D12274" s="204">
        <v>-6000</v>
      </c>
      <c r="E12274" s="201">
        <v>45839</v>
      </c>
      <c r="F12274" s="200" t="s">
        <v>296</v>
      </c>
      <c r="G12274" s="200" t="s">
        <v>522</v>
      </c>
      <c r="H12274" s="200" t="s">
        <v>421</v>
      </c>
      <c r="I12274" s="200" t="s">
        <v>8935</v>
      </c>
    </row>
    <row r="12275" spans="1:9" ht="15" customHeight="1">
      <c r="A12275" s="199">
        <v>45833</v>
      </c>
      <c r="B12275" s="202" t="s">
        <v>8934</v>
      </c>
      <c r="C12275" s="200" t="s">
        <v>307</v>
      </c>
      <c r="D12275" s="204">
        <v>-6000</v>
      </c>
      <c r="E12275" s="201">
        <v>45839</v>
      </c>
      <c r="F12275" s="200" t="s">
        <v>296</v>
      </c>
      <c r="G12275" s="200" t="s">
        <v>44</v>
      </c>
      <c r="H12275" s="200" t="s">
        <v>421</v>
      </c>
      <c r="I12275" s="200" t="s">
        <v>8935</v>
      </c>
    </row>
    <row r="12276" spans="1:9" ht="15" customHeight="1">
      <c r="A12276" s="199">
        <v>45833</v>
      </c>
      <c r="B12276" s="202" t="s">
        <v>8936</v>
      </c>
      <c r="C12276" s="200" t="s">
        <v>307</v>
      </c>
      <c r="D12276" s="204">
        <v>-10000</v>
      </c>
      <c r="E12276" s="201">
        <v>45839</v>
      </c>
      <c r="F12276" s="200" t="s">
        <v>296</v>
      </c>
      <c r="G12276" s="200" t="s">
        <v>522</v>
      </c>
      <c r="H12276" s="200" t="s">
        <v>421</v>
      </c>
      <c r="I12276" s="200" t="s">
        <v>8935</v>
      </c>
    </row>
    <row r="12277" spans="1:9" ht="15" customHeight="1">
      <c r="A12277" s="199">
        <v>45840</v>
      </c>
      <c r="B12277" s="202" t="s">
        <v>8937</v>
      </c>
      <c r="C12277" s="200" t="s">
        <v>307</v>
      </c>
      <c r="D12277" s="204">
        <v>-15000</v>
      </c>
      <c r="E12277" s="201">
        <v>45839</v>
      </c>
      <c r="F12277" s="200" t="s">
        <v>296</v>
      </c>
      <c r="G12277" s="200" t="s">
        <v>1825</v>
      </c>
      <c r="H12277" s="200" t="s">
        <v>442</v>
      </c>
      <c r="I12277" s="648" t="s">
        <v>329</v>
      </c>
    </row>
    <row r="12278" spans="1:9" ht="15" customHeight="1">
      <c r="A12278" s="199">
        <v>45842</v>
      </c>
      <c r="B12278" s="202" t="s">
        <v>8938</v>
      </c>
      <c r="C12278" s="200" t="s">
        <v>307</v>
      </c>
      <c r="D12278" s="204">
        <v>-60000</v>
      </c>
      <c r="E12278" s="201">
        <v>45839</v>
      </c>
      <c r="F12278" s="200" t="s">
        <v>296</v>
      </c>
      <c r="G12278" s="200" t="s">
        <v>1980</v>
      </c>
      <c r="H12278" s="200" t="s">
        <v>442</v>
      </c>
      <c r="I12278" s="648" t="s">
        <v>329</v>
      </c>
    </row>
    <row r="12279" spans="1:9" ht="15" customHeight="1">
      <c r="A12279" s="199">
        <v>45845</v>
      </c>
      <c r="B12279" s="202" t="s">
        <v>696</v>
      </c>
      <c r="C12279" s="200" t="s">
        <v>307</v>
      </c>
      <c r="D12279" s="204">
        <v>-20000</v>
      </c>
      <c r="E12279" s="201">
        <v>45839</v>
      </c>
      <c r="F12279" s="200" t="s">
        <v>256</v>
      </c>
      <c r="G12279" s="200" t="s">
        <v>256</v>
      </c>
      <c r="H12279" s="200" t="s">
        <v>442</v>
      </c>
      <c r="I12279" s="200" t="s">
        <v>8935</v>
      </c>
    </row>
    <row r="12280" spans="1:9" ht="15" customHeight="1">
      <c r="A12280" s="199">
        <v>45834</v>
      </c>
      <c r="B12280" s="202" t="s">
        <v>8939</v>
      </c>
      <c r="C12280" s="200" t="s">
        <v>307</v>
      </c>
      <c r="D12280" s="204">
        <v>-9400</v>
      </c>
      <c r="E12280" s="201">
        <v>45839</v>
      </c>
      <c r="F12280" s="200" t="s">
        <v>297</v>
      </c>
      <c r="G12280" s="200" t="s">
        <v>71</v>
      </c>
      <c r="H12280" s="200" t="s">
        <v>5384</v>
      </c>
      <c r="I12280" s="200" t="s">
        <v>8935</v>
      </c>
    </row>
    <row r="12281" spans="1:9" ht="15" customHeight="1">
      <c r="A12281" s="199">
        <v>45839</v>
      </c>
      <c r="B12281" s="202" t="s">
        <v>8940</v>
      </c>
      <c r="C12281" s="200" t="s">
        <v>307</v>
      </c>
      <c r="D12281" s="204">
        <v>-79900</v>
      </c>
      <c r="E12281" s="201">
        <v>45839</v>
      </c>
      <c r="F12281" s="200" t="s">
        <v>256</v>
      </c>
      <c r="G12281" s="200" t="s">
        <v>256</v>
      </c>
      <c r="H12281" s="200" t="s">
        <v>263</v>
      </c>
      <c r="I12281" s="200" t="s">
        <v>8935</v>
      </c>
    </row>
    <row r="12282" spans="1:9" ht="15" customHeight="1">
      <c r="A12282" s="199">
        <v>45839</v>
      </c>
      <c r="B12282" s="202" t="s">
        <v>431</v>
      </c>
      <c r="C12282" s="200" t="s">
        <v>307</v>
      </c>
      <c r="D12282" s="204">
        <v>-15200</v>
      </c>
      <c r="E12282" s="201">
        <v>45839</v>
      </c>
      <c r="F12282" s="200" t="s">
        <v>256</v>
      </c>
      <c r="G12282" s="200" t="s">
        <v>256</v>
      </c>
      <c r="H12282" s="200" t="s">
        <v>263</v>
      </c>
      <c r="I12282" s="200" t="s">
        <v>8935</v>
      </c>
    </row>
    <row r="12283" spans="1:9" ht="15" customHeight="1">
      <c r="A12283" s="199">
        <v>45839</v>
      </c>
      <c r="B12283" s="202" t="s">
        <v>8941</v>
      </c>
      <c r="C12283" s="200" t="s">
        <v>307</v>
      </c>
      <c r="D12283" s="204">
        <v>-33200</v>
      </c>
      <c r="E12283" s="201">
        <v>45839</v>
      </c>
      <c r="F12283" s="200" t="s">
        <v>297</v>
      </c>
      <c r="G12283" s="200" t="s">
        <v>71</v>
      </c>
      <c r="H12283" s="200" t="s">
        <v>5384</v>
      </c>
      <c r="I12283" s="200" t="s">
        <v>8935</v>
      </c>
    </row>
    <row r="12284" spans="1:9" ht="15" customHeight="1">
      <c r="A12284" s="199">
        <v>45839</v>
      </c>
      <c r="B12284" s="202" t="s">
        <v>8942</v>
      </c>
      <c r="C12284" s="200" t="s">
        <v>307</v>
      </c>
      <c r="D12284" s="204">
        <v>-18000</v>
      </c>
      <c r="E12284" s="201">
        <v>45839</v>
      </c>
      <c r="F12284" s="200" t="s">
        <v>256</v>
      </c>
      <c r="G12284" s="200" t="s">
        <v>256</v>
      </c>
      <c r="H12284" s="200" t="s">
        <v>9</v>
      </c>
      <c r="I12284" s="200" t="s">
        <v>8935</v>
      </c>
    </row>
    <row r="12285" spans="1:9" ht="15" customHeight="1">
      <c r="A12285" s="199">
        <v>45840</v>
      </c>
      <c r="B12285" s="202" t="s">
        <v>8943</v>
      </c>
      <c r="C12285" s="200" t="s">
        <v>307</v>
      </c>
      <c r="D12285" s="204">
        <v>-7000</v>
      </c>
      <c r="E12285" s="201">
        <v>45839</v>
      </c>
      <c r="F12285" s="200" t="s">
        <v>297</v>
      </c>
      <c r="G12285" s="200" t="s">
        <v>69</v>
      </c>
      <c r="H12285" s="200" t="s">
        <v>5384</v>
      </c>
      <c r="I12285" s="200" t="s">
        <v>8935</v>
      </c>
    </row>
    <row r="12286" spans="1:9" ht="15" customHeight="1">
      <c r="A12286" s="199">
        <v>45840</v>
      </c>
      <c r="B12286" s="202" t="s">
        <v>431</v>
      </c>
      <c r="C12286" s="200" t="s">
        <v>307</v>
      </c>
      <c r="D12286" s="204">
        <v>-15200</v>
      </c>
      <c r="E12286" s="201">
        <v>45839</v>
      </c>
      <c r="F12286" s="200" t="s">
        <v>297</v>
      </c>
      <c r="G12286" s="200" t="s">
        <v>69</v>
      </c>
      <c r="H12286" s="200" t="s">
        <v>342</v>
      </c>
      <c r="I12286" s="200" t="s">
        <v>8935</v>
      </c>
    </row>
    <row r="12287" spans="1:9" ht="15" customHeight="1">
      <c r="A12287" s="199">
        <v>45841</v>
      </c>
      <c r="B12287" s="202" t="s">
        <v>8944</v>
      </c>
      <c r="C12287" s="200" t="s">
        <v>307</v>
      </c>
      <c r="D12287" s="204">
        <v>-110000</v>
      </c>
      <c r="E12287" s="201">
        <v>45839</v>
      </c>
      <c r="F12287" s="200" t="s">
        <v>297</v>
      </c>
      <c r="G12287" s="200" t="s">
        <v>71</v>
      </c>
      <c r="H12287" s="200" t="s">
        <v>5384</v>
      </c>
      <c r="I12287" s="200" t="s">
        <v>8935</v>
      </c>
    </row>
    <row r="12288" spans="1:9" ht="15" customHeight="1">
      <c r="A12288" s="199">
        <v>45842</v>
      </c>
      <c r="B12288" s="202" t="s">
        <v>8945</v>
      </c>
      <c r="C12288" s="200" t="s">
        <v>307</v>
      </c>
      <c r="D12288" s="204">
        <v>-34000</v>
      </c>
      <c r="E12288" s="201">
        <v>45839</v>
      </c>
      <c r="F12288" s="200" t="s">
        <v>297</v>
      </c>
      <c r="G12288" s="200" t="s">
        <v>71</v>
      </c>
      <c r="H12288" s="200" t="s">
        <v>379</v>
      </c>
      <c r="I12288" s="200" t="s">
        <v>8935</v>
      </c>
    </row>
    <row r="12289" spans="1:9" ht="15" customHeight="1">
      <c r="A12289" s="199">
        <v>45842</v>
      </c>
      <c r="B12289" s="202" t="s">
        <v>8946</v>
      </c>
      <c r="C12289" s="200" t="s">
        <v>307</v>
      </c>
      <c r="D12289" s="204">
        <v>-10000</v>
      </c>
      <c r="E12289" s="201">
        <v>45839</v>
      </c>
      <c r="F12289" s="200" t="s">
        <v>297</v>
      </c>
      <c r="G12289" s="200" t="s">
        <v>71</v>
      </c>
      <c r="H12289" s="200" t="s">
        <v>346</v>
      </c>
      <c r="I12289" s="200" t="s">
        <v>8935</v>
      </c>
    </row>
    <row r="12290" spans="1:9" ht="15" customHeight="1">
      <c r="A12290" s="199">
        <v>45842</v>
      </c>
      <c r="B12290" s="202" t="s">
        <v>8947</v>
      </c>
      <c r="C12290" s="200" t="s">
        <v>307</v>
      </c>
      <c r="D12290" s="204">
        <v>-14338.31</v>
      </c>
      <c r="E12290" s="201">
        <v>45839</v>
      </c>
      <c r="F12290" s="200" t="s">
        <v>296</v>
      </c>
      <c r="G12290" s="200" t="s">
        <v>415</v>
      </c>
      <c r="H12290" s="200" t="s">
        <v>5384</v>
      </c>
      <c r="I12290" s="200" t="s">
        <v>8935</v>
      </c>
    </row>
    <row r="12291" spans="1:9" ht="15" customHeight="1">
      <c r="A12291" s="199">
        <v>45845</v>
      </c>
      <c r="B12291" s="202" t="s">
        <v>8323</v>
      </c>
      <c r="C12291" s="200" t="s">
        <v>307</v>
      </c>
      <c r="D12291" s="204">
        <v>-18000</v>
      </c>
      <c r="E12291" s="201">
        <v>45839</v>
      </c>
      <c r="F12291" s="200" t="s">
        <v>256</v>
      </c>
      <c r="G12291" s="200" t="s">
        <v>256</v>
      </c>
      <c r="H12291" s="200" t="s">
        <v>9</v>
      </c>
      <c r="I12291" s="200" t="s">
        <v>8935</v>
      </c>
    </row>
    <row r="12292" spans="1:9" ht="15" customHeight="1">
      <c r="A12292" s="199">
        <v>45845</v>
      </c>
      <c r="B12292" s="202" t="s">
        <v>8948</v>
      </c>
      <c r="C12292" s="200" t="s">
        <v>307</v>
      </c>
      <c r="D12292" s="204">
        <v>-12000</v>
      </c>
      <c r="E12292" s="201">
        <v>45839</v>
      </c>
      <c r="F12292" s="200" t="s">
        <v>256</v>
      </c>
      <c r="G12292" s="200" t="s">
        <v>256</v>
      </c>
      <c r="H12292" s="200" t="s">
        <v>9</v>
      </c>
      <c r="I12292" s="200" t="s">
        <v>8935</v>
      </c>
    </row>
    <row r="12293" spans="1:9" ht="15" customHeight="1">
      <c r="A12293" s="199">
        <v>45848</v>
      </c>
      <c r="B12293" s="202" t="s">
        <v>8949</v>
      </c>
      <c r="C12293" s="200" t="s">
        <v>307</v>
      </c>
      <c r="D12293" s="204">
        <v>-40000</v>
      </c>
      <c r="E12293" s="201">
        <v>45839</v>
      </c>
      <c r="F12293" s="200" t="s">
        <v>256</v>
      </c>
      <c r="G12293" s="200" t="s">
        <v>256</v>
      </c>
      <c r="H12293" s="200" t="s">
        <v>9</v>
      </c>
    </row>
    <row r="12294" spans="1:9" ht="15" customHeight="1">
      <c r="A12294" s="199">
        <v>45845</v>
      </c>
      <c r="B12294" s="202" t="s">
        <v>4394</v>
      </c>
      <c r="C12294" s="200" t="s">
        <v>307</v>
      </c>
      <c r="D12294" s="204">
        <v>-61264</v>
      </c>
      <c r="E12294" s="201">
        <v>45839</v>
      </c>
      <c r="F12294" s="200" t="s">
        <v>297</v>
      </c>
      <c r="G12294" s="200" t="s">
        <v>71</v>
      </c>
      <c r="H12294" s="200" t="s">
        <v>268</v>
      </c>
    </row>
    <row r="12295" spans="1:9" ht="15" customHeight="1">
      <c r="A12295" s="199">
        <v>45845</v>
      </c>
      <c r="B12295" s="202" t="s">
        <v>4394</v>
      </c>
      <c r="C12295" s="200" t="s">
        <v>307</v>
      </c>
      <c r="D12295" s="204">
        <v>-29000</v>
      </c>
      <c r="E12295" s="201">
        <v>45839</v>
      </c>
      <c r="F12295" s="200" t="s">
        <v>296</v>
      </c>
      <c r="G12295" s="200" t="s">
        <v>2418</v>
      </c>
      <c r="H12295" s="200" t="s">
        <v>268</v>
      </c>
      <c r="I12295" s="648" t="s">
        <v>329</v>
      </c>
    </row>
    <row r="12296" spans="1:9" ht="15" customHeight="1">
      <c r="A12296" s="199">
        <v>45845</v>
      </c>
      <c r="B12296" s="202" t="s">
        <v>4394</v>
      </c>
      <c r="C12296" s="200" t="s">
        <v>307</v>
      </c>
      <c r="D12296" s="204">
        <v>-14000</v>
      </c>
      <c r="E12296" s="201">
        <v>45839</v>
      </c>
      <c r="F12296" s="200" t="s">
        <v>10</v>
      </c>
      <c r="G12296" s="200" t="s">
        <v>10</v>
      </c>
      <c r="H12296" s="200" t="s">
        <v>268</v>
      </c>
      <c r="I12296" s="200" t="s">
        <v>8886</v>
      </c>
    </row>
    <row r="12297" spans="1:9" ht="15" customHeight="1">
      <c r="A12297" s="199">
        <v>45845</v>
      </c>
      <c r="B12297" s="202" t="s">
        <v>4394</v>
      </c>
      <c r="C12297" s="200" t="s">
        <v>307</v>
      </c>
      <c r="D12297" s="204">
        <v>-43000</v>
      </c>
      <c r="E12297" s="201">
        <v>45839</v>
      </c>
      <c r="F12297" s="200" t="s">
        <v>256</v>
      </c>
      <c r="G12297" s="200" t="s">
        <v>256</v>
      </c>
      <c r="H12297" s="200" t="s">
        <v>268</v>
      </c>
    </row>
    <row r="12298" spans="1:9" ht="15" customHeight="1">
      <c r="A12298" s="199">
        <v>45845</v>
      </c>
      <c r="B12298" s="202" t="s">
        <v>4394</v>
      </c>
      <c r="C12298" s="200" t="s">
        <v>307</v>
      </c>
      <c r="D12298" s="204">
        <v>-14000</v>
      </c>
      <c r="E12298" s="201">
        <v>45839</v>
      </c>
      <c r="F12298" s="200" t="s">
        <v>297</v>
      </c>
      <c r="G12298" s="200" t="s">
        <v>69</v>
      </c>
      <c r="H12298" s="200" t="s">
        <v>268</v>
      </c>
      <c r="I12298" s="648" t="s">
        <v>329</v>
      </c>
    </row>
    <row r="12299" spans="1:9" ht="15" customHeight="1">
      <c r="A12299" s="199">
        <v>45845</v>
      </c>
      <c r="B12299" s="202" t="s">
        <v>4394</v>
      </c>
      <c r="C12299" s="200" t="s">
        <v>307</v>
      </c>
      <c r="D12299" s="204">
        <v>-7000</v>
      </c>
      <c r="E12299" s="201">
        <v>45839</v>
      </c>
      <c r="F12299" s="200" t="s">
        <v>296</v>
      </c>
      <c r="G12299" s="200" t="s">
        <v>415</v>
      </c>
      <c r="H12299" s="200" t="s">
        <v>268</v>
      </c>
      <c r="I12299" s="648" t="s">
        <v>329</v>
      </c>
    </row>
    <row r="12300" spans="1:9" ht="15" customHeight="1">
      <c r="A12300" s="199">
        <v>45845</v>
      </c>
      <c r="B12300" s="202" t="s">
        <v>4395</v>
      </c>
      <c r="C12300" s="200" t="s">
        <v>372</v>
      </c>
      <c r="D12300" s="204">
        <v>-1710</v>
      </c>
      <c r="E12300" s="201">
        <v>45839</v>
      </c>
      <c r="F12300" s="200" t="s">
        <v>297</v>
      </c>
      <c r="G12300" s="200" t="s">
        <v>71</v>
      </c>
      <c r="H12300" s="200" t="s">
        <v>268</v>
      </c>
    </row>
    <row r="12301" spans="1:9" ht="15" customHeight="1">
      <c r="A12301" s="199">
        <v>45845</v>
      </c>
      <c r="B12301" s="202" t="s">
        <v>4396</v>
      </c>
      <c r="C12301" s="200" t="s">
        <v>372</v>
      </c>
      <c r="D12301" s="204">
        <v>-1026</v>
      </c>
      <c r="E12301" s="201">
        <v>45839</v>
      </c>
      <c r="F12301" s="200" t="s">
        <v>297</v>
      </c>
      <c r="G12301" s="200" t="s">
        <v>71</v>
      </c>
      <c r="H12301" s="200" t="s">
        <v>268</v>
      </c>
    </row>
    <row r="12302" spans="1:9" ht="15" customHeight="1">
      <c r="A12302" s="199">
        <v>45847</v>
      </c>
      <c r="B12302" s="202" t="s">
        <v>8950</v>
      </c>
      <c r="C12302" s="200" t="s">
        <v>204</v>
      </c>
      <c r="D12302" s="896">
        <v>-299730455.60000002</v>
      </c>
      <c r="E12302" s="201">
        <v>45839</v>
      </c>
      <c r="F12302" s="200" t="s">
        <v>296</v>
      </c>
      <c r="G12302" s="200" t="s">
        <v>4520</v>
      </c>
      <c r="H12302" s="200" t="s">
        <v>3205</v>
      </c>
      <c r="I12302" s="648" t="s">
        <v>329</v>
      </c>
    </row>
    <row r="12303" spans="1:9" ht="15" customHeight="1">
      <c r="A12303" s="199">
        <v>45847</v>
      </c>
      <c r="B12303" s="202" t="s">
        <v>8950</v>
      </c>
      <c r="C12303" s="200" t="s">
        <v>204</v>
      </c>
      <c r="D12303" s="896">
        <v>-599460910</v>
      </c>
      <c r="E12303" s="201">
        <v>45839</v>
      </c>
      <c r="F12303" s="200" t="s">
        <v>296</v>
      </c>
      <c r="G12303" s="200" t="s">
        <v>6135</v>
      </c>
      <c r="H12303" s="200" t="s">
        <v>3205</v>
      </c>
    </row>
    <row r="12304" spans="1:9" ht="15" customHeight="1">
      <c r="A12304" s="199">
        <v>45847</v>
      </c>
      <c r="B12304" s="202" t="s">
        <v>8950</v>
      </c>
      <c r="C12304" s="200" t="s">
        <v>204</v>
      </c>
      <c r="D12304" s="896">
        <v>-299730455</v>
      </c>
      <c r="E12304" s="201">
        <v>45839</v>
      </c>
      <c r="F12304" s="200" t="s">
        <v>296</v>
      </c>
      <c r="G12304" s="200" t="s">
        <v>4577</v>
      </c>
      <c r="H12304" s="200" t="s">
        <v>3205</v>
      </c>
      <c r="I12304" s="648" t="s">
        <v>329</v>
      </c>
    </row>
    <row r="12305" spans="1:9" ht="15" customHeight="1">
      <c r="A12305" s="199">
        <v>45847</v>
      </c>
      <c r="B12305" s="202" t="s">
        <v>8950</v>
      </c>
      <c r="C12305" s="200" t="s">
        <v>204</v>
      </c>
      <c r="D12305" s="896">
        <v>-299826943</v>
      </c>
      <c r="E12305" s="201">
        <v>45839</v>
      </c>
      <c r="F12305" s="200" t="s">
        <v>296</v>
      </c>
      <c r="G12305" s="200" t="s">
        <v>8183</v>
      </c>
      <c r="H12305" s="200" t="s">
        <v>3205</v>
      </c>
    </row>
    <row r="12306" spans="1:9" ht="15" customHeight="1">
      <c r="A12306" s="199">
        <v>45847</v>
      </c>
      <c r="B12306" s="202" t="s">
        <v>8951</v>
      </c>
      <c r="C12306" s="200" t="s">
        <v>136</v>
      </c>
      <c r="D12306" s="896">
        <v>-613230</v>
      </c>
      <c r="E12306" s="201">
        <v>45839</v>
      </c>
      <c r="F12306" s="200" t="s">
        <v>256</v>
      </c>
      <c r="G12306" s="200" t="s">
        <v>256</v>
      </c>
      <c r="H12306" s="200" t="s">
        <v>269</v>
      </c>
    </row>
    <row r="12307" spans="1:9" ht="15" customHeight="1">
      <c r="A12307" s="199">
        <v>45849</v>
      </c>
      <c r="B12307" s="202" t="s">
        <v>8952</v>
      </c>
      <c r="C12307" s="200" t="s">
        <v>307</v>
      </c>
      <c r="D12307" s="204">
        <v>-28000</v>
      </c>
      <c r="E12307" s="201">
        <v>45839</v>
      </c>
      <c r="F12307" s="200" t="s">
        <v>256</v>
      </c>
      <c r="G12307" s="200" t="s">
        <v>256</v>
      </c>
      <c r="H12307" s="200" t="s">
        <v>268</v>
      </c>
    </row>
    <row r="12308" spans="1:9" ht="15" customHeight="1">
      <c r="A12308" s="199">
        <v>45847</v>
      </c>
      <c r="B12308" s="202" t="s">
        <v>8953</v>
      </c>
      <c r="C12308" s="200" t="s">
        <v>204</v>
      </c>
      <c r="D12308" s="896">
        <v>-19113312</v>
      </c>
      <c r="E12308" s="201">
        <v>45839</v>
      </c>
      <c r="F12308" s="200" t="s">
        <v>315</v>
      </c>
    </row>
    <row r="12309" spans="1:9" ht="15" customHeight="1">
      <c r="A12309" s="199">
        <v>45842</v>
      </c>
      <c r="B12309" s="202" t="s">
        <v>8954</v>
      </c>
      <c r="C12309" s="200" t="s">
        <v>204</v>
      </c>
      <c r="D12309" s="204">
        <v>2299080</v>
      </c>
      <c r="E12309" s="201">
        <v>45839</v>
      </c>
      <c r="F12309" s="200" t="s">
        <v>10</v>
      </c>
      <c r="G12309" s="200" t="s">
        <v>10</v>
      </c>
    </row>
    <row r="12310" spans="1:9" ht="15" customHeight="1">
      <c r="A12310" s="199">
        <v>45846</v>
      </c>
      <c r="B12310" s="202" t="s">
        <v>8955</v>
      </c>
      <c r="C12310" s="200" t="s">
        <v>204</v>
      </c>
      <c r="D12310" s="204">
        <v>699000</v>
      </c>
      <c r="E12310" s="201">
        <v>45839</v>
      </c>
      <c r="F12310" s="200" t="s">
        <v>2714</v>
      </c>
      <c r="G12310" s="200" t="s">
        <v>1983</v>
      </c>
    </row>
    <row r="12311" spans="1:9" ht="15" customHeight="1">
      <c r="A12311" s="199">
        <v>45846</v>
      </c>
      <c r="B12311" s="202" t="s">
        <v>3844</v>
      </c>
      <c r="C12311" s="200" t="s">
        <v>204</v>
      </c>
      <c r="D12311" s="204">
        <v>800000000</v>
      </c>
      <c r="E12311" s="201">
        <v>45839</v>
      </c>
      <c r="F12311" s="200" t="s">
        <v>652</v>
      </c>
      <c r="G12311" s="200" t="s">
        <v>807</v>
      </c>
    </row>
    <row r="12312" spans="1:9" ht="15" customHeight="1">
      <c r="A12312" s="199">
        <v>45846</v>
      </c>
      <c r="B12312" s="202" t="s">
        <v>3845</v>
      </c>
      <c r="C12312" s="200" t="s">
        <v>204</v>
      </c>
      <c r="D12312" s="204">
        <v>100000000</v>
      </c>
      <c r="E12312" s="201">
        <v>45839</v>
      </c>
      <c r="F12312" s="200" t="s">
        <v>652</v>
      </c>
      <c r="G12312" s="200" t="s">
        <v>1983</v>
      </c>
    </row>
    <row r="12313" spans="1:9" ht="15" customHeight="1">
      <c r="A12313" s="199">
        <v>45846</v>
      </c>
      <c r="B12313" s="202" t="s">
        <v>2783</v>
      </c>
      <c r="C12313" s="200" t="s">
        <v>204</v>
      </c>
      <c r="D12313" s="204">
        <v>100000000</v>
      </c>
      <c r="E12313" s="201">
        <v>45839</v>
      </c>
      <c r="F12313" s="200" t="s">
        <v>652</v>
      </c>
      <c r="G12313" s="200" t="s">
        <v>1980</v>
      </c>
    </row>
    <row r="12314" spans="1:9" ht="15" customHeight="1">
      <c r="A12314" s="199">
        <v>45846</v>
      </c>
      <c r="B12314" s="202" t="s">
        <v>8740</v>
      </c>
      <c r="C12314" s="200" t="s">
        <v>204</v>
      </c>
      <c r="D12314" s="204">
        <v>1300000000</v>
      </c>
      <c r="E12314" s="201">
        <v>45839</v>
      </c>
      <c r="F12314" s="200" t="s">
        <v>652</v>
      </c>
      <c r="G12314" s="200" t="s">
        <v>6135</v>
      </c>
    </row>
    <row r="12315" spans="1:9" ht="15" customHeight="1">
      <c r="A12315" s="199">
        <v>45847</v>
      </c>
      <c r="B12315" s="202" t="s">
        <v>8956</v>
      </c>
      <c r="C12315" s="200" t="s">
        <v>204</v>
      </c>
      <c r="D12315" s="204">
        <v>3398943</v>
      </c>
      <c r="E12315" s="201">
        <v>45839</v>
      </c>
      <c r="F12315" s="200" t="s">
        <v>295</v>
      </c>
    </row>
    <row r="12316" spans="1:9" ht="15" customHeight="1">
      <c r="A12316" s="199">
        <v>45848</v>
      </c>
      <c r="B12316" s="202" t="s">
        <v>8957</v>
      </c>
      <c r="C12316" s="200" t="s">
        <v>204</v>
      </c>
      <c r="D12316" s="204">
        <v>4060640</v>
      </c>
      <c r="E12316" s="201">
        <v>45839</v>
      </c>
      <c r="F12316" s="200" t="s">
        <v>10</v>
      </c>
      <c r="G12316" s="200" t="s">
        <v>10</v>
      </c>
    </row>
    <row r="12317" spans="1:9" ht="15" customHeight="1">
      <c r="A12317" s="199">
        <v>45817</v>
      </c>
      <c r="B12317" s="202" t="s">
        <v>8958</v>
      </c>
      <c r="C12317" s="200" t="s">
        <v>307</v>
      </c>
      <c r="D12317" s="204">
        <v>-7100</v>
      </c>
      <c r="E12317" s="201">
        <v>45839</v>
      </c>
      <c r="F12317" s="200" t="s">
        <v>296</v>
      </c>
      <c r="G12317" s="200" t="s">
        <v>57</v>
      </c>
      <c r="H12317" s="200" t="s">
        <v>105</v>
      </c>
      <c r="I12317" s="200" t="s">
        <v>2180</v>
      </c>
    </row>
    <row r="12318" spans="1:9" ht="15" customHeight="1">
      <c r="A12318" s="199">
        <v>45817</v>
      </c>
      <c r="B12318" s="202" t="s">
        <v>2179</v>
      </c>
      <c r="C12318" s="200" t="s">
        <v>307</v>
      </c>
      <c r="D12318" s="204">
        <v>-13000</v>
      </c>
      <c r="E12318" s="201">
        <v>45839</v>
      </c>
      <c r="F12318" s="200" t="s">
        <v>296</v>
      </c>
      <c r="G12318" s="200" t="s">
        <v>57</v>
      </c>
      <c r="H12318" s="200" t="s">
        <v>105</v>
      </c>
      <c r="I12318" s="200" t="s">
        <v>2180</v>
      </c>
    </row>
    <row r="12319" spans="1:9" ht="15" customHeight="1">
      <c r="A12319" s="199">
        <v>45817</v>
      </c>
      <c r="B12319" s="202" t="s">
        <v>2181</v>
      </c>
      <c r="C12319" s="200" t="s">
        <v>307</v>
      </c>
      <c r="D12319" s="204">
        <v>-28900</v>
      </c>
      <c r="E12319" s="201">
        <v>45839</v>
      </c>
      <c r="F12319" s="200" t="s">
        <v>296</v>
      </c>
      <c r="G12319" s="200" t="s">
        <v>57</v>
      </c>
      <c r="H12319" s="200" t="s">
        <v>105</v>
      </c>
      <c r="I12319" s="200" t="s">
        <v>2180</v>
      </c>
    </row>
    <row r="12320" spans="1:9" ht="15" customHeight="1">
      <c r="A12320" s="199">
        <v>45817</v>
      </c>
      <c r="B12320" s="202" t="s">
        <v>2182</v>
      </c>
      <c r="C12320" s="200" t="s">
        <v>307</v>
      </c>
      <c r="D12320" s="204">
        <v>-20000</v>
      </c>
      <c r="E12320" s="201">
        <v>45839</v>
      </c>
      <c r="F12320" s="200" t="s">
        <v>296</v>
      </c>
      <c r="G12320" s="200" t="s">
        <v>57</v>
      </c>
      <c r="H12320" s="200" t="s">
        <v>105</v>
      </c>
      <c r="I12320" s="200" t="s">
        <v>2180</v>
      </c>
    </row>
    <row r="12321" spans="1:9" ht="15" customHeight="1">
      <c r="A12321" s="199">
        <v>45817</v>
      </c>
      <c r="B12321" s="202" t="s">
        <v>2183</v>
      </c>
      <c r="C12321" s="200" t="s">
        <v>307</v>
      </c>
      <c r="D12321" s="204">
        <v>-30000</v>
      </c>
      <c r="E12321" s="201">
        <v>45839</v>
      </c>
      <c r="F12321" s="200" t="s">
        <v>296</v>
      </c>
      <c r="G12321" s="200" t="s">
        <v>57</v>
      </c>
      <c r="H12321" s="200" t="s">
        <v>105</v>
      </c>
      <c r="I12321" s="200" t="s">
        <v>2180</v>
      </c>
    </row>
    <row r="12322" spans="1:9" ht="15" customHeight="1">
      <c r="A12322" s="199">
        <v>45819</v>
      </c>
      <c r="B12322" s="202" t="s">
        <v>8959</v>
      </c>
      <c r="C12322" s="200" t="s">
        <v>307</v>
      </c>
      <c r="D12322" s="204">
        <v>-4100</v>
      </c>
      <c r="E12322" s="201">
        <v>45839</v>
      </c>
      <c r="F12322" s="200" t="s">
        <v>296</v>
      </c>
      <c r="G12322" s="200" t="s">
        <v>57</v>
      </c>
      <c r="H12322" s="200" t="s">
        <v>105</v>
      </c>
      <c r="I12322" s="200" t="s">
        <v>2180</v>
      </c>
    </row>
    <row r="12323" spans="1:9" ht="15" customHeight="1">
      <c r="A12323" s="199">
        <v>45819</v>
      </c>
      <c r="B12323" s="202" t="s">
        <v>8960</v>
      </c>
      <c r="C12323" s="200" t="s">
        <v>307</v>
      </c>
      <c r="D12323" s="204">
        <v>-18000</v>
      </c>
      <c r="E12323" s="201">
        <v>45839</v>
      </c>
      <c r="F12323" s="200" t="s">
        <v>296</v>
      </c>
      <c r="G12323" s="200" t="s">
        <v>57</v>
      </c>
      <c r="H12323" s="200" t="s">
        <v>105</v>
      </c>
      <c r="I12323" s="200" t="s">
        <v>2180</v>
      </c>
    </row>
    <row r="12324" spans="1:9" ht="15" customHeight="1">
      <c r="A12324" s="199">
        <v>45820</v>
      </c>
      <c r="B12324" s="202" t="s">
        <v>8961</v>
      </c>
      <c r="C12324" s="200" t="s">
        <v>307</v>
      </c>
      <c r="D12324" s="204">
        <v>-11550</v>
      </c>
      <c r="E12324" s="201">
        <v>45839</v>
      </c>
      <c r="F12324" s="200" t="s">
        <v>296</v>
      </c>
      <c r="G12324" s="200" t="s">
        <v>57</v>
      </c>
      <c r="H12324" s="200" t="s">
        <v>105</v>
      </c>
      <c r="I12324" s="200" t="s">
        <v>2180</v>
      </c>
    </row>
    <row r="12325" spans="1:9" ht="15" customHeight="1">
      <c r="A12325" s="199">
        <v>45820</v>
      </c>
      <c r="B12325" s="202" t="s">
        <v>2186</v>
      </c>
      <c r="C12325" s="200" t="s">
        <v>307</v>
      </c>
      <c r="D12325" s="204">
        <v>-18000</v>
      </c>
      <c r="E12325" s="201">
        <v>45839</v>
      </c>
      <c r="F12325" s="200" t="s">
        <v>296</v>
      </c>
      <c r="G12325" s="200" t="s">
        <v>57</v>
      </c>
      <c r="H12325" s="200" t="s">
        <v>105</v>
      </c>
      <c r="I12325" s="200" t="s">
        <v>2180</v>
      </c>
    </row>
    <row r="12326" spans="1:9" ht="15" customHeight="1">
      <c r="A12326" s="199">
        <v>45820</v>
      </c>
      <c r="B12326" s="202" t="s">
        <v>8962</v>
      </c>
      <c r="C12326" s="200" t="s">
        <v>307</v>
      </c>
      <c r="D12326" s="204">
        <v>-20000</v>
      </c>
      <c r="E12326" s="201">
        <v>45839</v>
      </c>
      <c r="F12326" s="200" t="s">
        <v>296</v>
      </c>
      <c r="G12326" s="200" t="s">
        <v>57</v>
      </c>
      <c r="H12326" s="200" t="s">
        <v>105</v>
      </c>
      <c r="I12326" s="200" t="s">
        <v>2180</v>
      </c>
    </row>
    <row r="12327" spans="1:9" ht="15" customHeight="1">
      <c r="A12327" s="199">
        <v>45820</v>
      </c>
      <c r="B12327" s="202" t="s">
        <v>8963</v>
      </c>
      <c r="C12327" s="200" t="s">
        <v>307</v>
      </c>
      <c r="D12327" s="204">
        <v>-8000</v>
      </c>
      <c r="E12327" s="201">
        <v>45839</v>
      </c>
      <c r="F12327" s="200" t="s">
        <v>296</v>
      </c>
      <c r="G12327" s="200" t="s">
        <v>57</v>
      </c>
      <c r="H12327" s="200" t="s">
        <v>105</v>
      </c>
      <c r="I12327" s="200" t="s">
        <v>2180</v>
      </c>
    </row>
    <row r="12328" spans="1:9" ht="15" customHeight="1">
      <c r="A12328" s="199">
        <v>45820</v>
      </c>
      <c r="B12328" s="202" t="s">
        <v>8964</v>
      </c>
      <c r="C12328" s="200" t="s">
        <v>307</v>
      </c>
      <c r="D12328" s="204">
        <v>-13000</v>
      </c>
      <c r="E12328" s="201">
        <v>45839</v>
      </c>
      <c r="F12328" s="200" t="s">
        <v>296</v>
      </c>
      <c r="G12328" s="200" t="s">
        <v>57</v>
      </c>
      <c r="H12328" s="200" t="s">
        <v>105</v>
      </c>
      <c r="I12328" s="200" t="s">
        <v>2180</v>
      </c>
    </row>
    <row r="12329" spans="1:9" ht="15" customHeight="1">
      <c r="A12329" s="199">
        <v>45820</v>
      </c>
      <c r="B12329" s="202" t="s">
        <v>8965</v>
      </c>
      <c r="C12329" s="200" t="s">
        <v>307</v>
      </c>
      <c r="D12329" s="204">
        <v>-8350</v>
      </c>
      <c r="E12329" s="201">
        <v>45839</v>
      </c>
      <c r="F12329" s="200" t="s">
        <v>296</v>
      </c>
      <c r="G12329" s="200" t="s">
        <v>57</v>
      </c>
      <c r="H12329" s="200" t="s">
        <v>105</v>
      </c>
      <c r="I12329" s="200" t="s">
        <v>2180</v>
      </c>
    </row>
    <row r="12330" spans="1:9" ht="15" customHeight="1">
      <c r="A12330" s="199">
        <v>45846</v>
      </c>
      <c r="B12330" s="202" t="s">
        <v>8966</v>
      </c>
      <c r="C12330" s="200" t="s">
        <v>136</v>
      </c>
      <c r="D12330" s="204">
        <v>1330720</v>
      </c>
      <c r="E12330" s="201">
        <v>45839</v>
      </c>
      <c r="F12330" s="200" t="s">
        <v>295</v>
      </c>
    </row>
    <row r="12331" spans="1:9" ht="15" customHeight="1">
      <c r="A12331" s="199">
        <v>45846</v>
      </c>
      <c r="B12331" s="202" t="s">
        <v>8966</v>
      </c>
      <c r="C12331" s="200" t="s">
        <v>136</v>
      </c>
      <c r="D12331" s="204">
        <v>489322</v>
      </c>
      <c r="E12331" s="201">
        <v>45839</v>
      </c>
      <c r="F12331" s="200" t="s">
        <v>295</v>
      </c>
    </row>
    <row r="12332" spans="1:9" ht="15" customHeight="1">
      <c r="A12332" s="199">
        <v>45847</v>
      </c>
      <c r="B12332" s="202" t="s">
        <v>8966</v>
      </c>
      <c r="C12332" s="200" t="s">
        <v>136</v>
      </c>
      <c r="D12332" s="204">
        <v>1335115</v>
      </c>
      <c r="E12332" s="201">
        <v>45839</v>
      </c>
      <c r="F12332" s="200" t="s">
        <v>295</v>
      </c>
    </row>
    <row r="12333" spans="1:9" ht="15" customHeight="1">
      <c r="A12333" s="199">
        <v>45849</v>
      </c>
      <c r="B12333" s="202" t="s">
        <v>8967</v>
      </c>
      <c r="C12333" s="200" t="s">
        <v>136</v>
      </c>
      <c r="D12333" s="204">
        <v>7762864</v>
      </c>
      <c r="E12333" s="201">
        <v>45839</v>
      </c>
      <c r="F12333" s="200" t="s">
        <v>295</v>
      </c>
    </row>
    <row r="12334" spans="1:9" ht="15" customHeight="1">
      <c r="A12334" s="199">
        <v>45846</v>
      </c>
      <c r="B12334" s="202" t="s">
        <v>1521</v>
      </c>
      <c r="C12334" s="200" t="s">
        <v>307</v>
      </c>
      <c r="D12334" s="204">
        <v>-34024</v>
      </c>
      <c r="E12334" s="201">
        <v>45839</v>
      </c>
      <c r="F12334" s="200" t="s">
        <v>296</v>
      </c>
      <c r="G12334" s="200" t="s">
        <v>522</v>
      </c>
      <c r="H12334" s="200" t="s">
        <v>442</v>
      </c>
      <c r="I12334" s="200" t="s">
        <v>1000</v>
      </c>
    </row>
    <row r="12335" spans="1:9" ht="15" customHeight="1">
      <c r="A12335" s="199">
        <v>45835</v>
      </c>
      <c r="B12335" s="202" t="s">
        <v>1521</v>
      </c>
      <c r="C12335" s="200" t="s">
        <v>307</v>
      </c>
      <c r="D12335" s="204">
        <v>-36019</v>
      </c>
      <c r="E12335" s="201">
        <v>45839</v>
      </c>
      <c r="F12335" s="200" t="s">
        <v>296</v>
      </c>
      <c r="G12335" s="200" t="s">
        <v>44</v>
      </c>
      <c r="H12335" s="200" t="s">
        <v>442</v>
      </c>
      <c r="I12335" s="200" t="s">
        <v>1000</v>
      </c>
    </row>
    <row r="12336" spans="1:9" ht="15" customHeight="1">
      <c r="A12336" s="199">
        <v>45841</v>
      </c>
      <c r="B12336" s="202" t="s">
        <v>7029</v>
      </c>
      <c r="C12336" s="200" t="s">
        <v>307</v>
      </c>
      <c r="D12336" s="204">
        <v>-10000</v>
      </c>
      <c r="E12336" s="201">
        <v>45839</v>
      </c>
      <c r="F12336" s="200" t="s">
        <v>296</v>
      </c>
      <c r="G12336" s="200" t="s">
        <v>522</v>
      </c>
      <c r="H12336" s="200" t="s">
        <v>326</v>
      </c>
      <c r="I12336" s="200" t="s">
        <v>1000</v>
      </c>
    </row>
    <row r="12337" spans="1:9" ht="15" customHeight="1">
      <c r="A12337" s="199">
        <v>45835</v>
      </c>
      <c r="B12337" s="202" t="s">
        <v>7029</v>
      </c>
      <c r="C12337" s="200" t="s">
        <v>307</v>
      </c>
      <c r="D12337" s="204">
        <v>-10000</v>
      </c>
      <c r="E12337" s="201">
        <v>45839</v>
      </c>
      <c r="F12337" s="200" t="s">
        <v>296</v>
      </c>
      <c r="G12337" s="200" t="s">
        <v>44</v>
      </c>
      <c r="H12337" s="200" t="s">
        <v>326</v>
      </c>
      <c r="I12337" s="200" t="s">
        <v>1000</v>
      </c>
    </row>
    <row r="12338" spans="1:9" ht="15" customHeight="1">
      <c r="A12338" s="199">
        <v>45842</v>
      </c>
      <c r="B12338" s="202" t="s">
        <v>8968</v>
      </c>
      <c r="C12338" s="200" t="s">
        <v>307</v>
      </c>
      <c r="D12338" s="204">
        <v>-3599.79</v>
      </c>
      <c r="E12338" s="201">
        <v>45839</v>
      </c>
      <c r="F12338" s="200" t="s">
        <v>296</v>
      </c>
      <c r="G12338" s="200" t="s">
        <v>44</v>
      </c>
      <c r="H12338" s="200" t="s">
        <v>366</v>
      </c>
      <c r="I12338" s="200" t="s">
        <v>8969</v>
      </c>
    </row>
    <row r="12339" spans="1:9" ht="15" customHeight="1">
      <c r="A12339" s="199">
        <v>45842</v>
      </c>
      <c r="B12339" s="202" t="s">
        <v>8970</v>
      </c>
      <c r="C12339" s="200" t="s">
        <v>307</v>
      </c>
      <c r="D12339" s="204">
        <v>-7200</v>
      </c>
      <c r="E12339" s="201">
        <v>45839</v>
      </c>
      <c r="F12339" s="200" t="s">
        <v>296</v>
      </c>
      <c r="G12339" s="200" t="s">
        <v>522</v>
      </c>
      <c r="H12339" s="200" t="s">
        <v>366</v>
      </c>
      <c r="I12339" s="200" t="s">
        <v>8969</v>
      </c>
    </row>
    <row r="12340" spans="1:9" ht="15" customHeight="1">
      <c r="A12340" s="199">
        <v>45847</v>
      </c>
      <c r="B12340" s="202" t="s">
        <v>8971</v>
      </c>
      <c r="C12340" s="200" t="s">
        <v>307</v>
      </c>
      <c r="D12340" s="204">
        <v>-20000</v>
      </c>
      <c r="E12340" s="201">
        <v>45839</v>
      </c>
      <c r="F12340" s="200" t="s">
        <v>296</v>
      </c>
      <c r="G12340" s="200" t="s">
        <v>44</v>
      </c>
      <c r="H12340" s="200" t="s">
        <v>366</v>
      </c>
      <c r="I12340" s="200" t="s">
        <v>8969</v>
      </c>
    </row>
    <row r="12341" spans="1:9" ht="15" customHeight="1">
      <c r="A12341" s="199">
        <v>45847</v>
      </c>
      <c r="B12341" s="202" t="s">
        <v>8972</v>
      </c>
      <c r="C12341" s="200" t="s">
        <v>307</v>
      </c>
      <c r="D12341" s="204">
        <v>-40000</v>
      </c>
      <c r="E12341" s="201">
        <v>45839</v>
      </c>
      <c r="F12341" s="200" t="s">
        <v>296</v>
      </c>
      <c r="G12341" s="200" t="s">
        <v>522</v>
      </c>
      <c r="H12341" s="200" t="s">
        <v>442</v>
      </c>
      <c r="I12341" s="200" t="s">
        <v>8969</v>
      </c>
    </row>
    <row r="12342" spans="1:9" ht="15" customHeight="1">
      <c r="A12342" s="199">
        <v>45847</v>
      </c>
      <c r="B12342" s="202" t="s">
        <v>4786</v>
      </c>
      <c r="C12342" s="200" t="s">
        <v>307</v>
      </c>
      <c r="D12342" s="204">
        <v>-20000</v>
      </c>
      <c r="E12342" s="201">
        <v>45839</v>
      </c>
      <c r="F12342" s="200" t="s">
        <v>296</v>
      </c>
      <c r="G12342" s="200" t="s">
        <v>44</v>
      </c>
      <c r="H12342" s="200" t="s">
        <v>326</v>
      </c>
      <c r="I12342" s="648" t="s">
        <v>329</v>
      </c>
    </row>
    <row r="12343" spans="1:9" ht="15" customHeight="1">
      <c r="A12343" s="199">
        <v>45848</v>
      </c>
      <c r="B12343" s="202" t="s">
        <v>8973</v>
      </c>
      <c r="C12343" s="200" t="s">
        <v>307</v>
      </c>
      <c r="D12343" s="204">
        <v>-14000</v>
      </c>
      <c r="E12343" s="201">
        <v>45839</v>
      </c>
      <c r="F12343" s="200" t="s">
        <v>296</v>
      </c>
      <c r="G12343" s="200" t="s">
        <v>522</v>
      </c>
      <c r="H12343" s="200" t="s">
        <v>366</v>
      </c>
      <c r="I12343" s="648" t="s">
        <v>329</v>
      </c>
    </row>
    <row r="12344" spans="1:9" ht="15" customHeight="1">
      <c r="A12344" s="199">
        <v>45842</v>
      </c>
      <c r="B12344" s="202" t="s">
        <v>8974</v>
      </c>
      <c r="C12344" s="200" t="s">
        <v>314</v>
      </c>
      <c r="D12344" s="204">
        <v>10686926</v>
      </c>
      <c r="E12344" s="201">
        <v>45839</v>
      </c>
      <c r="F12344" s="200" t="s">
        <v>256</v>
      </c>
      <c r="G12344" s="200" t="s">
        <v>256</v>
      </c>
    </row>
    <row r="12345" spans="1:9" ht="15" customHeight="1">
      <c r="A12345" s="199">
        <v>45842</v>
      </c>
      <c r="B12345" s="202" t="s">
        <v>8974</v>
      </c>
      <c r="C12345" s="200" t="s">
        <v>314</v>
      </c>
      <c r="D12345" s="204">
        <v>12074839</v>
      </c>
      <c r="E12345" s="201">
        <v>45839</v>
      </c>
      <c r="F12345" s="200" t="s">
        <v>256</v>
      </c>
      <c r="G12345" s="200" t="s">
        <v>256</v>
      </c>
    </row>
    <row r="12346" spans="1:9" ht="15" customHeight="1">
      <c r="A12346" s="199">
        <v>45847</v>
      </c>
      <c r="B12346" s="202" t="s">
        <v>8975</v>
      </c>
      <c r="C12346" s="200" t="s">
        <v>314</v>
      </c>
      <c r="D12346" s="204">
        <v>1810546</v>
      </c>
      <c r="E12346" s="201">
        <v>45839</v>
      </c>
      <c r="F12346" s="200" t="s">
        <v>295</v>
      </c>
    </row>
    <row r="12347" spans="1:9" ht="15" customHeight="1">
      <c r="A12347" s="199">
        <v>45847</v>
      </c>
      <c r="B12347" s="202" t="s">
        <v>8976</v>
      </c>
      <c r="C12347" s="200" t="s">
        <v>314</v>
      </c>
      <c r="D12347" s="204">
        <v>840000</v>
      </c>
      <c r="E12347" s="201">
        <v>45839</v>
      </c>
      <c r="F12347" s="200" t="s">
        <v>295</v>
      </c>
    </row>
    <row r="12348" spans="1:9" ht="15" customHeight="1">
      <c r="A12348" s="199">
        <v>45843</v>
      </c>
      <c r="B12348" s="202" t="s">
        <v>8977</v>
      </c>
      <c r="C12348" s="200" t="s">
        <v>398</v>
      </c>
      <c r="D12348" s="204">
        <v>-9657.7099999999991</v>
      </c>
      <c r="E12348" s="201">
        <v>45839</v>
      </c>
      <c r="F12348" s="200" t="s">
        <v>256</v>
      </c>
      <c r="G12348" s="200" t="s">
        <v>107</v>
      </c>
      <c r="H12348" s="200" t="s">
        <v>116</v>
      </c>
    </row>
    <row r="12349" spans="1:9" ht="15" customHeight="1">
      <c r="A12349" s="199">
        <v>45845</v>
      </c>
      <c r="B12349" s="202" t="s">
        <v>8978</v>
      </c>
      <c r="C12349" s="200" t="s">
        <v>398</v>
      </c>
      <c r="D12349" s="204">
        <v>-9657.7099999999991</v>
      </c>
      <c r="E12349" s="201">
        <v>45839</v>
      </c>
      <c r="F12349" s="200" t="s">
        <v>256</v>
      </c>
      <c r="G12349" s="200" t="s">
        <v>107</v>
      </c>
      <c r="H12349" s="200" t="s">
        <v>116</v>
      </c>
    </row>
    <row r="12350" spans="1:9" ht="15" customHeight="1">
      <c r="A12350" s="199">
        <v>45845</v>
      </c>
      <c r="B12350" s="202" t="s">
        <v>8979</v>
      </c>
      <c r="C12350" s="200" t="s">
        <v>398</v>
      </c>
      <c r="D12350" s="204">
        <v>-54688</v>
      </c>
      <c r="E12350" s="201">
        <v>45839</v>
      </c>
      <c r="F12350" s="200" t="s">
        <v>256</v>
      </c>
      <c r="G12350" s="200" t="s">
        <v>256</v>
      </c>
      <c r="H12350" s="200" t="s">
        <v>261</v>
      </c>
    </row>
    <row r="12351" spans="1:9" ht="15" customHeight="1">
      <c r="A12351" s="199">
        <v>45847</v>
      </c>
      <c r="B12351" s="202" t="s">
        <v>8980</v>
      </c>
      <c r="C12351" s="200" t="s">
        <v>398</v>
      </c>
      <c r="D12351" s="204">
        <v>-9729.91</v>
      </c>
      <c r="E12351" s="201">
        <v>45839</v>
      </c>
      <c r="F12351" s="200" t="s">
        <v>256</v>
      </c>
      <c r="G12351" s="200" t="s">
        <v>107</v>
      </c>
      <c r="H12351" s="200" t="s">
        <v>116</v>
      </c>
    </row>
    <row r="12352" spans="1:9" ht="15" customHeight="1">
      <c r="A12352" s="199">
        <v>45847</v>
      </c>
      <c r="B12352" s="202" t="s">
        <v>4646</v>
      </c>
      <c r="C12352" s="200" t="s">
        <v>398</v>
      </c>
      <c r="D12352" s="204">
        <v>-95520</v>
      </c>
      <c r="E12352" s="201">
        <v>45839</v>
      </c>
      <c r="F12352" s="200" t="s">
        <v>256</v>
      </c>
      <c r="G12352" s="200" t="s">
        <v>256</v>
      </c>
      <c r="H12352" s="200" t="s">
        <v>266</v>
      </c>
      <c r="I12352" s="648" t="s">
        <v>329</v>
      </c>
    </row>
    <row r="12353" spans="1:9" ht="15" customHeight="1">
      <c r="A12353" s="199">
        <v>45849</v>
      </c>
      <c r="B12353" s="202" t="s">
        <v>8981</v>
      </c>
      <c r="C12353" s="200" t="s">
        <v>398</v>
      </c>
      <c r="D12353" s="204">
        <v>-317582</v>
      </c>
      <c r="E12353" s="201">
        <v>45839</v>
      </c>
      <c r="F12353" s="200" t="s">
        <v>256</v>
      </c>
      <c r="G12353" s="200" t="s">
        <v>107</v>
      </c>
      <c r="H12353" s="200" t="s">
        <v>277</v>
      </c>
      <c r="I12353" s="648" t="s">
        <v>329</v>
      </c>
    </row>
    <row r="12354" spans="1:9" s="664" customFormat="1" ht="15" customHeight="1">
      <c r="A12354" s="663">
        <v>45849</v>
      </c>
      <c r="B12354" s="648" t="s">
        <v>8982</v>
      </c>
      <c r="C12354" s="648" t="s">
        <v>398</v>
      </c>
      <c r="D12354" s="649">
        <v>4717346.8</v>
      </c>
      <c r="E12354" s="665">
        <v>45839</v>
      </c>
      <c r="F12354" s="648" t="s">
        <v>295</v>
      </c>
      <c r="G12354" s="648"/>
      <c r="H12354" s="648"/>
      <c r="I12354" s="648"/>
    </row>
  </sheetData>
  <autoFilter ref="A4:T12354" xr:uid="{827AE880-60FC-42AD-BC97-1580201D5853}"/>
  <mergeCells count="2">
    <mergeCell ref="L1:L3"/>
    <mergeCell ref="M1:S2"/>
  </mergeCells>
  <phoneticPr fontId="19" type="noConversion"/>
  <printOptions headings="1"/>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A7C38-B4B3-48C2-8EEE-A70D1413F81D}">
  <sheetPr filterMode="1">
    <outlinePr summaryBelow="0" summaryRight="0"/>
  </sheetPr>
  <dimension ref="A1:P6296"/>
  <sheetViews>
    <sheetView topLeftCell="A295" zoomScale="90" zoomScaleNormal="90" workbookViewId="0">
      <selection activeCell="E308" sqref="E308"/>
    </sheetView>
  </sheetViews>
  <sheetFormatPr defaultColWidth="14.42578125" defaultRowHeight="15" customHeight="1"/>
  <cols>
    <col min="1" max="2" width="14.42578125" style="203"/>
    <col min="3" max="3" width="34.42578125" style="203" customWidth="1"/>
    <col min="4" max="4" width="18.140625" style="203" customWidth="1"/>
    <col min="5" max="5" width="20.28515625" style="510" bestFit="1" customWidth="1"/>
    <col min="6" max="8" width="14.42578125" style="203"/>
    <col min="9" max="9" width="24.140625" style="203" customWidth="1"/>
    <col min="10" max="10" width="17.140625" style="203" bestFit="1" customWidth="1"/>
    <col min="11" max="11" width="15.85546875" style="203" bestFit="1" customWidth="1"/>
    <col min="12" max="12" width="17.140625" style="203" bestFit="1" customWidth="1"/>
    <col min="13" max="13" width="14.7109375" style="203" bestFit="1" customWidth="1"/>
    <col min="14" max="14" width="24.42578125" style="203" bestFit="1" customWidth="1"/>
    <col min="15" max="15" width="18.28515625" style="203" bestFit="1" customWidth="1"/>
    <col min="16" max="16" width="18.28515625" style="203" customWidth="1"/>
    <col min="17" max="16384" width="14.42578125" style="203"/>
  </cols>
  <sheetData>
    <row r="1" spans="1:16" ht="15" customHeight="1">
      <c r="I1" s="939" t="s">
        <v>290</v>
      </c>
      <c r="J1" s="940" t="s">
        <v>86</v>
      </c>
      <c r="K1" s="941"/>
      <c r="L1" s="941"/>
      <c r="M1" s="941"/>
      <c r="N1" s="941"/>
      <c r="O1" s="941"/>
      <c r="P1" s="941"/>
    </row>
    <row r="2" spans="1:16" ht="15" customHeight="1">
      <c r="F2" s="494"/>
      <c r="I2" s="939"/>
      <c r="J2" s="942"/>
      <c r="K2" s="943"/>
      <c r="L2" s="943"/>
      <c r="M2" s="943"/>
      <c r="N2" s="943"/>
      <c r="O2" s="943"/>
      <c r="P2" s="943"/>
    </row>
    <row r="3" spans="1:16" ht="15.75" customHeight="1">
      <c r="B3" s="1039" t="s">
        <v>8983</v>
      </c>
      <c r="C3" s="1039"/>
      <c r="D3" s="1039"/>
      <c r="E3" s="1039"/>
      <c r="F3" s="1039"/>
      <c r="G3" s="509"/>
      <c r="I3" s="939"/>
      <c r="J3" s="497" t="s">
        <v>8984</v>
      </c>
      <c r="K3" s="497" t="s">
        <v>8985</v>
      </c>
      <c r="L3" s="497" t="s">
        <v>8986</v>
      </c>
      <c r="M3" s="497" t="s">
        <v>8987</v>
      </c>
      <c r="N3" s="511" t="s">
        <v>8988</v>
      </c>
      <c r="O3" s="497" t="s">
        <v>11</v>
      </c>
      <c r="P3" s="497" t="s">
        <v>145</v>
      </c>
    </row>
    <row r="4" spans="1:16" ht="15.75" customHeight="1">
      <c r="B4" s="512" t="s">
        <v>290</v>
      </c>
      <c r="C4" s="512" t="s">
        <v>299</v>
      </c>
      <c r="D4" s="513" t="s">
        <v>300</v>
      </c>
      <c r="E4" s="514" t="s">
        <v>124</v>
      </c>
      <c r="F4" s="515" t="s">
        <v>8989</v>
      </c>
      <c r="G4" s="515" t="s">
        <v>291</v>
      </c>
      <c r="I4" s="507">
        <v>45292</v>
      </c>
      <c r="J4" s="506">
        <f>+SUMIFS($E$5:$E$1048576,$C$5:$C$1048576,J3,$F$5:$F$1048576,I4)</f>
        <v>0</v>
      </c>
      <c r="K4" s="506">
        <f>+SUMIFS($E$5:$E$1048576,$C$5:$C$1048576,K3,$F$5:$F$1048576,I4)</f>
        <v>0</v>
      </c>
      <c r="L4" s="506">
        <f>+SUMIFS($E$5:$E$1048576,$C$5:$C$1048576,L3,$F$5:$F$1048576,$I$4)</f>
        <v>0</v>
      </c>
      <c r="M4" s="506">
        <f>+SUMIFS($E$5:$E$1048576,$C$5:$C$1048576,M3,$F$5:$F$1048576,$I$4)</f>
        <v>0</v>
      </c>
      <c r="N4" s="506">
        <f>+SUMIFS($E$5:$E$1048576,$C$5:$C$1048576,N3,$F$5:$F$1048576,$I$4)</f>
        <v>0</v>
      </c>
      <c r="O4" s="506">
        <f>+SUM(J4:N4)</f>
        <v>0</v>
      </c>
      <c r="P4" s="506" t="e">
        <f>+O4=#REF!</f>
        <v>#REF!</v>
      </c>
    </row>
    <row r="5" spans="1:16" s="195" customFormat="1" ht="15.75" hidden="1" customHeight="1">
      <c r="A5" s="191"/>
      <c r="B5" s="516">
        <v>45294</v>
      </c>
      <c r="C5" s="517" t="s">
        <v>8986</v>
      </c>
      <c r="D5" s="519" t="s">
        <v>8990</v>
      </c>
      <c r="E5" s="600">
        <v>-57742</v>
      </c>
      <c r="F5" s="505">
        <v>45658</v>
      </c>
      <c r="G5" s="508" t="s">
        <v>8991</v>
      </c>
      <c r="H5" s="194"/>
      <c r="I5" s="193">
        <v>45323</v>
      </c>
      <c r="J5" s="190">
        <f>+SUMIFS($E$5:$E$1048576,$C$5:$C$1048576,J3,$F$5:$F$1048576,I5)</f>
        <v>0</v>
      </c>
      <c r="K5" s="190">
        <f t="shared" ref="K5:K10" si="0">SUMIFS(E$5:E$20,F$5:F$20,I5,G$5:G$20,$K$3)</f>
        <v>0</v>
      </c>
      <c r="L5" s="190">
        <f t="shared" ref="L5:L20" si="1">+J5+K5</f>
        <v>0</v>
      </c>
      <c r="M5" s="190">
        <f t="shared" ref="M5:M10" si="2">SUMIFS(E$5:E$20,F$5:F$20,I5,G$5:G$20,$M$3)</f>
        <v>0</v>
      </c>
      <c r="N5" s="190">
        <f t="shared" ref="N5:N21" si="3">-SUMIFS(E$5:E$1868,F$5:F$1868,I5,G$5:G$1868,$N$3)</f>
        <v>0</v>
      </c>
      <c r="O5" s="190"/>
      <c r="P5" s="190"/>
    </row>
    <row r="6" spans="1:16" s="195" customFormat="1" ht="15.75" hidden="1" customHeight="1">
      <c r="A6" s="191"/>
      <c r="B6" s="516">
        <v>45294</v>
      </c>
      <c r="C6" s="517" t="s">
        <v>8992</v>
      </c>
      <c r="D6" s="518" t="s">
        <v>204</v>
      </c>
      <c r="E6" s="593">
        <v>-16150</v>
      </c>
      <c r="F6" s="505">
        <v>45658</v>
      </c>
      <c r="G6" s="508" t="s">
        <v>8991</v>
      </c>
      <c r="H6" s="194"/>
      <c r="I6" s="189">
        <v>45352</v>
      </c>
      <c r="J6" s="190">
        <f>+SUMIFS($E$5:$E$1048576,$C$5:$C$1048576,J5,$F$5:$F$1048576,I6)</f>
        <v>0</v>
      </c>
      <c r="K6" s="190">
        <f t="shared" si="0"/>
        <v>0</v>
      </c>
      <c r="L6" s="190">
        <f t="shared" si="1"/>
        <v>0</v>
      </c>
      <c r="M6" s="196">
        <f t="shared" si="2"/>
        <v>0</v>
      </c>
      <c r="N6" s="190">
        <f t="shared" si="3"/>
        <v>0</v>
      </c>
      <c r="O6" s="190"/>
      <c r="P6" s="190"/>
    </row>
    <row r="7" spans="1:16" s="195" customFormat="1" ht="15.75" hidden="1" customHeight="1">
      <c r="A7" s="191"/>
      <c r="B7" s="516">
        <v>45294</v>
      </c>
      <c r="C7" s="517" t="s">
        <v>8986</v>
      </c>
      <c r="D7" s="518" t="s">
        <v>204</v>
      </c>
      <c r="E7" s="593">
        <v>-20726.259999999998</v>
      </c>
      <c r="F7" s="505">
        <v>45658</v>
      </c>
      <c r="G7" s="508" t="s">
        <v>8991</v>
      </c>
      <c r="H7" s="194"/>
      <c r="I7" s="193">
        <v>45383</v>
      </c>
      <c r="J7" s="190">
        <f>+SUMIFS($E$5:$E$1048576,$C$5:$C$1048576,J6,$F$5:$F$1048576,I7)</f>
        <v>0</v>
      </c>
      <c r="K7" s="190">
        <f t="shared" si="0"/>
        <v>0</v>
      </c>
      <c r="L7" s="190">
        <f t="shared" si="1"/>
        <v>0</v>
      </c>
      <c r="M7" s="196">
        <f t="shared" si="2"/>
        <v>0</v>
      </c>
      <c r="N7" s="190">
        <f t="shared" si="3"/>
        <v>0</v>
      </c>
      <c r="O7" s="190"/>
      <c r="P7" s="190"/>
    </row>
    <row r="8" spans="1:16" s="195" customFormat="1" ht="15.75" hidden="1" customHeight="1">
      <c r="A8" s="191"/>
      <c r="B8" s="516">
        <v>45294</v>
      </c>
      <c r="C8" s="517" t="s">
        <v>8993</v>
      </c>
      <c r="D8" s="520" t="s">
        <v>204</v>
      </c>
      <c r="E8" s="593">
        <v>-85000</v>
      </c>
      <c r="F8" s="505">
        <v>45658</v>
      </c>
      <c r="G8" s="508" t="s">
        <v>291</v>
      </c>
      <c r="H8" s="194"/>
      <c r="I8" s="189">
        <v>45413</v>
      </c>
      <c r="J8" s="190">
        <f>+SUMIFS($E$5:$E$1048576,$C$5:$C$1048576,J7,$F$5:$F$1048576,I8)</f>
        <v>0</v>
      </c>
      <c r="K8" s="190">
        <f t="shared" si="0"/>
        <v>0</v>
      </c>
      <c r="L8" s="190">
        <f t="shared" si="1"/>
        <v>0</v>
      </c>
      <c r="M8" s="196">
        <f t="shared" si="2"/>
        <v>0</v>
      </c>
      <c r="N8" s="190">
        <f t="shared" si="3"/>
        <v>0</v>
      </c>
      <c r="O8" s="190"/>
      <c r="P8" s="190"/>
    </row>
    <row r="9" spans="1:16" s="195" customFormat="1" ht="15.75" hidden="1" customHeight="1">
      <c r="A9" s="191"/>
      <c r="B9" s="516">
        <v>45322</v>
      </c>
      <c r="C9" s="682" t="s">
        <v>8986</v>
      </c>
      <c r="D9" s="683" t="s">
        <v>8994</v>
      </c>
      <c r="E9" s="593">
        <v>-15155.2</v>
      </c>
      <c r="F9" s="539">
        <v>45658</v>
      </c>
      <c r="G9" s="537" t="s">
        <v>8991</v>
      </c>
      <c r="H9" s="194"/>
      <c r="I9" s="189">
        <v>45474</v>
      </c>
      <c r="J9" s="190">
        <f>+SUMIFS($E$5:$E$1048576,$C$5:$C$1048576,J8,$F$5:$F$1048576,I9)</f>
        <v>0</v>
      </c>
      <c r="K9" s="190">
        <f t="shared" si="0"/>
        <v>0</v>
      </c>
      <c r="L9" s="190">
        <f t="shared" si="1"/>
        <v>0</v>
      </c>
      <c r="M9" s="190">
        <f t="shared" si="2"/>
        <v>0</v>
      </c>
      <c r="N9" s="190">
        <f t="shared" si="3"/>
        <v>0</v>
      </c>
      <c r="O9" s="190"/>
      <c r="P9" s="190"/>
    </row>
    <row r="10" spans="1:16" s="195" customFormat="1" ht="15.75" hidden="1" customHeight="1">
      <c r="A10" s="191"/>
      <c r="B10" s="826">
        <v>45412</v>
      </c>
      <c r="C10" s="682" t="s">
        <v>8986</v>
      </c>
      <c r="D10" s="683" t="s">
        <v>8994</v>
      </c>
      <c r="E10" s="828">
        <v>-16662.8</v>
      </c>
      <c r="F10" s="831">
        <v>45748</v>
      </c>
      <c r="G10" s="687" t="s">
        <v>8991</v>
      </c>
      <c r="H10" s="194"/>
      <c r="I10" s="193">
        <v>45505</v>
      </c>
      <c r="J10" s="190">
        <f>+SUMIFS($E$5:$E$1048576,$C$5:$C$1048576,J9,$F$5:$F$1048576,I10)</f>
        <v>0</v>
      </c>
      <c r="K10" s="190">
        <f t="shared" si="0"/>
        <v>0</v>
      </c>
      <c r="L10" s="190">
        <f t="shared" si="1"/>
        <v>0</v>
      </c>
      <c r="M10" s="190">
        <f t="shared" si="2"/>
        <v>0</v>
      </c>
      <c r="N10" s="190">
        <f t="shared" si="3"/>
        <v>0</v>
      </c>
      <c r="O10" s="190"/>
      <c r="P10" s="190"/>
    </row>
    <row r="11" spans="1:16" s="195" customFormat="1" ht="15.75" hidden="1" customHeight="1">
      <c r="A11" s="191"/>
      <c r="B11" s="826">
        <v>45412</v>
      </c>
      <c r="C11" s="682" t="s">
        <v>8995</v>
      </c>
      <c r="D11" s="683" t="s">
        <v>8994</v>
      </c>
      <c r="E11" s="828">
        <v>-6750</v>
      </c>
      <c r="F11" s="831">
        <v>45748</v>
      </c>
      <c r="G11" s="687" t="s">
        <v>291</v>
      </c>
      <c r="H11" s="194"/>
      <c r="I11" s="189">
        <v>45597</v>
      </c>
      <c r="J11" s="190"/>
      <c r="K11" s="196">
        <f t="shared" ref="K11:K22" si="4">SUMIFS(E$5:E$1868,F$5:F$1868,I11,G$5:G$1868,$K$3)</f>
        <v>0</v>
      </c>
      <c r="L11" s="190">
        <f t="shared" si="1"/>
        <v>0</v>
      </c>
      <c r="M11" s="196">
        <f t="shared" ref="M11:M22" si="5">SUMIFS(E$5:E$1868,F$5:F$1868,I11,G$5:G$1868,$M$3)</f>
        <v>0</v>
      </c>
      <c r="N11" s="190">
        <f t="shared" si="3"/>
        <v>0</v>
      </c>
      <c r="O11" s="190"/>
      <c r="P11" s="190"/>
    </row>
    <row r="12" spans="1:16" s="195" customFormat="1" ht="15.75" hidden="1" customHeight="1">
      <c r="A12" s="191"/>
      <c r="B12" s="516">
        <v>45412</v>
      </c>
      <c r="C12" s="517" t="s">
        <v>7654</v>
      </c>
      <c r="D12" s="685" t="s">
        <v>8994</v>
      </c>
      <c r="E12" s="828">
        <v>-16315.58</v>
      </c>
      <c r="F12" s="833">
        <v>45748</v>
      </c>
      <c r="G12" s="689" t="s">
        <v>291</v>
      </c>
      <c r="H12" s="194"/>
      <c r="I12" s="193">
        <v>45627</v>
      </c>
      <c r="J12" s="190"/>
      <c r="K12" s="196">
        <f t="shared" si="4"/>
        <v>0</v>
      </c>
      <c r="L12" s="190">
        <f t="shared" si="1"/>
        <v>0</v>
      </c>
      <c r="M12" s="196">
        <f t="shared" si="5"/>
        <v>0</v>
      </c>
      <c r="N12" s="190">
        <f t="shared" si="3"/>
        <v>0</v>
      </c>
      <c r="O12" s="190"/>
      <c r="P12" s="190"/>
    </row>
    <row r="13" spans="1:16" s="195" customFormat="1" ht="15.75" hidden="1" customHeight="1">
      <c r="A13" s="191"/>
      <c r="B13" s="826">
        <v>45412</v>
      </c>
      <c r="C13" s="682" t="s">
        <v>7654</v>
      </c>
      <c r="D13" s="683" t="s">
        <v>8994</v>
      </c>
      <c r="E13" s="828">
        <v>-105671.53</v>
      </c>
      <c r="F13" s="831">
        <v>45748</v>
      </c>
      <c r="G13" s="687" t="s">
        <v>291</v>
      </c>
      <c r="H13" s="194"/>
      <c r="I13" s="189">
        <v>45658</v>
      </c>
      <c r="J13" s="190"/>
      <c r="K13" s="196">
        <f t="shared" si="4"/>
        <v>0</v>
      </c>
      <c r="L13" s="190">
        <f t="shared" si="1"/>
        <v>0</v>
      </c>
      <c r="M13" s="196">
        <f t="shared" si="5"/>
        <v>0</v>
      </c>
      <c r="N13" s="190">
        <f t="shared" si="3"/>
        <v>0</v>
      </c>
      <c r="O13" s="190"/>
      <c r="P13" s="190"/>
    </row>
    <row r="14" spans="1:16" s="195" customFormat="1" ht="15.75" hidden="1" customHeight="1">
      <c r="A14" s="191"/>
      <c r="B14" s="536">
        <v>45660</v>
      </c>
      <c r="C14" s="595" t="s">
        <v>8986</v>
      </c>
      <c r="D14" s="594" t="s">
        <v>136</v>
      </c>
      <c r="E14" s="593">
        <v>-76240</v>
      </c>
      <c r="F14" s="596">
        <v>45658</v>
      </c>
      <c r="G14" s="595" t="s">
        <v>8991</v>
      </c>
      <c r="H14" s="194"/>
      <c r="I14" s="193">
        <v>45689</v>
      </c>
      <c r="J14" s="190"/>
      <c r="K14" s="196">
        <f t="shared" si="4"/>
        <v>0</v>
      </c>
      <c r="L14" s="190">
        <f t="shared" si="1"/>
        <v>0</v>
      </c>
      <c r="M14" s="196">
        <f t="shared" si="5"/>
        <v>0</v>
      </c>
      <c r="N14" s="190">
        <f t="shared" si="3"/>
        <v>0</v>
      </c>
      <c r="O14" s="190"/>
      <c r="P14" s="190"/>
    </row>
    <row r="15" spans="1:16" s="195" customFormat="1" ht="15.75" hidden="1" customHeight="1">
      <c r="A15" s="191"/>
      <c r="B15" s="589">
        <v>45667</v>
      </c>
      <c r="C15" s="598" t="s">
        <v>8986</v>
      </c>
      <c r="D15" s="599" t="s">
        <v>136</v>
      </c>
      <c r="E15" s="593">
        <v>-358262</v>
      </c>
      <c r="F15" s="596">
        <v>45658</v>
      </c>
      <c r="G15" s="598" t="s">
        <v>8991</v>
      </c>
      <c r="H15" s="194"/>
      <c r="I15" s="189">
        <v>45717</v>
      </c>
      <c r="J15" s="190"/>
      <c r="K15" s="196">
        <f t="shared" si="4"/>
        <v>0</v>
      </c>
      <c r="L15" s="190">
        <f t="shared" si="1"/>
        <v>0</v>
      </c>
      <c r="M15" s="196">
        <f t="shared" si="5"/>
        <v>0</v>
      </c>
      <c r="N15" s="190">
        <f t="shared" si="3"/>
        <v>0</v>
      </c>
      <c r="O15" s="190"/>
      <c r="P15" s="190"/>
    </row>
    <row r="16" spans="1:16" s="195" customFormat="1" ht="15.75" hidden="1" customHeight="1">
      <c r="A16" s="191"/>
      <c r="B16" s="536">
        <v>45667</v>
      </c>
      <c r="C16" s="537" t="s">
        <v>8996</v>
      </c>
      <c r="D16" s="538" t="s">
        <v>136</v>
      </c>
      <c r="E16" s="593">
        <v>-23.08</v>
      </c>
      <c r="F16" s="596">
        <v>45658</v>
      </c>
      <c r="G16" s="537" t="s">
        <v>291</v>
      </c>
      <c r="H16" s="194"/>
      <c r="I16" s="193">
        <v>45748</v>
      </c>
      <c r="J16" s="190"/>
      <c r="K16" s="196">
        <f t="shared" si="4"/>
        <v>0</v>
      </c>
      <c r="L16" s="190">
        <f t="shared" si="1"/>
        <v>0</v>
      </c>
      <c r="M16" s="196">
        <f t="shared" si="5"/>
        <v>0</v>
      </c>
      <c r="N16" s="190">
        <f t="shared" si="3"/>
        <v>0</v>
      </c>
      <c r="O16" s="190"/>
      <c r="P16" s="190"/>
    </row>
    <row r="17" spans="1:16" s="195" customFormat="1" ht="15.75" hidden="1" customHeight="1">
      <c r="A17" s="191"/>
      <c r="B17" s="589">
        <v>45667</v>
      </c>
      <c r="C17" s="590" t="s">
        <v>8984</v>
      </c>
      <c r="D17" s="591" t="s">
        <v>204</v>
      </c>
      <c r="E17" s="593">
        <v>-7900</v>
      </c>
      <c r="F17" s="539">
        <v>45658</v>
      </c>
      <c r="G17" s="590" t="s">
        <v>291</v>
      </c>
      <c r="H17" s="194"/>
      <c r="I17" s="189">
        <v>45778</v>
      </c>
      <c r="J17" s="190"/>
      <c r="K17" s="196">
        <f t="shared" si="4"/>
        <v>0</v>
      </c>
      <c r="L17" s="190">
        <f t="shared" si="1"/>
        <v>0</v>
      </c>
      <c r="M17" s="196">
        <f t="shared" si="5"/>
        <v>0</v>
      </c>
      <c r="N17" s="190">
        <f t="shared" si="3"/>
        <v>0</v>
      </c>
      <c r="O17" s="190"/>
      <c r="P17" s="190"/>
    </row>
    <row r="18" spans="1:16" s="195" customFormat="1" ht="15.75" hidden="1" customHeight="1">
      <c r="A18" s="191"/>
      <c r="B18" s="536">
        <v>45667</v>
      </c>
      <c r="C18" s="537" t="s">
        <v>8986</v>
      </c>
      <c r="D18" s="538" t="s">
        <v>204</v>
      </c>
      <c r="E18" s="593">
        <v>-2039.99</v>
      </c>
      <c r="F18" s="539">
        <v>45658</v>
      </c>
      <c r="G18" s="537" t="s">
        <v>8991</v>
      </c>
      <c r="H18" s="194"/>
      <c r="I18" s="193">
        <v>45809</v>
      </c>
      <c r="J18" s="190"/>
      <c r="K18" s="196">
        <f t="shared" si="4"/>
        <v>0</v>
      </c>
      <c r="L18" s="190">
        <f t="shared" si="1"/>
        <v>0</v>
      </c>
      <c r="M18" s="196">
        <f t="shared" si="5"/>
        <v>0</v>
      </c>
      <c r="N18" s="190">
        <f t="shared" si="3"/>
        <v>0</v>
      </c>
      <c r="O18" s="190"/>
      <c r="P18" s="190"/>
    </row>
    <row r="19" spans="1:16" s="195" customFormat="1" ht="15.75" hidden="1" customHeight="1">
      <c r="A19" s="191"/>
      <c r="B19" s="536">
        <v>45667</v>
      </c>
      <c r="C19" s="537" t="s">
        <v>8992</v>
      </c>
      <c r="D19" s="538" t="s">
        <v>204</v>
      </c>
      <c r="E19" s="593">
        <v>-1501</v>
      </c>
      <c r="F19" s="539">
        <v>45658</v>
      </c>
      <c r="G19" s="537" t="s">
        <v>8991</v>
      </c>
      <c r="H19" s="194"/>
      <c r="I19" s="193">
        <v>45870</v>
      </c>
      <c r="J19" s="190"/>
      <c r="K19" s="196">
        <f t="shared" si="4"/>
        <v>0</v>
      </c>
      <c r="L19" s="190">
        <f t="shared" si="1"/>
        <v>0</v>
      </c>
      <c r="M19" s="196">
        <f t="shared" si="5"/>
        <v>0</v>
      </c>
      <c r="N19" s="190">
        <f t="shared" si="3"/>
        <v>0</v>
      </c>
      <c r="O19" s="190"/>
      <c r="P19" s="190"/>
    </row>
    <row r="20" spans="1:16" s="195" customFormat="1" ht="15.75" hidden="1" customHeight="1">
      <c r="A20" s="191"/>
      <c r="B20" s="597">
        <v>45667</v>
      </c>
      <c r="C20" s="598" t="s">
        <v>8997</v>
      </c>
      <c r="D20" s="599" t="s">
        <v>8990</v>
      </c>
      <c r="E20" s="593">
        <v>-10800</v>
      </c>
      <c r="F20" s="596">
        <v>45658</v>
      </c>
      <c r="G20" s="598" t="s">
        <v>291</v>
      </c>
      <c r="H20" s="194"/>
      <c r="I20" s="189">
        <v>45901</v>
      </c>
      <c r="J20" s="190"/>
      <c r="K20" s="196">
        <f t="shared" si="4"/>
        <v>0</v>
      </c>
      <c r="L20" s="190">
        <f t="shared" si="1"/>
        <v>0</v>
      </c>
      <c r="M20" s="196">
        <f t="shared" si="5"/>
        <v>0</v>
      </c>
      <c r="N20" s="190">
        <f t="shared" si="3"/>
        <v>0</v>
      </c>
      <c r="O20" s="190"/>
      <c r="P20" s="190"/>
    </row>
    <row r="21" spans="1:16" s="195" customFormat="1" ht="15.75" hidden="1" customHeight="1">
      <c r="A21" s="191"/>
      <c r="B21" s="597">
        <v>45667</v>
      </c>
      <c r="C21" s="598" t="s">
        <v>8986</v>
      </c>
      <c r="D21" s="599" t="s">
        <v>8990</v>
      </c>
      <c r="E21" s="593">
        <v>-49323</v>
      </c>
      <c r="F21" s="596">
        <v>45658</v>
      </c>
      <c r="G21" s="598" t="s">
        <v>8991</v>
      </c>
      <c r="H21" s="194"/>
      <c r="I21" s="193">
        <v>45931</v>
      </c>
      <c r="J21" s="190"/>
      <c r="K21" s="196">
        <f t="shared" si="4"/>
        <v>0</v>
      </c>
      <c r="L21" s="190">
        <f>+J21+K21</f>
        <v>0</v>
      </c>
      <c r="M21" s="196">
        <f t="shared" si="5"/>
        <v>0</v>
      </c>
      <c r="N21" s="190">
        <f t="shared" si="3"/>
        <v>0</v>
      </c>
      <c r="O21" s="190"/>
      <c r="P21" s="190"/>
    </row>
    <row r="22" spans="1:16" s="195" customFormat="1" ht="15.75" hidden="1" customHeight="1">
      <c r="A22" s="191"/>
      <c r="B22" s="597">
        <v>45667</v>
      </c>
      <c r="C22" s="595" t="s">
        <v>8988</v>
      </c>
      <c r="D22" s="594" t="s">
        <v>398</v>
      </c>
      <c r="E22" s="593">
        <v>40.04</v>
      </c>
      <c r="F22" s="596">
        <v>45658</v>
      </c>
      <c r="G22" s="595" t="s">
        <v>291</v>
      </c>
      <c r="H22" s="194"/>
      <c r="I22" s="189">
        <v>45962</v>
      </c>
      <c r="J22" s="190"/>
      <c r="K22" s="196">
        <f t="shared" si="4"/>
        <v>0</v>
      </c>
      <c r="L22" s="190">
        <f>+J22+K22</f>
        <v>0</v>
      </c>
      <c r="M22" s="196">
        <f t="shared" si="5"/>
        <v>0</v>
      </c>
      <c r="N22" s="190" t="e">
        <f>SUMIFS(#REF!,#REF!,I22,#REF!,$N$3)</f>
        <v>#REF!</v>
      </c>
      <c r="O22" s="190"/>
      <c r="P22" s="190"/>
    </row>
    <row r="23" spans="1:16" s="195" customFormat="1" ht="15.75" hidden="1" customHeight="1">
      <c r="A23" s="191"/>
      <c r="B23" s="589">
        <v>45674</v>
      </c>
      <c r="C23" s="590" t="s">
        <v>8986</v>
      </c>
      <c r="D23" s="591" t="s">
        <v>136</v>
      </c>
      <c r="E23" s="593">
        <v>-401131</v>
      </c>
      <c r="F23" s="596">
        <v>45658</v>
      </c>
      <c r="G23" s="598" t="s">
        <v>8991</v>
      </c>
      <c r="H23" s="194"/>
      <c r="I23" s="189"/>
      <c r="J23" s="190"/>
      <c r="K23" s="196"/>
      <c r="L23" s="190"/>
      <c r="M23" s="196"/>
      <c r="N23" s="190"/>
      <c r="O23" s="190"/>
      <c r="P23" s="190"/>
    </row>
    <row r="24" spans="1:16" s="195" customFormat="1" ht="15.75" hidden="1" customHeight="1">
      <c r="A24" s="191"/>
      <c r="B24" s="589">
        <v>45674</v>
      </c>
      <c r="C24" s="590" t="s">
        <v>8996</v>
      </c>
      <c r="D24" s="591" t="s">
        <v>136</v>
      </c>
      <c r="E24" s="593">
        <f>-432-23.857</f>
        <v>-455.85699999999997</v>
      </c>
      <c r="F24" s="596">
        <v>45658</v>
      </c>
      <c r="G24" s="590" t="s">
        <v>291</v>
      </c>
      <c r="H24" s="194"/>
      <c r="I24" s="193">
        <v>45323</v>
      </c>
      <c r="J24" s="190">
        <f>+SUMIFS($E$5:$E$1048576,$C$5:$C$1048576,J23,$F$5:$F$1048576,I24)</f>
        <v>0</v>
      </c>
      <c r="K24" s="196">
        <f t="shared" ref="K24:K36" si="6">SUMIFS(E$5:E$1868,F$5:F$1868,I24,G$5:G$1868,$K$3)</f>
        <v>0</v>
      </c>
      <c r="L24" s="190">
        <f>+J24+K24</f>
        <v>0</v>
      </c>
      <c r="M24" s="196">
        <f t="shared" ref="M24:M30" si="7">SUMIFS(E$5:E$1868,F$5:F$1868,I24,G$5:G$1868,$M$3)</f>
        <v>0</v>
      </c>
      <c r="N24" s="190" t="e">
        <f>SUMIFS(#REF!,#REF!,I24,#REF!,$N$3)</f>
        <v>#REF!</v>
      </c>
      <c r="O24" s="190"/>
      <c r="P24" s="190"/>
    </row>
    <row r="25" spans="1:16" s="195" customFormat="1" ht="15.75" hidden="1" customHeight="1">
      <c r="A25" s="191"/>
      <c r="B25" s="516">
        <v>45674</v>
      </c>
      <c r="C25" s="517" t="s">
        <v>8998</v>
      </c>
      <c r="D25" s="599" t="s">
        <v>398</v>
      </c>
      <c r="E25" s="593">
        <v>-14200</v>
      </c>
      <c r="F25" s="686">
        <v>45658</v>
      </c>
      <c r="G25" s="598" t="s">
        <v>291</v>
      </c>
      <c r="H25" s="194"/>
      <c r="I25" s="189">
        <v>46023</v>
      </c>
      <c r="J25" s="190"/>
      <c r="K25" s="196">
        <f t="shared" si="6"/>
        <v>0</v>
      </c>
      <c r="L25" s="190">
        <f t="shared" ref="L25:L36" si="8">+J25+K25</f>
        <v>0</v>
      </c>
      <c r="M25" s="196">
        <f t="shared" si="7"/>
        <v>0</v>
      </c>
      <c r="N25" s="190" t="e">
        <f>SUMIFS(#REF!,#REF!,I25,#REF!,$N$3)</f>
        <v>#REF!</v>
      </c>
      <c r="O25" s="190"/>
      <c r="P25" s="190"/>
    </row>
    <row r="26" spans="1:16" s="195" customFormat="1" ht="15.75" hidden="1" customHeight="1">
      <c r="A26" s="191"/>
      <c r="B26" s="597">
        <v>45674</v>
      </c>
      <c r="C26" s="595" t="s">
        <v>8997</v>
      </c>
      <c r="D26" s="594" t="s">
        <v>8990</v>
      </c>
      <c r="E26" s="593">
        <v>-5400</v>
      </c>
      <c r="F26" s="686">
        <v>45658</v>
      </c>
      <c r="G26" s="595" t="s">
        <v>291</v>
      </c>
      <c r="H26" s="194"/>
      <c r="I26" s="193">
        <v>46054</v>
      </c>
      <c r="J26" s="190"/>
      <c r="K26" s="196">
        <f t="shared" si="6"/>
        <v>0</v>
      </c>
      <c r="L26" s="190">
        <f t="shared" si="8"/>
        <v>0</v>
      </c>
      <c r="M26" s="196">
        <f t="shared" si="7"/>
        <v>0</v>
      </c>
      <c r="N26" s="190" t="e">
        <f>SUMIFS(#REF!,#REF!,I26,#REF!,$N$3)</f>
        <v>#REF!</v>
      </c>
      <c r="O26" s="190"/>
      <c r="P26" s="190"/>
    </row>
    <row r="27" spans="1:16" s="195" customFormat="1" ht="15.75" hidden="1" customHeight="1">
      <c r="A27" s="191"/>
      <c r="B27" s="516">
        <v>45674</v>
      </c>
      <c r="C27" s="595" t="s">
        <v>8986</v>
      </c>
      <c r="D27" s="594" t="s">
        <v>8990</v>
      </c>
      <c r="E27" s="593">
        <v>-22429</v>
      </c>
      <c r="F27" s="596">
        <v>45658</v>
      </c>
      <c r="G27" s="595" t="s">
        <v>8991</v>
      </c>
      <c r="H27" s="194"/>
      <c r="I27" s="189">
        <v>46082</v>
      </c>
      <c r="J27" s="190"/>
      <c r="K27" s="196">
        <f t="shared" si="6"/>
        <v>0</v>
      </c>
      <c r="L27" s="190">
        <f>+J27+K27</f>
        <v>0</v>
      </c>
      <c r="M27" s="196">
        <f t="shared" si="7"/>
        <v>0</v>
      </c>
      <c r="N27" s="190" t="e">
        <f>SUMIFS(#REF!,#REF!,I27,#REF!,$N$3)</f>
        <v>#REF!</v>
      </c>
      <c r="O27" s="190"/>
      <c r="P27" s="190"/>
    </row>
    <row r="28" spans="1:16" s="195" customFormat="1" ht="15.75" hidden="1" customHeight="1">
      <c r="A28" s="191"/>
      <c r="B28" s="516">
        <v>45674</v>
      </c>
      <c r="C28" s="537" t="s">
        <v>8984</v>
      </c>
      <c r="D28" s="538" t="s">
        <v>204</v>
      </c>
      <c r="E28" s="593">
        <v>-47400</v>
      </c>
      <c r="F28" s="539">
        <v>45658</v>
      </c>
      <c r="G28" s="537" t="s">
        <v>291</v>
      </c>
      <c r="H28" s="194"/>
      <c r="I28" s="193">
        <v>46113</v>
      </c>
      <c r="J28" s="190"/>
      <c r="K28" s="196">
        <f t="shared" si="6"/>
        <v>0</v>
      </c>
      <c r="L28" s="190">
        <f t="shared" si="8"/>
        <v>0</v>
      </c>
      <c r="M28" s="196">
        <f t="shared" si="7"/>
        <v>0</v>
      </c>
      <c r="N28" s="190" t="e">
        <f>SUMIFS(#REF!,#REF!,I28,#REF!,$N$3)</f>
        <v>#REF!</v>
      </c>
      <c r="O28" s="190"/>
      <c r="P28" s="190"/>
    </row>
    <row r="29" spans="1:16" s="195" customFormat="1" ht="15.75" hidden="1" customHeight="1">
      <c r="A29" s="191"/>
      <c r="B29" s="516">
        <v>45674</v>
      </c>
      <c r="C29" s="590" t="s">
        <v>8986</v>
      </c>
      <c r="D29" s="538" t="s">
        <v>204</v>
      </c>
      <c r="E29" s="593">
        <v>-1968741.2</v>
      </c>
      <c r="F29" s="539">
        <v>45658</v>
      </c>
      <c r="G29" s="537" t="s">
        <v>8991</v>
      </c>
      <c r="H29" s="194"/>
      <c r="I29" s="189">
        <v>46143</v>
      </c>
      <c r="J29" s="190"/>
      <c r="K29" s="196">
        <f t="shared" si="6"/>
        <v>0</v>
      </c>
      <c r="L29" s="190">
        <f t="shared" si="8"/>
        <v>0</v>
      </c>
      <c r="M29" s="196">
        <f t="shared" si="7"/>
        <v>0</v>
      </c>
      <c r="N29" s="190" t="e">
        <f>SUMIFS(#REF!,#REF!,I29,#REF!,$N$3)</f>
        <v>#REF!</v>
      </c>
      <c r="O29" s="190"/>
      <c r="P29" s="190"/>
    </row>
    <row r="30" spans="1:16" s="195" customFormat="1" ht="15.75" hidden="1" customHeight="1">
      <c r="A30" s="191"/>
      <c r="B30" s="516">
        <v>45674</v>
      </c>
      <c r="C30" s="590" t="s">
        <v>8992</v>
      </c>
      <c r="D30" s="591" t="s">
        <v>204</v>
      </c>
      <c r="E30" s="593">
        <v>-9006</v>
      </c>
      <c r="F30" s="539">
        <v>45658</v>
      </c>
      <c r="G30" s="590" t="s">
        <v>8991</v>
      </c>
      <c r="H30" s="194"/>
      <c r="I30" s="193">
        <v>46174</v>
      </c>
      <c r="J30" s="190"/>
      <c r="K30" s="196">
        <f t="shared" si="6"/>
        <v>0</v>
      </c>
      <c r="L30" s="190">
        <f t="shared" si="8"/>
        <v>0</v>
      </c>
      <c r="M30" s="196">
        <f t="shared" si="7"/>
        <v>0</v>
      </c>
      <c r="N30" s="190" t="e">
        <f>SUMIFS(#REF!,#REF!,I30,#REF!,$N$3)</f>
        <v>#REF!</v>
      </c>
      <c r="O30" s="190"/>
      <c r="P30" s="190"/>
    </row>
    <row r="31" spans="1:16" s="195" customFormat="1" ht="15.75" hidden="1" customHeight="1">
      <c r="A31" s="191"/>
      <c r="B31" s="192">
        <v>45681</v>
      </c>
      <c r="C31" s="595" t="s">
        <v>8988</v>
      </c>
      <c r="D31" s="594" t="s">
        <v>398</v>
      </c>
      <c r="E31" s="593">
        <v>48.26</v>
      </c>
      <c r="F31" s="596">
        <v>45658</v>
      </c>
      <c r="G31" s="595" t="s">
        <v>291</v>
      </c>
      <c r="H31" s="194"/>
      <c r="I31" s="189">
        <v>46204</v>
      </c>
      <c r="J31" s="190"/>
      <c r="K31" s="196">
        <f t="shared" si="6"/>
        <v>0</v>
      </c>
      <c r="L31" s="190">
        <f>+J31+K31</f>
        <v>0</v>
      </c>
      <c r="M31" s="196">
        <f>SUMIFS(E$5:E$4571,F$5:F$4571,I31,G$5:G$4571,$M$3)</f>
        <v>0</v>
      </c>
      <c r="N31" s="190" t="e">
        <f>SUMIFS(#REF!,#REF!,I31,#REF!,$N$3)</f>
        <v>#REF!</v>
      </c>
      <c r="O31" s="190"/>
      <c r="P31" s="190"/>
    </row>
    <row r="32" spans="1:16" s="195" customFormat="1" ht="15.75" hidden="1" customHeight="1">
      <c r="A32" s="191"/>
      <c r="B32" s="516">
        <v>45681</v>
      </c>
      <c r="C32" s="598" t="s">
        <v>8988</v>
      </c>
      <c r="D32" s="599" t="s">
        <v>398</v>
      </c>
      <c r="E32" s="593">
        <v>52.51</v>
      </c>
      <c r="F32" s="686">
        <v>45658</v>
      </c>
      <c r="G32" s="598" t="s">
        <v>291</v>
      </c>
      <c r="H32" s="197"/>
      <c r="I32" s="193">
        <v>46235</v>
      </c>
      <c r="J32" s="190"/>
      <c r="K32" s="196">
        <f t="shared" si="6"/>
        <v>0</v>
      </c>
      <c r="L32" s="190">
        <f t="shared" si="8"/>
        <v>0</v>
      </c>
      <c r="M32" s="196">
        <f>SUMIFS(E$5:E$4571,F$5:F$4571,I32,G$5:G$4571,$M$3)</f>
        <v>0</v>
      </c>
      <c r="N32" s="190" t="e">
        <f>SUMIFS(#REF!,#REF!,I32,#REF!,$N$3)</f>
        <v>#REF!</v>
      </c>
      <c r="O32" s="190"/>
      <c r="P32" s="190"/>
    </row>
    <row r="33" spans="1:14" s="195" customFormat="1" ht="15.75" hidden="1" customHeight="1">
      <c r="A33" s="191"/>
      <c r="B33" s="516">
        <v>45681</v>
      </c>
      <c r="C33" s="537" t="s">
        <v>8986</v>
      </c>
      <c r="D33" s="538" t="s">
        <v>136</v>
      </c>
      <c r="E33" s="593">
        <v>-150496</v>
      </c>
      <c r="F33" s="686">
        <v>45658</v>
      </c>
      <c r="G33" s="595" t="s">
        <v>8991</v>
      </c>
      <c r="H33" s="194"/>
      <c r="I33" s="189">
        <v>46266</v>
      </c>
      <c r="J33" s="190"/>
      <c r="K33" s="196">
        <f t="shared" si="6"/>
        <v>0</v>
      </c>
      <c r="L33" s="190">
        <f t="shared" si="8"/>
        <v>0</v>
      </c>
      <c r="M33" s="196">
        <f>SUMIFS(E$5:E$4571,F$5:F$4571,I33,G$5:G$4571,$M$3)</f>
        <v>0</v>
      </c>
      <c r="N33" s="190" t="e">
        <f>SUMIFS(#REF!,#REF!,I33,#REF!,$N$3)</f>
        <v>#REF!</v>
      </c>
    </row>
    <row r="34" spans="1:14" s="195" customFormat="1" ht="15.75" hidden="1" customHeight="1">
      <c r="A34" s="191"/>
      <c r="B34" s="516">
        <v>45681</v>
      </c>
      <c r="C34" s="682" t="s">
        <v>8992</v>
      </c>
      <c r="D34" s="594" t="s">
        <v>8990</v>
      </c>
      <c r="E34" s="593">
        <v>-7220</v>
      </c>
      <c r="F34" s="686">
        <v>45658</v>
      </c>
      <c r="G34" s="595" t="s">
        <v>8991</v>
      </c>
      <c r="H34" s="194"/>
      <c r="I34" s="193">
        <v>46296</v>
      </c>
      <c r="J34" s="190"/>
      <c r="K34" s="196">
        <f t="shared" si="6"/>
        <v>0</v>
      </c>
      <c r="L34" s="190">
        <f t="shared" si="8"/>
        <v>0</v>
      </c>
      <c r="M34" s="196">
        <f>SUMIFS(E$5:E$1868,F$5:F$1868,I34,G$5:G$1868,$M$3)</f>
        <v>0</v>
      </c>
      <c r="N34" s="190" t="e">
        <f>SUMIFS(#REF!,#REF!,I34,#REF!,$N$3)</f>
        <v>#REF!</v>
      </c>
    </row>
    <row r="35" spans="1:14" s="195" customFormat="1" ht="15.75" hidden="1" customHeight="1">
      <c r="A35" s="191"/>
      <c r="B35" s="597">
        <v>45681</v>
      </c>
      <c r="C35" s="598" t="s">
        <v>8997</v>
      </c>
      <c r="D35" s="599" t="s">
        <v>8990</v>
      </c>
      <c r="E35" s="593">
        <v>-48800</v>
      </c>
      <c r="F35" s="686">
        <v>45658</v>
      </c>
      <c r="G35" s="598" t="s">
        <v>291</v>
      </c>
      <c r="H35" s="194"/>
      <c r="I35" s="189">
        <v>46327</v>
      </c>
      <c r="J35" s="190"/>
      <c r="K35" s="196">
        <f t="shared" si="6"/>
        <v>0</v>
      </c>
      <c r="L35" s="190">
        <f t="shared" si="8"/>
        <v>0</v>
      </c>
      <c r="M35" s="196">
        <f>SUMIFS(E$5:E$1868,F$5:F$1868,I35,G$5:G$1868,$M$3)</f>
        <v>0</v>
      </c>
      <c r="N35" s="190" t="e">
        <f>SUMIFS(#REF!,#REF!,I35,#REF!,$N$3)</f>
        <v>#REF!</v>
      </c>
    </row>
    <row r="36" spans="1:14" s="195" customFormat="1" ht="15.75" hidden="1" customHeight="1">
      <c r="A36" s="191"/>
      <c r="B36" s="516">
        <v>45681</v>
      </c>
      <c r="C36" s="595" t="s">
        <v>8986</v>
      </c>
      <c r="D36" s="594" t="s">
        <v>8990</v>
      </c>
      <c r="E36" s="593">
        <v>-32225</v>
      </c>
      <c r="F36" s="686">
        <v>45658</v>
      </c>
      <c r="G36" s="595" t="s">
        <v>8991</v>
      </c>
      <c r="H36" s="194"/>
      <c r="I36" s="193">
        <v>46357</v>
      </c>
      <c r="J36" s="190"/>
      <c r="K36" s="196">
        <f t="shared" si="6"/>
        <v>0</v>
      </c>
      <c r="L36" s="190">
        <f t="shared" si="8"/>
        <v>0</v>
      </c>
      <c r="M36" s="196">
        <f>SUMIFS(E$5:E$1868,F$5:F$1868,I36,G$5:G$1868,$M$3)</f>
        <v>0</v>
      </c>
      <c r="N36" s="190" t="e">
        <f>SUMIFS(#REF!,#REF!,I36,#REF!,$N$3)</f>
        <v>#REF!</v>
      </c>
    </row>
    <row r="37" spans="1:14" ht="15" hidden="1" customHeight="1">
      <c r="B37" s="516">
        <v>45681</v>
      </c>
      <c r="C37" s="537" t="s">
        <v>8984</v>
      </c>
      <c r="D37" s="538" t="s">
        <v>204</v>
      </c>
      <c r="E37" s="593">
        <v>-134300</v>
      </c>
      <c r="F37" s="592">
        <v>45658</v>
      </c>
      <c r="G37" s="537" t="s">
        <v>291</v>
      </c>
    </row>
    <row r="38" spans="1:14" ht="15" hidden="1" customHeight="1">
      <c r="B38" s="516">
        <v>45681</v>
      </c>
      <c r="C38" s="537" t="s">
        <v>8986</v>
      </c>
      <c r="D38" s="741" t="s">
        <v>204</v>
      </c>
      <c r="E38" s="593">
        <v>-936991.35</v>
      </c>
      <c r="F38" s="539">
        <v>45658</v>
      </c>
      <c r="G38" s="537" t="s">
        <v>8991</v>
      </c>
    </row>
    <row r="39" spans="1:14" ht="15" hidden="1" customHeight="1">
      <c r="B39" s="516">
        <v>45681</v>
      </c>
      <c r="C39" s="590" t="s">
        <v>8992</v>
      </c>
      <c r="D39" s="591" t="s">
        <v>204</v>
      </c>
      <c r="E39" s="593">
        <v>-25517</v>
      </c>
      <c r="F39" s="539">
        <v>45658</v>
      </c>
      <c r="G39" s="590" t="s">
        <v>8991</v>
      </c>
    </row>
    <row r="40" spans="1:14" ht="15" hidden="1" customHeight="1">
      <c r="B40" s="516">
        <v>45687</v>
      </c>
      <c r="C40" s="590" t="s">
        <v>8986</v>
      </c>
      <c r="D40" s="538" t="s">
        <v>204</v>
      </c>
      <c r="E40" s="593">
        <v>-1867344.7</v>
      </c>
      <c r="F40" s="539">
        <v>45658</v>
      </c>
      <c r="G40" s="590" t="s">
        <v>8991</v>
      </c>
    </row>
    <row r="41" spans="1:14" ht="15" hidden="1" customHeight="1">
      <c r="B41" s="516">
        <v>45687</v>
      </c>
      <c r="C41" s="537" t="s">
        <v>8986</v>
      </c>
      <c r="D41" s="683" t="s">
        <v>136</v>
      </c>
      <c r="E41" s="593">
        <v>-932130</v>
      </c>
      <c r="F41" s="596">
        <v>45658</v>
      </c>
      <c r="G41" s="726" t="s">
        <v>8991</v>
      </c>
    </row>
    <row r="42" spans="1:14" ht="15" hidden="1" customHeight="1">
      <c r="B42" s="516">
        <v>45687</v>
      </c>
      <c r="C42" s="598" t="s">
        <v>8997</v>
      </c>
      <c r="D42" s="684" t="s">
        <v>8990</v>
      </c>
      <c r="E42" s="593">
        <v>-10800</v>
      </c>
      <c r="F42" s="686">
        <v>45658</v>
      </c>
      <c r="G42" s="595" t="s">
        <v>291</v>
      </c>
    </row>
    <row r="43" spans="1:14" ht="15" hidden="1" customHeight="1">
      <c r="B43" s="516">
        <v>45687</v>
      </c>
      <c r="C43" s="598" t="s">
        <v>8986</v>
      </c>
      <c r="D43" s="684" t="s">
        <v>8990</v>
      </c>
      <c r="E43" s="593">
        <v>-33620</v>
      </c>
      <c r="F43" s="686">
        <v>45658</v>
      </c>
      <c r="G43" s="689" t="s">
        <v>8991</v>
      </c>
    </row>
    <row r="44" spans="1:14" ht="15" hidden="1" customHeight="1">
      <c r="B44" s="516">
        <v>45688</v>
      </c>
      <c r="C44" s="590" t="s">
        <v>8984</v>
      </c>
      <c r="D44" s="591" t="s">
        <v>204</v>
      </c>
      <c r="E44" s="593">
        <v>-63200</v>
      </c>
      <c r="F44" s="539">
        <v>45658</v>
      </c>
      <c r="G44" s="590" t="s">
        <v>291</v>
      </c>
    </row>
    <row r="45" spans="1:14" ht="15" hidden="1" customHeight="1">
      <c r="B45" s="516">
        <v>45688</v>
      </c>
      <c r="C45" s="537" t="s">
        <v>8992</v>
      </c>
      <c r="D45" s="538" t="s">
        <v>204</v>
      </c>
      <c r="E45" s="593">
        <v>-12008</v>
      </c>
      <c r="F45" s="539">
        <v>45658</v>
      </c>
      <c r="G45" s="590" t="s">
        <v>8991</v>
      </c>
    </row>
    <row r="46" spans="1:14" ht="15" hidden="1" customHeight="1">
      <c r="B46" s="516">
        <v>45688</v>
      </c>
      <c r="C46" s="598" t="s">
        <v>8988</v>
      </c>
      <c r="D46" s="594" t="s">
        <v>398</v>
      </c>
      <c r="E46" s="593">
        <v>14.72</v>
      </c>
      <c r="F46" s="596">
        <v>45658</v>
      </c>
      <c r="G46" s="598" t="s">
        <v>291</v>
      </c>
    </row>
    <row r="47" spans="1:14" ht="15" hidden="1" customHeight="1">
      <c r="B47" s="516">
        <v>45688</v>
      </c>
      <c r="C47" s="682" t="s">
        <v>8996</v>
      </c>
      <c r="D47" s="827" t="s">
        <v>136</v>
      </c>
      <c r="E47" s="593">
        <v>390.50277879834175</v>
      </c>
      <c r="F47" s="592">
        <v>45658</v>
      </c>
      <c r="G47" s="726" t="s">
        <v>291</v>
      </c>
    </row>
    <row r="48" spans="1:14" ht="15" hidden="1" customHeight="1">
      <c r="B48" s="516">
        <v>45688</v>
      </c>
      <c r="C48" s="590" t="s">
        <v>8986</v>
      </c>
      <c r="D48" s="518" t="s">
        <v>136</v>
      </c>
      <c r="E48" s="593">
        <v>-86997</v>
      </c>
      <c r="F48" s="686">
        <v>45658</v>
      </c>
      <c r="G48" s="595" t="s">
        <v>8991</v>
      </c>
    </row>
    <row r="49" spans="2:7" ht="15" hidden="1" customHeight="1">
      <c r="B49" s="516">
        <v>45688</v>
      </c>
      <c r="C49" s="590" t="s">
        <v>8986</v>
      </c>
      <c r="D49" s="538" t="s">
        <v>204</v>
      </c>
      <c r="E49" s="593">
        <v>-20299.62</v>
      </c>
      <c r="F49" s="686">
        <v>45658</v>
      </c>
      <c r="G49" s="726" t="s">
        <v>8991</v>
      </c>
    </row>
    <row r="50" spans="2:7" ht="15" hidden="1" customHeight="1">
      <c r="B50" s="516">
        <v>45688</v>
      </c>
      <c r="C50" s="598" t="s">
        <v>8988</v>
      </c>
      <c r="D50" s="594" t="s">
        <v>398</v>
      </c>
      <c r="E50" s="593">
        <v>1.96</v>
      </c>
      <c r="F50" s="832">
        <v>45658</v>
      </c>
      <c r="G50" s="598" t="s">
        <v>291</v>
      </c>
    </row>
    <row r="51" spans="2:7" ht="15" hidden="1" customHeight="1">
      <c r="B51" s="516">
        <v>45688</v>
      </c>
      <c r="C51" s="598" t="s">
        <v>8997</v>
      </c>
      <c r="D51" s="594" t="s">
        <v>8990</v>
      </c>
      <c r="E51" s="593">
        <v>-2700</v>
      </c>
      <c r="F51" s="832">
        <v>45658</v>
      </c>
      <c r="G51" s="689" t="s">
        <v>291</v>
      </c>
    </row>
    <row r="52" spans="2:7" ht="15" hidden="1" customHeight="1">
      <c r="B52" s="516">
        <v>45688</v>
      </c>
      <c r="C52" s="595" t="s">
        <v>8986</v>
      </c>
      <c r="D52" s="594" t="s">
        <v>8990</v>
      </c>
      <c r="E52" s="593">
        <v>-8011</v>
      </c>
      <c r="F52" s="832">
        <v>45658</v>
      </c>
      <c r="G52" s="508" t="s">
        <v>8991</v>
      </c>
    </row>
    <row r="53" spans="2:7" ht="15" hidden="1" customHeight="1">
      <c r="B53" s="516">
        <v>45688</v>
      </c>
      <c r="C53" s="590" t="s">
        <v>8988</v>
      </c>
      <c r="D53" s="591" t="s">
        <v>8999</v>
      </c>
      <c r="E53" s="593">
        <v>148750.91999995708</v>
      </c>
      <c r="F53" s="832">
        <v>45658</v>
      </c>
      <c r="G53" s="508" t="s">
        <v>291</v>
      </c>
    </row>
    <row r="54" spans="2:7" ht="15" hidden="1" customHeight="1">
      <c r="B54" s="516">
        <v>45695</v>
      </c>
      <c r="C54" s="537" t="s">
        <v>8984</v>
      </c>
      <c r="D54" s="741" t="s">
        <v>204</v>
      </c>
      <c r="E54" s="711">
        <v>-244900</v>
      </c>
      <c r="F54" s="505">
        <v>45689</v>
      </c>
      <c r="G54" s="590" t="s">
        <v>291</v>
      </c>
    </row>
    <row r="55" spans="2:7" ht="15" hidden="1" customHeight="1">
      <c r="B55" s="516">
        <v>45695</v>
      </c>
      <c r="C55" s="517" t="s">
        <v>8986</v>
      </c>
      <c r="D55" s="741" t="s">
        <v>204</v>
      </c>
      <c r="E55" s="711">
        <v>-1893196</v>
      </c>
      <c r="F55" s="505">
        <v>45689</v>
      </c>
      <c r="G55" s="726" t="s">
        <v>8991</v>
      </c>
    </row>
    <row r="56" spans="2:7" ht="15" hidden="1" customHeight="1">
      <c r="B56" s="516">
        <v>45695</v>
      </c>
      <c r="C56" s="590" t="s">
        <v>8992</v>
      </c>
      <c r="D56" s="538" t="s">
        <v>204</v>
      </c>
      <c r="E56" s="711">
        <v>-46531</v>
      </c>
      <c r="F56" s="505">
        <v>45689</v>
      </c>
      <c r="G56" s="590" t="s">
        <v>8991</v>
      </c>
    </row>
    <row r="57" spans="2:7" ht="15" hidden="1" customHeight="1">
      <c r="B57" s="516">
        <v>45695</v>
      </c>
      <c r="C57" s="590" t="s">
        <v>8986</v>
      </c>
      <c r="D57" s="518" t="s">
        <v>136</v>
      </c>
      <c r="E57" s="593">
        <v>-214078</v>
      </c>
      <c r="F57" s="505">
        <v>45689</v>
      </c>
      <c r="G57" s="590" t="s">
        <v>8991</v>
      </c>
    </row>
    <row r="58" spans="2:7" ht="15" hidden="1" customHeight="1">
      <c r="B58" s="516">
        <v>45695</v>
      </c>
      <c r="C58" s="595" t="s">
        <v>8997</v>
      </c>
      <c r="D58" s="594" t="s">
        <v>8990</v>
      </c>
      <c r="E58" s="593">
        <v>-5400</v>
      </c>
      <c r="F58" s="505">
        <v>45689</v>
      </c>
      <c r="G58" s="690" t="s">
        <v>291</v>
      </c>
    </row>
    <row r="59" spans="2:7" ht="15" hidden="1" customHeight="1">
      <c r="B59" s="516">
        <v>45695</v>
      </c>
      <c r="C59" s="598" t="s">
        <v>8986</v>
      </c>
      <c r="D59" s="594" t="s">
        <v>8990</v>
      </c>
      <c r="E59" s="593">
        <v>-73221</v>
      </c>
      <c r="F59" s="505">
        <v>45689</v>
      </c>
      <c r="G59" s="590" t="s">
        <v>8991</v>
      </c>
    </row>
    <row r="60" spans="2:7" ht="15" hidden="1" customHeight="1">
      <c r="B60" s="516">
        <v>45695</v>
      </c>
      <c r="C60" s="598" t="s">
        <v>8988</v>
      </c>
      <c r="D60" s="594" t="s">
        <v>398</v>
      </c>
      <c r="E60" s="593">
        <v>65.66</v>
      </c>
      <c r="F60" s="505">
        <v>45689</v>
      </c>
      <c r="G60" s="598" t="s">
        <v>291</v>
      </c>
    </row>
    <row r="61" spans="2:7" ht="15" hidden="1" customHeight="1">
      <c r="B61" s="516">
        <v>45695</v>
      </c>
      <c r="C61" s="682" t="s">
        <v>8996</v>
      </c>
      <c r="D61" s="518" t="s">
        <v>204</v>
      </c>
      <c r="E61" s="593">
        <v>27.58</v>
      </c>
      <c r="F61" s="505">
        <v>45689</v>
      </c>
      <c r="G61" s="598" t="s">
        <v>291</v>
      </c>
    </row>
    <row r="62" spans="2:7" ht="15" hidden="1" customHeight="1">
      <c r="B62" s="516">
        <v>45702</v>
      </c>
      <c r="C62" s="590" t="s">
        <v>8992</v>
      </c>
      <c r="D62" s="741" t="s">
        <v>204</v>
      </c>
      <c r="E62" s="711">
        <v>-60040</v>
      </c>
      <c r="F62" s="505">
        <v>45689</v>
      </c>
      <c r="G62" s="690" t="s">
        <v>8991</v>
      </c>
    </row>
    <row r="63" spans="2:7" ht="15" hidden="1" customHeight="1">
      <c r="B63" s="516">
        <v>45702</v>
      </c>
      <c r="C63" s="517" t="s">
        <v>8986</v>
      </c>
      <c r="D63" s="591" t="s">
        <v>204</v>
      </c>
      <c r="E63" s="711">
        <v>-3140588.07</v>
      </c>
      <c r="F63" s="505">
        <v>45689</v>
      </c>
      <c r="G63" s="726" t="s">
        <v>8991</v>
      </c>
    </row>
    <row r="64" spans="2:7" ht="15" hidden="1" customHeight="1">
      <c r="B64" s="516">
        <v>45702</v>
      </c>
      <c r="C64" s="590" t="s">
        <v>8984</v>
      </c>
      <c r="D64" s="538" t="s">
        <v>204</v>
      </c>
      <c r="E64" s="711">
        <v>-316000</v>
      </c>
      <c r="F64" s="505">
        <v>45689</v>
      </c>
      <c r="G64" s="590" t="s">
        <v>291</v>
      </c>
    </row>
    <row r="65" spans="2:8" ht="15" hidden="1" customHeight="1">
      <c r="B65" s="516">
        <v>45702</v>
      </c>
      <c r="C65" s="598" t="s">
        <v>8997</v>
      </c>
      <c r="D65" s="594" t="s">
        <v>8990</v>
      </c>
      <c r="E65" s="593">
        <v>-10800</v>
      </c>
      <c r="F65" s="505">
        <v>45689</v>
      </c>
      <c r="G65" s="590" t="s">
        <v>291</v>
      </c>
    </row>
    <row r="66" spans="2:8" ht="15" hidden="1" customHeight="1">
      <c r="B66" s="516">
        <v>45702</v>
      </c>
      <c r="C66" s="598" t="s">
        <v>8986</v>
      </c>
      <c r="D66" s="594" t="s">
        <v>8990</v>
      </c>
      <c r="E66" s="593">
        <v>-32694</v>
      </c>
      <c r="F66" s="505">
        <v>45689</v>
      </c>
      <c r="G66" s="590" t="s">
        <v>8991</v>
      </c>
    </row>
    <row r="67" spans="2:8" ht="15" hidden="1" customHeight="1">
      <c r="B67" s="516">
        <v>45702</v>
      </c>
      <c r="C67" s="590" t="s">
        <v>8986</v>
      </c>
      <c r="D67" s="683" t="s">
        <v>136</v>
      </c>
      <c r="E67" s="593">
        <v>-367839</v>
      </c>
      <c r="F67" s="505">
        <v>45689</v>
      </c>
      <c r="G67" s="590" t="s">
        <v>8991</v>
      </c>
    </row>
    <row r="68" spans="2:8" ht="15" hidden="1" customHeight="1">
      <c r="B68" s="516">
        <v>45702</v>
      </c>
      <c r="C68" s="682" t="s">
        <v>8996</v>
      </c>
      <c r="D68" s="538" t="s">
        <v>204</v>
      </c>
      <c r="E68" s="720">
        <v>85.281515896320343</v>
      </c>
      <c r="F68" s="505">
        <v>45689</v>
      </c>
      <c r="G68" s="726" t="s">
        <v>291</v>
      </c>
    </row>
    <row r="69" spans="2:8" ht="15" hidden="1" customHeight="1">
      <c r="B69" s="516">
        <v>45702</v>
      </c>
      <c r="C69" s="595" t="s">
        <v>8988</v>
      </c>
      <c r="D69" s="684" t="s">
        <v>398</v>
      </c>
      <c r="E69" s="593">
        <v>70.7</v>
      </c>
      <c r="F69" s="505">
        <v>45689</v>
      </c>
      <c r="G69" s="598" t="s">
        <v>291</v>
      </c>
    </row>
    <row r="70" spans="2:8" ht="15" hidden="1" customHeight="1">
      <c r="B70" s="516">
        <v>45708</v>
      </c>
      <c r="C70" s="517" t="s">
        <v>8992</v>
      </c>
      <c r="D70" s="684" t="s">
        <v>8990</v>
      </c>
      <c r="E70" s="828">
        <v>-7595</v>
      </c>
      <c r="F70" s="505">
        <v>45689</v>
      </c>
      <c r="G70" s="690" t="s">
        <v>8991</v>
      </c>
    </row>
    <row r="71" spans="2:8" ht="15" hidden="1" customHeight="1">
      <c r="B71" s="516">
        <v>45709</v>
      </c>
      <c r="C71" s="590" t="s">
        <v>8984</v>
      </c>
      <c r="D71" s="591" t="s">
        <v>204</v>
      </c>
      <c r="E71" s="711">
        <v>-276500</v>
      </c>
      <c r="F71" s="505">
        <v>45689</v>
      </c>
      <c r="G71" s="690" t="s">
        <v>291</v>
      </c>
    </row>
    <row r="72" spans="2:8" ht="15" hidden="1" customHeight="1">
      <c r="B72" s="516">
        <v>45709</v>
      </c>
      <c r="C72" s="517" t="s">
        <v>8986</v>
      </c>
      <c r="D72" s="538" t="s">
        <v>204</v>
      </c>
      <c r="E72" s="711">
        <v>-872178.6</v>
      </c>
      <c r="F72" s="505">
        <v>45689</v>
      </c>
      <c r="G72" s="598" t="s">
        <v>8991</v>
      </c>
    </row>
    <row r="73" spans="2:8" ht="15" hidden="1" customHeight="1">
      <c r="B73" s="516">
        <v>45709</v>
      </c>
      <c r="C73" s="537" t="s">
        <v>8992</v>
      </c>
      <c r="D73" s="538" t="s">
        <v>204</v>
      </c>
      <c r="E73" s="711">
        <v>-52535</v>
      </c>
      <c r="F73" s="505">
        <v>45689</v>
      </c>
      <c r="G73" s="690" t="s">
        <v>8991</v>
      </c>
    </row>
    <row r="74" spans="2:8" ht="15" hidden="1" customHeight="1">
      <c r="B74" s="516">
        <v>45709</v>
      </c>
      <c r="C74" s="598" t="s">
        <v>8997</v>
      </c>
      <c r="D74" s="594" t="s">
        <v>8990</v>
      </c>
      <c r="E74" s="593">
        <v>-8100</v>
      </c>
      <c r="F74" s="505">
        <v>45689</v>
      </c>
      <c r="G74" s="590" t="s">
        <v>291</v>
      </c>
    </row>
    <row r="75" spans="2:8" ht="15" hidden="1" customHeight="1">
      <c r="B75" s="516">
        <v>45709</v>
      </c>
      <c r="C75" s="598" t="s">
        <v>8986</v>
      </c>
      <c r="D75" s="594" t="s">
        <v>8990</v>
      </c>
      <c r="E75" s="593">
        <v>-40245</v>
      </c>
      <c r="F75" s="505">
        <v>45689</v>
      </c>
      <c r="G75" s="590" t="s">
        <v>8991</v>
      </c>
    </row>
    <row r="76" spans="2:8" ht="15" hidden="1" customHeight="1">
      <c r="B76" s="516">
        <v>45709</v>
      </c>
      <c r="C76" s="590" t="s">
        <v>8986</v>
      </c>
      <c r="D76" s="518" t="s">
        <v>136</v>
      </c>
      <c r="E76" s="593">
        <v>-28291</v>
      </c>
      <c r="F76" s="505">
        <v>45689</v>
      </c>
      <c r="G76" s="590" t="s">
        <v>8991</v>
      </c>
    </row>
    <row r="77" spans="2:8" ht="15" hidden="1" customHeight="1">
      <c r="B77" s="516">
        <v>45709</v>
      </c>
      <c r="C77" s="598" t="s">
        <v>8988</v>
      </c>
      <c r="D77" s="594" t="s">
        <v>398</v>
      </c>
      <c r="E77" s="593">
        <v>62.7</v>
      </c>
      <c r="F77" s="505">
        <v>45689</v>
      </c>
      <c r="G77" s="598" t="s">
        <v>291</v>
      </c>
    </row>
    <row r="78" spans="2:8" ht="15" hidden="1" customHeight="1">
      <c r="B78" s="516">
        <v>45709</v>
      </c>
      <c r="C78" s="590" t="s">
        <v>8992</v>
      </c>
      <c r="D78" s="594" t="s">
        <v>398</v>
      </c>
      <c r="E78" s="593">
        <v>-1387</v>
      </c>
      <c r="F78" s="505">
        <v>45689</v>
      </c>
      <c r="G78" s="590" t="s">
        <v>8991</v>
      </c>
    </row>
    <row r="79" spans="2:8" ht="15" hidden="1" customHeight="1">
      <c r="B79" s="516">
        <v>45709</v>
      </c>
      <c r="C79" s="537" t="s">
        <v>8984</v>
      </c>
      <c r="D79" s="594" t="s">
        <v>398</v>
      </c>
      <c r="E79" s="830">
        <v>-7300</v>
      </c>
      <c r="F79" s="505">
        <v>45689</v>
      </c>
      <c r="G79" s="726" t="s">
        <v>291</v>
      </c>
    </row>
    <row r="80" spans="2:8" ht="15" hidden="1" customHeight="1">
      <c r="B80" s="516">
        <v>45709</v>
      </c>
      <c r="C80" s="517" t="s">
        <v>8993</v>
      </c>
      <c r="D80" s="594" t="s">
        <v>398</v>
      </c>
      <c r="E80" s="830">
        <v>-14200</v>
      </c>
      <c r="F80" s="505">
        <v>45689</v>
      </c>
      <c r="G80" s="598" t="s">
        <v>291</v>
      </c>
      <c r="H80" s="203" t="s">
        <v>9000</v>
      </c>
    </row>
    <row r="81" spans="2:7" ht="15" hidden="1" customHeight="1">
      <c r="B81" s="516">
        <v>45709</v>
      </c>
      <c r="C81" s="517" t="s">
        <v>8996</v>
      </c>
      <c r="D81" s="685" t="s">
        <v>204</v>
      </c>
      <c r="E81" s="830">
        <v>-62.3499995470047</v>
      </c>
      <c r="F81" s="505">
        <v>45689</v>
      </c>
      <c r="G81" s="726" t="s">
        <v>291</v>
      </c>
    </row>
    <row r="82" spans="2:7" ht="15" hidden="1" customHeight="1">
      <c r="B82" s="516">
        <v>45716</v>
      </c>
      <c r="C82" s="537" t="s">
        <v>8984</v>
      </c>
      <c r="D82" s="741" t="s">
        <v>204</v>
      </c>
      <c r="E82" s="829">
        <v>-395000</v>
      </c>
      <c r="F82" s="505">
        <v>45689</v>
      </c>
      <c r="G82" s="590" t="s">
        <v>291</v>
      </c>
    </row>
    <row r="83" spans="2:7" ht="15" hidden="1" customHeight="1">
      <c r="B83" s="516">
        <v>45716</v>
      </c>
      <c r="C83" s="517" t="s">
        <v>8986</v>
      </c>
      <c r="D83" s="741" t="s">
        <v>204</v>
      </c>
      <c r="E83" s="829">
        <v>-3721651.33</v>
      </c>
      <c r="F83" s="505">
        <v>45689</v>
      </c>
      <c r="G83" s="726" t="s">
        <v>8991</v>
      </c>
    </row>
    <row r="84" spans="2:7" ht="15" hidden="1" customHeight="1">
      <c r="B84" s="516">
        <v>45716</v>
      </c>
      <c r="C84" s="590" t="s">
        <v>8992</v>
      </c>
      <c r="D84" s="741" t="s">
        <v>204</v>
      </c>
      <c r="E84" s="712">
        <v>-75050</v>
      </c>
      <c r="F84" s="505">
        <v>45689</v>
      </c>
      <c r="G84" s="690" t="s">
        <v>8991</v>
      </c>
    </row>
    <row r="85" spans="2:7" ht="15" hidden="1" customHeight="1">
      <c r="B85" s="516">
        <v>45716</v>
      </c>
      <c r="C85" s="590" t="s">
        <v>8984</v>
      </c>
      <c r="D85" s="538" t="s">
        <v>204</v>
      </c>
      <c r="E85" s="713">
        <v>-101496</v>
      </c>
      <c r="F85" s="505">
        <v>45689</v>
      </c>
      <c r="G85" s="590" t="s">
        <v>291</v>
      </c>
    </row>
    <row r="86" spans="2:7" ht="15" hidden="1" customHeight="1">
      <c r="B86" s="516">
        <v>45716</v>
      </c>
      <c r="C86" s="590" t="s">
        <v>8986</v>
      </c>
      <c r="D86" s="518" t="s">
        <v>136</v>
      </c>
      <c r="E86" s="296">
        <v>-55009</v>
      </c>
      <c r="F86" s="505">
        <v>45689</v>
      </c>
      <c r="G86" s="690" t="s">
        <v>8991</v>
      </c>
    </row>
    <row r="87" spans="2:7" ht="15" hidden="1" customHeight="1">
      <c r="B87" s="516">
        <v>45716</v>
      </c>
      <c r="C87" s="598" t="s">
        <v>8997</v>
      </c>
      <c r="D87" s="684" t="s">
        <v>8990</v>
      </c>
      <c r="E87" s="296">
        <v>-62276</v>
      </c>
      <c r="F87" s="505">
        <v>45689</v>
      </c>
      <c r="G87" s="690" t="s">
        <v>291</v>
      </c>
    </row>
    <row r="88" spans="2:7" ht="15" hidden="1" customHeight="1">
      <c r="B88" s="516">
        <v>45716</v>
      </c>
      <c r="C88" s="598" t="s">
        <v>8986</v>
      </c>
      <c r="D88" s="684" t="s">
        <v>8990</v>
      </c>
      <c r="E88" s="296">
        <v>-18281</v>
      </c>
      <c r="F88" s="505">
        <v>45689</v>
      </c>
      <c r="G88" s="690" t="s">
        <v>8991</v>
      </c>
    </row>
    <row r="89" spans="2:7" ht="15" hidden="1" customHeight="1">
      <c r="B89" s="516">
        <v>45716</v>
      </c>
      <c r="C89" s="598" t="s">
        <v>8988</v>
      </c>
      <c r="D89" s="594" t="s">
        <v>398</v>
      </c>
      <c r="E89" s="296">
        <f>7.32+3.45</f>
        <v>10.77</v>
      </c>
      <c r="F89" s="505">
        <v>45689</v>
      </c>
      <c r="G89" s="726" t="s">
        <v>291</v>
      </c>
    </row>
    <row r="90" spans="2:7" ht="15" hidden="1" customHeight="1">
      <c r="B90" s="516">
        <v>45716</v>
      </c>
      <c r="C90" s="598" t="s">
        <v>8986</v>
      </c>
      <c r="D90" s="683" t="s">
        <v>136</v>
      </c>
      <c r="E90" s="296">
        <v>-888363</v>
      </c>
      <c r="F90" s="505">
        <v>45689</v>
      </c>
      <c r="G90" s="590" t="s">
        <v>8991</v>
      </c>
    </row>
    <row r="91" spans="2:7" ht="15" hidden="1" customHeight="1">
      <c r="B91" s="516">
        <v>45716</v>
      </c>
      <c r="C91" s="517" t="s">
        <v>8996</v>
      </c>
      <c r="D91" s="827" t="s">
        <v>136</v>
      </c>
      <c r="E91" s="296">
        <v>-29.296083569526672</v>
      </c>
      <c r="F91" s="505">
        <v>45689</v>
      </c>
      <c r="G91" s="689" t="s">
        <v>291</v>
      </c>
    </row>
    <row r="92" spans="2:7" ht="15" hidden="1" customHeight="1">
      <c r="B92" s="516">
        <v>45716</v>
      </c>
      <c r="C92" s="682" t="s">
        <v>8992</v>
      </c>
      <c r="D92" s="594" t="s">
        <v>8990</v>
      </c>
      <c r="E92" s="296">
        <v>-3211</v>
      </c>
      <c r="F92" s="505">
        <v>45689</v>
      </c>
      <c r="G92" s="690" t="s">
        <v>8991</v>
      </c>
    </row>
    <row r="93" spans="2:7" ht="15" hidden="1" customHeight="1">
      <c r="B93" s="516">
        <v>45716</v>
      </c>
      <c r="C93" s="517" t="s">
        <v>8988</v>
      </c>
      <c r="D93" s="538" t="s">
        <v>8999</v>
      </c>
      <c r="E93" s="296">
        <v>134401.37999910116</v>
      </c>
      <c r="F93" s="505">
        <v>45689</v>
      </c>
      <c r="G93" s="689" t="s">
        <v>291</v>
      </c>
    </row>
    <row r="94" spans="2:7" ht="15" hidden="1" customHeight="1">
      <c r="B94" s="516">
        <v>45723</v>
      </c>
      <c r="C94" s="598" t="s">
        <v>8997</v>
      </c>
      <c r="D94" s="684" t="s">
        <v>8990</v>
      </c>
      <c r="E94" s="296">
        <v>-10800</v>
      </c>
      <c r="F94" s="505">
        <v>45717</v>
      </c>
      <c r="G94" s="690" t="s">
        <v>291</v>
      </c>
    </row>
    <row r="95" spans="2:7" ht="15" hidden="1" customHeight="1">
      <c r="B95" s="516">
        <v>45723</v>
      </c>
      <c r="C95" s="595" t="s">
        <v>8986</v>
      </c>
      <c r="D95" s="684" t="s">
        <v>8990</v>
      </c>
      <c r="E95" s="296">
        <v>-89848</v>
      </c>
      <c r="F95" s="505">
        <v>45717</v>
      </c>
      <c r="G95" s="690" t="s">
        <v>8991</v>
      </c>
    </row>
    <row r="96" spans="2:7" ht="15" hidden="1" customHeight="1">
      <c r="B96" s="516">
        <v>45723</v>
      </c>
      <c r="C96" s="590" t="s">
        <v>8984</v>
      </c>
      <c r="D96" s="741" t="s">
        <v>204</v>
      </c>
      <c r="E96" s="296">
        <v>-268600</v>
      </c>
      <c r="F96" s="505">
        <v>45717</v>
      </c>
      <c r="G96" s="690" t="s">
        <v>291</v>
      </c>
    </row>
    <row r="97" spans="2:8" ht="15" hidden="1" customHeight="1">
      <c r="B97" s="516">
        <v>45723</v>
      </c>
      <c r="C97" s="517" t="s">
        <v>8986</v>
      </c>
      <c r="D97" s="741" t="s">
        <v>204</v>
      </c>
      <c r="E97" s="296">
        <v>-6413382.4000000004</v>
      </c>
      <c r="F97" s="505">
        <v>45717</v>
      </c>
      <c r="G97" s="598" t="s">
        <v>8991</v>
      </c>
    </row>
    <row r="98" spans="2:8" s="198" customFormat="1" ht="15.75" hidden="1" customHeight="1">
      <c r="B98" s="516">
        <v>45723</v>
      </c>
      <c r="C98" s="590" t="s">
        <v>8992</v>
      </c>
      <c r="D98" s="741" t="s">
        <v>204</v>
      </c>
      <c r="E98" s="296">
        <v>-68134</v>
      </c>
      <c r="F98" s="505">
        <v>45717</v>
      </c>
      <c r="G98" s="590" t="s">
        <v>8991</v>
      </c>
    </row>
    <row r="99" spans="2:8" s="198" customFormat="1" ht="15.75" hidden="1" customHeight="1">
      <c r="B99" s="516">
        <v>45723</v>
      </c>
      <c r="C99" s="682" t="s">
        <v>9001</v>
      </c>
      <c r="D99" s="741" t="s">
        <v>204</v>
      </c>
      <c r="E99" s="296">
        <v>-90000</v>
      </c>
      <c r="F99" s="505">
        <v>45717</v>
      </c>
      <c r="G99" s="690" t="s">
        <v>291</v>
      </c>
    </row>
    <row r="100" spans="2:8" s="198" customFormat="1" ht="15.75" hidden="1" customHeight="1">
      <c r="B100" s="516">
        <v>45723</v>
      </c>
      <c r="C100" s="598" t="s">
        <v>8986</v>
      </c>
      <c r="D100" s="519" t="s">
        <v>136</v>
      </c>
      <c r="E100" s="296">
        <v>-58103</v>
      </c>
      <c r="F100" s="505">
        <v>45717</v>
      </c>
      <c r="G100" s="690" t="s">
        <v>8991</v>
      </c>
    </row>
    <row r="101" spans="2:8" s="198" customFormat="1" ht="15.75" hidden="1" customHeight="1">
      <c r="B101" s="516">
        <v>45723</v>
      </c>
      <c r="C101" s="598" t="s">
        <v>8988</v>
      </c>
      <c r="D101" s="518" t="s">
        <v>398</v>
      </c>
      <c r="E101" s="296">
        <v>44.53</v>
      </c>
      <c r="F101" s="505">
        <v>45717</v>
      </c>
      <c r="G101" s="726" t="s">
        <v>291</v>
      </c>
      <c r="H101" s="305"/>
    </row>
    <row r="102" spans="2:8" s="198" customFormat="1" ht="15.75" hidden="1" customHeight="1">
      <c r="B102" s="516">
        <v>45723</v>
      </c>
      <c r="C102" s="517" t="s">
        <v>8996</v>
      </c>
      <c r="D102" s="518" t="s">
        <v>204</v>
      </c>
      <c r="E102" s="296">
        <v>61.659997761249542</v>
      </c>
      <c r="F102" s="505">
        <v>45717</v>
      </c>
      <c r="G102" s="690" t="s">
        <v>291</v>
      </c>
      <c r="H102" s="305"/>
    </row>
    <row r="103" spans="2:8" s="198" customFormat="1" ht="15.75" hidden="1" customHeight="1">
      <c r="B103" s="516">
        <v>45730</v>
      </c>
      <c r="C103" s="598" t="s">
        <v>8997</v>
      </c>
      <c r="D103" s="594" t="s">
        <v>8990</v>
      </c>
      <c r="E103" s="296">
        <v>-9608</v>
      </c>
      <c r="F103" s="505">
        <v>45717</v>
      </c>
      <c r="G103" s="598" t="s">
        <v>291</v>
      </c>
    </row>
    <row r="104" spans="2:8" s="198" customFormat="1" ht="15.75" hidden="1" customHeight="1">
      <c r="B104" s="516">
        <v>45730</v>
      </c>
      <c r="C104" s="517" t="s">
        <v>8992</v>
      </c>
      <c r="D104" s="594" t="s">
        <v>8990</v>
      </c>
      <c r="E104" s="296">
        <v>-800</v>
      </c>
      <c r="F104" s="505">
        <v>45717</v>
      </c>
      <c r="G104" s="598" t="s">
        <v>8991</v>
      </c>
    </row>
    <row r="105" spans="2:8" s="198" customFormat="1" ht="15.75" hidden="1" customHeight="1">
      <c r="B105" s="516">
        <v>45730</v>
      </c>
      <c r="C105" s="595" t="s">
        <v>8986</v>
      </c>
      <c r="D105" s="594" t="s">
        <v>8990</v>
      </c>
      <c r="E105" s="296">
        <v>-232418</v>
      </c>
      <c r="F105" s="505">
        <v>45717</v>
      </c>
      <c r="G105" s="726" t="s">
        <v>8991</v>
      </c>
    </row>
    <row r="106" spans="2:8" s="198" customFormat="1" ht="15.75" hidden="1" customHeight="1">
      <c r="B106" s="516">
        <v>45730</v>
      </c>
      <c r="C106" s="598" t="s">
        <v>8986</v>
      </c>
      <c r="D106" s="520" t="s">
        <v>136</v>
      </c>
      <c r="E106" s="296">
        <v>-534032</v>
      </c>
      <c r="F106" s="505">
        <v>45717</v>
      </c>
      <c r="G106" s="598" t="s">
        <v>8991</v>
      </c>
    </row>
    <row r="107" spans="2:8" s="198" customFormat="1" ht="15.75" hidden="1" customHeight="1">
      <c r="B107" s="516">
        <v>45730</v>
      </c>
      <c r="C107" s="517" t="s">
        <v>8986</v>
      </c>
      <c r="D107" s="684" t="s">
        <v>204</v>
      </c>
      <c r="E107" s="296">
        <v>-1641163.47</v>
      </c>
      <c r="F107" s="505">
        <v>45717</v>
      </c>
      <c r="G107" s="598" t="s">
        <v>8991</v>
      </c>
    </row>
    <row r="108" spans="2:8" s="198" customFormat="1" ht="15.75" hidden="1" customHeight="1">
      <c r="B108" s="516">
        <v>45730</v>
      </c>
      <c r="C108" s="598" t="s">
        <v>8984</v>
      </c>
      <c r="D108" s="684" t="s">
        <v>204</v>
      </c>
      <c r="E108" s="296">
        <v>-213300</v>
      </c>
      <c r="F108" s="505">
        <v>45717</v>
      </c>
      <c r="G108" s="598" t="s">
        <v>291</v>
      </c>
      <c r="H108" s="495"/>
    </row>
    <row r="109" spans="2:8" ht="15" hidden="1" customHeight="1">
      <c r="B109" s="516">
        <v>45730</v>
      </c>
      <c r="C109" s="598" t="s">
        <v>8992</v>
      </c>
      <c r="D109" s="684" t="s">
        <v>204</v>
      </c>
      <c r="E109" s="296">
        <v>-40527</v>
      </c>
      <c r="F109" s="505">
        <v>45717</v>
      </c>
      <c r="G109" s="726" t="s">
        <v>8991</v>
      </c>
    </row>
    <row r="110" spans="2:8" ht="15" hidden="1" customHeight="1">
      <c r="B110" s="516">
        <v>45730</v>
      </c>
      <c r="C110" s="517" t="s">
        <v>8987</v>
      </c>
      <c r="D110" s="683" t="s">
        <v>398</v>
      </c>
      <c r="E110" s="296">
        <v>-14200</v>
      </c>
      <c r="F110" s="505">
        <v>45717</v>
      </c>
      <c r="G110" s="598" t="s">
        <v>291</v>
      </c>
    </row>
    <row r="111" spans="2:8" ht="15" hidden="1" customHeight="1">
      <c r="B111" s="516">
        <v>45730</v>
      </c>
      <c r="C111" s="682" t="s">
        <v>8988</v>
      </c>
      <c r="D111" s="683" t="s">
        <v>398</v>
      </c>
      <c r="E111" s="296">
        <v>4.34</v>
      </c>
      <c r="F111" s="505">
        <v>45717</v>
      </c>
      <c r="G111" s="726" t="s">
        <v>291</v>
      </c>
    </row>
    <row r="112" spans="2:8" ht="15" hidden="1" customHeight="1">
      <c r="B112" s="516">
        <v>45730</v>
      </c>
      <c r="C112" s="517" t="s">
        <v>8996</v>
      </c>
      <c r="D112" s="683" t="s">
        <v>204</v>
      </c>
      <c r="E112" s="296">
        <v>-213.33746662735939</v>
      </c>
      <c r="F112" s="505">
        <v>45717</v>
      </c>
      <c r="G112" s="598" t="s">
        <v>291</v>
      </c>
    </row>
    <row r="113" spans="2:7" ht="15" hidden="1" customHeight="1">
      <c r="B113" s="516">
        <v>45737</v>
      </c>
      <c r="C113" s="595" t="s">
        <v>8986</v>
      </c>
      <c r="D113" s="520" t="s">
        <v>136</v>
      </c>
      <c r="E113" s="296">
        <v>-264024</v>
      </c>
      <c r="F113" s="505">
        <v>45717</v>
      </c>
      <c r="G113" s="726" t="s">
        <v>8991</v>
      </c>
    </row>
    <row r="114" spans="2:7" ht="15" hidden="1" customHeight="1">
      <c r="B114" s="516">
        <v>45737</v>
      </c>
      <c r="C114" s="598" t="s">
        <v>8984</v>
      </c>
      <c r="D114" s="684" t="s">
        <v>204</v>
      </c>
      <c r="E114" s="296">
        <v>-110600</v>
      </c>
      <c r="F114" s="505">
        <v>45717</v>
      </c>
      <c r="G114" s="726" t="s">
        <v>291</v>
      </c>
    </row>
    <row r="115" spans="2:7" ht="15" hidden="1" customHeight="1">
      <c r="B115" s="516">
        <v>45737</v>
      </c>
      <c r="C115" s="598" t="s">
        <v>8992</v>
      </c>
      <c r="D115" s="684" t="s">
        <v>204</v>
      </c>
      <c r="E115" s="296">
        <v>-21014</v>
      </c>
      <c r="F115" s="505">
        <v>45717</v>
      </c>
      <c r="G115" s="726" t="s">
        <v>8991</v>
      </c>
    </row>
    <row r="116" spans="2:7" ht="15" hidden="1" customHeight="1">
      <c r="B116" s="516">
        <v>45737</v>
      </c>
      <c r="C116" s="517" t="s">
        <v>8986</v>
      </c>
      <c r="D116" s="684" t="s">
        <v>204</v>
      </c>
      <c r="E116" s="296">
        <v>-9255577.2899999991</v>
      </c>
      <c r="F116" s="505">
        <v>45717</v>
      </c>
      <c r="G116" s="726" t="s">
        <v>8991</v>
      </c>
    </row>
    <row r="117" spans="2:7" ht="15" hidden="1" customHeight="1">
      <c r="B117" s="516">
        <v>45737</v>
      </c>
      <c r="C117" s="598" t="s">
        <v>8997</v>
      </c>
      <c r="D117" s="594" t="s">
        <v>8990</v>
      </c>
      <c r="E117" s="296">
        <v>-42080</v>
      </c>
      <c r="F117" s="505">
        <v>45717</v>
      </c>
      <c r="G117" s="598" t="s">
        <v>291</v>
      </c>
    </row>
    <row r="118" spans="2:7" ht="15" hidden="1" customHeight="1">
      <c r="B118" s="516">
        <v>45737</v>
      </c>
      <c r="C118" s="682" t="s">
        <v>8992</v>
      </c>
      <c r="D118" s="594" t="s">
        <v>8990</v>
      </c>
      <c r="E118" s="296">
        <v>-7995</v>
      </c>
      <c r="F118" s="505">
        <v>45717</v>
      </c>
      <c r="G118" s="726" t="s">
        <v>8991</v>
      </c>
    </row>
    <row r="119" spans="2:7" ht="15" hidden="1" customHeight="1">
      <c r="B119" s="516">
        <v>45737</v>
      </c>
      <c r="C119" s="598" t="s">
        <v>8986</v>
      </c>
      <c r="D119" s="594" t="s">
        <v>8990</v>
      </c>
      <c r="E119" s="296">
        <v>-43867</v>
      </c>
      <c r="F119" s="505">
        <v>45717</v>
      </c>
      <c r="G119" s="598" t="s">
        <v>8991</v>
      </c>
    </row>
    <row r="120" spans="2:7" ht="15" hidden="1" customHeight="1">
      <c r="B120" s="516">
        <v>45737</v>
      </c>
      <c r="C120" s="517" t="s">
        <v>8988</v>
      </c>
      <c r="D120" s="518" t="s">
        <v>398</v>
      </c>
      <c r="E120" s="296">
        <v>19.41</v>
      </c>
      <c r="F120" s="505">
        <v>45717</v>
      </c>
      <c r="G120" s="508" t="s">
        <v>291</v>
      </c>
    </row>
    <row r="121" spans="2:7" ht="15" hidden="1" customHeight="1">
      <c r="B121" s="516">
        <v>45744</v>
      </c>
      <c r="C121" s="595" t="s">
        <v>8984</v>
      </c>
      <c r="D121" s="684" t="s">
        <v>204</v>
      </c>
      <c r="E121" s="296">
        <v>-1069900</v>
      </c>
      <c r="F121" s="505">
        <v>45717</v>
      </c>
      <c r="G121" s="726" t="s">
        <v>291</v>
      </c>
    </row>
    <row r="122" spans="2:7" ht="15" hidden="1" customHeight="1">
      <c r="B122" s="516">
        <v>45744</v>
      </c>
      <c r="C122" s="598" t="s">
        <v>8992</v>
      </c>
      <c r="D122" s="684" t="s">
        <v>204</v>
      </c>
      <c r="E122" s="296">
        <v>-203281</v>
      </c>
      <c r="F122" s="505">
        <v>45717</v>
      </c>
      <c r="G122" s="726" t="s">
        <v>8991</v>
      </c>
    </row>
    <row r="123" spans="2:7" ht="15" hidden="1" customHeight="1">
      <c r="B123" s="516">
        <v>45744</v>
      </c>
      <c r="C123" s="517" t="s">
        <v>8986</v>
      </c>
      <c r="D123" s="684" t="s">
        <v>204</v>
      </c>
      <c r="E123" s="296">
        <v>-2443018.31</v>
      </c>
      <c r="F123" s="505">
        <v>45717</v>
      </c>
      <c r="G123" s="726" t="s">
        <v>8991</v>
      </c>
    </row>
    <row r="124" spans="2:7" ht="15" hidden="1" customHeight="1">
      <c r="B124" s="516">
        <v>45744</v>
      </c>
      <c r="C124" s="598" t="s">
        <v>8986</v>
      </c>
      <c r="D124" s="520" t="s">
        <v>136</v>
      </c>
      <c r="E124" s="296">
        <v>-86505</v>
      </c>
      <c r="F124" s="505">
        <v>45717</v>
      </c>
      <c r="G124" s="726" t="s">
        <v>8991</v>
      </c>
    </row>
    <row r="125" spans="2:7" ht="15" hidden="1" customHeight="1">
      <c r="B125" s="516">
        <v>45744</v>
      </c>
      <c r="C125" s="598" t="s">
        <v>8997</v>
      </c>
      <c r="D125" s="594" t="s">
        <v>8990</v>
      </c>
      <c r="E125" s="296">
        <v>-2700</v>
      </c>
      <c r="F125" s="505">
        <v>45717</v>
      </c>
      <c r="G125" s="598" t="s">
        <v>291</v>
      </c>
    </row>
    <row r="126" spans="2:7" ht="15" hidden="1" customHeight="1">
      <c r="B126" s="516">
        <v>45744</v>
      </c>
      <c r="C126" s="595" t="s">
        <v>8986</v>
      </c>
      <c r="D126" s="594" t="s">
        <v>8990</v>
      </c>
      <c r="E126" s="296">
        <v>-19241</v>
      </c>
      <c r="F126" s="505">
        <v>45717</v>
      </c>
      <c r="G126" s="726" t="s">
        <v>8991</v>
      </c>
    </row>
    <row r="127" spans="2:7" ht="15" hidden="1" customHeight="1">
      <c r="B127" s="516">
        <v>45744</v>
      </c>
      <c r="C127" s="517" t="s">
        <v>8988</v>
      </c>
      <c r="D127" s="683" t="s">
        <v>398</v>
      </c>
      <c r="E127" s="296">
        <v>13.96</v>
      </c>
      <c r="F127" s="505">
        <v>45717</v>
      </c>
      <c r="G127" s="689" t="s">
        <v>291</v>
      </c>
    </row>
    <row r="128" spans="2:7" ht="15" hidden="1" customHeight="1">
      <c r="B128" s="516">
        <v>45744</v>
      </c>
      <c r="C128" s="517" t="s">
        <v>8996</v>
      </c>
      <c r="D128" s="519" t="s">
        <v>204</v>
      </c>
      <c r="E128" s="296">
        <v>347.31979060173035</v>
      </c>
      <c r="F128" s="505">
        <v>45717</v>
      </c>
      <c r="G128" s="508" t="s">
        <v>291</v>
      </c>
    </row>
    <row r="129" spans="2:8" ht="15" hidden="1" customHeight="1">
      <c r="B129" s="516">
        <v>45747</v>
      </c>
      <c r="C129" s="595" t="s">
        <v>8984</v>
      </c>
      <c r="D129" s="684" t="s">
        <v>204</v>
      </c>
      <c r="E129" s="296">
        <v>-39500</v>
      </c>
      <c r="F129" s="505">
        <v>45717</v>
      </c>
      <c r="G129" s="726" t="s">
        <v>291</v>
      </c>
    </row>
    <row r="130" spans="2:8" ht="15" hidden="1" customHeight="1">
      <c r="B130" s="516">
        <v>45747</v>
      </c>
      <c r="C130" s="598" t="s">
        <v>8992</v>
      </c>
      <c r="D130" s="684" t="s">
        <v>204</v>
      </c>
      <c r="E130" s="296">
        <v>-7505</v>
      </c>
      <c r="F130" s="505">
        <v>45717</v>
      </c>
      <c r="G130" s="726" t="s">
        <v>8991</v>
      </c>
    </row>
    <row r="131" spans="2:8" ht="15" hidden="1" customHeight="1">
      <c r="B131" s="516">
        <v>45747</v>
      </c>
      <c r="C131" s="517" t="s">
        <v>8986</v>
      </c>
      <c r="D131" s="684" t="s">
        <v>204</v>
      </c>
      <c r="E131" s="296">
        <v>-40769.620000000003</v>
      </c>
      <c r="F131" s="505">
        <v>45717</v>
      </c>
      <c r="G131" s="726" t="s">
        <v>8991</v>
      </c>
    </row>
    <row r="132" spans="2:8" ht="15" hidden="1" customHeight="1">
      <c r="B132" s="516">
        <v>45747</v>
      </c>
      <c r="C132" s="598" t="s">
        <v>8986</v>
      </c>
      <c r="D132" s="520" t="s">
        <v>136</v>
      </c>
      <c r="E132" s="296">
        <v>-14356</v>
      </c>
      <c r="F132" s="505">
        <v>45717</v>
      </c>
      <c r="G132" s="726" t="s">
        <v>8991</v>
      </c>
    </row>
    <row r="133" spans="2:8" ht="14.1" hidden="1">
      <c r="B133" s="516">
        <v>45747</v>
      </c>
      <c r="C133" s="598" t="s">
        <v>8997</v>
      </c>
      <c r="D133" s="684" t="s">
        <v>8990</v>
      </c>
      <c r="E133" s="296">
        <v>-14728</v>
      </c>
      <c r="F133" s="505">
        <v>45717</v>
      </c>
      <c r="G133" s="726" t="s">
        <v>291</v>
      </c>
    </row>
    <row r="134" spans="2:8" ht="14.1" hidden="1">
      <c r="B134" s="516">
        <v>45747</v>
      </c>
      <c r="C134" s="517" t="s">
        <v>8992</v>
      </c>
      <c r="D134" s="684" t="s">
        <v>8990</v>
      </c>
      <c r="E134" s="296">
        <v>-2800</v>
      </c>
      <c r="F134" s="505">
        <v>45717</v>
      </c>
      <c r="G134" s="726" t="s">
        <v>8991</v>
      </c>
    </row>
    <row r="135" spans="2:8" ht="15" hidden="1" customHeight="1">
      <c r="B135" s="516">
        <v>45747</v>
      </c>
      <c r="C135" s="598" t="s">
        <v>8986</v>
      </c>
      <c r="D135" s="684" t="s">
        <v>8990</v>
      </c>
      <c r="E135" s="296">
        <v>-44576</v>
      </c>
      <c r="F135" s="505">
        <v>45717</v>
      </c>
      <c r="G135" s="726" t="s">
        <v>8991</v>
      </c>
    </row>
    <row r="136" spans="2:8" ht="15" hidden="1" customHeight="1">
      <c r="B136" s="516">
        <v>45747</v>
      </c>
      <c r="C136" s="517" t="s">
        <v>8996</v>
      </c>
      <c r="D136" s="518" t="s">
        <v>204</v>
      </c>
      <c r="E136" s="296">
        <v>209.68889883160591</v>
      </c>
      <c r="F136" s="505">
        <v>45717</v>
      </c>
      <c r="G136" s="726" t="s">
        <v>291</v>
      </c>
    </row>
    <row r="137" spans="2:8" ht="15" hidden="1" customHeight="1">
      <c r="B137" s="735">
        <v>45747</v>
      </c>
      <c r="C137" s="736" t="s">
        <v>8986</v>
      </c>
      <c r="D137" s="737" t="s">
        <v>8994</v>
      </c>
      <c r="E137" s="738">
        <v>-75921.999999821186</v>
      </c>
      <c r="F137" s="739">
        <v>45717</v>
      </c>
      <c r="G137" s="740" t="s">
        <v>291</v>
      </c>
    </row>
    <row r="138" spans="2:8" ht="15" hidden="1" customHeight="1">
      <c r="B138" s="516">
        <v>45747</v>
      </c>
      <c r="C138" s="517" t="s">
        <v>8988</v>
      </c>
      <c r="D138" s="519" t="s">
        <v>8999</v>
      </c>
      <c r="E138" s="296">
        <v>141586.61000025272</v>
      </c>
      <c r="F138" s="505">
        <v>45717</v>
      </c>
      <c r="G138" s="726" t="s">
        <v>291</v>
      </c>
    </row>
    <row r="139" spans="2:8" ht="15" hidden="1" customHeight="1">
      <c r="B139" s="516">
        <v>45751</v>
      </c>
      <c r="C139" s="517" t="s">
        <v>8984</v>
      </c>
      <c r="D139" s="518" t="s">
        <v>8990</v>
      </c>
      <c r="E139" s="296">
        <v>-73780</v>
      </c>
      <c r="F139" s="505">
        <v>45748</v>
      </c>
      <c r="G139" s="508" t="s">
        <v>291</v>
      </c>
    </row>
    <row r="140" spans="2:8" ht="15" hidden="1" customHeight="1">
      <c r="B140" s="516">
        <v>45751</v>
      </c>
      <c r="C140" s="517" t="s">
        <v>8986</v>
      </c>
      <c r="D140" s="518" t="s">
        <v>8990</v>
      </c>
      <c r="E140" s="296">
        <v>-430962</v>
      </c>
      <c r="F140" s="505">
        <v>45748</v>
      </c>
      <c r="G140" s="508" t="s">
        <v>8991</v>
      </c>
    </row>
    <row r="141" spans="2:8" ht="15" hidden="1" customHeight="1">
      <c r="B141" s="516">
        <v>45751</v>
      </c>
      <c r="C141" s="517" t="s">
        <v>8992</v>
      </c>
      <c r="D141" s="518" t="s">
        <v>8990</v>
      </c>
      <c r="E141" s="296">
        <v>-13000</v>
      </c>
      <c r="F141" s="505">
        <v>45748</v>
      </c>
      <c r="G141" s="508" t="s">
        <v>8991</v>
      </c>
    </row>
    <row r="142" spans="2:8" s="198" customFormat="1" ht="15.75" hidden="1" customHeight="1">
      <c r="B142" s="516">
        <v>45751</v>
      </c>
      <c r="C142" s="517" t="s">
        <v>8986</v>
      </c>
      <c r="D142" s="519" t="s">
        <v>136</v>
      </c>
      <c r="E142" s="296">
        <v>-4428</v>
      </c>
      <c r="F142" s="505">
        <v>45748</v>
      </c>
      <c r="G142" s="508" t="s">
        <v>8991</v>
      </c>
      <c r="H142" s="198">
        <v>1072436</v>
      </c>
    </row>
    <row r="143" spans="2:8" ht="15" hidden="1" customHeight="1">
      <c r="B143" s="516">
        <v>45751</v>
      </c>
      <c r="C143" s="517" t="s">
        <v>8988</v>
      </c>
      <c r="D143" s="518" t="s">
        <v>398</v>
      </c>
      <c r="E143" s="296">
        <v>1.24</v>
      </c>
      <c r="F143" s="505">
        <v>45748</v>
      </c>
      <c r="G143" s="508" t="s">
        <v>291</v>
      </c>
    </row>
    <row r="144" spans="2:8" ht="15" hidden="1" customHeight="1">
      <c r="B144" s="516">
        <v>45751</v>
      </c>
      <c r="C144" s="517" t="s">
        <v>8997</v>
      </c>
      <c r="D144" s="519" t="s">
        <v>204</v>
      </c>
      <c r="E144" s="753">
        <v>-39500</v>
      </c>
      <c r="F144" s="505">
        <v>45748</v>
      </c>
      <c r="G144" s="726" t="s">
        <v>291</v>
      </c>
    </row>
    <row r="145" spans="2:7" ht="15" hidden="1" customHeight="1">
      <c r="B145" s="516">
        <v>45751</v>
      </c>
      <c r="C145" s="517" t="s">
        <v>8992</v>
      </c>
      <c r="D145" s="519" t="s">
        <v>204</v>
      </c>
      <c r="E145" s="296">
        <v>-24605</v>
      </c>
      <c r="F145" s="505">
        <v>45748</v>
      </c>
      <c r="G145" s="508" t="s">
        <v>8991</v>
      </c>
    </row>
    <row r="146" spans="2:7" ht="15" hidden="1" customHeight="1">
      <c r="B146" s="516">
        <v>45751</v>
      </c>
      <c r="C146" s="517" t="s">
        <v>8986</v>
      </c>
      <c r="D146" s="519" t="s">
        <v>204</v>
      </c>
      <c r="E146" s="753">
        <v>-1204886.95</v>
      </c>
      <c r="F146" s="505">
        <v>45748</v>
      </c>
      <c r="G146" s="508" t="s">
        <v>8991</v>
      </c>
    </row>
    <row r="147" spans="2:7" ht="15" hidden="1" customHeight="1">
      <c r="B147" s="516">
        <v>45751</v>
      </c>
      <c r="C147" s="517" t="s">
        <v>8993</v>
      </c>
      <c r="D147" s="518" t="s">
        <v>204</v>
      </c>
      <c r="E147" s="296">
        <v>-90000</v>
      </c>
      <c r="F147" s="505">
        <v>45748</v>
      </c>
      <c r="G147" s="508" t="s">
        <v>291</v>
      </c>
    </row>
    <row r="148" spans="2:7" ht="15" hidden="1" customHeight="1">
      <c r="B148" s="516">
        <v>45751</v>
      </c>
      <c r="C148" s="517" t="s">
        <v>8996</v>
      </c>
      <c r="D148" s="518" t="s">
        <v>8990</v>
      </c>
      <c r="E148" s="296">
        <v>91.989999800920486</v>
      </c>
      <c r="F148" s="505">
        <v>45748</v>
      </c>
      <c r="G148" s="508" t="s">
        <v>291</v>
      </c>
    </row>
    <row r="149" spans="2:7" ht="15" hidden="1" customHeight="1">
      <c r="B149" s="516">
        <v>45758</v>
      </c>
      <c r="C149" s="517" t="s">
        <v>8997</v>
      </c>
      <c r="D149" s="519" t="s">
        <v>204</v>
      </c>
      <c r="E149" s="753">
        <v>-260700</v>
      </c>
      <c r="F149" s="505">
        <v>45748</v>
      </c>
      <c r="G149" s="726" t="s">
        <v>291</v>
      </c>
    </row>
    <row r="150" spans="2:7" ht="15" hidden="1" customHeight="1">
      <c r="B150" s="516">
        <v>45758</v>
      </c>
      <c r="C150" s="517" t="s">
        <v>8992</v>
      </c>
      <c r="D150" s="519" t="s">
        <v>204</v>
      </c>
      <c r="E150" s="296">
        <v>-49533</v>
      </c>
      <c r="F150" s="505">
        <v>45748</v>
      </c>
      <c r="G150" s="508" t="s">
        <v>8991</v>
      </c>
    </row>
    <row r="151" spans="2:7" ht="15" hidden="1" customHeight="1">
      <c r="B151" s="516">
        <v>45758</v>
      </c>
      <c r="C151" s="517" t="s">
        <v>8986</v>
      </c>
      <c r="D151" s="519" t="s">
        <v>204</v>
      </c>
      <c r="E151" s="753">
        <v>-5071526</v>
      </c>
      <c r="F151" s="505">
        <v>45748</v>
      </c>
      <c r="G151" s="508" t="s">
        <v>8991</v>
      </c>
    </row>
    <row r="152" spans="2:7" ht="15" hidden="1" customHeight="1">
      <c r="B152" s="516">
        <v>45758</v>
      </c>
      <c r="C152" s="517" t="s">
        <v>8984</v>
      </c>
      <c r="D152" s="518" t="s">
        <v>8990</v>
      </c>
      <c r="E152" s="296">
        <v>-18024</v>
      </c>
      <c r="F152" s="505">
        <v>45748</v>
      </c>
      <c r="G152" s="508" t="s">
        <v>291</v>
      </c>
    </row>
    <row r="153" spans="2:7" ht="15" hidden="1" customHeight="1">
      <c r="B153" s="516">
        <v>45758</v>
      </c>
      <c r="C153" s="517" t="s">
        <v>8992</v>
      </c>
      <c r="D153" s="518" t="s">
        <v>8990</v>
      </c>
      <c r="E153" s="296">
        <v>-2000</v>
      </c>
      <c r="F153" s="505">
        <v>45748</v>
      </c>
      <c r="G153" s="508" t="s">
        <v>8991</v>
      </c>
    </row>
    <row r="154" spans="2:7" ht="15" hidden="1" customHeight="1">
      <c r="B154" s="516">
        <v>45758</v>
      </c>
      <c r="C154" s="517" t="s">
        <v>8986</v>
      </c>
      <c r="D154" s="518" t="s">
        <v>8990</v>
      </c>
      <c r="E154" s="296">
        <v>-55727</v>
      </c>
      <c r="F154" s="505">
        <v>45748</v>
      </c>
      <c r="G154" s="508" t="s">
        <v>8991</v>
      </c>
    </row>
    <row r="155" spans="2:7" ht="15" hidden="1" customHeight="1">
      <c r="B155" s="516">
        <v>45758</v>
      </c>
      <c r="C155" s="517" t="s">
        <v>8986</v>
      </c>
      <c r="D155" s="519" t="s">
        <v>136</v>
      </c>
      <c r="E155" s="296">
        <v>-59551</v>
      </c>
      <c r="F155" s="505">
        <v>45748</v>
      </c>
      <c r="G155" s="508" t="s">
        <v>8991</v>
      </c>
    </row>
    <row r="156" spans="2:7" ht="15" hidden="1" customHeight="1">
      <c r="B156" s="516">
        <v>45758</v>
      </c>
      <c r="C156" s="517" t="s">
        <v>8986</v>
      </c>
      <c r="D156" s="519" t="s">
        <v>8994</v>
      </c>
      <c r="E156" s="296">
        <v>-17732.39</v>
      </c>
      <c r="F156" s="505">
        <v>45748</v>
      </c>
      <c r="G156" s="508" t="s">
        <v>8991</v>
      </c>
    </row>
    <row r="157" spans="2:7" ht="15" hidden="1" customHeight="1">
      <c r="B157" s="516">
        <v>45758</v>
      </c>
      <c r="C157" s="517" t="s">
        <v>7654</v>
      </c>
      <c r="D157" s="518" t="s">
        <v>8994</v>
      </c>
      <c r="E157" s="296">
        <f>-11555.04-10.08</f>
        <v>-11565.12</v>
      </c>
      <c r="F157" s="505">
        <v>45748</v>
      </c>
      <c r="G157" s="508" t="s">
        <v>291</v>
      </c>
    </row>
    <row r="158" spans="2:7" ht="15" hidden="1" customHeight="1">
      <c r="B158" s="516">
        <v>45758</v>
      </c>
      <c r="C158" s="517" t="s">
        <v>8997</v>
      </c>
      <c r="D158" s="519" t="s">
        <v>4640</v>
      </c>
      <c r="E158" s="296">
        <v>-2700</v>
      </c>
      <c r="F158" s="505">
        <v>45748</v>
      </c>
      <c r="G158" s="508" t="s">
        <v>291</v>
      </c>
    </row>
    <row r="159" spans="2:7" ht="15" hidden="1" customHeight="1">
      <c r="B159" s="516">
        <v>45758</v>
      </c>
      <c r="C159" s="517" t="s">
        <v>8987</v>
      </c>
      <c r="D159" s="518" t="s">
        <v>4640</v>
      </c>
      <c r="E159" s="296">
        <v>-22540</v>
      </c>
      <c r="F159" s="505">
        <v>45748</v>
      </c>
      <c r="G159" s="508" t="s">
        <v>291</v>
      </c>
    </row>
    <row r="160" spans="2:7" ht="15" hidden="1" customHeight="1">
      <c r="B160" s="516">
        <v>45758</v>
      </c>
      <c r="C160" s="517" t="s">
        <v>8986</v>
      </c>
      <c r="D160" s="519" t="s">
        <v>4640</v>
      </c>
      <c r="E160" s="296">
        <v>-25904.28</v>
      </c>
      <c r="F160" s="505">
        <v>45748</v>
      </c>
      <c r="G160" s="508" t="s">
        <v>8991</v>
      </c>
    </row>
    <row r="161" spans="2:7" ht="15" hidden="1" customHeight="1">
      <c r="B161" s="516">
        <v>45758</v>
      </c>
      <c r="C161" s="517" t="s">
        <v>8988</v>
      </c>
      <c r="D161" s="518" t="s">
        <v>4640</v>
      </c>
      <c r="E161" s="296">
        <v>11.91</v>
      </c>
      <c r="F161" s="505">
        <v>45748</v>
      </c>
      <c r="G161" s="508" t="s">
        <v>291</v>
      </c>
    </row>
    <row r="162" spans="2:7" ht="15" hidden="1" customHeight="1">
      <c r="B162" s="516">
        <v>45758</v>
      </c>
      <c r="C162" s="517" t="s">
        <v>9002</v>
      </c>
      <c r="D162" s="519" t="s">
        <v>204</v>
      </c>
      <c r="E162" s="296">
        <v>-221745.38659870625</v>
      </c>
      <c r="F162" s="505">
        <v>45748</v>
      </c>
      <c r="G162" s="508" t="s">
        <v>291</v>
      </c>
    </row>
    <row r="163" spans="2:7" ht="15" hidden="1" customHeight="1">
      <c r="B163" s="516">
        <v>45768</v>
      </c>
      <c r="C163" s="517" t="s">
        <v>8997</v>
      </c>
      <c r="D163" s="519" t="s">
        <v>204</v>
      </c>
      <c r="E163" s="753">
        <v>-1149000</v>
      </c>
      <c r="F163" s="505">
        <v>45748</v>
      </c>
      <c r="G163" s="726" t="s">
        <v>291</v>
      </c>
    </row>
    <row r="164" spans="2:7" ht="15" hidden="1" customHeight="1">
      <c r="B164" s="516">
        <v>45768</v>
      </c>
      <c r="C164" s="517" t="s">
        <v>8992</v>
      </c>
      <c r="D164" s="519" t="s">
        <v>204</v>
      </c>
      <c r="E164" s="296">
        <v>-218310</v>
      </c>
      <c r="F164" s="505">
        <v>45748</v>
      </c>
      <c r="G164" s="508" t="s">
        <v>8991</v>
      </c>
    </row>
    <row r="165" spans="2:7" ht="15" hidden="1" customHeight="1">
      <c r="B165" s="516">
        <v>45768</v>
      </c>
      <c r="C165" s="517" t="s">
        <v>8986</v>
      </c>
      <c r="D165" s="519" t="s">
        <v>204</v>
      </c>
      <c r="E165" s="753">
        <v>-5339842.4000000004</v>
      </c>
      <c r="F165" s="505">
        <v>45748</v>
      </c>
      <c r="G165" s="508" t="s">
        <v>8991</v>
      </c>
    </row>
    <row r="166" spans="2:7" ht="15" hidden="1" customHeight="1">
      <c r="B166" s="516">
        <v>45768</v>
      </c>
      <c r="C166" s="517" t="s">
        <v>8986</v>
      </c>
      <c r="D166" s="519" t="s">
        <v>136</v>
      </c>
      <c r="E166" s="296">
        <v>-1625</v>
      </c>
      <c r="F166" s="505">
        <v>45748</v>
      </c>
      <c r="G166" s="508" t="s">
        <v>8991</v>
      </c>
    </row>
    <row r="167" spans="2:7" ht="15" hidden="1" customHeight="1">
      <c r="B167" s="516">
        <v>45768</v>
      </c>
      <c r="C167" s="517" t="s">
        <v>8993</v>
      </c>
      <c r="D167" s="518" t="s">
        <v>398</v>
      </c>
      <c r="E167" s="296">
        <v>-14200</v>
      </c>
      <c r="F167" s="505">
        <v>45748</v>
      </c>
      <c r="G167" s="508" t="s">
        <v>291</v>
      </c>
    </row>
    <row r="168" spans="2:7" ht="15" hidden="1" customHeight="1">
      <c r="B168" s="516">
        <v>45768</v>
      </c>
      <c r="C168" s="517" t="s">
        <v>8997</v>
      </c>
      <c r="D168" s="518" t="s">
        <v>4640</v>
      </c>
      <c r="E168" s="296">
        <v>-10800</v>
      </c>
      <c r="F168" s="505">
        <v>45748</v>
      </c>
      <c r="G168" s="508" t="s">
        <v>291</v>
      </c>
    </row>
    <row r="169" spans="2:7" ht="15" hidden="1" customHeight="1">
      <c r="B169" s="516">
        <v>45768</v>
      </c>
      <c r="C169" s="517" t="s">
        <v>8986</v>
      </c>
      <c r="D169" s="519" t="s">
        <v>4640</v>
      </c>
      <c r="E169" s="296">
        <v>-15304.16</v>
      </c>
      <c r="F169" s="505">
        <v>45748</v>
      </c>
      <c r="G169" s="508" t="s">
        <v>8991</v>
      </c>
    </row>
    <row r="170" spans="2:7" ht="15" hidden="1" customHeight="1">
      <c r="B170" s="516">
        <v>45768</v>
      </c>
      <c r="C170" s="517" t="s">
        <v>8987</v>
      </c>
      <c r="D170" s="518" t="s">
        <v>4640</v>
      </c>
      <c r="E170" s="296">
        <v>-22540</v>
      </c>
      <c r="F170" s="505">
        <v>45748</v>
      </c>
      <c r="G170" s="508" t="s">
        <v>291</v>
      </c>
    </row>
    <row r="171" spans="2:7" ht="15" hidden="1" customHeight="1">
      <c r="B171" s="516">
        <v>45771</v>
      </c>
      <c r="C171" s="517" t="s">
        <v>8986</v>
      </c>
      <c r="D171" s="518" t="s">
        <v>8990</v>
      </c>
      <c r="E171" s="296">
        <v>-83156</v>
      </c>
      <c r="F171" s="505">
        <v>45748</v>
      </c>
      <c r="G171" s="508" t="s">
        <v>8991</v>
      </c>
    </row>
    <row r="172" spans="2:7" ht="15" hidden="1" customHeight="1">
      <c r="B172" s="516">
        <v>45771</v>
      </c>
      <c r="C172" s="517" t="s">
        <v>8986</v>
      </c>
      <c r="D172" s="519" t="s">
        <v>136</v>
      </c>
      <c r="E172" s="296">
        <v>-758482</v>
      </c>
      <c r="F172" s="505">
        <v>45748</v>
      </c>
      <c r="G172" s="508" t="s">
        <v>8991</v>
      </c>
    </row>
    <row r="173" spans="2:7" ht="15" hidden="1" customHeight="1">
      <c r="B173" s="516">
        <v>45771</v>
      </c>
      <c r="C173" s="517" t="s">
        <v>8992</v>
      </c>
      <c r="D173" s="518" t="s">
        <v>136</v>
      </c>
      <c r="E173" s="296">
        <v>-3230</v>
      </c>
      <c r="F173" s="505">
        <v>45748</v>
      </c>
      <c r="G173" s="508" t="s">
        <v>8991</v>
      </c>
    </row>
    <row r="174" spans="2:7" ht="15" hidden="1" customHeight="1">
      <c r="B174" s="516">
        <v>45771</v>
      </c>
      <c r="C174" s="517" t="s">
        <v>8984</v>
      </c>
      <c r="D174" s="519" t="s">
        <v>136</v>
      </c>
      <c r="E174" s="296">
        <v>-17000</v>
      </c>
      <c r="F174" s="505">
        <v>45748</v>
      </c>
      <c r="G174" s="508" t="s">
        <v>291</v>
      </c>
    </row>
    <row r="175" spans="2:7" ht="15" hidden="1" customHeight="1">
      <c r="B175" s="516">
        <v>45771</v>
      </c>
      <c r="C175" s="517" t="s">
        <v>8988</v>
      </c>
      <c r="D175" s="518" t="s">
        <v>398</v>
      </c>
      <c r="E175" s="296">
        <v>18.79</v>
      </c>
      <c r="F175" s="505">
        <v>45748</v>
      </c>
      <c r="G175" s="508" t="s">
        <v>291</v>
      </c>
    </row>
    <row r="176" spans="2:7" ht="15" hidden="1" customHeight="1">
      <c r="B176" s="516">
        <v>45772</v>
      </c>
      <c r="C176" s="517" t="s">
        <v>8997</v>
      </c>
      <c r="D176" s="519" t="s">
        <v>204</v>
      </c>
      <c r="E176" s="296">
        <v>-126400</v>
      </c>
      <c r="F176" s="505">
        <v>45748</v>
      </c>
      <c r="G176" s="726" t="s">
        <v>291</v>
      </c>
    </row>
    <row r="177" spans="2:7" ht="15" hidden="1" customHeight="1">
      <c r="B177" s="516">
        <v>45772</v>
      </c>
      <c r="C177" s="517" t="s">
        <v>8992</v>
      </c>
      <c r="D177" s="519" t="s">
        <v>204</v>
      </c>
      <c r="E177" s="296">
        <v>-24016</v>
      </c>
      <c r="F177" s="505">
        <v>45748</v>
      </c>
      <c r="G177" s="508" t="s">
        <v>8991</v>
      </c>
    </row>
    <row r="178" spans="2:7" ht="15" hidden="1" customHeight="1">
      <c r="B178" s="516">
        <v>45772</v>
      </c>
      <c r="C178" s="517" t="s">
        <v>8986</v>
      </c>
      <c r="D178" s="519" t="s">
        <v>204</v>
      </c>
      <c r="E178" s="296">
        <v>-787066</v>
      </c>
      <c r="F178" s="505">
        <v>45748</v>
      </c>
      <c r="G178" s="508" t="s">
        <v>8991</v>
      </c>
    </row>
    <row r="179" spans="2:7" ht="15" hidden="1" customHeight="1">
      <c r="B179" s="516">
        <v>45772</v>
      </c>
      <c r="C179" s="517" t="s">
        <v>8984</v>
      </c>
      <c r="D179" s="518" t="s">
        <v>8990</v>
      </c>
      <c r="E179" s="296">
        <v>-52880</v>
      </c>
      <c r="F179" s="505">
        <v>45748</v>
      </c>
      <c r="G179" s="508" t="s">
        <v>291</v>
      </c>
    </row>
    <row r="180" spans="2:7" ht="15" hidden="1" customHeight="1">
      <c r="B180" s="516">
        <v>45772</v>
      </c>
      <c r="C180" s="517" t="s">
        <v>8992</v>
      </c>
      <c r="D180" s="518" t="s">
        <v>8990</v>
      </c>
      <c r="E180" s="296">
        <v>-8395</v>
      </c>
      <c r="F180" s="505">
        <v>45748</v>
      </c>
      <c r="G180" s="508" t="s">
        <v>8991</v>
      </c>
    </row>
    <row r="181" spans="2:7" ht="15" hidden="1" customHeight="1">
      <c r="B181" s="516">
        <v>45777</v>
      </c>
      <c r="C181" s="517" t="s">
        <v>8997</v>
      </c>
      <c r="D181" s="519" t="s">
        <v>204</v>
      </c>
      <c r="E181" s="296">
        <v>-1334600</v>
      </c>
      <c r="F181" s="505">
        <v>45748</v>
      </c>
      <c r="G181" s="726" t="s">
        <v>291</v>
      </c>
    </row>
    <row r="182" spans="2:7" ht="15" hidden="1" customHeight="1">
      <c r="B182" s="516">
        <v>45777</v>
      </c>
      <c r="C182" s="517" t="s">
        <v>8992</v>
      </c>
      <c r="D182" s="519" t="s">
        <v>204</v>
      </c>
      <c r="E182" s="296">
        <v>-253574</v>
      </c>
      <c r="F182" s="505">
        <v>45748</v>
      </c>
      <c r="G182" s="508" t="s">
        <v>8991</v>
      </c>
    </row>
    <row r="183" spans="2:7" ht="15" hidden="1" customHeight="1">
      <c r="B183" s="516">
        <v>45777</v>
      </c>
      <c r="C183" s="517" t="s">
        <v>8986</v>
      </c>
      <c r="D183" s="519" t="s">
        <v>204</v>
      </c>
      <c r="E183" s="296">
        <v>-2207129.1</v>
      </c>
      <c r="F183" s="505">
        <v>45748</v>
      </c>
      <c r="G183" s="508" t="s">
        <v>8991</v>
      </c>
    </row>
    <row r="184" spans="2:7" ht="15" hidden="1" customHeight="1">
      <c r="B184" s="516">
        <v>45777</v>
      </c>
      <c r="C184" s="517" t="s">
        <v>8986</v>
      </c>
      <c r="D184" s="519" t="s">
        <v>136</v>
      </c>
      <c r="E184" s="296">
        <v>-460900</v>
      </c>
      <c r="F184" s="505">
        <v>45748</v>
      </c>
      <c r="G184" s="508" t="s">
        <v>8991</v>
      </c>
    </row>
    <row r="185" spans="2:7" ht="15" hidden="1" customHeight="1">
      <c r="B185" s="516">
        <v>45777</v>
      </c>
      <c r="C185" s="517" t="s">
        <v>8984</v>
      </c>
      <c r="D185" s="518" t="s">
        <v>8990</v>
      </c>
      <c r="E185" s="296">
        <v>-2700</v>
      </c>
      <c r="F185" s="505">
        <v>45748</v>
      </c>
      <c r="G185" s="508" t="s">
        <v>291</v>
      </c>
    </row>
    <row r="186" spans="2:7" ht="15" hidden="1" customHeight="1">
      <c r="B186" s="516">
        <v>45777</v>
      </c>
      <c r="C186" s="517" t="s">
        <v>8986</v>
      </c>
      <c r="D186" s="518" t="s">
        <v>8990</v>
      </c>
      <c r="E186" s="296">
        <v>-8011</v>
      </c>
      <c r="F186" s="505">
        <v>45748</v>
      </c>
      <c r="G186" s="508" t="s">
        <v>8991</v>
      </c>
    </row>
    <row r="187" spans="2:7" ht="15" hidden="1" customHeight="1">
      <c r="B187" s="516">
        <v>45777</v>
      </c>
      <c r="C187" s="517" t="s">
        <v>8986</v>
      </c>
      <c r="D187" s="518" t="s">
        <v>4640</v>
      </c>
      <c r="E187" s="296">
        <v>-9278.8900693655014</v>
      </c>
      <c r="F187" s="505">
        <v>45748</v>
      </c>
      <c r="G187" s="508" t="s">
        <v>8991</v>
      </c>
    </row>
    <row r="188" spans="2:7" ht="15" hidden="1" customHeight="1">
      <c r="B188" s="516">
        <v>45777</v>
      </c>
      <c r="C188" s="517" t="s">
        <v>8988</v>
      </c>
      <c r="D188" s="519" t="s">
        <v>8999</v>
      </c>
      <c r="E188" s="296">
        <v>5969215.7599999998</v>
      </c>
      <c r="F188" s="505">
        <v>45748</v>
      </c>
      <c r="G188" s="508" t="s">
        <v>291</v>
      </c>
    </row>
    <row r="189" spans="2:7" ht="15" hidden="1" customHeight="1">
      <c r="B189" s="516">
        <v>45777</v>
      </c>
      <c r="C189" s="517" t="s">
        <v>8996</v>
      </c>
      <c r="D189" s="518" t="s">
        <v>204</v>
      </c>
      <c r="E189" s="296">
        <v>-13.000000715255737</v>
      </c>
      <c r="F189" s="505">
        <v>45748</v>
      </c>
      <c r="G189" s="508" t="s">
        <v>291</v>
      </c>
    </row>
    <row r="190" spans="2:7" ht="15" hidden="1" customHeight="1">
      <c r="B190" s="516">
        <v>45779</v>
      </c>
      <c r="C190" s="517" t="s">
        <v>9003</v>
      </c>
      <c r="D190" s="518" t="s">
        <v>204</v>
      </c>
      <c r="E190" s="296">
        <v>-75922</v>
      </c>
      <c r="F190" s="505">
        <v>45778</v>
      </c>
      <c r="G190" s="508" t="s">
        <v>291</v>
      </c>
    </row>
    <row r="191" spans="2:7" ht="15" hidden="1" customHeight="1">
      <c r="B191" s="516">
        <v>45786</v>
      </c>
      <c r="C191" s="517" t="s">
        <v>8986</v>
      </c>
      <c r="D191" s="518" t="s">
        <v>8990</v>
      </c>
      <c r="E191" s="296">
        <v>-63454</v>
      </c>
      <c r="F191" s="505">
        <v>45778</v>
      </c>
      <c r="G191" s="508" t="s">
        <v>8991</v>
      </c>
    </row>
    <row r="192" spans="2:7" ht="15" hidden="1" customHeight="1">
      <c r="B192" s="516">
        <v>45786</v>
      </c>
      <c r="C192" s="517" t="s">
        <v>8984</v>
      </c>
      <c r="D192" s="518" t="s">
        <v>8990</v>
      </c>
      <c r="E192" s="296">
        <v>-2700</v>
      </c>
      <c r="F192" s="505">
        <v>45778</v>
      </c>
      <c r="G192" s="508" t="s">
        <v>291</v>
      </c>
    </row>
    <row r="193" spans="2:7" ht="15" hidden="1" customHeight="1">
      <c r="B193" s="516">
        <v>45786</v>
      </c>
      <c r="C193" s="517" t="s">
        <v>8986</v>
      </c>
      <c r="D193" s="519" t="s">
        <v>136</v>
      </c>
      <c r="E193" s="296">
        <v>-174726</v>
      </c>
      <c r="F193" s="505">
        <v>45778</v>
      </c>
      <c r="G193" s="508" t="s">
        <v>8991</v>
      </c>
    </row>
    <row r="194" spans="2:7" ht="15" hidden="1" customHeight="1">
      <c r="B194" s="516">
        <v>45786</v>
      </c>
      <c r="C194" s="517" t="s">
        <v>8987</v>
      </c>
      <c r="D194" s="518" t="s">
        <v>9004</v>
      </c>
      <c r="E194" s="296">
        <v>-16100</v>
      </c>
      <c r="F194" s="505">
        <v>45778</v>
      </c>
      <c r="G194" s="508" t="s">
        <v>291</v>
      </c>
    </row>
    <row r="195" spans="2:7" ht="15" hidden="1" customHeight="1">
      <c r="B195" s="516">
        <v>45786</v>
      </c>
      <c r="C195" s="517" t="s">
        <v>8986</v>
      </c>
      <c r="D195" s="518" t="s">
        <v>9004</v>
      </c>
      <c r="E195" s="296">
        <v>-64</v>
      </c>
      <c r="F195" s="505">
        <v>45778</v>
      </c>
      <c r="G195" s="508" t="s">
        <v>8991</v>
      </c>
    </row>
    <row r="196" spans="2:7" ht="15" hidden="1" customHeight="1">
      <c r="B196" s="516">
        <v>45786</v>
      </c>
      <c r="C196" s="517" t="s">
        <v>8988</v>
      </c>
      <c r="D196" s="518" t="s">
        <v>9004</v>
      </c>
      <c r="E196" s="296">
        <v>0.62</v>
      </c>
      <c r="F196" s="505">
        <v>45778</v>
      </c>
      <c r="G196" s="508" t="s">
        <v>291</v>
      </c>
    </row>
    <row r="197" spans="2:7" ht="15" hidden="1" customHeight="1">
      <c r="B197" s="516">
        <v>45786</v>
      </c>
      <c r="C197" s="517" t="s">
        <v>8987</v>
      </c>
      <c r="D197" s="518" t="s">
        <v>9005</v>
      </c>
      <c r="E197" s="296">
        <v>-16100</v>
      </c>
      <c r="F197" s="505">
        <v>45778</v>
      </c>
      <c r="G197" s="508" t="s">
        <v>291</v>
      </c>
    </row>
    <row r="198" spans="2:7" ht="15" hidden="1" customHeight="1">
      <c r="B198" s="516">
        <v>45786</v>
      </c>
      <c r="C198" s="517" t="s">
        <v>8986</v>
      </c>
      <c r="D198" s="518" t="s">
        <v>9005</v>
      </c>
      <c r="E198" s="296">
        <v>-64.400000000000006</v>
      </c>
      <c r="F198" s="505">
        <v>45778</v>
      </c>
      <c r="G198" s="508" t="s">
        <v>291</v>
      </c>
    </row>
    <row r="199" spans="2:7" ht="15" hidden="1" customHeight="1">
      <c r="B199" s="516">
        <v>45786</v>
      </c>
      <c r="C199" s="517" t="s">
        <v>8988</v>
      </c>
      <c r="D199" s="518" t="s">
        <v>9005</v>
      </c>
      <c r="E199" s="296">
        <v>3.79</v>
      </c>
      <c r="F199" s="505">
        <v>45778</v>
      </c>
      <c r="G199" s="508" t="s">
        <v>291</v>
      </c>
    </row>
    <row r="200" spans="2:7" ht="15" hidden="1" customHeight="1">
      <c r="B200" s="516">
        <v>45786</v>
      </c>
      <c r="C200" s="517" t="s">
        <v>8997</v>
      </c>
      <c r="D200" s="519" t="s">
        <v>204</v>
      </c>
      <c r="E200" s="296">
        <v>-363400</v>
      </c>
      <c r="F200" s="505">
        <v>45778</v>
      </c>
      <c r="G200" s="508" t="s">
        <v>291</v>
      </c>
    </row>
    <row r="201" spans="2:7" ht="15" hidden="1" customHeight="1">
      <c r="B201" s="516">
        <v>45786</v>
      </c>
      <c r="C201" s="517" t="s">
        <v>8992</v>
      </c>
      <c r="D201" s="518" t="s">
        <v>204</v>
      </c>
      <c r="E201" s="296">
        <v>-86146</v>
      </c>
      <c r="F201" s="505">
        <v>45778</v>
      </c>
      <c r="G201" s="508" t="s">
        <v>8991</v>
      </c>
    </row>
    <row r="202" spans="2:7" ht="15" hidden="1" customHeight="1">
      <c r="B202" s="516">
        <v>45786</v>
      </c>
      <c r="C202" s="517" t="s">
        <v>8986</v>
      </c>
      <c r="D202" s="519" t="s">
        <v>204</v>
      </c>
      <c r="E202" s="296">
        <v>-1796415.29</v>
      </c>
      <c r="F202" s="505">
        <v>45778</v>
      </c>
      <c r="G202" s="508" t="s">
        <v>8991</v>
      </c>
    </row>
    <row r="203" spans="2:7" ht="15" hidden="1" customHeight="1">
      <c r="B203" s="516">
        <v>45786</v>
      </c>
      <c r="C203" s="517" t="s">
        <v>8987</v>
      </c>
      <c r="D203" s="518" t="s">
        <v>204</v>
      </c>
      <c r="E203" s="296">
        <v>-90000</v>
      </c>
      <c r="F203" s="505">
        <v>45778</v>
      </c>
      <c r="G203" s="508" t="s">
        <v>291</v>
      </c>
    </row>
    <row r="204" spans="2:7" ht="15" hidden="1" customHeight="1">
      <c r="B204" s="516">
        <v>45786</v>
      </c>
      <c r="C204" s="517" t="s">
        <v>8996</v>
      </c>
      <c r="D204" s="519" t="s">
        <v>204</v>
      </c>
      <c r="E204" s="825">
        <v>799</v>
      </c>
      <c r="F204" s="505">
        <v>45778</v>
      </c>
      <c r="G204" s="508" t="s">
        <v>291</v>
      </c>
    </row>
    <row r="205" spans="2:7" ht="15" hidden="1" customHeight="1">
      <c r="B205" s="516">
        <v>45786</v>
      </c>
      <c r="C205" s="517" t="s">
        <v>8988</v>
      </c>
      <c r="D205" s="518" t="s">
        <v>398</v>
      </c>
      <c r="E205" s="296">
        <v>46.23</v>
      </c>
      <c r="F205" s="505">
        <v>45778</v>
      </c>
      <c r="G205" s="508" t="s">
        <v>291</v>
      </c>
    </row>
    <row r="206" spans="2:7" ht="15" hidden="1" customHeight="1">
      <c r="B206" s="516">
        <v>45786</v>
      </c>
      <c r="C206" s="517" t="s">
        <v>8988</v>
      </c>
      <c r="D206" s="518" t="s">
        <v>9005</v>
      </c>
      <c r="E206" s="296">
        <v>7.56</v>
      </c>
      <c r="F206" s="505">
        <v>45778</v>
      </c>
      <c r="G206" s="508" t="s">
        <v>291</v>
      </c>
    </row>
    <row r="207" spans="2:7" ht="15" hidden="1" customHeight="1">
      <c r="B207" s="516">
        <v>45793</v>
      </c>
      <c r="C207" s="517" t="s">
        <v>8986</v>
      </c>
      <c r="D207" s="519" t="s">
        <v>136</v>
      </c>
      <c r="E207" s="296">
        <v>-776043</v>
      </c>
      <c r="F207" s="505">
        <v>45778</v>
      </c>
      <c r="G207" s="508" t="s">
        <v>8991</v>
      </c>
    </row>
    <row r="208" spans="2:7" ht="15" hidden="1" customHeight="1">
      <c r="B208" s="516">
        <v>45793</v>
      </c>
      <c r="C208" s="517" t="s">
        <v>8986</v>
      </c>
      <c r="D208" s="518" t="s">
        <v>8990</v>
      </c>
      <c r="E208" s="296">
        <v>-30334</v>
      </c>
      <c r="F208" s="505">
        <v>45778</v>
      </c>
      <c r="G208" s="508" t="s">
        <v>8991</v>
      </c>
    </row>
    <row r="209" spans="2:9" ht="15" hidden="1" customHeight="1">
      <c r="B209" s="516">
        <v>45793</v>
      </c>
      <c r="C209" s="517" t="s">
        <v>8984</v>
      </c>
      <c r="D209" s="518" t="s">
        <v>8990</v>
      </c>
      <c r="E209" s="296">
        <v>-12694</v>
      </c>
      <c r="F209" s="505">
        <v>45778</v>
      </c>
      <c r="G209" s="508" t="s">
        <v>291</v>
      </c>
    </row>
    <row r="210" spans="2:9" ht="15" hidden="1" customHeight="1">
      <c r="B210" s="516">
        <v>45793</v>
      </c>
      <c r="C210" s="517" t="s">
        <v>8992</v>
      </c>
      <c r="D210" s="518" t="s">
        <v>8990</v>
      </c>
      <c r="E210" s="296">
        <v>-1900</v>
      </c>
      <c r="F210" s="505">
        <v>45778</v>
      </c>
      <c r="G210" s="508" t="s">
        <v>8991</v>
      </c>
    </row>
    <row r="211" spans="2:9" ht="15" hidden="1" customHeight="1">
      <c r="B211" s="516">
        <v>45793</v>
      </c>
      <c r="C211" s="517" t="s">
        <v>8986</v>
      </c>
      <c r="D211" s="518" t="s">
        <v>9004</v>
      </c>
      <c r="E211" s="296">
        <v>-9101</v>
      </c>
      <c r="F211" s="505">
        <v>45778</v>
      </c>
      <c r="G211" s="508" t="s">
        <v>8991</v>
      </c>
    </row>
    <row r="212" spans="2:9" ht="15" hidden="1" customHeight="1">
      <c r="B212" s="516">
        <v>45793</v>
      </c>
      <c r="C212" s="517" t="s">
        <v>8984</v>
      </c>
      <c r="D212" s="518" t="s">
        <v>9004</v>
      </c>
      <c r="E212" s="296">
        <v>-5400</v>
      </c>
      <c r="F212" s="505">
        <v>45778</v>
      </c>
      <c r="G212" s="508" t="s">
        <v>291</v>
      </c>
    </row>
    <row r="213" spans="2:9" ht="15" hidden="1" customHeight="1">
      <c r="B213" s="516">
        <v>45793</v>
      </c>
      <c r="C213" s="517" t="s">
        <v>8997</v>
      </c>
      <c r="D213" s="519" t="s">
        <v>204</v>
      </c>
      <c r="E213" s="296">
        <v>-1038400</v>
      </c>
      <c r="F213" s="505">
        <v>45778</v>
      </c>
      <c r="G213" s="508" t="s">
        <v>291</v>
      </c>
    </row>
    <row r="214" spans="2:9" ht="15" hidden="1" customHeight="1">
      <c r="B214" s="516">
        <v>45793</v>
      </c>
      <c r="C214" s="517" t="s">
        <v>8992</v>
      </c>
      <c r="D214" s="518" t="s">
        <v>204</v>
      </c>
      <c r="E214" s="296">
        <v>-197296</v>
      </c>
      <c r="F214" s="505">
        <v>45778</v>
      </c>
      <c r="G214" s="508" t="s">
        <v>8991</v>
      </c>
    </row>
    <row r="215" spans="2:9" ht="15" hidden="1" customHeight="1">
      <c r="B215" s="516">
        <v>45793</v>
      </c>
      <c r="C215" s="517" t="s">
        <v>8986</v>
      </c>
      <c r="D215" s="519" t="s">
        <v>204</v>
      </c>
      <c r="E215" s="296">
        <v>-2882593.37</v>
      </c>
      <c r="F215" s="505">
        <v>45778</v>
      </c>
      <c r="G215" s="508" t="s">
        <v>8991</v>
      </c>
    </row>
    <row r="216" spans="2:9" ht="15" hidden="1" customHeight="1">
      <c r="B216" s="516">
        <v>45793</v>
      </c>
      <c r="C216" s="517" t="s">
        <v>8987</v>
      </c>
      <c r="D216" s="518" t="s">
        <v>398</v>
      </c>
      <c r="E216" s="296">
        <v>-14200</v>
      </c>
      <c r="F216" s="505">
        <v>45778</v>
      </c>
      <c r="G216" s="508" t="s">
        <v>291</v>
      </c>
    </row>
    <row r="217" spans="2:9" ht="15" hidden="1" customHeight="1">
      <c r="B217" s="516">
        <v>45800</v>
      </c>
      <c r="C217" s="517" t="s">
        <v>8984</v>
      </c>
      <c r="D217" s="518" t="s">
        <v>8990</v>
      </c>
      <c r="E217" s="296">
        <v>-42676</v>
      </c>
      <c r="F217" s="505">
        <v>45778</v>
      </c>
      <c r="G217" s="508" t="s">
        <v>291</v>
      </c>
    </row>
    <row r="218" spans="2:9" ht="15" hidden="1" customHeight="1">
      <c r="B218" s="516">
        <v>45800</v>
      </c>
      <c r="C218" s="517" t="s">
        <v>8992</v>
      </c>
      <c r="D218" s="518" t="s">
        <v>8990</v>
      </c>
      <c r="E218" s="296">
        <v>-7595</v>
      </c>
      <c r="F218" s="505">
        <v>45778</v>
      </c>
      <c r="G218" s="508" t="s">
        <v>8991</v>
      </c>
    </row>
    <row r="219" spans="2:9" ht="15" hidden="1" customHeight="1">
      <c r="B219" s="516">
        <v>45800</v>
      </c>
      <c r="C219" s="517" t="s">
        <v>8986</v>
      </c>
      <c r="D219" s="518" t="s">
        <v>8990</v>
      </c>
      <c r="E219" s="296">
        <v>-8201</v>
      </c>
      <c r="F219" s="505">
        <v>45778</v>
      </c>
      <c r="G219" s="508" t="s">
        <v>8991</v>
      </c>
    </row>
    <row r="220" spans="2:9" ht="15" hidden="1" customHeight="1">
      <c r="B220" s="516">
        <v>45800</v>
      </c>
      <c r="C220" s="517" t="s">
        <v>8986</v>
      </c>
      <c r="D220" s="519" t="s">
        <v>136</v>
      </c>
      <c r="E220" s="296">
        <v>-18112</v>
      </c>
      <c r="F220" s="505">
        <v>45778</v>
      </c>
      <c r="G220" s="508" t="s">
        <v>8991</v>
      </c>
    </row>
    <row r="221" spans="2:9" ht="15" hidden="1" customHeight="1">
      <c r="B221" s="516">
        <v>45800</v>
      </c>
      <c r="C221" s="517" t="s">
        <v>8988</v>
      </c>
      <c r="D221" s="518" t="s">
        <v>9004</v>
      </c>
      <c r="E221" s="296">
        <v>0.06</v>
      </c>
      <c r="F221" s="505">
        <v>45778</v>
      </c>
      <c r="G221" s="508" t="s">
        <v>291</v>
      </c>
    </row>
    <row r="222" spans="2:9" ht="15" hidden="1" customHeight="1">
      <c r="B222" s="516">
        <v>45800</v>
      </c>
      <c r="C222" s="517" t="s">
        <v>8997</v>
      </c>
      <c r="D222" s="519" t="s">
        <v>204</v>
      </c>
      <c r="E222" s="296">
        <v>-379200</v>
      </c>
      <c r="F222" s="505">
        <v>45778</v>
      </c>
      <c r="G222" s="508" t="s">
        <v>291</v>
      </c>
    </row>
    <row r="223" spans="2:9" ht="15" hidden="1" customHeight="1">
      <c r="B223" s="516">
        <v>45800</v>
      </c>
      <c r="C223" s="517" t="s">
        <v>8992</v>
      </c>
      <c r="D223" s="518" t="s">
        <v>204</v>
      </c>
      <c r="E223" s="296">
        <v>-68466.5</v>
      </c>
      <c r="F223" s="505">
        <v>45778</v>
      </c>
      <c r="G223" s="508" t="s">
        <v>8991</v>
      </c>
    </row>
    <row r="224" spans="2:9" ht="15" hidden="1" customHeight="1">
      <c r="B224" s="516">
        <v>45800</v>
      </c>
      <c r="C224" s="517" t="s">
        <v>8986</v>
      </c>
      <c r="D224" s="519" t="s">
        <v>204</v>
      </c>
      <c r="E224" s="296">
        <v>-1108188.52</v>
      </c>
      <c r="F224" s="505">
        <v>45778</v>
      </c>
      <c r="G224" s="508" t="s">
        <v>8991</v>
      </c>
      <c r="I224" s="510"/>
    </row>
    <row r="225" spans="2:7" ht="15" hidden="1" customHeight="1">
      <c r="B225" s="516">
        <v>45807</v>
      </c>
      <c r="C225" s="517" t="s">
        <v>8984</v>
      </c>
      <c r="D225" s="518" t="s">
        <v>8990</v>
      </c>
      <c r="E225" s="296">
        <v>-15920</v>
      </c>
      <c r="F225" s="505">
        <v>45778</v>
      </c>
      <c r="G225" s="508" t="s">
        <v>291</v>
      </c>
    </row>
    <row r="226" spans="2:7" ht="15" hidden="1" customHeight="1">
      <c r="B226" s="516">
        <v>45807</v>
      </c>
      <c r="C226" s="517" t="s">
        <v>8992</v>
      </c>
      <c r="D226" s="518" t="s">
        <v>8990</v>
      </c>
      <c r="E226" s="296">
        <v>-2000</v>
      </c>
      <c r="F226" s="505">
        <v>45778</v>
      </c>
      <c r="G226" s="508" t="s">
        <v>8991</v>
      </c>
    </row>
    <row r="227" spans="2:7" ht="15" hidden="1" customHeight="1">
      <c r="B227" s="516">
        <v>45807</v>
      </c>
      <c r="C227" s="517" t="s">
        <v>8986</v>
      </c>
      <c r="D227" s="518" t="s">
        <v>8990</v>
      </c>
      <c r="E227" s="296">
        <v>-35112</v>
      </c>
      <c r="F227" s="505">
        <v>45778</v>
      </c>
      <c r="G227" s="508" t="s">
        <v>8991</v>
      </c>
    </row>
    <row r="228" spans="2:7" ht="15" hidden="1" customHeight="1">
      <c r="B228" s="516">
        <v>45807</v>
      </c>
      <c r="C228" s="517" t="s">
        <v>8986</v>
      </c>
      <c r="D228" s="519" t="s">
        <v>136</v>
      </c>
      <c r="E228" s="296">
        <v>-194053</v>
      </c>
      <c r="F228" s="505">
        <v>45778</v>
      </c>
      <c r="G228" s="508" t="s">
        <v>8991</v>
      </c>
    </row>
    <row r="229" spans="2:7" ht="15" hidden="1" customHeight="1">
      <c r="B229" s="516">
        <v>45807</v>
      </c>
      <c r="C229" s="517" t="s">
        <v>8984</v>
      </c>
      <c r="D229" s="518" t="s">
        <v>9004</v>
      </c>
      <c r="E229" s="296">
        <v>-2700</v>
      </c>
      <c r="F229" s="505">
        <v>45778</v>
      </c>
      <c r="G229" s="508" t="s">
        <v>291</v>
      </c>
    </row>
    <row r="230" spans="2:7" ht="15" hidden="1" customHeight="1">
      <c r="B230" s="516">
        <v>45807</v>
      </c>
      <c r="C230" s="517" t="s">
        <v>8986</v>
      </c>
      <c r="D230" s="518" t="s">
        <v>9004</v>
      </c>
      <c r="E230" s="296">
        <v>-3651.8</v>
      </c>
      <c r="F230" s="505">
        <v>45778</v>
      </c>
      <c r="G230" s="508" t="s">
        <v>8991</v>
      </c>
    </row>
    <row r="231" spans="2:7" ht="15" hidden="1" customHeight="1">
      <c r="B231" s="516">
        <v>45807</v>
      </c>
      <c r="C231" s="517" t="s">
        <v>8988</v>
      </c>
      <c r="D231" s="518" t="s">
        <v>9004</v>
      </c>
      <c r="E231" s="296">
        <v>1.03</v>
      </c>
      <c r="F231" s="505">
        <v>45778</v>
      </c>
      <c r="G231" s="508" t="s">
        <v>291</v>
      </c>
    </row>
    <row r="232" spans="2:7" ht="15" hidden="1" customHeight="1">
      <c r="B232" s="516">
        <v>45807</v>
      </c>
      <c r="C232" s="517" t="s">
        <v>9006</v>
      </c>
      <c r="D232" s="518" t="s">
        <v>9005</v>
      </c>
      <c r="E232" s="296">
        <v>-1952408.14</v>
      </c>
      <c r="F232" s="505">
        <v>45778</v>
      </c>
      <c r="G232" s="508" t="s">
        <v>291</v>
      </c>
    </row>
    <row r="233" spans="2:7" ht="15" hidden="1" customHeight="1">
      <c r="B233" s="516">
        <v>45807</v>
      </c>
      <c r="C233" s="517" t="s">
        <v>8986</v>
      </c>
      <c r="D233" s="518" t="s">
        <v>9005</v>
      </c>
      <c r="E233" s="296">
        <v>-7809.63</v>
      </c>
      <c r="F233" s="505">
        <v>45778</v>
      </c>
      <c r="G233" s="508" t="s">
        <v>8991</v>
      </c>
    </row>
    <row r="234" spans="2:7" ht="15" hidden="1" customHeight="1">
      <c r="B234" s="516">
        <v>45807</v>
      </c>
      <c r="C234" s="517" t="s">
        <v>8988</v>
      </c>
      <c r="D234" s="518" t="s">
        <v>9005</v>
      </c>
      <c r="E234" s="296">
        <v>3.78</v>
      </c>
      <c r="F234" s="505">
        <v>45778</v>
      </c>
      <c r="G234" s="508" t="s">
        <v>291</v>
      </c>
    </row>
    <row r="235" spans="2:7" ht="15" hidden="1" customHeight="1">
      <c r="B235" s="516">
        <v>45807</v>
      </c>
      <c r="C235" s="517" t="s">
        <v>8997</v>
      </c>
      <c r="D235" s="519" t="s">
        <v>204</v>
      </c>
      <c r="E235" s="296">
        <v>-1773000</v>
      </c>
      <c r="F235" s="505">
        <v>45778</v>
      </c>
      <c r="G235" s="508" t="s">
        <v>291</v>
      </c>
    </row>
    <row r="236" spans="2:7" ht="15" hidden="1" customHeight="1">
      <c r="B236" s="516">
        <v>45807</v>
      </c>
      <c r="C236" s="517" t="s">
        <v>8992</v>
      </c>
      <c r="D236" s="518" t="s">
        <v>204</v>
      </c>
      <c r="E236" s="296">
        <v>-341373</v>
      </c>
      <c r="F236" s="505">
        <v>45778</v>
      </c>
      <c r="G236" s="508" t="s">
        <v>8991</v>
      </c>
    </row>
    <row r="237" spans="2:7" ht="15" hidden="1" customHeight="1">
      <c r="B237" s="516">
        <v>45807</v>
      </c>
      <c r="C237" s="517" t="s">
        <v>8986</v>
      </c>
      <c r="D237" s="519" t="s">
        <v>204</v>
      </c>
      <c r="E237" s="296">
        <v>-1749077.21</v>
      </c>
      <c r="F237" s="505">
        <v>45778</v>
      </c>
      <c r="G237" s="508" t="s">
        <v>8991</v>
      </c>
    </row>
    <row r="238" spans="2:7" ht="15" hidden="1" customHeight="1">
      <c r="B238" s="516">
        <v>45807</v>
      </c>
      <c r="C238" s="517" t="s">
        <v>8996</v>
      </c>
      <c r="D238" s="518" t="s">
        <v>204</v>
      </c>
      <c r="E238" s="825">
        <v>1064.1799759864807</v>
      </c>
      <c r="F238" s="505">
        <v>45778</v>
      </c>
      <c r="G238" s="508" t="s">
        <v>291</v>
      </c>
    </row>
    <row r="239" spans="2:7" ht="15" hidden="1" customHeight="1">
      <c r="B239" s="516">
        <v>45808</v>
      </c>
      <c r="C239" s="517" t="s">
        <v>8988</v>
      </c>
      <c r="D239" s="518" t="s">
        <v>8999</v>
      </c>
      <c r="E239" s="296">
        <f>8328376.63</f>
        <v>8328376.6299999999</v>
      </c>
      <c r="F239" s="505">
        <v>45778</v>
      </c>
      <c r="G239" s="508" t="s">
        <v>291</v>
      </c>
    </row>
    <row r="240" spans="2:7" ht="15" hidden="1" customHeight="1">
      <c r="B240" s="516">
        <v>45808</v>
      </c>
      <c r="C240" s="517" t="s">
        <v>8986</v>
      </c>
      <c r="D240" s="519" t="s">
        <v>136</v>
      </c>
      <c r="E240" s="296">
        <v>-2228</v>
      </c>
      <c r="F240" s="505">
        <v>45778</v>
      </c>
      <c r="G240" s="508" t="s">
        <v>8991</v>
      </c>
    </row>
    <row r="241" spans="2:7" ht="15" hidden="1" customHeight="1">
      <c r="B241" s="516">
        <v>45808</v>
      </c>
      <c r="C241" s="517" t="s">
        <v>8988</v>
      </c>
      <c r="D241" s="518" t="s">
        <v>398</v>
      </c>
      <c r="E241" s="296">
        <v>126.89</v>
      </c>
      <c r="F241" s="505">
        <v>45778</v>
      </c>
      <c r="G241" s="508" t="s">
        <v>291</v>
      </c>
    </row>
    <row r="242" spans="2:7" ht="15" hidden="1" customHeight="1">
      <c r="B242" s="516">
        <v>45808</v>
      </c>
      <c r="C242" s="517" t="s">
        <v>9007</v>
      </c>
      <c r="D242" s="519" t="s">
        <v>8999</v>
      </c>
      <c r="E242" s="296">
        <v>-229782.84</v>
      </c>
      <c r="F242" s="505">
        <v>45778</v>
      </c>
      <c r="G242" s="508" t="s">
        <v>8991</v>
      </c>
    </row>
    <row r="243" spans="2:7" ht="15" hidden="1" customHeight="1">
      <c r="B243" s="516">
        <v>45811</v>
      </c>
      <c r="C243" s="517" t="s">
        <v>9003</v>
      </c>
      <c r="D243" s="518" t="s">
        <v>204</v>
      </c>
      <c r="E243" s="296">
        <v>-75922</v>
      </c>
      <c r="F243" s="505">
        <v>45809</v>
      </c>
      <c r="G243" s="508" t="s">
        <v>291</v>
      </c>
    </row>
    <row r="244" spans="2:7" ht="15" hidden="1" customHeight="1">
      <c r="B244" s="516">
        <v>45814</v>
      </c>
      <c r="C244" s="517" t="s">
        <v>8997</v>
      </c>
      <c r="D244" s="518" t="s">
        <v>204</v>
      </c>
      <c r="E244" s="296">
        <v>-316000</v>
      </c>
      <c r="F244" s="505">
        <v>45809</v>
      </c>
      <c r="G244" s="508" t="s">
        <v>291</v>
      </c>
    </row>
    <row r="245" spans="2:7" ht="15" hidden="1" customHeight="1">
      <c r="B245" s="516">
        <v>45814</v>
      </c>
      <c r="C245" s="517" t="s">
        <v>8992</v>
      </c>
      <c r="D245" s="518" t="s">
        <v>204</v>
      </c>
      <c r="E245" s="296">
        <v>-77140</v>
      </c>
      <c r="F245" s="505">
        <v>45809</v>
      </c>
      <c r="G245" s="508" t="s">
        <v>8991</v>
      </c>
    </row>
    <row r="246" spans="2:7" ht="15" hidden="1" customHeight="1">
      <c r="B246" s="516">
        <v>45814</v>
      </c>
      <c r="C246" s="517" t="s">
        <v>8986</v>
      </c>
      <c r="D246" s="518" t="s">
        <v>204</v>
      </c>
      <c r="E246" s="296">
        <v>-1668953.02</v>
      </c>
      <c r="F246" s="505">
        <v>45809</v>
      </c>
      <c r="G246" s="508" t="s">
        <v>8991</v>
      </c>
    </row>
    <row r="247" spans="2:7" ht="15" hidden="1" customHeight="1">
      <c r="B247" s="516">
        <v>45814</v>
      </c>
      <c r="C247" s="517" t="s">
        <v>8987</v>
      </c>
      <c r="D247" s="518" t="s">
        <v>204</v>
      </c>
      <c r="E247" s="296">
        <v>-90000</v>
      </c>
      <c r="F247" s="505">
        <v>45809</v>
      </c>
      <c r="G247" s="508" t="s">
        <v>291</v>
      </c>
    </row>
    <row r="248" spans="2:7" ht="15" hidden="1" customHeight="1">
      <c r="B248" s="516">
        <v>45814</v>
      </c>
      <c r="C248" s="517" t="s">
        <v>8997</v>
      </c>
      <c r="D248" s="518" t="s">
        <v>9004</v>
      </c>
      <c r="E248" s="296">
        <v>-2700</v>
      </c>
      <c r="F248" s="505">
        <v>45809</v>
      </c>
      <c r="G248" s="508" t="s">
        <v>291</v>
      </c>
    </row>
    <row r="249" spans="2:7" ht="15" hidden="1" customHeight="1">
      <c r="B249" s="516">
        <v>45814</v>
      </c>
      <c r="C249" s="517" t="s">
        <v>8986</v>
      </c>
      <c r="D249" s="518" t="s">
        <v>9004</v>
      </c>
      <c r="E249" s="296">
        <v>-3475.2</v>
      </c>
      <c r="F249" s="505">
        <v>45809</v>
      </c>
      <c r="G249" s="508" t="s">
        <v>8991</v>
      </c>
    </row>
    <row r="250" spans="2:7" ht="15" hidden="1" customHeight="1">
      <c r="B250" s="516">
        <v>45814</v>
      </c>
      <c r="C250" s="517" t="s">
        <v>8987</v>
      </c>
      <c r="D250" s="518" t="s">
        <v>9004</v>
      </c>
      <c r="E250" s="296">
        <v>-16100</v>
      </c>
      <c r="F250" s="505">
        <v>45809</v>
      </c>
      <c r="G250" s="508" t="s">
        <v>291</v>
      </c>
    </row>
    <row r="251" spans="2:7" ht="15" hidden="1" customHeight="1">
      <c r="B251" s="516">
        <v>45814</v>
      </c>
      <c r="C251" s="517" t="s">
        <v>8988</v>
      </c>
      <c r="D251" s="518" t="s">
        <v>9004</v>
      </c>
      <c r="E251" s="296">
        <v>0.26</v>
      </c>
      <c r="F251" s="505">
        <v>45809</v>
      </c>
      <c r="G251" s="508" t="s">
        <v>291</v>
      </c>
    </row>
    <row r="252" spans="2:7" ht="15" hidden="1" customHeight="1">
      <c r="B252" s="516">
        <v>45838</v>
      </c>
      <c r="C252" s="517" t="s">
        <v>8988</v>
      </c>
      <c r="D252" s="518" t="s">
        <v>8999</v>
      </c>
      <c r="E252" s="296">
        <v>5895649.2000000002</v>
      </c>
      <c r="F252" s="505">
        <v>45809</v>
      </c>
      <c r="G252" s="508" t="s">
        <v>291</v>
      </c>
    </row>
    <row r="253" spans="2:7" ht="15" hidden="1" customHeight="1">
      <c r="B253" s="516">
        <v>45814</v>
      </c>
      <c r="C253" s="517" t="s">
        <v>9008</v>
      </c>
      <c r="D253" s="519" t="s">
        <v>8990</v>
      </c>
      <c r="E253" s="296">
        <v>-11569682</v>
      </c>
      <c r="F253" s="505">
        <v>45809</v>
      </c>
      <c r="G253" s="508" t="s">
        <v>291</v>
      </c>
    </row>
    <row r="254" spans="2:7" ht="15" hidden="1" customHeight="1">
      <c r="B254" s="516">
        <v>45814</v>
      </c>
      <c r="C254" s="517" t="s">
        <v>8986</v>
      </c>
      <c r="D254" s="519" t="s">
        <v>8990</v>
      </c>
      <c r="E254" s="713">
        <v>-109693</v>
      </c>
      <c r="F254" s="505">
        <v>45809</v>
      </c>
      <c r="G254" s="508" t="s">
        <v>8991</v>
      </c>
    </row>
    <row r="255" spans="2:7" ht="15" hidden="1" customHeight="1">
      <c r="B255" s="516">
        <v>45814</v>
      </c>
      <c r="C255" s="517" t="s">
        <v>8997</v>
      </c>
      <c r="D255" s="519" t="s">
        <v>8990</v>
      </c>
      <c r="E255" s="296">
        <v>-2700</v>
      </c>
      <c r="F255" s="505">
        <v>45809</v>
      </c>
      <c r="G255" s="508" t="s">
        <v>291</v>
      </c>
    </row>
    <row r="256" spans="2:7" ht="15" hidden="1" customHeight="1">
      <c r="B256" s="516">
        <v>45814</v>
      </c>
      <c r="C256" s="517" t="s">
        <v>8986</v>
      </c>
      <c r="D256" s="518" t="s">
        <v>136</v>
      </c>
      <c r="E256" s="296">
        <v>-5929</v>
      </c>
      <c r="F256" s="505">
        <v>45809</v>
      </c>
      <c r="G256" s="508" t="s">
        <v>8991</v>
      </c>
    </row>
    <row r="257" spans="2:7" ht="15" hidden="1" customHeight="1">
      <c r="B257" s="516">
        <v>45814</v>
      </c>
      <c r="C257" s="517" t="s">
        <v>8996</v>
      </c>
      <c r="D257" s="519" t="s">
        <v>204</v>
      </c>
      <c r="E257" s="296">
        <v>-4.0399959087371826</v>
      </c>
      <c r="F257" s="505">
        <v>45809</v>
      </c>
      <c r="G257" s="508" t="s">
        <v>291</v>
      </c>
    </row>
    <row r="258" spans="2:7" ht="15" hidden="1" customHeight="1">
      <c r="B258" s="516">
        <v>45814</v>
      </c>
      <c r="C258" s="517" t="s">
        <v>8988</v>
      </c>
      <c r="D258" s="518" t="s">
        <v>398</v>
      </c>
      <c r="E258" s="296">
        <v>18.829999999999998</v>
      </c>
      <c r="F258" s="505">
        <v>45809</v>
      </c>
      <c r="G258" s="508" t="s">
        <v>291</v>
      </c>
    </row>
    <row r="259" spans="2:7" ht="15" hidden="1" customHeight="1">
      <c r="B259" s="516">
        <v>45821</v>
      </c>
      <c r="C259" s="517" t="s">
        <v>8997</v>
      </c>
      <c r="D259" s="518" t="s">
        <v>204</v>
      </c>
      <c r="E259" s="296">
        <v>-1665900</v>
      </c>
      <c r="F259" s="505">
        <v>45809</v>
      </c>
      <c r="G259" s="508" t="s">
        <v>291</v>
      </c>
    </row>
    <row r="260" spans="2:7" ht="15" hidden="1" customHeight="1">
      <c r="B260" s="516">
        <v>45821</v>
      </c>
      <c r="C260" s="517" t="s">
        <v>8992</v>
      </c>
      <c r="D260" s="518" t="s">
        <v>204</v>
      </c>
      <c r="E260" s="296">
        <v>-316521</v>
      </c>
      <c r="F260" s="505">
        <v>45809</v>
      </c>
      <c r="G260" s="508" t="s">
        <v>8991</v>
      </c>
    </row>
    <row r="261" spans="2:7" ht="15" hidden="1" customHeight="1">
      <c r="B261" s="516">
        <v>45821</v>
      </c>
      <c r="C261" s="517" t="s">
        <v>8986</v>
      </c>
      <c r="D261" s="518" t="s">
        <v>204</v>
      </c>
      <c r="E261" s="296">
        <v>-6055686.3399999999</v>
      </c>
      <c r="F261" s="505">
        <v>45809</v>
      </c>
      <c r="G261" s="508" t="s">
        <v>8991</v>
      </c>
    </row>
    <row r="262" spans="2:7" ht="15" hidden="1" customHeight="1">
      <c r="B262" s="516">
        <v>45821</v>
      </c>
      <c r="C262" s="517" t="s">
        <v>8986</v>
      </c>
      <c r="D262" s="518" t="s">
        <v>136</v>
      </c>
      <c r="E262" s="296">
        <v>-461</v>
      </c>
      <c r="F262" s="505">
        <v>45809</v>
      </c>
      <c r="G262" s="508" t="s">
        <v>8991</v>
      </c>
    </row>
    <row r="263" spans="2:7" ht="15" hidden="1" customHeight="1">
      <c r="B263" s="516">
        <v>45838</v>
      </c>
      <c r="C263" s="517" t="s">
        <v>9007</v>
      </c>
      <c r="D263" s="519" t="s">
        <v>8999</v>
      </c>
      <c r="E263" s="296">
        <v>-646815.48000001907</v>
      </c>
      <c r="F263" s="505">
        <v>45809</v>
      </c>
      <c r="G263" s="508" t="s">
        <v>291</v>
      </c>
    </row>
    <row r="264" spans="2:7" ht="15" hidden="1" customHeight="1">
      <c r="B264" s="516">
        <v>45821</v>
      </c>
      <c r="C264" s="517" t="s">
        <v>8986</v>
      </c>
      <c r="D264" s="518" t="s">
        <v>9004</v>
      </c>
      <c r="E264" s="296">
        <v>-4410.8</v>
      </c>
      <c r="F264" s="505">
        <v>45809</v>
      </c>
      <c r="G264" s="508" t="s">
        <v>8991</v>
      </c>
    </row>
    <row r="265" spans="2:7" ht="15" hidden="1" customHeight="1">
      <c r="B265" s="516">
        <v>45821</v>
      </c>
      <c r="C265" s="517" t="s">
        <v>8997</v>
      </c>
      <c r="D265" s="518" t="s">
        <v>9004</v>
      </c>
      <c r="E265" s="296">
        <v>-2700</v>
      </c>
      <c r="F265" s="505">
        <v>45809</v>
      </c>
      <c r="G265" s="508" t="s">
        <v>291</v>
      </c>
    </row>
    <row r="266" spans="2:7" ht="15" hidden="1" customHeight="1">
      <c r="B266" s="516">
        <v>45821</v>
      </c>
      <c r="C266" s="517" t="s">
        <v>8988</v>
      </c>
      <c r="D266" s="518" t="s">
        <v>398</v>
      </c>
      <c r="E266" s="296">
        <v>38.630000000000003</v>
      </c>
      <c r="F266" s="505">
        <v>45809</v>
      </c>
      <c r="G266" s="508" t="s">
        <v>291</v>
      </c>
    </row>
    <row r="267" spans="2:7" ht="15" hidden="1" customHeight="1">
      <c r="B267" s="516">
        <v>45821</v>
      </c>
      <c r="C267" s="517" t="s">
        <v>8996</v>
      </c>
      <c r="D267" s="519" t="s">
        <v>204</v>
      </c>
      <c r="E267" s="296">
        <v>53.006248950958252</v>
      </c>
      <c r="F267" s="505">
        <v>45809</v>
      </c>
      <c r="G267" s="508" t="s">
        <v>291</v>
      </c>
    </row>
    <row r="268" spans="2:7" ht="15" hidden="1" customHeight="1">
      <c r="B268" s="516">
        <v>45828</v>
      </c>
      <c r="C268" s="517" t="s">
        <v>8986</v>
      </c>
      <c r="D268" s="518" t="s">
        <v>136</v>
      </c>
      <c r="E268" s="296">
        <v>-93364</v>
      </c>
      <c r="F268" s="505">
        <v>45809</v>
      </c>
      <c r="G268" s="508" t="s">
        <v>8991</v>
      </c>
    </row>
    <row r="269" spans="2:7" ht="15" hidden="1" customHeight="1">
      <c r="B269" s="516">
        <v>45828</v>
      </c>
      <c r="C269" s="517" t="s">
        <v>8997</v>
      </c>
      <c r="D269" s="519" t="s">
        <v>8990</v>
      </c>
      <c r="E269" s="296">
        <v>-10800</v>
      </c>
      <c r="F269" s="505">
        <v>45809</v>
      </c>
      <c r="G269" s="508" t="s">
        <v>291</v>
      </c>
    </row>
    <row r="270" spans="2:7" ht="15" hidden="1" customHeight="1">
      <c r="B270" s="516">
        <v>45828</v>
      </c>
      <c r="C270" s="517" t="s">
        <v>8986</v>
      </c>
      <c r="D270" s="519" t="s">
        <v>8990</v>
      </c>
      <c r="E270" s="713">
        <v>-32044</v>
      </c>
      <c r="F270" s="505">
        <v>45809</v>
      </c>
      <c r="G270" s="508" t="s">
        <v>8991</v>
      </c>
    </row>
    <row r="271" spans="2:7" ht="15" hidden="1" customHeight="1">
      <c r="B271" s="516">
        <v>45828</v>
      </c>
      <c r="C271" s="517" t="s">
        <v>8997</v>
      </c>
      <c r="D271" s="518" t="s">
        <v>204</v>
      </c>
      <c r="E271" s="296">
        <v>-1248200</v>
      </c>
      <c r="F271" s="505">
        <v>45809</v>
      </c>
      <c r="G271" s="508" t="s">
        <v>291</v>
      </c>
    </row>
    <row r="272" spans="2:7" ht="15" hidden="1" customHeight="1">
      <c r="B272" s="516">
        <v>45828</v>
      </c>
      <c r="C272" s="517" t="s">
        <v>8992</v>
      </c>
      <c r="D272" s="518" t="s">
        <v>204</v>
      </c>
      <c r="E272" s="296">
        <v>-237158</v>
      </c>
      <c r="F272" s="505">
        <v>45809</v>
      </c>
      <c r="G272" s="508" t="s">
        <v>8991</v>
      </c>
    </row>
    <row r="273" spans="2:7" ht="15" hidden="1" customHeight="1">
      <c r="B273" s="516">
        <v>45828</v>
      </c>
      <c r="C273" s="517" t="s">
        <v>8986</v>
      </c>
      <c r="D273" s="518" t="s">
        <v>204</v>
      </c>
      <c r="E273" s="296">
        <v>-7810998.4100000001</v>
      </c>
      <c r="F273" s="505">
        <v>45809</v>
      </c>
      <c r="G273" s="508" t="s">
        <v>8991</v>
      </c>
    </row>
    <row r="274" spans="2:7" ht="15" hidden="1" customHeight="1">
      <c r="B274" s="516">
        <v>45828</v>
      </c>
      <c r="C274" s="517" t="s">
        <v>8987</v>
      </c>
      <c r="D274" s="518" t="s">
        <v>398</v>
      </c>
      <c r="E274" s="296">
        <v>-14200</v>
      </c>
      <c r="F274" s="505">
        <v>45809</v>
      </c>
      <c r="G274" s="508" t="s">
        <v>291</v>
      </c>
    </row>
    <row r="275" spans="2:7" ht="15" hidden="1" customHeight="1">
      <c r="B275" s="516">
        <v>45835</v>
      </c>
      <c r="C275" s="517" t="s">
        <v>9006</v>
      </c>
      <c r="D275" s="518" t="s">
        <v>204</v>
      </c>
      <c r="E275" s="296">
        <v>-5155762</v>
      </c>
      <c r="F275" s="505">
        <v>45809</v>
      </c>
      <c r="G275" s="508" t="s">
        <v>291</v>
      </c>
    </row>
    <row r="276" spans="2:7" ht="15" hidden="1" customHeight="1">
      <c r="B276" s="516">
        <v>45835</v>
      </c>
      <c r="C276" s="517" t="s">
        <v>8997</v>
      </c>
      <c r="D276" s="518" t="s">
        <v>204</v>
      </c>
      <c r="E276" s="296">
        <v>-1449100</v>
      </c>
      <c r="F276" s="505">
        <v>45809</v>
      </c>
      <c r="G276" s="508" t="s">
        <v>291</v>
      </c>
    </row>
    <row r="277" spans="2:7" ht="15" hidden="1" customHeight="1">
      <c r="B277" s="516">
        <v>45835</v>
      </c>
      <c r="C277" s="517" t="s">
        <v>8992</v>
      </c>
      <c r="D277" s="518" t="s">
        <v>204</v>
      </c>
      <c r="E277" s="296">
        <v>-275329</v>
      </c>
      <c r="F277" s="505">
        <v>45809</v>
      </c>
      <c r="G277" s="508" t="s">
        <v>8991</v>
      </c>
    </row>
    <row r="278" spans="2:7" ht="15" hidden="1" customHeight="1">
      <c r="B278" s="516">
        <v>45835</v>
      </c>
      <c r="C278" s="517" t="s">
        <v>8986</v>
      </c>
      <c r="D278" s="518" t="s">
        <v>204</v>
      </c>
      <c r="E278" s="296">
        <v>-1913639</v>
      </c>
      <c r="F278" s="505">
        <v>45809</v>
      </c>
      <c r="G278" s="508" t="s">
        <v>8991</v>
      </c>
    </row>
    <row r="279" spans="2:7" ht="15" hidden="1" customHeight="1">
      <c r="B279" s="516">
        <v>45835</v>
      </c>
      <c r="C279" s="517" t="s">
        <v>8997</v>
      </c>
      <c r="D279" s="519" t="s">
        <v>8990</v>
      </c>
      <c r="E279" s="296">
        <v>-42676</v>
      </c>
      <c r="F279" s="505">
        <v>45809</v>
      </c>
      <c r="G279" s="508" t="s">
        <v>291</v>
      </c>
    </row>
    <row r="280" spans="2:7" ht="15" hidden="1" customHeight="1">
      <c r="B280" s="516">
        <v>45835</v>
      </c>
      <c r="C280" s="517" t="s">
        <v>8992</v>
      </c>
      <c r="D280" s="519" t="s">
        <v>8990</v>
      </c>
      <c r="E280" s="296">
        <v>-7595</v>
      </c>
      <c r="F280" s="505">
        <v>45809</v>
      </c>
      <c r="G280" s="508" t="s">
        <v>8991</v>
      </c>
    </row>
    <row r="281" spans="2:7" ht="15" hidden="1" customHeight="1">
      <c r="B281" s="516">
        <v>45835</v>
      </c>
      <c r="C281" s="517" t="s">
        <v>8986</v>
      </c>
      <c r="D281" s="519" t="s">
        <v>8990</v>
      </c>
      <c r="E281" s="713">
        <v>-18001</v>
      </c>
      <c r="F281" s="505">
        <v>45809</v>
      </c>
      <c r="G281" s="508" t="s">
        <v>8991</v>
      </c>
    </row>
    <row r="282" spans="2:7" ht="15" hidden="1" customHeight="1">
      <c r="B282" s="516">
        <v>45835</v>
      </c>
      <c r="C282" s="517" t="s">
        <v>8986</v>
      </c>
      <c r="D282" s="518" t="s">
        <v>136</v>
      </c>
      <c r="E282" s="296">
        <v>-79244</v>
      </c>
      <c r="F282" s="505">
        <v>45809</v>
      </c>
      <c r="G282" s="508" t="s">
        <v>8991</v>
      </c>
    </row>
    <row r="283" spans="2:7" ht="15" hidden="1" customHeight="1">
      <c r="B283" s="516">
        <v>45835</v>
      </c>
      <c r="C283" s="517" t="s">
        <v>8996</v>
      </c>
      <c r="D283" s="518" t="s">
        <v>8999</v>
      </c>
      <c r="E283" s="296">
        <v>112.75966656208038</v>
      </c>
      <c r="F283" s="505">
        <v>45809</v>
      </c>
      <c r="G283" s="508" t="s">
        <v>8991</v>
      </c>
    </row>
    <row r="284" spans="2:7" ht="15" hidden="1" customHeight="1">
      <c r="B284" s="516">
        <v>45838</v>
      </c>
      <c r="C284" s="517" t="s">
        <v>8997</v>
      </c>
      <c r="D284" s="519" t="s">
        <v>8990</v>
      </c>
      <c r="E284" s="296">
        <v>-16900</v>
      </c>
      <c r="F284" s="505">
        <v>45809</v>
      </c>
      <c r="G284" s="508" t="s">
        <v>291</v>
      </c>
    </row>
    <row r="285" spans="2:7" ht="15" hidden="1" customHeight="1">
      <c r="B285" s="516">
        <v>45838</v>
      </c>
      <c r="C285" s="517" t="s">
        <v>8992</v>
      </c>
      <c r="D285" s="519" t="s">
        <v>8990</v>
      </c>
      <c r="E285" s="296">
        <v>-3211</v>
      </c>
      <c r="F285" s="505">
        <v>45809</v>
      </c>
      <c r="G285" s="508" t="s">
        <v>8991</v>
      </c>
    </row>
    <row r="286" spans="2:7" ht="15" hidden="1" customHeight="1">
      <c r="B286" s="516">
        <v>45838</v>
      </c>
      <c r="C286" s="517" t="s">
        <v>8986</v>
      </c>
      <c r="D286" s="519" t="s">
        <v>8990</v>
      </c>
      <c r="E286" s="713">
        <v>-81</v>
      </c>
      <c r="F286" s="505">
        <v>45809</v>
      </c>
      <c r="G286" s="508" t="s">
        <v>8991</v>
      </c>
    </row>
    <row r="287" spans="2:7" ht="15" hidden="1" customHeight="1">
      <c r="B287" s="516">
        <v>45838</v>
      </c>
      <c r="C287" s="517" t="s">
        <v>8986</v>
      </c>
      <c r="D287" s="518" t="s">
        <v>136</v>
      </c>
      <c r="E287" s="296">
        <v>-46</v>
      </c>
      <c r="F287" s="505">
        <v>45809</v>
      </c>
      <c r="G287" s="508" t="s">
        <v>8991</v>
      </c>
    </row>
    <row r="288" spans="2:7" ht="15" hidden="1" customHeight="1">
      <c r="B288" s="516">
        <v>45838</v>
      </c>
      <c r="C288" s="517" t="s">
        <v>8988</v>
      </c>
      <c r="D288" s="518" t="s">
        <v>398</v>
      </c>
      <c r="E288" s="296">
        <v>73.95</v>
      </c>
      <c r="F288" s="505">
        <v>45809</v>
      </c>
      <c r="G288" s="508" t="s">
        <v>291</v>
      </c>
    </row>
    <row r="289" spans="2:7" ht="15" hidden="1" customHeight="1">
      <c r="B289" s="516">
        <v>45838</v>
      </c>
      <c r="C289" s="517" t="s">
        <v>8996</v>
      </c>
      <c r="D289" s="519" t="s">
        <v>204</v>
      </c>
      <c r="E289" s="296">
        <v>79.436666011810303</v>
      </c>
      <c r="F289" s="505">
        <v>45809</v>
      </c>
      <c r="G289" s="508" t="s">
        <v>291</v>
      </c>
    </row>
    <row r="290" spans="2:7" ht="15" hidden="1" customHeight="1">
      <c r="B290" s="516">
        <v>45838</v>
      </c>
      <c r="C290" s="517" t="s">
        <v>8988</v>
      </c>
      <c r="D290" s="518" t="s">
        <v>9004</v>
      </c>
      <c r="E290" s="296">
        <v>0.5</v>
      </c>
      <c r="F290" s="505">
        <v>45809</v>
      </c>
      <c r="G290" s="508" t="s">
        <v>291</v>
      </c>
    </row>
    <row r="291" spans="2:7" ht="15" customHeight="1">
      <c r="B291" s="516">
        <v>45839</v>
      </c>
      <c r="C291" s="517" t="s">
        <v>9003</v>
      </c>
      <c r="D291" s="518" t="s">
        <v>204</v>
      </c>
      <c r="E291" s="296">
        <v>-75922</v>
      </c>
      <c r="F291" s="505">
        <v>45839</v>
      </c>
      <c r="G291" s="508" t="s">
        <v>291</v>
      </c>
    </row>
    <row r="292" spans="2:7" ht="15" customHeight="1">
      <c r="B292" s="516">
        <v>45842</v>
      </c>
      <c r="C292" s="517" t="s">
        <v>8997</v>
      </c>
      <c r="D292" s="518" t="s">
        <v>204</v>
      </c>
      <c r="E292" s="296">
        <f>-268600-15800</f>
        <v>-284400</v>
      </c>
      <c r="F292" s="505">
        <v>45839</v>
      </c>
      <c r="G292" s="508" t="s">
        <v>291</v>
      </c>
    </row>
    <row r="293" spans="2:7" ht="15" customHeight="1">
      <c r="B293" s="516">
        <v>45842</v>
      </c>
      <c r="C293" s="517" t="s">
        <v>8992</v>
      </c>
      <c r="D293" s="518" t="s">
        <v>204</v>
      </c>
      <c r="E293" s="296">
        <f>-68134-3002</f>
        <v>-71136</v>
      </c>
      <c r="F293" s="505">
        <v>45839</v>
      </c>
      <c r="G293" s="508" t="s">
        <v>8991</v>
      </c>
    </row>
    <row r="294" spans="2:7" ht="15" customHeight="1">
      <c r="B294" s="516">
        <v>45842</v>
      </c>
      <c r="C294" s="517" t="s">
        <v>8986</v>
      </c>
      <c r="D294" s="518" t="s">
        <v>204</v>
      </c>
      <c r="E294" s="296">
        <v>-923566.05</v>
      </c>
      <c r="F294" s="505">
        <v>45839</v>
      </c>
      <c r="G294" s="508" t="s">
        <v>8991</v>
      </c>
    </row>
    <row r="295" spans="2:7" ht="15" customHeight="1">
      <c r="B295" s="516">
        <v>45842</v>
      </c>
      <c r="C295" s="517" t="s">
        <v>8987</v>
      </c>
      <c r="D295" s="518" t="s">
        <v>204</v>
      </c>
      <c r="E295" s="296">
        <v>-90000</v>
      </c>
      <c r="F295" s="505">
        <v>45839</v>
      </c>
      <c r="G295" s="508" t="s">
        <v>8991</v>
      </c>
    </row>
    <row r="296" spans="2:7" ht="15" customHeight="1">
      <c r="B296" s="516">
        <v>45842</v>
      </c>
      <c r="C296" s="517" t="s">
        <v>8997</v>
      </c>
      <c r="D296" s="519" t="s">
        <v>8990</v>
      </c>
      <c r="E296" s="296">
        <v>-10800</v>
      </c>
      <c r="F296" s="505">
        <v>45839</v>
      </c>
      <c r="G296" s="508" t="s">
        <v>291</v>
      </c>
    </row>
    <row r="297" spans="2:7" ht="15" customHeight="1">
      <c r="B297" s="516">
        <v>45842</v>
      </c>
      <c r="C297" s="517" t="s">
        <v>8986</v>
      </c>
      <c r="D297" s="519" t="s">
        <v>8990</v>
      </c>
      <c r="E297" s="296">
        <v>-86502</v>
      </c>
      <c r="F297" s="505">
        <v>45839</v>
      </c>
      <c r="G297" s="508" t="s">
        <v>8991</v>
      </c>
    </row>
    <row r="298" spans="2:7" ht="15" customHeight="1">
      <c r="B298" s="516">
        <v>45842</v>
      </c>
      <c r="C298" s="517" t="s">
        <v>8986</v>
      </c>
      <c r="D298" s="518" t="s">
        <v>136</v>
      </c>
      <c r="E298" s="296">
        <v>-14488</v>
      </c>
      <c r="F298" s="505">
        <v>45839</v>
      </c>
      <c r="G298" s="508" t="s">
        <v>8991</v>
      </c>
    </row>
    <row r="299" spans="2:7" ht="15" customHeight="1">
      <c r="B299" s="516">
        <v>45842</v>
      </c>
      <c r="C299" s="517" t="s">
        <v>8988</v>
      </c>
      <c r="D299" s="519" t="s">
        <v>8999</v>
      </c>
      <c r="E299" s="296">
        <f>925589.629999995-448086</f>
        <v>477503.629999995</v>
      </c>
      <c r="F299" s="505">
        <v>45839</v>
      </c>
      <c r="G299" s="508" t="s">
        <v>291</v>
      </c>
    </row>
    <row r="300" spans="2:7" ht="15" customHeight="1">
      <c r="B300" s="516">
        <v>45842</v>
      </c>
      <c r="C300" s="517" t="s">
        <v>8997</v>
      </c>
      <c r="D300" s="518" t="s">
        <v>9004</v>
      </c>
      <c r="E300" s="296">
        <v>-2700</v>
      </c>
      <c r="F300" s="505">
        <v>45839</v>
      </c>
      <c r="G300" s="508" t="s">
        <v>291</v>
      </c>
    </row>
    <row r="301" spans="2:7" ht="15" customHeight="1">
      <c r="B301" s="516">
        <v>45842</v>
      </c>
      <c r="C301" s="517" t="s">
        <v>8987</v>
      </c>
      <c r="D301" s="518" t="s">
        <v>9004</v>
      </c>
      <c r="E301" s="296">
        <v>-16100</v>
      </c>
      <c r="F301" s="505">
        <v>45839</v>
      </c>
      <c r="G301" s="508" t="s">
        <v>291</v>
      </c>
    </row>
    <row r="302" spans="2:7" ht="15" customHeight="1">
      <c r="B302" s="516">
        <v>45842</v>
      </c>
      <c r="C302" s="517" t="s">
        <v>8986</v>
      </c>
      <c r="D302" s="518" t="s">
        <v>9004</v>
      </c>
      <c r="E302" s="296">
        <v>-7275.2</v>
      </c>
      <c r="F302" s="505">
        <v>45839</v>
      </c>
      <c r="G302" s="508" t="s">
        <v>8991</v>
      </c>
    </row>
    <row r="303" spans="2:7" ht="15" customHeight="1">
      <c r="B303" s="516">
        <v>45842</v>
      </c>
      <c r="C303" s="517" t="s">
        <v>8988</v>
      </c>
      <c r="D303" s="519" t="s">
        <v>398</v>
      </c>
      <c r="E303" s="296">
        <v>4.1399999999999997</v>
      </c>
      <c r="F303" s="505">
        <v>45839</v>
      </c>
      <c r="G303" s="508" t="s">
        <v>291</v>
      </c>
    </row>
    <row r="304" spans="2:7" ht="15" customHeight="1">
      <c r="B304" s="516">
        <v>45842</v>
      </c>
      <c r="C304" s="517" t="s">
        <v>8996</v>
      </c>
      <c r="D304" s="518" t="s">
        <v>204</v>
      </c>
      <c r="E304" s="296">
        <v>2.8700000047683716</v>
      </c>
      <c r="F304" s="505">
        <v>45839</v>
      </c>
      <c r="G304" s="508" t="s">
        <v>291</v>
      </c>
    </row>
    <row r="305" spans="2:7" ht="15" customHeight="1">
      <c r="B305" s="516">
        <v>45849</v>
      </c>
      <c r="C305" s="517" t="s">
        <v>8997</v>
      </c>
      <c r="D305" s="518" t="s">
        <v>9004</v>
      </c>
      <c r="E305" s="296">
        <v>2700</v>
      </c>
      <c r="F305" s="505">
        <v>45839</v>
      </c>
      <c r="G305" s="508" t="s">
        <v>291</v>
      </c>
    </row>
    <row r="306" spans="2:7" ht="15" customHeight="1">
      <c r="B306" s="516">
        <v>45849</v>
      </c>
      <c r="C306" s="517" t="s">
        <v>8986</v>
      </c>
      <c r="D306" s="518" t="s">
        <v>9004</v>
      </c>
      <c r="E306" s="296">
        <v>-4010.08</v>
      </c>
      <c r="F306" s="505">
        <v>45839</v>
      </c>
      <c r="G306" s="508" t="s">
        <v>8991</v>
      </c>
    </row>
    <row r="307" spans="2:7" ht="15" customHeight="1">
      <c r="B307" s="516">
        <v>45849</v>
      </c>
      <c r="C307" s="517" t="s">
        <v>8988</v>
      </c>
      <c r="D307" s="518" t="s">
        <v>9004</v>
      </c>
      <c r="E307" s="296">
        <v>1.68</v>
      </c>
      <c r="F307" s="505">
        <v>45839</v>
      </c>
      <c r="G307" s="508" t="s">
        <v>291</v>
      </c>
    </row>
    <row r="308" spans="2:7" ht="15" customHeight="1">
      <c r="B308" s="516">
        <v>45849</v>
      </c>
      <c r="C308" s="517" t="s">
        <v>8988</v>
      </c>
      <c r="D308" s="519" t="s">
        <v>8999</v>
      </c>
      <c r="E308" s="296">
        <f>1113581.28-35000</f>
        <v>1078581.28</v>
      </c>
      <c r="F308" s="505">
        <v>45839</v>
      </c>
      <c r="G308" s="508" t="s">
        <v>291</v>
      </c>
    </row>
    <row r="309" spans="2:7" ht="15" customHeight="1">
      <c r="B309" s="516">
        <v>45849</v>
      </c>
      <c r="C309" s="517" t="s">
        <v>8997</v>
      </c>
      <c r="D309" s="518" t="s">
        <v>204</v>
      </c>
      <c r="E309" s="296">
        <v>-466100</v>
      </c>
      <c r="F309" s="505">
        <v>45839</v>
      </c>
      <c r="G309" s="508" t="s">
        <v>291</v>
      </c>
    </row>
    <row r="310" spans="2:7" ht="15" customHeight="1">
      <c r="B310" s="516">
        <v>45849</v>
      </c>
      <c r="C310" s="517" t="s">
        <v>8992</v>
      </c>
      <c r="D310" s="518" t="s">
        <v>204</v>
      </c>
      <c r="E310" s="296">
        <v>-88559</v>
      </c>
      <c r="F310" s="505">
        <v>45839</v>
      </c>
      <c r="G310" s="508" t="s">
        <v>8991</v>
      </c>
    </row>
    <row r="311" spans="2:7" ht="15" customHeight="1">
      <c r="B311" s="516">
        <v>45849</v>
      </c>
      <c r="C311" s="517" t="s">
        <v>8986</v>
      </c>
      <c r="D311" s="518" t="s">
        <v>204</v>
      </c>
      <c r="E311" s="296">
        <v>-11331670.140000001</v>
      </c>
      <c r="F311" s="505">
        <v>45839</v>
      </c>
      <c r="G311" s="508" t="s">
        <v>8991</v>
      </c>
    </row>
    <row r="312" spans="2:7" ht="15" customHeight="1">
      <c r="B312" s="516">
        <v>45849</v>
      </c>
      <c r="C312" s="517" t="s">
        <v>8986</v>
      </c>
      <c r="D312" s="518" t="s">
        <v>136</v>
      </c>
      <c r="E312" s="296">
        <v>-5337</v>
      </c>
      <c r="F312" s="505">
        <v>45839</v>
      </c>
      <c r="G312" s="508" t="s">
        <v>8991</v>
      </c>
    </row>
    <row r="313" spans="2:7" ht="15" customHeight="1">
      <c r="B313" s="516">
        <v>45849</v>
      </c>
      <c r="C313" s="517" t="s">
        <v>8997</v>
      </c>
      <c r="D313" s="519" t="s">
        <v>8990</v>
      </c>
      <c r="E313" s="296">
        <v>-2700</v>
      </c>
      <c r="F313" s="505">
        <v>45839</v>
      </c>
      <c r="G313" s="508" t="s">
        <v>291</v>
      </c>
    </row>
    <row r="314" spans="2:7" ht="15" customHeight="1">
      <c r="B314" s="516">
        <v>45849</v>
      </c>
      <c r="C314" s="517" t="s">
        <v>8986</v>
      </c>
      <c r="D314" s="519" t="s">
        <v>8990</v>
      </c>
      <c r="E314" s="296">
        <v>-8011</v>
      </c>
      <c r="F314" s="505">
        <v>45839</v>
      </c>
      <c r="G314" s="508" t="s">
        <v>8991</v>
      </c>
    </row>
    <row r="315" spans="2:7" ht="15" customHeight="1">
      <c r="B315" s="516">
        <v>45849</v>
      </c>
      <c r="C315" s="517" t="s">
        <v>8996</v>
      </c>
      <c r="D315" s="518" t="s">
        <v>204</v>
      </c>
      <c r="E315" s="296">
        <v>314.9300000667572</v>
      </c>
      <c r="F315" s="505">
        <v>45839</v>
      </c>
      <c r="G315" s="508" t="s">
        <v>291</v>
      </c>
    </row>
    <row r="316" spans="2:7" ht="15" customHeight="1">
      <c r="B316" s="516"/>
      <c r="C316" s="517"/>
      <c r="D316" s="518"/>
      <c r="E316" s="296"/>
      <c r="F316" s="505"/>
      <c r="G316" s="508"/>
    </row>
    <row r="328" spans="1:7" s="198" customFormat="1" ht="15.75" customHeight="1">
      <c r="A328" s="495" t="e">
        <f>+#REF!*#REF!/#REF!</f>
        <v>#REF!</v>
      </c>
      <c r="B328" s="203"/>
      <c r="C328" s="203"/>
      <c r="D328" s="203"/>
      <c r="E328" s="510"/>
      <c r="F328" s="203"/>
      <c r="G328" s="203"/>
    </row>
    <row r="6296" spans="7:7" ht="15" customHeight="1">
      <c r="G6296" s="510" t="e">
        <f>'Gastos Bancarios'!#REF!+'Gastos Bancarios'!#REF!</f>
        <v>#REF!</v>
      </c>
    </row>
  </sheetData>
  <autoFilter ref="B4:G315" xr:uid="{C11A7C38-B4B3-48C2-8EEE-A70D1413F81D}">
    <filterColumn colId="4">
      <filters>
        <dateGroupItem year="2025" month="7" dateTimeGrouping="month"/>
      </filters>
    </filterColumn>
    <sortState xmlns:xlrd2="http://schemas.microsoft.com/office/spreadsheetml/2017/richdata2" ref="B291:G315">
      <sortCondition ref="B4:B315"/>
    </sortState>
  </autoFilter>
  <mergeCells count="3">
    <mergeCell ref="I1:I3"/>
    <mergeCell ref="J1:P2"/>
    <mergeCell ref="B3:F3"/>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A54FE-C42E-467F-B8FC-7EE6E1CFC6CC}">
  <sheetPr>
    <tabColor rgb="FFFFFF00"/>
    <outlinePr summaryBelow="0" summaryRight="0"/>
  </sheetPr>
  <dimension ref="B1:U61"/>
  <sheetViews>
    <sheetView showGridLines="0" topLeftCell="A36" zoomScale="85" zoomScaleNormal="85" workbookViewId="0">
      <selection activeCell="O10" sqref="O10"/>
    </sheetView>
  </sheetViews>
  <sheetFormatPr defaultColWidth="14.42578125" defaultRowHeight="15" customHeight="1"/>
  <cols>
    <col min="2" max="3" width="14.42578125" style="6" customWidth="1"/>
    <col min="4" max="4" width="17" customWidth="1"/>
    <col min="5" max="5" width="9.140625" customWidth="1"/>
    <col min="6" max="6" width="44.28515625" customWidth="1"/>
    <col min="7" max="7" width="16.5703125" customWidth="1"/>
    <col min="8" max="8" width="4.140625" customWidth="1"/>
    <col min="9" max="9" width="18.5703125" hidden="1" customWidth="1"/>
    <col min="10" max="10" width="16.42578125" style="6" hidden="1" customWidth="1"/>
    <col min="11" max="11" width="16.42578125" hidden="1" customWidth="1"/>
    <col min="12" max="12" width="16.28515625" customWidth="1"/>
    <col min="13" max="13" width="16.5703125" customWidth="1"/>
    <col min="14" max="14" width="16.85546875" customWidth="1"/>
    <col min="15" max="16" width="16.42578125" customWidth="1"/>
    <col min="17" max="17" width="18" bestFit="1" customWidth="1"/>
    <col min="18" max="18" width="20.28515625" customWidth="1"/>
    <col min="19" max="19" width="23.140625" customWidth="1"/>
    <col min="20" max="20" width="21.5703125" bestFit="1" customWidth="1"/>
  </cols>
  <sheetData>
    <row r="1" spans="4:20" ht="6.75" customHeight="1">
      <c r="K1" s="13"/>
    </row>
    <row r="2" spans="4:20" s="6" customFormat="1" ht="15.75" customHeight="1">
      <c r="D2" s="467" t="s">
        <v>9009</v>
      </c>
      <c r="E2" s="1"/>
      <c r="F2" s="944" t="s">
        <v>143</v>
      </c>
      <c r="G2" s="945"/>
      <c r="H2" s="3"/>
      <c r="I2" s="5"/>
      <c r="J2" s="2"/>
      <c r="K2" s="2"/>
      <c r="L2" s="5"/>
      <c r="M2" s="5"/>
      <c r="N2" s="5"/>
      <c r="O2" s="5"/>
      <c r="P2" s="5"/>
      <c r="Q2" s="5"/>
      <c r="R2" s="5"/>
      <c r="S2" s="5"/>
      <c r="T2" s="4"/>
    </row>
    <row r="3" spans="4:20" s="6" customFormat="1" ht="5.45" customHeight="1">
      <c r="D3" s="1"/>
      <c r="E3" s="1"/>
      <c r="F3" s="3"/>
      <c r="G3" s="3"/>
      <c r="H3" s="3"/>
      <c r="I3" s="70"/>
    </row>
    <row r="4" spans="4:20" ht="15.75" customHeight="1">
      <c r="D4" s="1"/>
      <c r="E4" s="1"/>
      <c r="F4" s="1"/>
      <c r="G4" s="788">
        <v>2025</v>
      </c>
      <c r="H4" s="1"/>
      <c r="I4" s="8">
        <v>45658</v>
      </c>
      <c r="J4" s="8">
        <v>45689</v>
      </c>
      <c r="K4" s="9">
        <v>45717</v>
      </c>
      <c r="L4" s="8">
        <v>45748</v>
      </c>
      <c r="M4" s="8">
        <v>45778</v>
      </c>
      <c r="N4" s="9">
        <v>45809</v>
      </c>
      <c r="O4" s="8">
        <v>45839</v>
      </c>
      <c r="P4" s="8">
        <v>45870</v>
      </c>
      <c r="Q4" s="9">
        <v>45901</v>
      </c>
      <c r="R4" s="8">
        <v>45931</v>
      </c>
      <c r="S4" s="8">
        <v>45962</v>
      </c>
      <c r="T4" s="9">
        <v>45992</v>
      </c>
    </row>
    <row r="5" spans="4:20" ht="15.6" hidden="1" customHeight="1">
      <c r="D5" s="1" t="s">
        <v>107</v>
      </c>
      <c r="E5" s="1"/>
      <c r="F5" s="11" t="s">
        <v>5051</v>
      </c>
      <c r="G5" s="12"/>
      <c r="H5" s="11"/>
      <c r="I5" s="2">
        <f>+SUMIFS('Movimientos Reales'!$D$4:$D$1048576,'Movimientos Reales'!$E$4:$E$1048576,'Caja Real mensual '!$I$4,'Movimientos Reales'!$F$4:$F$1048576,'Caja Real mensual '!$D$5)</f>
        <v>0</v>
      </c>
      <c r="J5" s="2">
        <f>+SUMIFS('Movimientos Reales'!$D$4:$D$1048576,'Movimientos Reales'!$E$4:$E$1048576,'Caja Real mensual '!$I$4,'Movimientos Reales'!$F$4:$F$1048576,'Caja Real mensual '!$D$5)</f>
        <v>0</v>
      </c>
      <c r="K5" s="2">
        <f>+SUMIFS('Movimientos Reales'!$D$4:$D$1048576,'Movimientos Reales'!$E$4:$E$1048576,'Caja Real mensual '!$I$4,'Movimientos Reales'!$F$4:$F$1048576,'Caja Real mensual '!$D$5)</f>
        <v>0</v>
      </c>
      <c r="L5" s="2">
        <f>+SUMIFS('Movimientos Reales'!$D$4:$D$1048576,'Movimientos Reales'!$E$4:$E$1048576,'Caja Real mensual '!$L$4,'Movimientos Reales'!$F$4:$F$1048576,'Caja Real mensual '!$D$5)</f>
        <v>0</v>
      </c>
      <c r="M5" s="2">
        <f>+SUMIFS('Movimientos Reales'!$D$4:$D$1048576,'Movimientos Reales'!$E$4:$E$1048576,'Caja Real mensual '!$M$4,'Movimientos Reales'!$F$4:$F$1048576,'Caja Real mensual '!$D$5)</f>
        <v>0</v>
      </c>
      <c r="N5" s="2">
        <f>+SUMIFS('Movimientos Reales'!$D$4:$D$1048576,'Movimientos Reales'!$E$4:$E$1048576,'Caja Real mensual '!$N$4,'Movimientos Reales'!$F$4:$F$1048576,'Caja Real mensual '!$D$5)</f>
        <v>0</v>
      </c>
      <c r="O5" s="2">
        <f>+SUMIFS('Movimientos Reales'!$D$4:$D$1048576,'Movimientos Reales'!$E$4:$E$1048576,'Caja Real mensual '!$O$4,'Movimientos Reales'!$F$4:$F$1048576,'Caja Real mensual '!$D$5)</f>
        <v>0</v>
      </c>
      <c r="P5" s="2">
        <f>+SUMIFS('Movimientos Reales'!$D$4:$D$1048576,'Movimientos Reales'!$E$4:$E$1048576,'Caja Real mensual '!$P$4,'Movimientos Reales'!$F$4:$F$1048576,'Caja Real mensual '!$D$5)</f>
        <v>0</v>
      </c>
      <c r="Q5" s="2">
        <f>+SUMIFS('Movimientos Reales'!$D$4:$D$1048576,'Movimientos Reales'!$E$4:$E$1048576,'Caja Real mensual '!$Q$4,'Movimientos Reales'!$F$4:$F$1048576,'Caja Real mensual '!$D$5)</f>
        <v>0</v>
      </c>
      <c r="R5" s="2">
        <f>+SUMIFS('Movimientos Reales'!$D$4:$D$1048576,'Movimientos Reales'!$E$4:$E$1048576,'Caja Real mensual '!$R$4,'Movimientos Reales'!$F$4:$F$1048576,'Caja Real mensual '!$D$5)</f>
        <v>0</v>
      </c>
      <c r="S5" s="2">
        <f>+SUMIFS('Movimientos Reales'!$D$4:$D$1048576,'Movimientos Reales'!$E$4:$E$1048576,'Caja Real mensual '!$S$4,'Movimientos Reales'!$F$4:$F$1048576,'Caja Real mensual '!$D$5)</f>
        <v>0</v>
      </c>
      <c r="T5" s="2">
        <f>+SUMIFS('Movimientos Reales'!$D$4:$D$1048576,'Movimientos Reales'!$E$4:$E$1048576,'Caja Real mensual '!$T$4,'Movimientos Reales'!$F$4:$F$1048576,'Caja Real mensual '!$D$5)</f>
        <v>0</v>
      </c>
    </row>
    <row r="6" spans="4:20" ht="15.75" hidden="1" customHeight="1">
      <c r="D6" s="1"/>
      <c r="E6" s="1"/>
      <c r="F6" s="11" t="s">
        <v>9010</v>
      </c>
      <c r="G6" s="12"/>
      <c r="H6" s="11"/>
      <c r="I6" s="2"/>
      <c r="J6" s="2"/>
      <c r="K6" s="13"/>
      <c r="L6" s="13"/>
      <c r="M6" s="13"/>
      <c r="N6" s="2"/>
      <c r="O6" s="2"/>
      <c r="P6" s="2"/>
      <c r="Q6" s="2"/>
      <c r="R6" s="2"/>
      <c r="S6" s="2"/>
      <c r="T6" s="13"/>
    </row>
    <row r="7" spans="4:20" ht="15.75" customHeight="1">
      <c r="D7" s="1" t="s">
        <v>295</v>
      </c>
      <c r="E7" s="1"/>
      <c r="F7" s="11" t="s">
        <v>9011</v>
      </c>
      <c r="G7" s="12"/>
      <c r="H7" s="11"/>
      <c r="I7" s="2">
        <f>+SUMIFS('Movimientos Reales'!$D$4:$D$1048576,'Movimientos Reales'!$E$4:$E$1048576,'Caja Real mensual '!$I$4,'Movimientos Reales'!$F$4:$F$1048576,'Caja Real mensual '!$D$7)</f>
        <v>36189314.170000002</v>
      </c>
      <c r="J7" s="2">
        <f>+SUMIFS('Movimientos Reales'!$D$4:$D$1048576,'Movimientos Reales'!$E$4:$E$1048576,'Caja Real mensual '!$J$4,'Movimientos Reales'!$F$4:$F$1048576,'Caja Real mensual '!$D$7)</f>
        <v>80849259.349999994</v>
      </c>
      <c r="K7" s="2">
        <f>+SUMIFS('Movimientos Reales'!$D$4:$D$1048576,'Movimientos Reales'!$E$4:$E$1048576,'Caja Real mensual '!$K$4,'Movimientos Reales'!$F$4:$F$1048576,'Caja Real mensual '!$D$7)</f>
        <v>42062764.460000001</v>
      </c>
      <c r="L7" s="2">
        <f>+SUMIFS('Movimientos Reales'!$D$4:$D$1048576,'Movimientos Reales'!$E$4:$E$1048576,'Caja Real mensual '!$L$4,'Movimientos Reales'!$F$4:$F$1048576,'Caja Real mensual '!$D$7)</f>
        <v>59528929.189999998</v>
      </c>
      <c r="M7" s="2">
        <f>+SUMIFS('Movimientos Reales'!$D$4:$D$1048576,'Movimientos Reales'!$E$4:$E$1048576,'Caja Real mensual '!$M$4,'Movimientos Reales'!$F$4:$F$1048576,'Caja Real mensual '!$D$7)</f>
        <v>62348716.18</v>
      </c>
      <c r="N7" s="2">
        <f>+SUMIFS('Movimientos Reales'!$D$4:$D$1048576,'Movimientos Reales'!$E$4:$E$1048576,'Caja Real mensual '!$N$4,'Movimientos Reales'!$F$4:$F$1048576,'Caja Real mensual '!$D$7)</f>
        <v>56083070.890000001</v>
      </c>
      <c r="O7" s="2">
        <f>+SUMIFS('Movimientos Reales'!$D$4:$D$1048576,'Movimientos Reales'!$E$4:$E$1048576,'Caja Real mensual '!$O$4,'Movimientos Reales'!$F$4:$F$1048576,'Caja Real mensual '!$D$7)</f>
        <v>24897541.800000001</v>
      </c>
      <c r="P7" s="2">
        <f>+SUMIFS('Movimientos Reales'!$D$4:$D$1048576,'Movimientos Reales'!$E$4:$E$1048576,'Caja Real mensual '!$P$4,'Movimientos Reales'!$F$4:$F$1048576,'Caja Real mensual '!$D$7)</f>
        <v>0</v>
      </c>
      <c r="Q7" s="2">
        <f>+SUMIFS('Movimientos Reales'!$D$4:$D$1048576,'Movimientos Reales'!$E$4:$E$1048576,'Caja Real mensual '!$Q$4,'Movimientos Reales'!$F$4:$F$1048576,'Caja Real mensual '!$D$7)</f>
        <v>0</v>
      </c>
      <c r="R7" s="490">
        <f>+SUMIFS('Movimientos Reales'!$D$4:$D$1048576,'Movimientos Reales'!$E$4:$E$1048576,'Caja Real mensual '!$R$4,'Movimientos Reales'!$F$4:$F$1048576,'Caja Real mensual '!$D$7)</f>
        <v>0</v>
      </c>
      <c r="S7" s="490">
        <f>+SUMIFS('Movimientos Reales'!$D$4:$D$1048576,'Movimientos Reales'!$E$4:$E$1048576,'Caja Real mensual '!$S$4,'Movimientos Reales'!$F$4:$F$1048576,'Caja Real mensual '!$D$7)</f>
        <v>0</v>
      </c>
      <c r="T7" s="490">
        <f>+SUMIFS('Movimientos Reales'!$D$4:$D$1048576,'Movimientos Reales'!$E$4:$E$1048576,'Caja Real mensual '!$T$4,'Movimientos Reales'!$F$4:$F$1048576,'Caja Real mensual '!$D$7)</f>
        <v>0</v>
      </c>
    </row>
    <row r="8" spans="4:20" ht="15.75" customHeight="1">
      <c r="D8" s="1" t="s">
        <v>395</v>
      </c>
      <c r="E8" s="1"/>
      <c r="F8" s="11" t="s">
        <v>9012</v>
      </c>
      <c r="G8" s="12"/>
      <c r="H8" s="11"/>
      <c r="I8" s="2">
        <f>+SUMIFS('Movimientos Reales'!$D$4:$D$1048576,'Movimientos Reales'!$E$4:$E$1048576,'Caja Real mensual '!$I$4,'Movimientos Reales'!$F$4:$F$1048576,'Caja Real mensual '!$D$8)</f>
        <v>-916523.25</v>
      </c>
      <c r="J8" s="2">
        <f>+SUMIFS('Movimientos Reales'!$D$4:$D$1048576,'Movimientos Reales'!$E$4:$E$1048576,'Caja Real mensual '!$J$4,'Movimientos Reales'!$F$4:$F$1048576,'Caja Real mensual '!$D$8)</f>
        <v>-284430</v>
      </c>
      <c r="K8" s="2">
        <f>+SUMIFS('Movimientos Reales'!$D$4:$D$1048576,'Movimientos Reales'!$E$4:$E$1048576,'Caja Real mensual '!$K$4,'Movimientos Reales'!$F$4:$F$1048576,'Caja Real mensual '!$D$8)</f>
        <v>-6241151.8119999999</v>
      </c>
      <c r="L8" s="2">
        <f>+SUMIFS('Movimientos Reales'!$D$4:$D$1048576,'Movimientos Reales'!$E$4:$E$1048576,'Caja Real mensual '!$L$4,'Movimientos Reales'!$F$4:$F$1048576,'Caja Real mensual '!$D$8)</f>
        <v>-5757560.9966666671</v>
      </c>
      <c r="M8" s="2">
        <f>+SUMIFS('Movimientos Reales'!$D$4:$D$1048576,'Movimientos Reales'!$E$4:$E$1048576,'Caja Real mensual '!$M$4,'Movimientos Reales'!$F$4:$F$1048576,'Caja Real mensual '!$D$8)</f>
        <v>-2927571</v>
      </c>
      <c r="N8" s="2">
        <f>+SUMIFS('Movimientos Reales'!$D$4:$D$1048576,'Movimientos Reales'!$E$4:$E$1048576,'Caja Real mensual '!$N$4,'Movimientos Reales'!$F$4:$F$1048576,'Caja Real mensual '!$D$8)</f>
        <v>-782120.12</v>
      </c>
      <c r="O8" s="2">
        <f>+SUMIFS('Movimientos Reales'!$D$4:$D$1048576,'Movimientos Reales'!$E$4:$E$1048576,'Caja Real mensual '!$O$4,'Movimientos Reales'!$F$4:$F$1048576,'Caja Real mensual '!$D$8)</f>
        <v>3424519</v>
      </c>
      <c r="P8" s="2">
        <f>+SUMIFS('Movimientos Reales'!$D$4:$D$1048576,'Movimientos Reales'!$E$4:$E$1048576,'Caja Real mensual '!$P$4,'Movimientos Reales'!$F$4:$F$1048576,'Caja Real mensual '!$D$8)</f>
        <v>0</v>
      </c>
      <c r="Q8" s="2">
        <f>+SUMIFS('Movimientos Reales'!$D$4:$D$1048576,'Movimientos Reales'!$E$4:$E$1048576,'Caja Real mensual '!$Q$4,'Movimientos Reales'!$F$4:$F$1048576,'Caja Real mensual '!$D$7)</f>
        <v>0</v>
      </c>
      <c r="R8" s="490">
        <f>+SUMIFS('Movimientos Reales'!$D$4:$D$1048576,'Movimientos Reales'!$E$4:$E$1048576,'Caja Real mensual '!$R$4,'Movimientos Reales'!$F$4:$F$1048576,'Caja Real mensual '!$D$7)</f>
        <v>0</v>
      </c>
      <c r="S8" s="490">
        <f>+SUMIFS('Movimientos Reales'!$D$4:$D$1048576,'Movimientos Reales'!$E$4:$E$1048576,'Caja Real mensual '!$S$4,'Movimientos Reales'!$F$4:$F$1048576,'Caja Real mensual '!$D$7)</f>
        <v>0</v>
      </c>
      <c r="T8" s="490">
        <f>+SUMIFS('Movimientos Reales'!$D$4:$D$1048576,'Movimientos Reales'!$E$4:$E$1048576,'Caja Real mensual '!$T$4,'Movimientos Reales'!$F$4:$F$1048576,'Caja Real mensual '!$D$7)</f>
        <v>0</v>
      </c>
    </row>
    <row r="9" spans="4:20" ht="15.75" customHeight="1">
      <c r="D9" s="55" t="s">
        <v>650</v>
      </c>
      <c r="E9" s="1"/>
      <c r="F9" s="11" t="s">
        <v>9013</v>
      </c>
      <c r="G9" s="12"/>
      <c r="H9" s="12"/>
      <c r="I9" s="2">
        <f>+SUMIFS('Movimientos Reales'!$D$4:$D$1048576,'Movimientos Reales'!$E$4:$E$1048576,'Caja Real mensual '!$I$4,'Movimientos Reales'!$F$4:$F$1048576,'Caja Real mensual '!$D$9)</f>
        <v>6362819</v>
      </c>
      <c r="J9" s="2">
        <f>+SUMIFS('Movimientos Reales'!$D$4:$D$1048576,'Movimientos Reales'!$E$4:$E$1048576,'Caja Real mensual '!$J$4,'Movimientos Reales'!$F$4:$F$1048576,'Caja Real mensual '!$D$9)</f>
        <v>6385196</v>
      </c>
      <c r="K9" s="2">
        <f>+SUMIFS('Movimientos Reales'!$D$4:$D$1048576,'Movimientos Reales'!$E$4:$E$1048576,'Caja Real mensual '!$K$4,'Movimientos Reales'!$F$4:$F$1048576,'Caja Real mensual '!$D$9)</f>
        <v>6373181</v>
      </c>
      <c r="L9" s="2">
        <f>+SUMIFS('Movimientos Reales'!$D$4:$D$1048576,'Movimientos Reales'!$E$4:$E$1048576,'Caja Real mensual '!$L$4,'Movimientos Reales'!$F$4:$F$1048576,'Caja Real mensual '!$D$9)</f>
        <v>6358675</v>
      </c>
      <c r="M9" s="2">
        <f>+SUMIFS('Movimientos Reales'!$D$4:$D$1048576,'Movimientos Reales'!$E$4:$E$1048576,'Caja Real mensual '!$M$4,'Movimientos Reales'!$F$4:$F$1048576,'Caja Real mensual '!$D$9)</f>
        <v>6285669</v>
      </c>
      <c r="N9" s="2">
        <f>+SUMIFS('Movimientos Reales'!$D$4:$D$1048576,'Movimientos Reales'!$E$4:$E$1048576,'Caja Real mensual '!$N$4,'Movimientos Reales'!$F$4:$F$1048576,'Caja Real mensual '!$D$9)</f>
        <v>0</v>
      </c>
      <c r="O9" s="2">
        <f>+SUMIFS('Movimientos Reales'!$D$4:$D$1048576,'Movimientos Reales'!$E$4:$E$1048576,'Caja Real mensual '!$O$4,'Movimientos Reales'!$F$4:$F$1048576,'Caja Real mensual '!$D$9)</f>
        <v>0</v>
      </c>
      <c r="P9" s="2">
        <f>+SUMIFS('Movimientos Reales'!$D$4:$D$1048576,'Movimientos Reales'!$E$4:$E$1048576,'Caja Real mensual '!$P$4,'Movimientos Reales'!$F$4:$F$1048576,'Caja Real mensual '!$D$9)</f>
        <v>0</v>
      </c>
      <c r="Q9" s="2">
        <f>+SUMIFS('Movimientos Reales'!$D$4:$D$1048576,'Movimientos Reales'!$E$4:$E$1048576,'Caja Real mensual '!$Q$4,'Movimientos Reales'!$F$4:$F$1048576,'Caja Real mensual '!$D$7)</f>
        <v>0</v>
      </c>
      <c r="R9" s="490">
        <f>+SUMIFS('Movimientos Reales'!$D$4:$D$1048576,'Movimientos Reales'!$E$4:$E$1048576,'Caja Real mensual '!$R$4,'Movimientos Reales'!$F$4:$F$1048576,'Caja Real mensual '!$D$7)</f>
        <v>0</v>
      </c>
      <c r="S9" s="490">
        <f>+SUMIFS('Movimientos Reales'!$D$4:$D$1048576,'Movimientos Reales'!$E$4:$E$1048576,'Caja Real mensual '!$S$4,'Movimientos Reales'!$F$4:$F$1048576,'Caja Real mensual '!$D$7)</f>
        <v>0</v>
      </c>
      <c r="T9" s="490">
        <f>+SUMIFS('Movimientos Reales'!$D$4:$D$1048576,'Movimientos Reales'!$E$4:$E$1048576,'Caja Real mensual '!$T$4,'Movimientos Reales'!$F$4:$F$1048576,'Caja Real mensual '!$D$7)</f>
        <v>0</v>
      </c>
    </row>
    <row r="10" spans="4:20" ht="15.6" customHeight="1">
      <c r="D10" s="55" t="s">
        <v>2786</v>
      </c>
      <c r="E10" s="1"/>
      <c r="F10" s="11" t="s">
        <v>9014</v>
      </c>
      <c r="G10" s="12"/>
      <c r="H10" s="11"/>
      <c r="I10" s="2">
        <f>+SUMIFS('Movimientos Reales'!$D$4:$D$1048576,'Movimientos Reales'!$E$4:$E$1048576,'Caja Real mensual '!$I$4,'Movimientos Reales'!$F$4:$F$1048576,'Caja Real mensual '!$D$10)</f>
        <v>0</v>
      </c>
      <c r="J10" s="2">
        <f>+SUMIFS('Movimientos Reales'!$D$4:$D$1048576,'Movimientos Reales'!$E$4:$E$1048576,'Caja Real mensual '!$J$4,'Movimientos Reales'!$F$4:$F$1048576,'Caja Real mensual '!$D$10)</f>
        <v>6196667</v>
      </c>
      <c r="K10" s="2">
        <f>+SUMIFS('Movimientos Reales'!$D$4:$D$1048576,'Movimientos Reales'!$E$4:$E$1048576,'Caja Real mensual '!$K$4,'Movimientos Reales'!$F$4:$F$1048576,'Caja Real mensual '!$D$10)</f>
        <v>6196667.0499999998</v>
      </c>
      <c r="L10" s="2">
        <f>+SUMIFS('Movimientos Reales'!$D$4:$D$1048576,'Movimientos Reales'!$E$4:$E$1048576,'Caja Real mensual '!$L$4,'Movimientos Reales'!$F$4:$F$1048576,'Caja Real mensual '!$D$10)</f>
        <v>24786668.190000001</v>
      </c>
      <c r="M10" s="2">
        <f>+SUMIFS('Movimientos Reales'!$D$4:$D$1048576,'Movimientos Reales'!$E$4:$E$1048576,'Caja Real mensual '!$M$4,'Movimientos Reales'!$F$4:$F$1048576,'Caja Real mensual '!$D$10)</f>
        <v>18590001</v>
      </c>
      <c r="N10" s="2">
        <f>+SUMIFS('Movimientos Reales'!$D$4:$D$1048576,'Movimientos Reales'!$E$4:$E$1048576,'Caja Real mensual '!$N$4,'Movimientos Reales'!$F$4:$F$1048576,'Caja Real mensual '!$D$10)</f>
        <v>18590001</v>
      </c>
      <c r="O10" s="2">
        <f>+SUMIFS('Movimientos Reales'!$D$4:$D$1048576,'Movimientos Reales'!$E$4:$E$1048576,'Caja Real mensual '!$O$4,'Movimientos Reales'!$F$4:$F$1048576,'Caja Real mensual '!$D$10)</f>
        <v>0</v>
      </c>
      <c r="P10" s="2">
        <f>+SUMIFS('Movimientos Reales'!$D$4:$D$1048576,'Movimientos Reales'!$E$4:$E$1048576,'Caja Real mensual '!$P$4,'Movimientos Reales'!$F$4:$F$1048576,'Caja Real mensual '!$D$10)</f>
        <v>0</v>
      </c>
      <c r="Q10" s="2">
        <f>+SUMIFS('Movimientos Reales'!$D$4:$D$1048576,'Movimientos Reales'!$E$4:$E$1048576,'Caja Real mensual '!$Q$4,'Movimientos Reales'!$F$4:$F$1048576,'Caja Real mensual '!$D$7)</f>
        <v>0</v>
      </c>
      <c r="R10" s="490">
        <f>+SUMIFS('Movimientos Reales'!$D$4:$D$1048576,'Movimientos Reales'!$E$4:$E$1048576,'Caja Real mensual '!$R$4,'Movimientos Reales'!$F$4:$F$1048576,'Caja Real mensual '!$D$7)</f>
        <v>0</v>
      </c>
      <c r="S10" s="490">
        <f>+SUMIFS('Movimientos Reales'!$D$4:$D$1048576,'Movimientos Reales'!$E$4:$E$1048576,'Caja Real mensual '!$S$4,'Movimientos Reales'!$F$4:$F$1048576,'Caja Real mensual '!$D$7)</f>
        <v>0</v>
      </c>
      <c r="T10" s="490">
        <f>+SUMIFS('Movimientos Reales'!$D$4:$D$1048576,'Movimientos Reales'!$E$4:$E$1048576,'Caja Real mensual '!$T$4,'Movimientos Reales'!$F$4:$F$1048576,'Caja Real mensual '!$D$7)</f>
        <v>0</v>
      </c>
    </row>
    <row r="11" spans="4:20" ht="15.6" customHeight="1">
      <c r="D11" s="55" t="s">
        <v>2714</v>
      </c>
      <c r="E11" s="1"/>
      <c r="F11" s="55" t="s">
        <v>9015</v>
      </c>
      <c r="G11" s="12"/>
      <c r="H11" s="11"/>
      <c r="I11" s="2">
        <f>+SUMIFS('Movimientos Reales'!$D$4:$D$1048576,'Movimientos Reales'!$E$4:$E$1048576,'Caja Real mensual '!$I$4,'Movimientos Reales'!$F$4:$F$1048576,'Caja Real mensual '!$D$11)</f>
        <v>0</v>
      </c>
      <c r="J11" s="2">
        <f>+SUMIFS('Movimientos Reales'!$D$4:$D$1048576,'Movimientos Reales'!$E$4:$E$1048576,'Caja Real mensual '!$J$4,'Movimientos Reales'!$F$4:$F$1048576,'Caja Real mensual '!$D$11)</f>
        <v>-18953160</v>
      </c>
      <c r="K11" s="2">
        <f>+SUMIFS('Movimientos Reales'!$D$4:$D$1048576,'Movimientos Reales'!$E$4:$E$1048576,'Caja Real mensual '!$K$4,'Movimientos Reales'!$F$4:$F$1048576,'Caja Real mensual '!$D$11)</f>
        <v>-750000</v>
      </c>
      <c r="L11" s="2">
        <f>+SUMIFS('Movimientos Reales'!$D$4:$D$1048576,'Movimientos Reales'!$E$4:$E$1048576,'Caja Real mensual '!$L$4,'Movimientos Reales'!$F$4:$F$1048576,'Caja Real mensual '!$D$11)</f>
        <v>-21385195</v>
      </c>
      <c r="M11" s="2">
        <f>+SUMIFS('Movimientos Reales'!$D$4:$D$1048576,'Movimientos Reales'!$E$4:$E$1048576,'Caja Real mensual '!$M$4,'Movimientos Reales'!$F$4:$F$1048576,'Caja Real mensual '!$D$11)</f>
        <v>-2810466.6666660002</v>
      </c>
      <c r="N11" s="2">
        <f>+SUMIFS('Movimientos Reales'!$D$4:$D$1048576,'Movimientos Reales'!$E$4:$E$1048576,'Caja Real mensual '!$N$4,'Movimientos Reales'!$F$4:$F$1048576,'Caja Real mensual '!$D$11)</f>
        <v>-16271206.407407407</v>
      </c>
      <c r="O11" s="2">
        <f>+SUMIFS('Movimientos Reales'!$D$4:$D$1048576,'Movimientos Reales'!$E$4:$E$1048576,'Caja Real mensual '!$O$4,'Movimientos Reales'!$F$4:$F$1048576,'Caja Real mensual '!$D$11)</f>
        <v>-10360347</v>
      </c>
      <c r="P11" s="2">
        <f>+SUMIFS('Movimientos Reales'!$D$4:$D$1048576,'Movimientos Reales'!$E$4:$E$1048576,'Caja Real mensual '!$P$4,'Movimientos Reales'!$F$4:$F$1048576,'Caja Real mensual '!$D$11)</f>
        <v>0</v>
      </c>
      <c r="Q11" s="2">
        <f>+SUMIFS('Movimientos Reales'!$D$4:$D$1048576,'Movimientos Reales'!$E$4:$E$1048576,'Caja Real mensual '!$Q$4,'Movimientos Reales'!$F$4:$F$1048576,'Caja Real mensual '!$D$11)</f>
        <v>0</v>
      </c>
      <c r="R11" s="2">
        <f>+SUMIFS('Movimientos Reales'!$D$4:$D$1048576,'Movimientos Reales'!$E$4:$E$1048576,'Caja Real mensual '!$R$4,'Movimientos Reales'!$F$4:$F$1048576,'Caja Real mensual '!$D$11)</f>
        <v>0</v>
      </c>
      <c r="S11" s="2">
        <f>+SUMIFS('Movimientos Reales'!$D$4:$D$1048576,'Movimientos Reales'!$E$4:$E$1048576,'Caja Real mensual '!$S$4,'Movimientos Reales'!$F$4:$F$1048576,'Caja Real mensual '!$D$11)</f>
        <v>0</v>
      </c>
      <c r="T11" s="2">
        <f>+SUMIFS('Movimientos Reales'!$D$4:$D$1048576,'Movimientos Reales'!$E$4:$E$1048576,'Caja Real mensual '!$T$4,'Movimientos Reales'!$F$4:$F$1048576,'Caja Real mensual '!$D$11)</f>
        <v>0</v>
      </c>
    </row>
    <row r="12" spans="4:20" s="844" customFormat="1" ht="15.75" customHeight="1">
      <c r="D12" s="845"/>
      <c r="E12" s="846"/>
      <c r="F12" s="847" t="s">
        <v>9016</v>
      </c>
      <c r="G12" s="848"/>
      <c r="H12" s="849"/>
      <c r="I12" s="850">
        <f t="shared" ref="I12:N12" si="0">+I9+I10+I11</f>
        <v>6362819</v>
      </c>
      <c r="J12" s="850">
        <f t="shared" si="0"/>
        <v>-6371297</v>
      </c>
      <c r="K12" s="850">
        <f t="shared" si="0"/>
        <v>11819848.050000001</v>
      </c>
      <c r="L12" s="850">
        <f t="shared" si="0"/>
        <v>9760148.1900000013</v>
      </c>
      <c r="M12" s="850">
        <f t="shared" si="0"/>
        <v>22065203.333333999</v>
      </c>
      <c r="N12" s="850">
        <f t="shared" si="0"/>
        <v>2318794.5925925933</v>
      </c>
      <c r="O12" s="850">
        <f t="shared" ref="O12:T12" si="1">+O9+O10+O11</f>
        <v>-10360347</v>
      </c>
      <c r="P12" s="850">
        <f t="shared" si="1"/>
        <v>0</v>
      </c>
      <c r="Q12" s="850">
        <f t="shared" si="1"/>
        <v>0</v>
      </c>
      <c r="R12" s="850">
        <f t="shared" si="1"/>
        <v>0</v>
      </c>
      <c r="S12" s="850">
        <f t="shared" si="1"/>
        <v>0</v>
      </c>
      <c r="T12" s="850">
        <f t="shared" si="1"/>
        <v>0</v>
      </c>
    </row>
    <row r="13" spans="4:20" ht="15.75" customHeight="1">
      <c r="D13" s="1"/>
      <c r="E13" s="1"/>
      <c r="F13" s="15" t="s">
        <v>9017</v>
      </c>
      <c r="G13" s="16"/>
      <c r="H13" s="17"/>
      <c r="I13" s="18">
        <f>+SUM(+I5++I6+I7+I8+I12)</f>
        <v>41635609.920000002</v>
      </c>
      <c r="J13" s="18">
        <f>+J5+J6+J7+J8+J12</f>
        <v>74193532.349999994</v>
      </c>
      <c r="K13" s="18">
        <f>+K5+K6+K7+K8+K12</f>
        <v>47641460.697999999</v>
      </c>
      <c r="L13" s="18">
        <f>+L5+L6+L7+L8+L12</f>
        <v>63531516.383333325</v>
      </c>
      <c r="M13" s="18">
        <f>+M5+M6+M7+M8+M12</f>
        <v>81486348.513334006</v>
      </c>
      <c r="N13" s="18">
        <f t="shared" ref="N13:T13" si="2">+N5+N6+N7+N8+N12</f>
        <v>57619745.362592593</v>
      </c>
      <c r="O13" s="18">
        <f t="shared" si="2"/>
        <v>17961713.800000001</v>
      </c>
      <c r="P13" s="18">
        <f t="shared" si="2"/>
        <v>0</v>
      </c>
      <c r="Q13" s="18">
        <f t="shared" si="2"/>
        <v>0</v>
      </c>
      <c r="R13" s="18">
        <f t="shared" si="2"/>
        <v>0</v>
      </c>
      <c r="S13" s="18">
        <f t="shared" si="2"/>
        <v>0</v>
      </c>
      <c r="T13" s="18">
        <f t="shared" si="2"/>
        <v>0</v>
      </c>
    </row>
    <row r="14" spans="4:20" ht="30.75" customHeight="1">
      <c r="D14" s="14" t="s">
        <v>291</v>
      </c>
      <c r="E14" s="14"/>
      <c r="F14" s="151" t="s">
        <v>9018</v>
      </c>
      <c r="G14" s="12"/>
      <c r="H14" s="11"/>
      <c r="I14" s="2">
        <f>+SUMIFS('Movimientos Reales'!$D$4:$D$1048576,'Movimientos Reales'!$E$4:$E$1048576,'Caja Real mensual '!$I$4,'Movimientos Reales'!$F$4:$F$1048576,'Caja Real mensual '!$D$14)-I17</f>
        <v>-109734462.52633333</v>
      </c>
      <c r="J14" s="2">
        <f>+SUMIFS('Movimientos Reales'!$D$4:$D$1048576,'Movimientos Reales'!$E$4:$E$1048576,'Caja Real mensual '!$J$4,'Movimientos Reales'!$F$4:$F$1048576,'Caja Real mensual '!$D$14)-J17</f>
        <v>-207738547.76444441</v>
      </c>
      <c r="K14" s="2">
        <f>+SUMIFS('Movimientos Reales'!$D$4:$D$1048576,'Movimientos Reales'!$E$4:$E$1048576,'Caja Real mensual '!$K$4,'Movimientos Reales'!$F$4:$F$1048576,'Caja Real mensual '!$D$14)-K17</f>
        <v>-125276618.22999999</v>
      </c>
      <c r="L14" s="2">
        <f>+SUMIFS('Movimientos Reales'!$D$4:$D$1048576,'Movimientos Reales'!$E$4:$E$1048576,'Caja Real mensual '!$L$4,'Movimientos Reales'!$F$4:$F$1048576,'Caja Real mensual '!$D$14)-L17</f>
        <v>-139802761.94333333</v>
      </c>
      <c r="M14" s="2">
        <f>+SUMIFS('Movimientos Reales'!$D$4:$D$1048576,'Movimientos Reales'!$E$4:$E$1048576,'Caja Real mensual '!$M$4,'Movimientos Reales'!$F$4:$F$1048576,'Caja Real mensual '!$D$14)-M17</f>
        <v>-169174061.24000004</v>
      </c>
      <c r="N14" s="2">
        <f>+SUMIFS('Movimientos Reales'!$D$4:$D$1048576,'Movimientos Reales'!$E$4:$E$1048576,'Caja Real mensual '!$N$4,'Movimientos Reales'!$F$4:$F$1048576,'Caja Real mensual '!$D$14)-N17</f>
        <v>-245604177.54183465</v>
      </c>
      <c r="O14" s="13">
        <f>+SUMIFS('Movimientos Reales'!$D$4:$D$1048576,'Movimientos Reales'!$E$4:$E$1048576,'Caja Real mensual '!$O$4,'Movimientos Reales'!$F$4:$F$1048576,'Caja Real mensual '!$D$14)-O17</f>
        <v>-31666329.999999996</v>
      </c>
      <c r="P14" s="2">
        <f>+SUMIFS('Movimientos Reales'!$D$4:$D$1048576,'Movimientos Reales'!$E$4:$E$1048576,'Caja Real mensual '!$P$4,'Movimientos Reales'!$F$4:$F$1048576,'Caja Real mensual '!$D$14)-P17</f>
        <v>0</v>
      </c>
      <c r="Q14" s="2">
        <f>+SUMIFS('Movimientos Reales'!$D$4:$D$1048576,'Movimientos Reales'!$E$4:$E$1048576,'Caja Real mensual '!$Q$4,'Movimientos Reales'!$F$4:$F$1048576,'Caja Real mensual '!$D$14)-Q17</f>
        <v>0</v>
      </c>
      <c r="R14" s="491">
        <f>+SUMIFS('Movimientos Reales'!$D$4:$D$1048576,'Movimientos Reales'!$E$4:$E$1048576,'Caja Real mensual '!$R$4,'Movimientos Reales'!$F$4:$F$1048576,'Caja Real mensual '!$D$14)-R17</f>
        <v>0</v>
      </c>
      <c r="S14" s="491">
        <f>+SUMIFS('Movimientos Reales'!$D$4:$D$1048576,'Movimientos Reales'!$E$4:$E$1048576,'Caja Real mensual '!$S$4,'Movimientos Reales'!$F$4:$F$1048576,'Caja Real mensual '!$D$14)-S17</f>
        <v>0</v>
      </c>
      <c r="T14" s="491">
        <f>+SUMIFS('Movimientos Reales'!$D$4:$D$1048576,'Movimientos Reales'!$E$4:$E$1048576,'Caja Real mensual '!$T$4,'Movimientos Reales'!$F$4:$F$1048576,'Caja Real mensual '!$D$14)-T17</f>
        <v>0</v>
      </c>
    </row>
    <row r="15" spans="4:20" ht="15.75" customHeight="1">
      <c r="D15" s="14"/>
      <c r="E15" s="14"/>
      <c r="F15" s="11" t="s">
        <v>9019</v>
      </c>
      <c r="G15" s="12"/>
      <c r="H15" s="11"/>
      <c r="I15" s="12">
        <f>+SUMIFS('Gastos Bancarios'!$E$5:$E$1048576,'Gastos Bancarios'!F5:$F$1048576,'Caja Real mensual '!I4)</f>
        <v>-7392986.3442212455</v>
      </c>
      <c r="J15" s="12">
        <f>+SUMIFS('Gastos Bancarios'!$E$5:$E$1048576,'Gastos Bancarios'!$F$5:$F$1048576,'Caja Real mensual '!J4)</f>
        <v>-12899323.574568119</v>
      </c>
      <c r="K15" s="12">
        <f>+SUMIFS('Gastos Bancarios'!$E$5:$E$1048576,'Gastos Bancarios'!$F$5:$F$1048576,'Caja Real mensual '!K4)</f>
        <v>-23352800.908778999</v>
      </c>
      <c r="L15" s="12">
        <f>+SUMIFS('Gastos Bancarios'!$E$5:$E$1048576,'Gastos Bancarios'!$F$5:$F$1048576,'Caja Real mensual '!L4)</f>
        <v>-14784922.896668991</v>
      </c>
      <c r="M15" s="12">
        <f>+SUMIFS('Gastos Bancarios'!$E$5:$E$1048576,'Gastos Bancarios'!$F$5:$F$1048576,'Caja Real mensual '!M4)</f>
        <v>-7264177.9300240166</v>
      </c>
      <c r="N15" s="12">
        <f>+SUMIFS('Gastos Bancarios'!$E$5:$E$1048576,'Gastos Bancarios'!$F$5:$F$1048576,'Caja Real mensual '!N4)</f>
        <v>-35143114.717414394</v>
      </c>
      <c r="O15" s="884">
        <f>+SUMIFS('Gastos Bancarios'!$E$5:$E$1048576,'Gastos Bancarios'!$F$5:$F$1048576,'Caja Real mensual '!O4)</f>
        <v>-11930167.939999934</v>
      </c>
      <c r="P15" s="12">
        <f>+SUMIFS('Gastos Bancarios'!$E$5:$E$1048576,'Gastos Bancarios'!$F$5:$F$1048576,'Caja Real mensual '!P4)</f>
        <v>0</v>
      </c>
      <c r="Q15" s="12">
        <f>+SUMIFS('Gastos Bancarios'!$E$5:$E$1048576,'Gastos Bancarios'!$F$5:$F$1048576,'Caja Real mensual '!Q4)</f>
        <v>0</v>
      </c>
      <c r="R15" s="492">
        <f>+SUMIFS('Gastos Bancarios'!$E$5:$E$1048576,'Gastos Bancarios'!$F$5:$F$1048576,'Caja Real mensual '!R4)</f>
        <v>0</v>
      </c>
      <c r="S15" s="492">
        <f>+SUMIFS('Gastos Bancarios'!$E$5:$E$1048576,'Gastos Bancarios'!$F$5:$F$1048576,'Caja Real mensual '!S4)</f>
        <v>0</v>
      </c>
      <c r="T15" s="492">
        <f>+SUMIFS('Gastos Bancarios'!$E$5:$E$1048576,'Gastos Bancarios'!$F$5:$F$1048576,'Caja Real mensual '!T4)</f>
        <v>0</v>
      </c>
    </row>
    <row r="16" spans="4:20" ht="15.75" customHeight="1">
      <c r="D16" s="54" t="s">
        <v>315</v>
      </c>
      <c r="E16" s="14"/>
      <c r="F16" s="11" t="s">
        <v>9020</v>
      </c>
      <c r="G16" s="12"/>
      <c r="H16" s="11"/>
      <c r="I16" s="2">
        <f>+SUMIFS('Movimientos Reales'!$D$4:$D$1048576,'Movimientos Reales'!$E$4:$E$1048576,'Caja Real mensual '!$I$4,'Movimientos Reales'!$F$4:$F$1048576,'Caja Real mensual '!$D$16)</f>
        <v>-12092013.35</v>
      </c>
      <c r="J16" s="2">
        <f>+SUMIFS('Movimientos Reales'!$D$4:$D$1048576,'Movimientos Reales'!$E$4:$E$1048576,'Caja Real mensual '!$J$4,'Movimientos Reales'!$F$4:$F$1048576,'Caja Real mensual '!$D$16)</f>
        <v>-9157673.4000000004</v>
      </c>
      <c r="K16" s="2">
        <f>+SUMIFS('Movimientos Reales'!$D$4:$D$1048576,'Movimientos Reales'!$E$4:$E$1048576,'Caja Real mensual '!$K$4,'Movimientos Reales'!$F$4:$F$1048576,'Caja Real mensual '!$D$16)</f>
        <v>-11203957.720000001</v>
      </c>
      <c r="L16" s="2">
        <f>+SUMIFS('Movimientos Reales'!$D$4:$D$1048576,'Movimientos Reales'!$E$4:$E$1048576,'Caja Real mensual '!$L$4,'Movimientos Reales'!$F$4:$F$1048576,'Caja Real mensual '!$D$16)</f>
        <v>-8789207.2799999993</v>
      </c>
      <c r="M16" s="2">
        <f>+SUMIFS('Movimientos Reales'!$D$4:$D$1048576,'Movimientos Reales'!$E$4:$E$1048576,'Caja Real mensual '!$M$4,'Movimientos Reales'!$F$4:$F$1048576,'Caja Real mensual '!$D$16)</f>
        <v>-37526625</v>
      </c>
      <c r="N16" s="2">
        <f>+SUMIFS('Movimientos Reales'!$D$4:$D$1048576,'Movimientos Reales'!$E$4:$E$1048576,'Caja Real mensual '!$N$4,'Movimientos Reales'!$F$4:$F$1048576,'Caja Real mensual '!$D$16)</f>
        <v>-44320317</v>
      </c>
      <c r="O16" s="13">
        <f>+SUMIFS('Movimientos Reales'!$D$4:$D$1048576,'Movimientos Reales'!$E$4:$E$1048576,'Caja Real mensual '!$O$4,'Movimientos Reales'!$F$4:$F$1048576,'Caja Real mensual '!$D$16)</f>
        <v>-49990360</v>
      </c>
      <c r="P16" s="2">
        <f>+SUMIFS('Movimientos Reales'!$D$4:$D$1048576,'Movimientos Reales'!$E$4:$E$1048576,'Caja Real mensual '!$P$4,'Movimientos Reales'!$F$4:$F$1048576,'Caja Real mensual '!$D$16)</f>
        <v>0</v>
      </c>
      <c r="Q16" s="2">
        <f>+SUMIFS('Movimientos Reales'!$D$4:$D$1048576,'Movimientos Reales'!$E$4:$E$1048576,'Caja Real mensual '!$Q$4,'Movimientos Reales'!$F$4:$F$1048576,'Caja Real mensual '!$D$16)</f>
        <v>0</v>
      </c>
      <c r="R16" s="491">
        <f>+SUMIFS('Movimientos Reales'!$D$4:$D$1048576,'Movimientos Reales'!$E$4:$E$1048576,'Caja Real mensual '!$R$4,'Movimientos Reales'!$F$4:$F$1048576,'Caja Real mensual '!$D$16)</f>
        <v>0</v>
      </c>
      <c r="S16" s="491">
        <f>+SUMIFS('Movimientos Reales'!$D$4:$D$1048576,'Movimientos Reales'!$E$4:$E$1048576,'Caja Real mensual '!$S$4,'Movimientos Reales'!$F$4:$F$1048576,'Caja Real mensual '!$D$16)</f>
        <v>0</v>
      </c>
      <c r="T16" s="491">
        <f>+SUMIFS('Movimientos Reales'!$D$4:$D$1048576,'Movimientos Reales'!$E$4:$E$1048576,'Caja Real mensual '!$T$4,'Movimientos Reales'!$F$4:$F$1048576,'Caja Real mensual '!$D$16)</f>
        <v>0</v>
      </c>
    </row>
    <row r="17" spans="3:21" ht="15.75" customHeight="1">
      <c r="C17" s="6" t="s">
        <v>256</v>
      </c>
      <c r="D17" s="14" t="s">
        <v>107</v>
      </c>
      <c r="E17" s="14"/>
      <c r="F17" s="11" t="s">
        <v>9021</v>
      </c>
      <c r="G17" s="12"/>
      <c r="H17" s="11"/>
      <c r="I17" s="2">
        <f>+SUMIFS('Movimientos Reales'!$D$4:$D$1048576,'Movimientos Reales'!$E$4:$E$1048576,'Caja Real mensual '!$I$4,'Movimientos Reales'!$F$4:$F$1048576,'Caja Real mensual '!$C$17,'Movimientos Reales'!$G$4:$G$1048576,'Caja Real mensual '!$D$17)</f>
        <v>-44660686.970000006</v>
      </c>
      <c r="J17" s="2">
        <f>+SUMIFS('Movimientos Reales'!$D$4:$D$1048576,'Movimientos Reales'!$E$4:$E$1048576,'Caja Real mensual '!$J$4,'Movimientos Reales'!$F$4:$F$1048576,'Caja Real mensual '!$C$17,'Movimientos Reales'!$G$4:$G$1048576,'Caja Real mensual '!$D$17)</f>
        <v>-76084633.159555554</v>
      </c>
      <c r="K17" s="2">
        <f>+SUMIFS('Movimientos Reales'!$D$4:$D$1048576,'Movimientos Reales'!$E$4:$E$1048576,'Caja Real mensual '!$K$4,'Movimientos Reales'!$F$4:$F$1048576,'Caja Real mensual '!$C$17,'Movimientos Reales'!$G$4:$G$1048576,'Caja Real mensual '!$D$17)</f>
        <v>-63613687.100000001</v>
      </c>
      <c r="L17" s="2">
        <f>+SUMIFS('Movimientos Reales'!$D$4:$D$1048576,'Movimientos Reales'!$E$4:$E$1048576,'Caja Real mensual '!$L$4,'Movimientos Reales'!$F$4:$F$1048576,'Caja Real mensual '!$C$17,'Movimientos Reales'!$G$4:$G$1048576,'Caja Real mensual '!$D$17)</f>
        <v>-64442602.019999996</v>
      </c>
      <c r="M17" s="2">
        <f>+SUMIFS('Movimientos Reales'!$D$4:$D$1048576,'Movimientos Reales'!$E$4:$E$1048576,'Caja Real mensual '!$M$4,'Movimientos Reales'!$F$4:$F$1048576,'Caja Real mensual '!$C$17,'Movimientos Reales'!$G$4:$G$1048576,'Caja Real mensual '!$D$17)</f>
        <v>-64473853.283333331</v>
      </c>
      <c r="N17" s="2">
        <f>+SUMIFS('Movimientos Reales'!$D$4:$D$1048576,'Movimientos Reales'!$E$4:$E$1048576,'Caja Real mensual '!$N$4,'Movimientos Reales'!$F$4:$F$1048576,'Caja Real mensual '!$C$17,'Movimientos Reales'!$G$4:$G$1048576,'Caja Real mensual '!$D$17)</f>
        <v>-82115907.828925923</v>
      </c>
      <c r="O17" s="13">
        <f>+SUMIFS('Movimientos Reales'!$D$4:$D$1048576,'Movimientos Reales'!$E$4:$E$1048576,'Caja Real mensual '!$O$4,'Movimientos Reales'!$F$4:$F$1048576,'Caja Real mensual '!$C$17,'Movimientos Reales'!$G$4:$G$1048576,'Caja Real mensual '!$D$17)</f>
        <v>-8932412.3300000019</v>
      </c>
      <c r="P17" s="2">
        <f>+SUMIFS('Movimientos Reales'!$D$4:$D$1048576,'Movimientos Reales'!$E$4:$E$1048576,'Caja Real mensual '!$P$4,'Movimientos Reales'!$F$4:$F$1048576,'Caja Real mensual '!$C$17,'Movimientos Reales'!$G$4:$G$1048576,'Caja Real mensual '!$D$17)</f>
        <v>0</v>
      </c>
      <c r="Q17" s="2">
        <f>+SUMIFS('Movimientos Reales'!$D$4:$D$1048576,'Movimientos Reales'!$E$4:$E$1048576,'Caja Real mensual '!$Q$4,'Movimientos Reales'!$F$4:$F$1048576,'Caja Real mensual '!$C$17,'Movimientos Reales'!$G$4:$G$1048576,'Caja Real mensual '!$D$17)</f>
        <v>0</v>
      </c>
      <c r="R17" s="491">
        <f>+SUMIFS('Movimientos Reales'!$D$4:$D$1048576,'Movimientos Reales'!$E$4:$E$1048576,'Caja Real mensual '!$R$4,'Movimientos Reales'!$F$4:$F$1048576,'Caja Real mensual '!$C$17,'Movimientos Reales'!$G$4:$G$1048576,'Caja Real mensual '!$D$17)</f>
        <v>0</v>
      </c>
      <c r="S17" s="491">
        <f>+SUMIFS('Movimientos Reales'!$D$4:$D$1048576,'Movimientos Reales'!$E$4:$E$1048576,'Caja Real mensual '!$S$4,'Movimientos Reales'!$F$4:$F$1048576,'Caja Real mensual '!$C$17,'Movimientos Reales'!$G$4:$G$1048576,'Caja Real mensual '!$D$17)</f>
        <v>0</v>
      </c>
      <c r="T17" s="491">
        <f>+SUMIFS('Movimientos Reales'!$D$4:$D$1048576,'Movimientos Reales'!$E$4:$E$1048576,'Caja Real mensual '!$T$4,'Movimientos Reales'!$F$4:$F$1048576,'Caja Real mensual '!$C$17,'Movimientos Reales'!$G$4:$G$1048576,'Caja Real mensual '!$D$17)</f>
        <v>0</v>
      </c>
    </row>
    <row r="18" spans="3:21" ht="15.75" customHeight="1">
      <c r="D18" s="1"/>
      <c r="E18" s="1"/>
      <c r="F18" s="15" t="s">
        <v>9022</v>
      </c>
      <c r="G18" s="16"/>
      <c r="H18" s="17"/>
      <c r="I18" s="18">
        <f t="shared" ref="I18:M18" si="3">+SUM(I13:I17)</f>
        <v>-132244539.27055457</v>
      </c>
      <c r="J18" s="18">
        <f t="shared" si="3"/>
        <v>-231686645.5485681</v>
      </c>
      <c r="K18" s="18">
        <f t="shared" si="3"/>
        <v>-175805603.26077899</v>
      </c>
      <c r="L18" s="18">
        <f t="shared" si="3"/>
        <v>-164287977.75666898</v>
      </c>
      <c r="M18" s="18">
        <f t="shared" si="3"/>
        <v>-196952368.94002336</v>
      </c>
      <c r="N18" s="18">
        <f t="shared" ref="N18:T18" si="4">+SUM(N13:N17)</f>
        <v>-349563771.72558236</v>
      </c>
      <c r="O18" s="18">
        <f t="shared" si="4"/>
        <v>-84557556.469999924</v>
      </c>
      <c r="P18" s="18">
        <f t="shared" si="4"/>
        <v>0</v>
      </c>
      <c r="Q18" s="18">
        <f t="shared" si="4"/>
        <v>0</v>
      </c>
      <c r="R18" s="18">
        <f t="shared" si="4"/>
        <v>0</v>
      </c>
      <c r="S18" s="18">
        <f t="shared" si="4"/>
        <v>0</v>
      </c>
      <c r="T18" s="18">
        <f t="shared" si="4"/>
        <v>0</v>
      </c>
    </row>
    <row r="19" spans="3:21" ht="15.75" customHeight="1">
      <c r="D19" s="1"/>
      <c r="E19" s="1"/>
      <c r="F19" s="11" t="s">
        <v>9023</v>
      </c>
      <c r="G19" s="12"/>
      <c r="H19" s="11"/>
      <c r="I19" s="21"/>
      <c r="J19" s="21"/>
      <c r="K19" s="21"/>
      <c r="L19" s="21"/>
      <c r="M19" s="21"/>
      <c r="N19" s="21"/>
    </row>
    <row r="20" spans="3:21" ht="15.75" customHeight="1">
      <c r="D20" s="1" t="s">
        <v>9024</v>
      </c>
      <c r="E20" s="1"/>
      <c r="F20" s="11" t="s">
        <v>9025</v>
      </c>
      <c r="G20" s="12"/>
      <c r="H20" s="11"/>
      <c r="I20" s="21"/>
      <c r="J20" s="21"/>
      <c r="K20" s="21"/>
      <c r="L20" s="21"/>
      <c r="M20" s="21"/>
      <c r="N20" s="21"/>
    </row>
    <row r="21" spans="3:21" ht="15.75" customHeight="1">
      <c r="D21" s="1"/>
      <c r="E21" s="1"/>
      <c r="F21" s="11" t="s">
        <v>9026</v>
      </c>
      <c r="G21" s="12"/>
      <c r="H21" s="11"/>
      <c r="I21" s="21"/>
      <c r="J21" s="21"/>
      <c r="K21" s="21"/>
      <c r="L21" s="21"/>
      <c r="M21" s="21"/>
      <c r="N21" s="21"/>
    </row>
    <row r="22" spans="3:21" ht="15.75" customHeight="1">
      <c r="D22" s="14"/>
      <c r="E22" s="14"/>
      <c r="F22" s="15" t="s">
        <v>9027</v>
      </c>
      <c r="G22" s="16"/>
      <c r="H22" s="17"/>
      <c r="I22" s="18">
        <f t="shared" ref="I22:M22" si="5">+SUM(I18:I21)</f>
        <v>-132244539.27055457</v>
      </c>
      <c r="J22" s="18">
        <f t="shared" si="5"/>
        <v>-231686645.5485681</v>
      </c>
      <c r="K22" s="18">
        <f t="shared" si="5"/>
        <v>-175805603.26077899</v>
      </c>
      <c r="L22" s="18">
        <f t="shared" si="5"/>
        <v>-164287977.75666898</v>
      </c>
      <c r="M22" s="18">
        <f t="shared" si="5"/>
        <v>-196952368.94002336</v>
      </c>
      <c r="N22" s="18">
        <f t="shared" ref="N22:T22" si="6">+SUM(N18:N21)</f>
        <v>-349563771.72558236</v>
      </c>
      <c r="O22" s="18">
        <f t="shared" si="6"/>
        <v>-84557556.469999924</v>
      </c>
      <c r="P22" s="18">
        <f t="shared" si="6"/>
        <v>0</v>
      </c>
      <c r="Q22" s="18">
        <f t="shared" si="6"/>
        <v>0</v>
      </c>
      <c r="R22" s="18">
        <f t="shared" si="6"/>
        <v>0</v>
      </c>
      <c r="S22" s="18">
        <f t="shared" si="6"/>
        <v>0</v>
      </c>
      <c r="T22" s="18">
        <f t="shared" si="6"/>
        <v>0</v>
      </c>
    </row>
    <row r="23" spans="3:21" ht="15.75" customHeight="1">
      <c r="D23" s="14"/>
      <c r="E23" s="14"/>
      <c r="F23" s="11" t="s">
        <v>9028</v>
      </c>
      <c r="G23" s="12"/>
      <c r="H23" s="11"/>
      <c r="I23" s="13"/>
      <c r="J23" s="13"/>
      <c r="K23" s="13"/>
      <c r="L23" s="13"/>
      <c r="M23" s="13"/>
    </row>
    <row r="24" spans="3:21" ht="15.75" customHeight="1">
      <c r="D24" s="14"/>
      <c r="E24" s="14"/>
      <c r="F24" s="22" t="s">
        <v>9029</v>
      </c>
      <c r="G24" s="16"/>
      <c r="H24" s="17"/>
      <c r="I24" s="18">
        <f t="shared" ref="I24:M24" si="7">I22+I23</f>
        <v>-132244539.27055457</v>
      </c>
      <c r="J24" s="18">
        <f t="shared" si="7"/>
        <v>-231686645.5485681</v>
      </c>
      <c r="K24" s="18">
        <f t="shared" si="7"/>
        <v>-175805603.26077899</v>
      </c>
      <c r="L24" s="18">
        <f t="shared" si="7"/>
        <v>-164287977.75666898</v>
      </c>
      <c r="M24" s="18">
        <f t="shared" si="7"/>
        <v>-196952368.94002336</v>
      </c>
      <c r="N24" s="18">
        <f t="shared" ref="N24:T24" si="8">N22+N23</f>
        <v>-349563771.72558236</v>
      </c>
      <c r="O24" s="18">
        <f t="shared" si="8"/>
        <v>-84557556.469999924</v>
      </c>
      <c r="P24" s="18">
        <f t="shared" si="8"/>
        <v>0</v>
      </c>
      <c r="Q24" s="18">
        <f t="shared" si="8"/>
        <v>0</v>
      </c>
      <c r="R24" s="18">
        <f t="shared" si="8"/>
        <v>0</v>
      </c>
      <c r="S24" s="18">
        <f t="shared" si="8"/>
        <v>0</v>
      </c>
      <c r="T24" s="18">
        <f t="shared" si="8"/>
        <v>0</v>
      </c>
      <c r="U24" s="13"/>
    </row>
    <row r="25" spans="3:21" ht="15.75" customHeight="1">
      <c r="D25" s="413" t="s">
        <v>9030</v>
      </c>
      <c r="E25" s="14"/>
      <c r="F25" s="11" t="s">
        <v>9031</v>
      </c>
      <c r="G25" s="452"/>
      <c r="H25" s="17"/>
      <c r="I25" s="2">
        <f>+SUMIFS('Movimientos Reales'!$D$4:$D$1048576,'Movimientos Reales'!$E$4:$E$1048576,'Caja Real mensual '!$I$4,'Movimientos Reales'!$F$4:$F$1048576,'Caja Real mensual '!$D$25)</f>
        <v>0</v>
      </c>
      <c r="J25" s="2">
        <f>+SUMIFS('Movimientos Reales'!$D$4:$D$1048576,'Movimientos Reales'!$E$4:$E$1048576,'Caja Real mensual '!$I$4,'Movimientos Reales'!$F$4:$F$1048576,'Caja Real mensual '!$D$25)</f>
        <v>0</v>
      </c>
      <c r="K25" s="2">
        <f>+SUMIFS('Movimientos Reales'!$D$4:$D$1048576,'Movimientos Reales'!$E$4:$E$1048576,'Caja Real mensual '!$I$4,'Movimientos Reales'!$F$4:$F$1048576,'Caja Real mensual '!$D$25)</f>
        <v>0</v>
      </c>
      <c r="L25" s="13">
        <f>+SUMIFS('Movimientos Reales'!$D$4:$D$1048576,'Movimientos Reales'!$E$4:$E$1048576,'Caja Real mensual '!$L$4,'Movimientos Reales'!$F$4:$F$1048576,'Caja Real mensual '!$D$25)</f>
        <v>0</v>
      </c>
      <c r="M25" s="2">
        <f>+SUMIFS('Movimientos Reales'!$D$4:$D$1048576,'Movimientos Reales'!$E$4:$E$1048576,'Caja Real mensual '!$M$4,'Movimientos Reales'!$F$4:$F$1048576,'Caja Real mensual '!$D$25)</f>
        <v>0</v>
      </c>
      <c r="N25" s="2">
        <f>+SUMIFS('Movimientos Reales'!$D$4:$D$1048576,'Movimientos Reales'!$E$4:$E$1048576,'Caja Real mensual '!$N$4,'Movimientos Reales'!$F$4:$F$1048576,'Caja Real mensual '!$D$25)</f>
        <v>0</v>
      </c>
      <c r="O25" s="2">
        <f>+SUMIFS('Movimientos Reales'!$D$4:$D$1048576,'Movimientos Reales'!$E$4:$E$1048576,'Caja Real mensual '!$O$4,'Movimientos Reales'!$F$4:$F$1048576,'Caja Real mensual '!$D$25)</f>
        <v>0</v>
      </c>
      <c r="P25" s="2">
        <f>+SUMIFS('Movimientos Reales'!$D$4:$D$1048576,'Movimientos Reales'!$E$4:$E$1048576,'Caja Real mensual '!$P$4,'Movimientos Reales'!$F$4:$F$1048576,'Caja Real mensual '!$D$25)</f>
        <v>0</v>
      </c>
      <c r="Q25" s="2">
        <f>+SUMIFS('Movimientos Reales'!$D$4:$D$1048576,'Movimientos Reales'!$E$4:$E$1048576,'Caja Real mensual '!$Q$4,'Movimientos Reales'!$F$4:$F$1048576,'Caja Real mensual '!$D$25)</f>
        <v>0</v>
      </c>
      <c r="R25" s="2">
        <f>+SUMIFS('Movimientos Reales'!$D$4:$D$1048576,'Movimientos Reales'!$E$4:$E$1048576,'Caja Real mensual '!$R$4,'Movimientos Reales'!$F$4:$F$1048576,'Caja Real mensual '!$D$25)</f>
        <v>0</v>
      </c>
      <c r="S25" s="2">
        <f>+SUMIFS('Movimientos Reales'!$D$4:$D$1048576,'Movimientos Reales'!$E$4:$E$1048576,'Caja Real mensual '!$S$4,'Movimientos Reales'!$F$4:$F$1048576,'Caja Real mensual '!$D$25)</f>
        <v>0</v>
      </c>
      <c r="T25" s="2">
        <f>+SUMIFS('Movimientos Reales'!$D$4:$D$1048576,'Movimientos Reales'!$E$4:$E$1048576,'Caja Real mensual '!$T$4,'Movimientos Reales'!$F$4:$F$1048576,'Caja Real mensual '!$D$25)</f>
        <v>0</v>
      </c>
      <c r="U25" s="13"/>
    </row>
    <row r="26" spans="3:21" ht="12.95">
      <c r="D26" s="470" t="s">
        <v>1594</v>
      </c>
      <c r="E26" s="14"/>
      <c r="F26" s="11" t="s">
        <v>9032</v>
      </c>
      <c r="G26" s="452"/>
      <c r="H26" s="17"/>
      <c r="I26" s="2">
        <f>+SUMIFS('Movimientos Reales'!$D$4:$D$1048576,'Movimientos Reales'!$E$4:$E$1048576,'Caja Real mensual '!$I$4,'Movimientos Reales'!$F$4:$F$1048576,'Caja Real mensual '!$D$25)</f>
        <v>0</v>
      </c>
      <c r="J26" s="2">
        <f>+SUMIFS('Movimientos Reales'!$D$4:$D$1048576,'Movimientos Reales'!$E$4:$E$1048576,'Caja Real mensual '!$J$4,'Movimientos Reales'!$F$4:$F$1048576,'Caja Real mensual '!$D$26)</f>
        <v>-108500000</v>
      </c>
      <c r="K26" s="2">
        <f>+SUMIFS('Movimientos Reales'!$D$4:$D$1048576,'Movimientos Reales'!$E$4:$E$1048576,'Caja Real mensual '!$K$4,'Movimientos Reales'!$F$4:$F$1048576,'Caja Real mensual '!$D$26)</f>
        <v>-57600000</v>
      </c>
      <c r="L26" s="13">
        <f>+SUMIFS('Movimientos Reales'!$D$4:$D$1048576,'Movimientos Reales'!$E$4:$E$1048576,'Caja Real mensual '!$L$4,'Movimientos Reales'!$F$4:$F$1048576,'Caja Real mensual '!$D$26)</f>
        <v>0</v>
      </c>
      <c r="M26" s="2">
        <f>+SUMIFS('Movimientos Reales'!$D$4:$D$1048576,'Movimientos Reales'!$E$4:$E$1048576,'Caja Real mensual '!$M$4,'Movimientos Reales'!$F$4:$F$1048576,'Caja Real mensual '!$D$25)</f>
        <v>0</v>
      </c>
      <c r="N26" s="2"/>
      <c r="O26" s="2"/>
      <c r="P26" s="2">
        <f>+SUMIFS('Movimientos Reales'!$D$4:$D$1048576,'Movimientos Reales'!$E$4:$E$1048576,'Caja Real mensual '!$P$4,'Movimientos Reales'!$F$4:$F$1048576,'Caja Real mensual '!$D$26)</f>
        <v>0</v>
      </c>
      <c r="Q26" s="2">
        <f>+SUMIFS('Movimientos Reales'!$D$4:$D$1048576,'Movimientos Reales'!$E$4:$E$1048576,'Caja Real mensual '!$Q$4,'Movimientos Reales'!$F$4:$F$1048576,'Caja Real mensual '!$D$26)</f>
        <v>0</v>
      </c>
      <c r="R26" s="491">
        <f>+SUMIFS('Movimientos Reales'!$D$4:$D$1048576,'Movimientos Reales'!$E$4:$E$1048576,'Caja Real mensual '!$R$4,'Movimientos Reales'!$F$4:$F$1048576,'Caja Real mensual '!$D$26)</f>
        <v>0</v>
      </c>
      <c r="S26" s="491">
        <f>+SUMIFS('Movimientos Reales'!$D$4:$D$1048576,'Movimientos Reales'!$E$4:$E$1048576,'Caja Real mensual '!$S$4,'Movimientos Reales'!$F$4:$F$1048576,'Caja Real mensual '!$D$26)</f>
        <v>0</v>
      </c>
      <c r="T26" s="491">
        <f>+SUMIFS('Movimientos Reales'!$D$4:$D$1048576,'Movimientos Reales'!$E$4:$E$1048576,'Caja Real mensual '!$T$4,'Movimientos Reales'!$F$4:$F$1048576,'Caja Real mensual '!$D$26)</f>
        <v>0</v>
      </c>
      <c r="U26" s="13"/>
    </row>
    <row r="27" spans="3:21" ht="12.95">
      <c r="D27" s="470" t="s">
        <v>1825</v>
      </c>
      <c r="E27" s="14"/>
      <c r="F27" s="11" t="s">
        <v>9033</v>
      </c>
      <c r="G27" s="452"/>
      <c r="H27" s="17"/>
      <c r="I27" s="2">
        <f>+SUMIFS('Movimientos Reales'!$D$4:$D$1048576,'Movimientos Reales'!$E$4:$E$1048576,'Caja Real mensual '!$I$4,'Movimientos Reales'!$F$4:$F$1048576,'Caja Real mensual '!$D$25)</f>
        <v>0</v>
      </c>
      <c r="J27" s="2">
        <f>+SUMIFS('Movimientos Reales'!$D$4:$D$1048576,'Movimientos Reales'!$E$4:$E$1048576,'Caja Real mensual '!$I$4,'Movimientos Reales'!$F$4:$F$1048576,'Caja Real mensual '!$D$27)</f>
        <v>0</v>
      </c>
      <c r="K27" s="2">
        <f>+SUMIFS('Movimientos Reales'!$D$4:$D$1048576,'Movimientos Reales'!$E$4:$E$1048576,'Caja Real mensual '!$I$4,'Movimientos Reales'!$F$4:$F$1048576,'Caja Real mensual '!$D$27)</f>
        <v>0</v>
      </c>
      <c r="L27" s="13">
        <f>+SUMIFS('Movimientos Reales'!$D$4:$D$1048576,'Movimientos Reales'!$E$4:$E$1048576,'Caja Real mensual '!$L$4,'Movimientos Reales'!$F$4:$F$1048576,'Caja Real mensual '!$D$27)</f>
        <v>-57600000</v>
      </c>
      <c r="M27" s="2">
        <f>+SUMIFS('Movimientos Reales'!$D$4:$D$1048576,'Movimientos Reales'!$E$4:$E$1048576,'Caja Real mensual '!$M$4,'Movimientos Reales'!$F$4:$F$1048576,'Caja Real mensual '!$D$27)</f>
        <v>-57600000</v>
      </c>
      <c r="N27" s="2">
        <f>+SUMIFS('Movimientos Reales'!$D$4:$D$1048576,'Movimientos Reales'!$E$4:$E$1048576,'Caja Real mensual '!$N$4,'Movimientos Reales'!$F$4:$F$1048576,'Caja Real mensual '!$D$27)</f>
        <v>-57600000</v>
      </c>
      <c r="O27" s="2"/>
      <c r="P27" s="2"/>
      <c r="Q27" s="2"/>
      <c r="R27" s="491"/>
      <c r="S27" s="491"/>
      <c r="T27" s="491"/>
      <c r="U27" s="13"/>
    </row>
    <row r="28" spans="3:21" ht="11.1" customHeight="1">
      <c r="D28" s="470" t="s">
        <v>522</v>
      </c>
      <c r="E28" s="14"/>
      <c r="F28" s="11" t="s">
        <v>9034</v>
      </c>
      <c r="G28" s="452"/>
      <c r="H28" s="17"/>
      <c r="I28" s="2">
        <f>+SUMIFS('Movimientos Reales'!$D$4:$D$1048576,'Movimientos Reales'!$E$4:$E$1048576,'Caja Real mensual '!$I$4,'Movimientos Reales'!$F$4:$F$1048576,'Caja Real mensual '!$D$25)</f>
        <v>0</v>
      </c>
      <c r="J28" s="2">
        <f>+SUMIFS('Movimientos Reales'!$D$4:$D$1048576,'Movimientos Reales'!$E$4:$E$1048576,'Caja Real mensual '!$J$4,'Movimientos Reales'!$F$4:$F$1048576,'Caja Real mensual '!$D$28)</f>
        <v>0</v>
      </c>
      <c r="K28" s="2">
        <f>+SUMIFS('Movimientos Reales'!$D$4:$D$1048576,'Movimientos Reales'!$E$4:$E$1048576,'Caja Real mensual '!$K$4,'Movimientos Reales'!$F$4:$F$1048576,'Caja Real mensual '!$D$28)</f>
        <v>0</v>
      </c>
      <c r="L28" s="13">
        <f>+SUMIFS('Movimientos Reales'!$D$4:$D$1048576,'Movimientos Reales'!$E$4:$E$1048576,'Caja Real mensual '!$L$4,'Movimientos Reales'!$F$4:$F$1048576,'Caja Real mensual '!$D$28)</f>
        <v>0</v>
      </c>
      <c r="M28" s="2">
        <f>+SUMIFS('Movimientos Reales'!$D$4:$D$1048576,'Movimientos Reales'!$E$4:$E$1048576,'Caja Real mensual '!$M$4,'Movimientos Reales'!$F$4:$F$1048576,'Caja Real mensual '!$D$28)</f>
        <v>0</v>
      </c>
      <c r="N28" s="2">
        <f>+SUMIFS('Movimientos Reales'!$D$4:$D$1048576,'Movimientos Reales'!$E$4:$E$1048576,'Caja Real mensual '!$N$4,'Movimientos Reales'!$F$4:$F$1048576,'Caja Real mensual '!$D$28)</f>
        <v>0</v>
      </c>
      <c r="O28" s="2"/>
      <c r="P28" s="2">
        <f>+SUMIFS('Movimientos Reales'!$D$4:$D$1048576,'Movimientos Reales'!$E$4:$E$1048576,'Caja Real mensual '!$P$4,'Movimientos Reales'!$F$4:$F$1048576,'Caja Real mensual '!$D$26)</f>
        <v>0</v>
      </c>
      <c r="Q28" s="2">
        <f>+SUMIFS('Movimientos Reales'!$D$4:$D$1048576,'Movimientos Reales'!$E$4:$E$1048576,'Caja Real mensual '!$Q$4,'Movimientos Reales'!$F$4:$F$1048576,'Caja Real mensual '!$D$28)</f>
        <v>0</v>
      </c>
      <c r="R28" s="491">
        <f>+SUMIFS('Movimientos Reales'!$D$4:$D$1048576,'Movimientos Reales'!$E$4:$E$1048576,'Caja Real mensual '!$R$4,'Movimientos Reales'!$F$4:$F$1048576,'Caja Real mensual '!$D$28)</f>
        <v>0</v>
      </c>
      <c r="S28" s="491">
        <f>+SUMIFS('Movimientos Reales'!$D$4:$D$1048576,'Movimientos Reales'!$E$4:$E$1048576,'Caja Real mensual '!$S$4,'Movimientos Reales'!$F$4:$F$1048576,'Caja Real mensual '!$D$28)</f>
        <v>0</v>
      </c>
      <c r="T28" s="491">
        <f>+SUMIFS('Movimientos Reales'!$D$4:$D$1048576,'Movimientos Reales'!$E$4:$E$1048576,'Caja Real mensual '!$T$4,'Movimientos Reales'!$F$4:$F$1048576,'Caja Real mensual '!$D$28)</f>
        <v>0</v>
      </c>
      <c r="U28" s="13"/>
    </row>
    <row r="29" spans="3:21" ht="11.45" customHeight="1">
      <c r="D29" s="470" t="s">
        <v>807</v>
      </c>
      <c r="E29" s="14"/>
      <c r="F29" s="11" t="s">
        <v>9035</v>
      </c>
      <c r="G29" s="452"/>
      <c r="H29" s="17"/>
      <c r="I29" s="2">
        <f>+SUMIFS('Movimientos Reales'!$D$4:$D$1048576,'Movimientos Reales'!$E$4:$E$1048576,'Caja Real mensual '!$I$4,'Movimientos Reales'!$F$4:$F$1048576,'Caja Real mensual '!$D$25)</f>
        <v>0</v>
      </c>
      <c r="J29" s="2">
        <f>+SUMIFS('Movimientos Reales'!$D$4:$D$1048576,'Movimientos Reales'!$E$4:$E$1048576,'Caja Real mensual '!$J$4,'Movimientos Reales'!$F$4:$F$1048576,'Caja Real mensual '!$D$29)</f>
        <v>-160800000</v>
      </c>
      <c r="K29" s="2">
        <f>+SUMIFS('Movimientos Reales'!$D$4:$D$1048576,'Movimientos Reales'!$E$4:$E$1048576,'Caja Real mensual '!$K$4,'Movimientos Reales'!$F$4:$F$1048576,'Caja Real mensual '!$D$29)</f>
        <v>-80400000</v>
      </c>
      <c r="L29" s="13">
        <f>+SUMIFS('Movimientos Reales'!$D$4:$D$1048576,'Movimientos Reales'!$E$4:$E$1048576,'Caja Real mensual '!$L$4,'Movimientos Reales'!$F$4:$F$1048576,'Caja Real mensual '!$D$29)</f>
        <v>-60300000</v>
      </c>
      <c r="M29" s="2">
        <f>+SUMIFS('Movimientos Reales'!$D$4:$D$1048576,'Movimientos Reales'!$E$4:$E$1048576,'Caja Real mensual '!$M$4,'Movimientos Reales'!$F$4:$F$1048576,'Caja Real mensual '!$D$29)</f>
        <v>-60300000</v>
      </c>
      <c r="N29" s="2">
        <f>+SUMIFS('Movimientos Reales'!$D$4:$D$1048576,'Movimientos Reales'!$E$4:$E$1048576,'Caja Real mensual '!$N$4,'Movimientos Reales'!$F$4:$F$1048576,'Caja Real mensual '!$D$29)</f>
        <v>-40200000</v>
      </c>
      <c r="O29" s="2"/>
      <c r="P29" s="2"/>
      <c r="Q29" s="2"/>
      <c r="R29" s="491"/>
      <c r="S29" s="491"/>
      <c r="T29" s="491"/>
      <c r="U29" s="13"/>
    </row>
    <row r="30" spans="3:21" ht="11.45" customHeight="1">
      <c r="D30" s="470" t="s">
        <v>4577</v>
      </c>
      <c r="E30" s="14"/>
      <c r="F30" s="11" t="s">
        <v>9036</v>
      </c>
      <c r="G30" s="452"/>
      <c r="H30" s="17"/>
      <c r="I30" s="2">
        <f>+SUMIFS('Movimientos Reales'!$D$4:$D$1048576,'Movimientos Reales'!$E$4:$E$1048576,'Caja Real mensual '!$I$4,'Movimientos Reales'!$F$4:$F$1048576,'Caja Real mensual '!$D$25)</f>
        <v>0</v>
      </c>
      <c r="J30" s="2">
        <f>+SUMIFS('Movimientos Reales'!$D$4:$D$1048576,'Movimientos Reales'!$E$4:$E$1048576,'Caja Real mensual '!$I$4,'Movimientos Reales'!$F$4:$F$1048576,'Caja Real mensual '!$D$25)</f>
        <v>0</v>
      </c>
      <c r="K30" s="2">
        <f>+SUMIFS('Movimientos Reales'!$D$4:$D$1048576,'Movimientos Reales'!$E$4:$E$1048576,'Caja Real mensual '!$I$4,'Movimientos Reales'!$F$4:$F$1048576,'Caja Real mensual '!$D$25)</f>
        <v>0</v>
      </c>
      <c r="L30" s="13">
        <f>+SUMIFS('Movimientos Reales'!$D$4:$D$1048576,'Movimientos Reales'!$E$4:$E$1048576,'Caja Real mensual '!$L$4,'Movimientos Reales'!$F$4:$F$1048576,'Caja Real mensual '!$D$30)</f>
        <v>-375000000</v>
      </c>
      <c r="M30" s="2">
        <f>+SUMIFS('Movimientos Reales'!$D$4:$D$1048576,'Movimientos Reales'!$E$4:$E$1048576,'Caja Real mensual '!$M$4,'Movimientos Reales'!$F$4:$F$1048576,'Caja Real mensual '!$D$30)</f>
        <v>-187500000</v>
      </c>
      <c r="N30" s="2">
        <f>+SUMIFS('Movimientos Reales'!$D$4:$D$1048576,'Movimientos Reales'!$E$4:$E$1048576,'Caja Real mensual '!$N$4,'Movimientos Reales'!$F$4:$F$1048576,'Caja Real mensual '!$D$30)</f>
        <v>-93750000</v>
      </c>
      <c r="O30" s="2"/>
      <c r="P30" s="2"/>
      <c r="Q30" s="2"/>
      <c r="R30" s="491"/>
      <c r="S30" s="491"/>
      <c r="T30" s="491"/>
      <c r="U30" s="13"/>
    </row>
    <row r="31" spans="3:21" ht="11.45" customHeight="1">
      <c r="D31" s="470" t="s">
        <v>1980</v>
      </c>
      <c r="E31" s="14"/>
      <c r="F31" s="11" t="s">
        <v>9037</v>
      </c>
      <c r="G31" s="452"/>
      <c r="H31" s="17"/>
      <c r="I31" s="2">
        <f>+SUMIFS('Movimientos Reales'!$D$4:$D$1048576,'Movimientos Reales'!$E$4:$E$1048576,'Caja Real mensual '!$I$4,'Movimientos Reales'!$F$4:$F$1048576,'Caja Real mensual '!$D$25)</f>
        <v>0</v>
      </c>
      <c r="J31" s="2">
        <f>+SUMIFS('Movimientos Reales'!$D$4:$D$1048576,'Movimientos Reales'!$E$4:$E$1048576,'Caja Real mensual '!$J$4,'Movimientos Reales'!$F$4:$F$1048576,'Caja Real mensual '!$D$31)</f>
        <v>-241000000</v>
      </c>
      <c r="K31" s="2">
        <f>+SUMIFS('Movimientos Reales'!$D$4:$D$1048576,'Movimientos Reales'!$E$4:$E$1048576,'Caja Real mensual '!$K$4,'Movimientos Reales'!$F$4:$F$1048576,'Caja Real mensual '!$D$31)</f>
        <v>-89000000</v>
      </c>
      <c r="L31" s="13">
        <f>+SUMIFS('Movimientos Reales'!$D$4:$D$1048576,'Movimientos Reales'!$E$4:$E$1048576,'Caja Real mensual '!$L$4,'Movimientos Reales'!$F$4:$F$1048576,'Caja Real mensual '!$D$31)</f>
        <v>-66750000</v>
      </c>
      <c r="M31" s="2">
        <f>+SUMIFS('Movimientos Reales'!$D$4:$D$1048576,'Movimientos Reales'!$E$4:$E$1048576,'Caja Real mensual '!$M$4,'Movimientos Reales'!$F$4:$F$1048576,'Caja Real mensual '!$D$31)</f>
        <v>-66750000</v>
      </c>
      <c r="N31" s="2">
        <f>+SUMIFS('Movimientos Reales'!$D$4:$D$1048576,'Movimientos Reales'!$E$4:$E$1048576,'Caja Real mensual '!$N$4,'Movimientos Reales'!$F$4:$F$1048576,'Caja Real mensual '!$D$31)</f>
        <v>-44500000</v>
      </c>
      <c r="O31" s="2"/>
      <c r="P31" s="2"/>
      <c r="Q31" s="2"/>
      <c r="R31" s="491"/>
      <c r="S31" s="491"/>
      <c r="T31" s="491"/>
      <c r="U31" s="13"/>
    </row>
    <row r="32" spans="3:21" ht="14.1" customHeight="1">
      <c r="D32" s="470" t="s">
        <v>1983</v>
      </c>
      <c r="E32" s="14"/>
      <c r="F32" s="11" t="s">
        <v>9038</v>
      </c>
      <c r="G32" s="452"/>
      <c r="H32" s="17"/>
      <c r="I32" s="2">
        <f>+SUMIFS('Movimientos Reales'!$D$4:$D$1048576,'Movimientos Reales'!$E$4:$E$1048576,'Caja Real mensual '!$I$4,'Movimientos Reales'!$F$4:$F$1048576,'Caja Real mensual '!$D$25)</f>
        <v>0</v>
      </c>
      <c r="J32" s="2">
        <f>+SUMIFS('Movimientos Reales'!$D$4:$D$1048576,'Movimientos Reales'!$E$4:$E$1048576,'Caja Real mensual '!$J$4,'Movimientos Reales'!$F$4:$F$1048576,'Caja Real mensual '!$D$32)</f>
        <v>-189000000</v>
      </c>
      <c r="K32" s="2">
        <f>+SUMIFS('Movimientos Reales'!$D$4:$D$1048576,'Movimientos Reales'!$E$4:$E$1048576,'Caja Real mensual '!$K$4,'Movimientos Reales'!$F$4:$F$1048576,'Caja Real mensual '!$D$32)</f>
        <v>-128000000</v>
      </c>
      <c r="L32" s="13">
        <f>+SUMIFS('Movimientos Reales'!$D$4:$D$1048576,'Movimientos Reales'!$E$4:$E$1048576,'Caja Real mensual '!$L$4,'Movimientos Reales'!$F$4:$F$1048576,'Caja Real mensual '!$D$32)</f>
        <v>0</v>
      </c>
      <c r="M32" s="2">
        <f>+SUMIFS('Movimientos Reales'!$D$4:$D$1048576,'Movimientos Reales'!$E$4:$E$1048576,'Caja Real mensual '!$M$4,'Movimientos Reales'!$F$4:$F$1048576,'Caja Real mensual '!$D$32)</f>
        <v>0</v>
      </c>
      <c r="N32" s="2">
        <f>+SUMIFS('Movimientos Reales'!$D$4:$D$1048576,'Movimientos Reales'!$E$4:$E$1048576,'Caja Real mensual '!$N$4,'Movimientos Reales'!$F$4:$F$1048576,'Caja Real mensual '!$D$32)</f>
        <v>0</v>
      </c>
      <c r="O32" s="2"/>
      <c r="P32" s="2"/>
      <c r="Q32" s="2"/>
      <c r="R32" s="491"/>
      <c r="S32" s="491"/>
      <c r="T32" s="491"/>
      <c r="U32" s="13"/>
    </row>
    <row r="33" spans="2:21" ht="12.6" customHeight="1">
      <c r="D33" s="470" t="s">
        <v>4520</v>
      </c>
      <c r="E33" s="14"/>
      <c r="F33" s="11" t="s">
        <v>9039</v>
      </c>
      <c r="G33" s="452"/>
      <c r="H33" s="17"/>
      <c r="I33" s="2">
        <f>+SUMIFS('Movimientos Reales'!$D$4:$D$1048576,'Movimientos Reales'!$E$4:$E$1048576,'Caja Real mensual '!$I$4,'Movimientos Reales'!$F$4:$F$1048576,'Caja Real mensual '!$D$25)</f>
        <v>0</v>
      </c>
      <c r="J33" s="2">
        <f>+SUMIFS('Movimientos Reales'!$D$4:$D$1048576,'Movimientos Reales'!$E$4:$E$1048576,'Caja Real mensual '!$J$4,'Movimientos Reales'!$F$4:$F$1048576,'Caja Real mensual '!$D$33)</f>
        <v>0</v>
      </c>
      <c r="K33" s="2">
        <f>+SUMIFS('Movimientos Reales'!$D$4:$D$1048576,'Movimientos Reales'!$E$4:$E$1048576,'Caja Real mensual '!$J$4,'Movimientos Reales'!$F$4:$F$1048576,'Caja Real mensual '!$D$31)</f>
        <v>-241000000</v>
      </c>
      <c r="L33" s="13">
        <f>+SUMIFS('Movimientos Reales'!$D$4:$D$1048576,'Movimientos Reales'!$E$4:$E$1048576,'Caja Real mensual '!$L$4,'Movimientos Reales'!$F$4:$F$1048576,'Caja Real mensual '!$D$33)</f>
        <v>-87503521</v>
      </c>
      <c r="M33" s="2">
        <f>+SUMIFS('Movimientos Reales'!$D$4:$D$1048576,'Movimientos Reales'!$E$4:$E$1048576,'Caja Real mensual '!$M$4,'Movimientos Reales'!$F$4:$F$1048576,'Caja Real mensual '!$D$33)</f>
        <v>-17500000</v>
      </c>
      <c r="N33" s="2">
        <f>+SUMIFS('Movimientos Reales'!$D$4:$D$1048576,'Movimientos Reales'!$E$4:$E$1048576,'Caja Real mensual '!$N$4,'Movimientos Reales'!$F$4:$F$1048576,'Caja Real mensual '!$D$33)</f>
        <v>-17500704</v>
      </c>
      <c r="O33" s="2"/>
      <c r="P33" s="2"/>
      <c r="Q33" s="2"/>
      <c r="R33" s="491"/>
      <c r="S33" s="491"/>
      <c r="T33" s="491"/>
      <c r="U33" s="13"/>
    </row>
    <row r="34" spans="2:21" ht="11.45" customHeight="1">
      <c r="D34" s="470" t="s">
        <v>6135</v>
      </c>
      <c r="E34" s="14"/>
      <c r="F34" s="11" t="s">
        <v>9040</v>
      </c>
      <c r="G34" s="452"/>
      <c r="H34" s="17"/>
      <c r="I34" s="2">
        <f>+SUMIFS('Movimientos Reales'!$D$4:$D$1048576,'Movimientos Reales'!$E$4:$E$1048576,'Caja Real mensual '!$I$4,'Movimientos Reales'!$F$4:$F$1048576,'Caja Real mensual '!$D$34)</f>
        <v>0</v>
      </c>
      <c r="J34" s="2">
        <f>+SUMIFS('Movimientos Reales'!$D$4:$D$1048576,'Movimientos Reales'!$E$4:$E$1048576,'Caja Real mensual '!$J$4,'Movimientos Reales'!$F$4:$F$1048576,'Caja Real mensual '!$D$34)</f>
        <v>0</v>
      </c>
      <c r="K34" s="2">
        <f>+SUMIFS('Movimientos Reales'!$D$4:$D$1048576,'Movimientos Reales'!$E$4:$E$1048576,'Caja Real mensual '!$K$4,'Movimientos Reales'!$F$4:$F$1048576,'Caja Real mensual '!$D$34)</f>
        <v>0</v>
      </c>
      <c r="L34" s="13">
        <f>+SUMIFS('Movimientos Reales'!$D$4:$D$1048576,'Movimientos Reales'!$E$4:$E$1048576,'Caja Real mensual '!$L$4,'Movimientos Reales'!$F$4:$F$1048576,'Caja Real mensual '!$D$34)</f>
        <v>0</v>
      </c>
      <c r="M34" s="2">
        <f>+SUMIFS('Movimientos Reales'!$D$4:$D$1048576,'Movimientos Reales'!$E$4:$E$1048576,'Caja Real mensual '!$M$4,'Movimientos Reales'!$F$4:$F$1048576,'Caja Real mensual '!$D$34)</f>
        <v>-192500000</v>
      </c>
      <c r="N34" s="2">
        <f>+SUMIFS('Movimientos Reales'!$D$4:$D$1048576,'Movimientos Reales'!$E$4:$E$1048576,'Caja Real mensual '!$N$4,'Movimientos Reales'!$F$4:$F$1048576,'Caja Real mensual '!$D$34)</f>
        <v>-582750000</v>
      </c>
      <c r="O34" s="2"/>
      <c r="P34" s="2"/>
      <c r="Q34" s="2"/>
      <c r="R34" s="491"/>
      <c r="S34" s="491"/>
      <c r="T34" s="491"/>
      <c r="U34" s="13"/>
    </row>
    <row r="35" spans="2:21" ht="14.45" customHeight="1">
      <c r="D35" s="327" t="s">
        <v>9041</v>
      </c>
      <c r="E35" s="14"/>
      <c r="F35" s="11" t="s">
        <v>9042</v>
      </c>
      <c r="G35" s="12"/>
      <c r="H35" s="11"/>
      <c r="I35" s="2">
        <f>+SUMIFS('Movimientos Reales'!$D$4:$D$1048576,'Movimientos Reales'!$E$4:$E$1048576,'Caja Real mensual '!$I$4,'Movimientos Reales'!$F$4:$F$1048576,'Caja Real mensual '!$D$35)</f>
        <v>-23287174.929555561</v>
      </c>
      <c r="J35" s="2">
        <f>+SUMIFS('Movimientos Reales'!$D$4:$D$1048576,'Movimientos Reales'!$E$4:$E$1048576,'Caja Real mensual '!$J$4,'Movimientos Reales'!$F$4:$F$1048576,'Caja Real mensual '!$D$35)-J36</f>
        <v>-77148281.57407409</v>
      </c>
      <c r="K35" s="2">
        <f>+SUMIFS('Movimientos Reales'!$D$4:$D$1048576,'Movimientos Reales'!$E$4:$E$1048576,'Caja Real mensual '!$K$4,'Movimientos Reales'!$F$4:$F$1048576,'Caja Real mensual '!$D$35)-K36</f>
        <v>-123653372.54963332</v>
      </c>
      <c r="L35" s="13">
        <f>+SUMIFS('Movimientos Reales'!$D$4:$D$1048576,'Movimientos Reales'!$E$4:$E$1048576,'Caja Real mensual '!$L$4,'Movimientos Reales'!$F$4:$F$1048576,'Caja Real mensual '!$D$35)-L36</f>
        <v>-135676493.86666667</v>
      </c>
      <c r="M35" s="2">
        <f>+SUMIFS('Movimientos Reales'!$D$4:$D$1048576,'Movimientos Reales'!$E$4:$E$1048576,'Caja Real mensual '!$M$4,'Movimientos Reales'!$F$4:$F$1048576,'Caja Real mensual '!$D$35)-M36</f>
        <v>-155251382.60000002</v>
      </c>
      <c r="N35" s="2">
        <f>+SUMIFS('Movimientos Reales'!$D$4:$D$1048576,'Movimientos Reales'!$E$4:$E$1048576,'Caja Real mensual '!$N$4,'Movimientos Reales'!$F$4:$F$1048576,'Caja Real mensual '!$D$35)-N36</f>
        <v>-149100354.06912288</v>
      </c>
      <c r="O35" s="2">
        <f>+SUMIFS('Movimientos Reales'!$D$4:$D$1048576,'Movimientos Reales'!$E$4:$E$1048576,'Caja Real mensual '!$O$4,'Movimientos Reales'!$F$4:$F$1048576,'Caja Real mensual '!$D$35)-O36</f>
        <v>-9864431.8230172098</v>
      </c>
      <c r="P35" s="2">
        <f>+SUMIFS('Movimientos Reales'!$D$4:$D$1048576,'Movimientos Reales'!$E$4:$E$1048576,'Caja Real mensual '!$P$4,'Movimientos Reales'!$F$4:$F$1048576,'Caja Real mensual '!$D$35)-P36</f>
        <v>0</v>
      </c>
      <c r="Q35" s="2">
        <f>+SUMIFS('Movimientos Reales'!$D$4:$D$1048576,'Movimientos Reales'!$E$4:$E$1048576,'Caja Real mensual '!$Q$4,'Movimientos Reales'!$F$4:$F$1048576,'Caja Real mensual '!$D$35)-Q36</f>
        <v>0</v>
      </c>
      <c r="R35" s="491">
        <f>+SUMIFS('Movimientos Reales'!$D$4:$D$1048576,'Movimientos Reales'!$E$4:$E$1048576,'Caja Real mensual '!$R$4,'Movimientos Reales'!$F$4:$F$1048576,'Caja Real mensual '!$D$35)-R36</f>
        <v>0</v>
      </c>
      <c r="S35" s="491">
        <f>+SUMIFS('Movimientos Reales'!$D$4:$D$1048576,'Movimientos Reales'!$E$4:$E$1048576,'Caja Real mensual '!$S$4,'Movimientos Reales'!$F$4:$F$1048576,'Caja Real mensual '!$D$35)-S36</f>
        <v>0</v>
      </c>
      <c r="T35" s="491">
        <f>+SUMIFS('Movimientos Reales'!$D$4:$D$1048576,'Movimientos Reales'!$E$4:$E$1048576,'Caja Real mensual '!$T$4,'Movimientos Reales'!$F$4:$F$1048576,'Caja Real mensual '!$D$35)-T36</f>
        <v>0</v>
      </c>
      <c r="U35" s="13"/>
    </row>
    <row r="36" spans="2:21" ht="15.75" customHeight="1">
      <c r="B36" s="92" t="s">
        <v>9041</v>
      </c>
      <c r="C36" s="92" t="s">
        <v>9043</v>
      </c>
      <c r="D36" s="333" t="s">
        <v>9044</v>
      </c>
      <c r="E36" s="1"/>
      <c r="F36" s="11" t="s">
        <v>9045</v>
      </c>
      <c r="G36" s="12"/>
      <c r="H36" s="11"/>
      <c r="I36" s="2">
        <f>+SUMIFS('Movimientos Reales'!$D$4:$D$1048576,'Movimientos Reales'!$E$4:$E$1048576,'Caja Real mensual '!$I$4,'Movimientos Reales'!$F$4:$F$1048576,'Caja Real mensual '!$B$36,'Movimientos Reales'!$H$4:$H$1048576,'Caja Real mensual '!D36)+SUMIFS('Movimientos Reales'!$D$4:$D$1048576,'Movimientos Reales'!$E$4:$E$1048576,'Caja Real mensual '!$I$4,'Movimientos Reales'!$F$4:$F$1048576,'Caja Real mensual '!$B$36,'Movimientos Reales'!$H$4:$H$1048576,'Caja Real mensual '!C36)</f>
        <v>-13180466.983999999</v>
      </c>
      <c r="J36" s="2">
        <f>+SUMIFS('Movimientos Reales'!$D$4:$D$1048576,'Movimientos Reales'!$E$4:$E$1048576,'Caja Real mensual '!$J$4,'Movimientos Reales'!$F$4:$F$1048576,'Caja Real mensual '!$B$36,'Movimientos Reales'!$H$4:$H$1048576,'Caja Real mensual '!$D$36)+SUMIFS('Movimientos Reales'!$D$4:$D$1048576,'Movimientos Reales'!$E$4:$E$1048576,'Caja Real mensual '!$J$4,'Movimientos Reales'!$F$4:$F$1048576,'Caja Real mensual '!$B$36,'Movimientos Reales'!$H$4:$H$1048576,'Caja Real mensual '!$C$36)</f>
        <v>-11545198.594074074</v>
      </c>
      <c r="K36" s="2">
        <f>+SUMIFS('Movimientos Reales'!$D$4:$D$1048576,'Movimientos Reales'!$E$4:$E$1048576,'Caja Real mensual '!$K$4,'Movimientos Reales'!$F$4:$F$1048576,'Caja Real mensual '!$B$36,'Movimientos Reales'!$H$4:$H$1048576,'Caja Real mensual '!$D$36)+SUMIFS('Movimientos Reales'!$D$4:$D$1048576,'Movimientos Reales'!$E$4:$E$1048576,'Caja Real mensual '!$K$4,'Movimientos Reales'!$F$4:$F$1048576,'Caja Real mensual '!$B$36,'Movimientos Reales'!$H$4:$H$1048576,'Caja Real mensual '!$C$36)</f>
        <v>-18999980.007199999</v>
      </c>
      <c r="L36" s="13">
        <f>+SUMIFS('Movimientos Reales'!$D$4:$D$1048576,'Movimientos Reales'!$E$4:$E$1048576,'Caja Real mensual '!$L$4,'Movimientos Reales'!$F$4:$F$1048576,'Caja Real mensual '!$B$36,'Movimientos Reales'!$H$4:$H$1048576,'Caja Real mensual '!$D$36)+SUMIFS('Movimientos Reales'!$D$4:$D$1048576,'Movimientos Reales'!$E$4:$E$1048576,'Caja Real mensual '!$L$4,'Movimientos Reales'!$F$4:$F$1048576,'Caja Real mensual '!$B$36,'Movimientos Reales'!$H$4:$H$1048576,'Caja Real mensual '!$C$36)</f>
        <v>-30852312</v>
      </c>
      <c r="M36" s="2">
        <f>+SUMIFS('Movimientos Reales'!$D$4:$D$1048576,'Movimientos Reales'!$E$4:$E$1048576,'Caja Real mensual '!$M$4,'Movimientos Reales'!$F$4:$F$1048576,'Caja Real mensual '!$B$36,'Movimientos Reales'!$H$4:$H$1048576,'Caja Real mensual '!$D$36)+SUMIFS('Movimientos Reales'!$D$4:$D$1048576,'Movimientos Reales'!$E$4:$E$1048576,'Caja Real mensual '!$M$4,'Movimientos Reales'!$F$4:$F$1048576,'Caja Real mensual '!$B$36,'Movimientos Reales'!$H$4:$H$1048576,'Caja Real mensual '!$C$36)</f>
        <v>-73627555.333333328</v>
      </c>
      <c r="N36" s="2">
        <f>+SUMIFS('Movimientos Reales'!$D$4:$D$1048576,'Movimientos Reales'!$E$4:$E$1048576,'Caja Real mensual '!$N$4,'Movimientos Reales'!$F$4:$F$1048576,'Caja Real mensual '!$B$36,'Movimientos Reales'!$H$4:$H$1048576,'Caja Real mensual '!$D$36)+SUMIFS('Movimientos Reales'!$D$4:$D$1048576,'Movimientos Reales'!$E$4:$E$1048576,'Caja Real mensual '!$N$4,'Movimientos Reales'!$F$4:$F$1048576,'Caja Real mensual '!$B$36,'Movimientos Reales'!$H$4:$H$1048576,'Caja Real mensual '!$C$36)</f>
        <v>-38546997.17698279</v>
      </c>
      <c r="O36" s="2">
        <f>+SUMIFS('Movimientos Reales'!$D$4:$D$1048576,'Movimientos Reales'!$E$4:$E$1048576,'Caja Real mensual '!$O$4,'Movimientos Reales'!$F$4:$F$1048576,'Caja Real mensual '!$B$36,'Movimientos Reales'!$H$4:$H$1048576,'Caja Real mensual '!$D$36)+SUMIFS('Movimientos Reales'!$D$4:$D$1048576,'Movimientos Reales'!$E$4:$E$1048576,'Caja Real mensual '!$N$4,'Movimientos Reales'!$F$4:$F$1048576,'Caja Real mensual '!$B$36,'Movimientos Reales'!$H$4:$H$1048576,'Caja Real mensual '!$C$36)</f>
        <v>-38546997.17698279</v>
      </c>
      <c r="P36" s="2">
        <f>+SUMIFS('Movimientos Reales'!$D$4:$D$1048576,'Movimientos Reales'!$E$4:$E$1048576,'Caja Real mensual '!$P$4,'Movimientos Reales'!$F$4:$F$1048576,'Caja Real mensual '!$B$36,'Movimientos Reales'!$H$4:$H$1048576,'Caja Real mensual '!$D$36)+SUMIFS('Movimientos Reales'!$D$4:$D$1048576,'Movimientos Reales'!$E$4:$E$1048576,'Caja Real mensual '!$P$4,'Movimientos Reales'!$F$4:$F$1048576,'Caja Real mensual '!$B$36,'Movimientos Reales'!$H$4:$H$1048576,'Caja Real mensual '!$C$36)</f>
        <v>0</v>
      </c>
      <c r="Q36" s="2">
        <f>+SUMIFS('Movimientos Reales'!$D$4:$D$1048576,'Movimientos Reales'!$E$4:$E$1048576,'Caja Real mensual '!$Q$4,'Movimientos Reales'!$F$4:$F$1048576,'Caja Real mensual '!$B$36,'Movimientos Reales'!$H$4:$H$1048576,'Caja Real mensual '!$D$36)+SUMIFS('Movimientos Reales'!$D$4:$D$1048576,'Movimientos Reales'!$E$4:$E$1048576,'Caja Real mensual '!$P$4,'Movimientos Reales'!$F$4:$F$1048576,'Caja Real mensual '!$B$36,'Movimientos Reales'!$H$4:$H$1048576,'Caja Real mensual '!$C$36)</f>
        <v>0</v>
      </c>
      <c r="R36" s="491">
        <f>+SUMIFS('Movimientos Reales'!$D$4:$D$1048576,'Movimientos Reales'!$E$4:$E$1048576,'Caja Real mensual '!$R$4,'Movimientos Reales'!$F$4:$F$1048576,'Caja Real mensual '!$B$36,'Movimientos Reales'!$H$4:$H$1048576,'Caja Real mensual '!$D$36)+SUMIFS('Movimientos Reales'!$D$4:$D$1048576,'Movimientos Reales'!$E$4:$E$1048576,'Caja Real mensual '!$Q$4,'Movimientos Reales'!$F$4:$F$1048576,'Caja Real mensual '!$B$36,'Movimientos Reales'!$H$4:$H$1048576,'Caja Real mensual '!$C$36)</f>
        <v>0</v>
      </c>
      <c r="S36" s="491">
        <f>+SUMIFS('Movimientos Reales'!$D$4:$D$1048576,'Movimientos Reales'!$E$4:$E$1048576,'Caja Real mensual '!$S$4,'Movimientos Reales'!$F$4:$F$1048576,'Caja Real mensual '!$B$36,'Movimientos Reales'!$H$4:$H$1048576,'Caja Real mensual '!$D$36)+SUMIFS('Movimientos Reales'!$D$4:$D$1048576,'Movimientos Reales'!$E$4:$E$1048576,'Caja Real mensual '!$R$4,'Movimientos Reales'!$F$4:$F$1048576,'Caja Real mensual '!$B$36,'Movimientos Reales'!$H$4:$H$1048576,'Caja Real mensual '!$C$36)</f>
        <v>0</v>
      </c>
      <c r="T36" s="491">
        <f>+SUMIFS('Movimientos Reales'!$D$4:$D$1048576,'Movimientos Reales'!$E$4:$E$1048576,'Caja Real mensual '!$T$4,'Movimientos Reales'!$F$4:$F$1048576,'Caja Real mensual '!$B$36,'Movimientos Reales'!$H$4:$H$1048576,'Caja Real mensual '!$D$36)+SUMIFS('Movimientos Reales'!$D$4:$D$1048576,'Movimientos Reales'!$E$4:$E$1048576,'Caja Real mensual '!$R$4,'Movimientos Reales'!$F$4:$F$1048576,'Caja Real mensual '!$B$36,'Movimientos Reales'!$H$4:$H$1048576,'Caja Real mensual '!$C$36)</f>
        <v>0</v>
      </c>
      <c r="U36" s="13"/>
    </row>
    <row r="37" spans="2:21" s="6" customFormat="1" ht="15.75" customHeight="1">
      <c r="B37" s="130" t="s">
        <v>452</v>
      </c>
      <c r="C37" s="130" t="s">
        <v>57</v>
      </c>
      <c r="D37" s="130" t="s">
        <v>57</v>
      </c>
      <c r="F37" s="58" t="s">
        <v>9046</v>
      </c>
      <c r="I37" s="2">
        <f>+SUMIFS('Movimientos Reales'!$D$4:$D$1048576,'Movimientos Reales'!$E$4:$E$1048576,'Caja Real mensual '!$I$4,'Movimientos Reales'!$F$4:$F$1048576,'Caja Real mensual '!#REF!,'Movimientos Reales'!$H$4:$H$1048576,'Caja Real mensual '!D37)+SUMIFS('Movimientos Reales'!$D$4:$D$1048576,'Movimientos Reales'!$E$4:$E$1048576,'Caja Real mensual '!$I$4,'Movimientos Reales'!$F$4:$F$1048576,'Caja Real mensual '!#REF!,'Movimientos Reales'!$H$4:$H$1048576,'Caja Real mensual '!C37)</f>
        <v>0</v>
      </c>
      <c r="J37" s="2">
        <f>+SUMIFS('Movimientos Reales'!$D$4:$D$1048576,'Movimientos Reales'!$E$4:$E$1048576,'Caja Real mensual '!$J$4,'Movimientos Reales'!$F$4:$F$1048576,'Caja Real mensual '!$B$37,'Movimientos Reales'!$H$4:$H$1048576,'Caja Real mensual '!$D$37)+SUMIFS('Movimientos Reales'!$D$4:$D$1048576,'Movimientos Reales'!$E$4:$E$1048576,'Caja Real mensual '!$J$4,'Movimientos Reales'!$F$4:$F$1048576,'Caja Real mensual '!$B$36,'Movimientos Reales'!$H$4:$H$1048576,'Caja Real mensual '!$C$37)</f>
        <v>0</v>
      </c>
      <c r="K37" s="2">
        <f>+SUMIFS('Movimientos Reales'!$D$4:$D$1048576,'Movimientos Reales'!$E$4:$E$1048576,'Caja Real mensual '!$K$4,'Movimientos Reales'!$F$4:$F$1048576,'Caja Real mensual '!#REF!,'Movimientos Reales'!$H$4:$H$1048576,'Caja Real mensual '!F37)+SUMIFS('Movimientos Reales'!$D$4:$D$1048576,'Movimientos Reales'!$E$4:$E$1048576,'Caja Real mensual '!$I$4,'Movimientos Reales'!$F$4:$F$1048576,'Caja Real mensual '!#REF!,'Movimientos Reales'!$H$4:$H$1048576,'Caja Real mensual '!E37)</f>
        <v>0</v>
      </c>
      <c r="L37" s="13">
        <f>+SUMIFS('Movimientos Reales'!$D$4:$D$1048576,'Movimientos Reales'!$E$4:$E$1048576,'Caja Real mensual '!$L$4,'Movimientos Reales'!$F$4:$F$1048576,'Caja Real mensual '!#REF!,'Movimientos Reales'!$H$4:$H$1048576,'Caja Real mensual '!G37)+SUMIFS('Movimientos Reales'!$D$4:$D$1048576,'Movimientos Reales'!$E$4:$E$1048576,'Caja Real mensual '!$L$4,'Movimientos Reales'!$F$4:$F$1048576,'Caja Real mensual '!#REF!,'Movimientos Reales'!$H$4:$H$1048576,'Caja Real mensual '!F37)</f>
        <v>0</v>
      </c>
      <c r="M37" s="2">
        <f>+SUMIFS('Movimientos Reales'!$D$4:$D$1048576,'Movimientos Reales'!$E$4:$E$1048576,'Caja Real mensual '!$I$4,'Movimientos Reales'!$F$4:$F$1048576,'Caja Real mensual '!#REF!,'Movimientos Reales'!$H$4:$H$1048576,'Caja Real mensual '!H37)+SUMIFS('Movimientos Reales'!$D$4:$D$1048576,'Movimientos Reales'!$E$4:$E$1048576,'Caja Real mensual '!$I$4,'Movimientos Reales'!$F$4:$F$1048576,'Caja Real mensual '!#REF!,'Movimientos Reales'!$H$4:$H$1048576,'Caja Real mensual '!G37)</f>
        <v>0</v>
      </c>
      <c r="N37" s="2">
        <f>+SUMIFS('Movimientos Reales'!$D$4:$D$1048576,'Movimientos Reales'!$E$4:$E$1048576,'Caja Real mensual '!$I$4,'Movimientos Reales'!$F$4:$F$1048576,'Caja Real mensual '!#REF!,'Movimientos Reales'!$H$4:$H$1048576,'Caja Real mensual '!I37)+SUMIFS('Movimientos Reales'!$D$4:$D$1048576,'Movimientos Reales'!$E$4:$E$1048576,'Caja Real mensual '!$I$4,'Movimientos Reales'!$F$4:$F$1048576,'Caja Real mensual '!#REF!,'Movimientos Reales'!$H$4:$H$1048576,'Caja Real mensual '!H37)</f>
        <v>0</v>
      </c>
      <c r="O37" s="2">
        <f>+SUMIFS('Movimientos Reales'!$D$4:$D$1048576,'Movimientos Reales'!$E$4:$E$1048576,'Caja Real mensual '!$O$4,'Movimientos Reales'!$F$4:$F$1048576,'Caja Real mensual '!$B$37,'Movimientos Reales'!$G$4:$G$1048576,'Caja Real mensual '!$C$37)</f>
        <v>-84945890</v>
      </c>
      <c r="P37" s="2">
        <f>+SUMIFS('Movimientos Reales'!$D$4:$D$1048576,'Movimientos Reales'!$E$4:$E$1048576,'Caja Real mensual '!$P$4,'Movimientos Reales'!$F$4:$F$1048576,'Caja Real mensual '!$B$37,'Movimientos Reales'!$G$4:$G$1048576,'Caja Real mensual '!$C$37)</f>
        <v>0</v>
      </c>
      <c r="Q37" s="2">
        <f>+SUMIFS('Movimientos Reales'!$D$4:$D$1048576,'Movimientos Reales'!$E$4:$E$1048576,'Caja Real mensual '!$Q$4,'Movimientos Reales'!$F$4:$F$1048576,'Caja Real mensual '!$B$37,'Movimientos Reales'!$G$4:$G$1048576,'Caja Real mensual '!$C$37)</f>
        <v>0</v>
      </c>
      <c r="R37" s="491">
        <f>+SUMIFS('Movimientos Reales'!$D$4:$D$1048576,'Movimientos Reales'!$E$4:$E$1048576,'Caja Real mensual '!$R$4,'Movimientos Reales'!$F$4:$F$1048576,'Caja Real mensual '!$B$37,'Movimientos Reales'!$G$4:$G$1048576,'Caja Real mensual '!$C$37)</f>
        <v>0</v>
      </c>
      <c r="S37" s="491">
        <f>+SUMIFS('Movimientos Reales'!$D$4:$D$1048576,'Movimientos Reales'!$E$4:$E$1048576,'Caja Real mensual '!$S$4,'Movimientos Reales'!$F$4:$F$1048576,'Caja Real mensual '!$B$37,'Movimientos Reales'!$G$4:$G$1048576,'Caja Real mensual '!$C$37)</f>
        <v>0</v>
      </c>
      <c r="T37" s="491">
        <f>+SUMIFS('Movimientos Reales'!$D$4:$D$1048576,'Movimientos Reales'!$E$4:$E$1048576,'Caja Real mensual '!$T$4,'Movimientos Reales'!$F$4:$F$1048576,'Caja Real mensual '!$B$37,'Movimientos Reales'!$G$4:$G$1048576,'Caja Real mensual '!$C$37)</f>
        <v>0</v>
      </c>
      <c r="U37" s="13"/>
    </row>
    <row r="38" spans="2:21" ht="15.75" customHeight="1">
      <c r="B38" s="92" t="s">
        <v>452</v>
      </c>
      <c r="C38" s="92" t="s">
        <v>9043</v>
      </c>
      <c r="D38" s="333" t="s">
        <v>9044</v>
      </c>
      <c r="E38" s="1"/>
      <c r="F38" s="11" t="s">
        <v>9047</v>
      </c>
      <c r="G38" s="13"/>
      <c r="H38" s="11"/>
      <c r="I38" s="2">
        <f>+SUMIFS('Movimientos Reales'!$D$4:$D$1048576,'Movimientos Reales'!$E$4:$E$1048576,'Caja Real mensual '!$I$4,'Movimientos Reales'!$F$4:$F$1048576,'Caja Real mensual '!#REF!,'Movimientos Reales'!$H$4:$H$1048576,'Caja Real mensual '!D38)+SUMIFS('Movimientos Reales'!$D$4:$D$1048576,'Movimientos Reales'!$E$4:$E$1048576,'Caja Real mensual '!$I$4,'Movimientos Reales'!$F$4:$F$1048576,'Caja Real mensual '!#REF!,'Movimientos Reales'!$H$4:$H$1048576,'Caja Real mensual '!C38)</f>
        <v>0</v>
      </c>
      <c r="J38" s="2">
        <f>+SUMIFS('Movimientos Reales'!$D$4:$D$1048576,'Movimientos Reales'!$E$4:$E$1048576,'Caja Real mensual '!$J$4,'Movimientos Reales'!$F$4:$F$1048576,'Caja Real mensual '!$B$38,'Movimientos Reales'!$H$4:$H$1048576,'Caja Real mensual '!$D$38)+SUMIFS('Movimientos Reales'!$D$4:$D$1048576,'Movimientos Reales'!$E$4:$E$1048576,'Caja Real mensual '!$J$4,'Movimientos Reales'!$F$4:$F$1048576,'Caja Real mensual '!$B$38,'Movimientos Reales'!$H$4:$H$1048576,'Caja Real mensual '!$C$38)</f>
        <v>-84382106.465925872</v>
      </c>
      <c r="K38" s="2">
        <f>+SUMIFS('Movimientos Reales'!$D$4:$D$1048576,'Movimientos Reales'!$E$4:$E$1048576,'Caja Real mensual '!$K$4,'Movimientos Reales'!$F$4:$F$1048576,'Caja Real mensual '!$B$38,'Movimientos Reales'!$H$4:$H$1048576,'Caja Real mensual '!$D$38)+SUMIFS('Movimientos Reales'!$D$4:$D$1048576,'Movimientos Reales'!$E$4:$E$1048576,'Caja Real mensual '!$K$4,'Movimientos Reales'!$F$4:$F$1048576,'Caja Real mensual '!$B$38,'Movimientos Reales'!$H$4:$H$1048576,'Caja Real mensual '!$C$38)</f>
        <v>-36402489.333333336</v>
      </c>
      <c r="L38" s="13">
        <f>+SUMIFS('Movimientos Reales'!$D$4:$D$1048576,'Movimientos Reales'!$E$4:$E$1048576,'Caja Real mensual '!$L$4,'Movimientos Reales'!$F$4:$F$1048576,'Caja Real mensual '!$B$38,'Movimientos Reales'!$H$4:$H$1048576,'Caja Real mensual '!$D$38)+SUMIFS('Movimientos Reales'!$D$4:$D$1048576,'Movimientos Reales'!$E$4:$E$1048576,'Caja Real mensual '!$L$4,'Movimientos Reales'!$F$4:$F$1048576,'Caja Real mensual '!$B$38,'Movimientos Reales'!$H$4:$H$1048576,'Caja Real mensual '!$C$38)</f>
        <v>-70564596.870000005</v>
      </c>
      <c r="M38" s="2">
        <f>+SUMIFS('Movimientos Reales'!$D$4:$D$1048576,'Movimientos Reales'!$E$4:$E$1048576,'Caja Real mensual '!$M$4,'Movimientos Reales'!$F$4:$F$1048576,'Caja Real mensual '!$B$38,'Movimientos Reales'!$H$4:$H$1048576,'Caja Real mensual '!$D$38)+SUMIFS('Movimientos Reales'!$D$4:$D$1048576,'Movimientos Reales'!$E$4:$E$1048576,'Caja Real mensual '!$M$4,'Movimientos Reales'!$F$4:$F$1048576,'Caja Real mensual '!$B$38,'Movimientos Reales'!$H$4:$H$1048576,'Caja Real mensual '!$C$38)</f>
        <v>-39888674.666666664</v>
      </c>
      <c r="N38" s="2">
        <f>+SUMIFS('Movimientos Reales'!$D$4:$D$1048576,'Movimientos Reales'!$E$4:$E$1048576,'Caja Real mensual '!$N$4,'Movimientos Reales'!$F$4:$F$1048576,'Caja Real mensual '!$B$38,'Movimientos Reales'!$H$4:$H$1048576,'Caja Real mensual '!$D$38)+SUMIFS('Movimientos Reales'!$D$4:$D$1048576,'Movimientos Reales'!$E$4:$E$1048576,'Caja Real mensual '!$N$4,'Movimientos Reales'!$F$4:$F$1048576,'Caja Real mensual '!$B$38,'Movimientos Reales'!$H$4:$H$1048576,'Caja Real mensual '!$C$38)</f>
        <v>-18702563.368146472</v>
      </c>
      <c r="O38" s="2">
        <f>+SUMIFS('Movimientos Reales'!$D$4:$D$1048576,'Movimientos Reales'!$E$4:$E$1048576,'Caja Real mensual '!$O$4,'Movimientos Reales'!$F$4:$F$1048576,'Caja Real mensual '!$B$38,'Movimientos Reales'!$H$4:$H$1048576,'Caja Real mensual '!$D$38)+SUMIFS('Movimientos Reales'!$D$4:$D$1048576,'Movimientos Reales'!$E$4:$E$1048576,'Caja Real mensual '!$N$4,'Movimientos Reales'!$F$4:$F$1048576,'Caja Real mensual '!$B$38,'Movimientos Reales'!$H$4:$H$1048576,'Caja Real mensual '!$C$38)</f>
        <v>-18702563.368146472</v>
      </c>
      <c r="P38" s="2">
        <f>+SUMIFS('Movimientos Reales'!$D$4:$D$1048576,'Movimientos Reales'!$E$4:$E$1048576,'Caja Real mensual '!$P$4,'Movimientos Reales'!$F$4:$F$1048576,'Caja Real mensual '!$B$38,'Movimientos Reales'!$H$4:$H$1048576,'Caja Real mensual '!$D$38)+SUMIFS('Movimientos Reales'!$D$4:$D$1048576,'Movimientos Reales'!$E$4:$E$1048576,'Caja Real mensual '!$P$4,'Movimientos Reales'!$F$4:$F$1048576,'Caja Real mensual '!$B$38,'Movimientos Reales'!$H$4:$H$1048576,'Caja Real mensual '!$C$38)</f>
        <v>0</v>
      </c>
      <c r="Q38" s="2">
        <f>+SUMIFS('Movimientos Reales'!$D$4:$D$1048576,'Movimientos Reales'!$E$4:$E$1048576,'Caja Real mensual '!$Q$4,'Movimientos Reales'!$F$4:$F$1048576,'Caja Real mensual '!$B$38,'Movimientos Reales'!$H$4:$H$1048576,'Caja Real mensual '!$D$38)+SUMIFS('Movimientos Reales'!$D$4:$D$1048576,'Movimientos Reales'!$E$4:$E$1048576,'Caja Real mensual '!$Q$4,'Movimientos Reales'!$F$4:$F$1048576,'Caja Real mensual '!$B$38,'Movimientos Reales'!$H$4:$H$1048576,'Caja Real mensual '!$C$38)</f>
        <v>0</v>
      </c>
      <c r="R38" s="491">
        <f>+SUMIFS('Movimientos Reales'!$D$4:$D$1048576,'Movimientos Reales'!$E$4:$E$1048576,'Caja Real mensual '!$R$4,'Movimientos Reales'!$F$4:$F$1048576,'Caja Real mensual '!$B$38,'Movimientos Reales'!$H$4:$H$1048576,'Caja Real mensual '!$D$38)+SUMIFS('Movimientos Reales'!$D$4:$D$1048576,'Movimientos Reales'!$E$4:$E$1048576,'Caja Real mensual '!$Q$4,'Movimientos Reales'!$F$4:$F$1048576,'Caja Real mensual '!$B$38,'Movimientos Reales'!$H$4:$H$1048576,'Caja Real mensual '!$C$38)</f>
        <v>0</v>
      </c>
      <c r="S38" s="491">
        <f>+SUMIFS('Movimientos Reales'!$D$4:$D$1048576,'Movimientos Reales'!$E$4:$E$1048576,'Caja Real mensual '!$S$4,'Movimientos Reales'!$F$4:$F$1048576,'Caja Real mensual '!$B$38,'Movimientos Reales'!$H$4:$H$1048576,'Caja Real mensual '!$D$38)+SUMIFS('Movimientos Reales'!$D$4:$D$1048576,'Movimientos Reales'!$E$4:$E$1048576,'Caja Real mensual '!$R$4,'Movimientos Reales'!$F$4:$F$1048576,'Caja Real mensual '!$B$38,'Movimientos Reales'!$H$4:$H$1048576,'Caja Real mensual '!$C$38)</f>
        <v>0</v>
      </c>
      <c r="T38" s="491">
        <f>+SUMIFS('Movimientos Reales'!$D$4:$D$1048576,'Movimientos Reales'!$E$4:$E$1048576,'Caja Real mensual '!$T$4,'Movimientos Reales'!$F$4:$F$1048576,'Caja Real mensual '!$B$38,'Movimientos Reales'!$H$4:$H$1048576,'Caja Real mensual '!$D$38)+SUMIFS('Movimientos Reales'!$D$4:$D$1048576,'Movimientos Reales'!$E$4:$E$1048576,'Caja Real mensual '!$R$4,'Movimientos Reales'!$F$4:$F$1048576,'Caja Real mensual '!$B$38,'Movimientos Reales'!$H$4:$H$1048576,'Caja Real mensual '!$C$38)</f>
        <v>0</v>
      </c>
      <c r="U38" s="13"/>
    </row>
    <row r="39" spans="2:21" ht="15.75" customHeight="1">
      <c r="D39" s="328" t="s">
        <v>296</v>
      </c>
      <c r="E39" s="1"/>
      <c r="F39" s="11" t="s">
        <v>9048</v>
      </c>
      <c r="G39" s="12"/>
      <c r="H39" s="11"/>
      <c r="I39" s="2">
        <f>+SUMIFS('Movimientos Reales'!$D$4:$D$1048576,'Movimientos Reales'!$E$4:$E$1048576,'Caja Real mensual '!$I$4,'Movimientos Reales'!$F$4:$F$1048576,'Caja Real mensual '!$D$39)-I38-I37</f>
        <v>-1363191602.0428879</v>
      </c>
      <c r="J39" s="2">
        <f>+SUMIFS('Movimientos Reales'!$D$4:$D$1048576,'Movimientos Reales'!$E$4:$E$1048576,'Caja Real mensual '!$J$4,'Movimientos Reales'!$F$4:$F$1048576,'Caja Real mensual '!$D$39)-J38</f>
        <v>-1620909014.2673576</v>
      </c>
      <c r="K39" s="2">
        <f>+SUMIFS('Movimientos Reales'!$D$4:$D$1048576,'Movimientos Reales'!$E$4:$E$1048576,'Caja Real mensual '!$K$4,'Movimientos Reales'!$F$4:$F$1048576,'Caja Real mensual '!$D$39)-K38</f>
        <v>-4444335510.3790541</v>
      </c>
      <c r="L39" s="13">
        <f>+SUMIFS('Movimientos Reales'!$D$4:$D$1048576,'Movimientos Reales'!$E$4:$E$1048576,'Caja Real mensual '!$L$4,'Movimientos Reales'!$F$4:$F$1048576,'Caja Real mensual '!$D$39)-L38</f>
        <v>-2686945212.1866651</v>
      </c>
      <c r="M39" s="2">
        <f>+SUMIFS('Movimientos Reales'!$D$4:$D$1048576,'Movimientos Reales'!$E$4:$E$1048576,'Caja Real mensual '!$M$4,'Movimientos Reales'!$F$4:$F$1048576,'Caja Real mensual '!$D$39)-M38</f>
        <v>-1003785255.9699763</v>
      </c>
      <c r="N39" s="2">
        <f>+SUMIFS('Movimientos Reales'!$D$4:$D$1048576,'Movimientos Reales'!$E$4:$E$1048576,'Caja Real mensual '!$N$4,'Movimientos Reales'!$F$4:$F$1048576,'Caja Real mensual '!$D$39)-N38</f>
        <v>-2902407519.1901655</v>
      </c>
      <c r="O39" s="2">
        <f>+SUMIFS('Movimientos Reales'!$D$4:$D$1048576,'Movimientos Reales'!$E$4:$E$1048576,'Caja Real mensual '!$O$4,'Movimientos Reales'!$F$4:$F$1048576,'Caja Real mensual '!$D$39)-O38-O37</f>
        <v>-2299463581.3318534</v>
      </c>
      <c r="P39" s="2">
        <f>+SUMIFS('Movimientos Reales'!$D$4:$D$1048576,'Movimientos Reales'!$E$4:$E$1048576,'Caja Real mensual '!$P$4,'Movimientos Reales'!$F$4:$F$1048576,'Caja Real mensual '!$D$39)-P38-P37</f>
        <v>0</v>
      </c>
      <c r="Q39" s="2">
        <f>+SUMIFS('Movimientos Reales'!$D$4:$D$1048576,'Movimientos Reales'!$E$4:$E$1048576,'Caja Real mensual '!$Q$4,'Movimientos Reales'!$F$4:$F$1048576,'Caja Real mensual '!$D$39)-Q38-Q37</f>
        <v>0</v>
      </c>
      <c r="R39" s="491">
        <f>+SUMIFS('Movimientos Reales'!$D$4:$D$1048576,'Movimientos Reales'!$E$4:$E$1048576,'Caja Real mensual '!$R$4,'Movimientos Reales'!$F$4:$F$1048576,'Caja Real mensual '!$D$39)-R38-R37</f>
        <v>0</v>
      </c>
      <c r="S39" s="491">
        <f>+SUMIFS('Movimientos Reales'!$D$4:$D$1048576,'Movimientos Reales'!$E$4:$E$1048576,'Caja Real mensual '!$S$4,'Movimientos Reales'!$F$4:$F$1048576,'Caja Real mensual '!$D$39)-S38-S37</f>
        <v>0</v>
      </c>
      <c r="T39" s="491">
        <f>+SUMIFS('Movimientos Reales'!$D$4:$D$1048576,'Movimientos Reales'!$E$4:$E$1048576,'Caja Real mensual '!$T$4,'Movimientos Reales'!$F$4:$F$1048576,'Caja Real mensual '!$D$39)-T38-T37</f>
        <v>0</v>
      </c>
      <c r="U39" s="13"/>
    </row>
    <row r="40" spans="2:21" ht="15.75" customHeight="1">
      <c r="D40" s="367" t="s">
        <v>652</v>
      </c>
      <c r="E40" s="1"/>
      <c r="F40" s="11" t="s">
        <v>9049</v>
      </c>
      <c r="G40" s="12"/>
      <c r="H40" s="11"/>
      <c r="I40" s="2">
        <f>+SUMIFS('Movimientos Reales'!$D$4:$D$1048576,'Movimientos Reales'!$E$4:$E$1048576,'Caja Real mensual '!$I$4,'Movimientos Reales'!$F$4:$F$1048576,'Caja Real mensual '!$D$40)</f>
        <v>1585000000</v>
      </c>
      <c r="J40" s="2">
        <f>+SUMIFS('Movimientos Reales'!$D$4:$D$1048576,'Movimientos Reales'!$E$4:$E$1048576,'Caja Real mensual '!$J$4,'Movimientos Reales'!$F$4:$F$1048576,'Caja Real mensual '!$D$40)</f>
        <v>2610000000</v>
      </c>
      <c r="K40" s="2">
        <f>+SUMIFS('Movimientos Reales'!$D$4:$D$1048576,'Movimientos Reales'!$E$4:$E$1048576,'Caja Real mensual '!$K$4,'Movimientos Reales'!$F$4:$F$1048576,'Caja Real mensual '!$D$40)</f>
        <v>4792400000</v>
      </c>
      <c r="L40" s="13">
        <f>+SUMIFS('Movimientos Reales'!$D$4:$D$1048576,'Movimientos Reales'!$E$4:$E$1048576,'Caja Real mensual '!$L$4,'Movimientos Reales'!$F$4:$F$1048576,'Caja Real mensual '!$D$40)</f>
        <v>2330000000</v>
      </c>
      <c r="M40" s="2">
        <f>+SUMIFS('Movimientos Reales'!$D$4:$D$1048576,'Movimientos Reales'!$E$4:$E$1048576,'Caja Real mensual '!$M$4,'Movimientos Reales'!$F$4:$F$1048576,'Caja Real mensual '!$D$40)</f>
        <v>1300000000</v>
      </c>
      <c r="N40" s="2">
        <f>+SUMIFS('Movimientos Reales'!$D$4:$D$1048576,'Movimientos Reales'!$E$4:$E$1048576,'Caja Real mensual '!$N$4,'Movimientos Reales'!$F$4:$F$1048576,'Caja Real mensual '!$D$40)</f>
        <v>3200000000</v>
      </c>
      <c r="O40" s="2">
        <f>+SUMIFS('Movimientos Reales'!$D$4:$D$1048576,'Movimientos Reales'!$E$4:$E$1048576,'Caja Real mensual '!$O$4,'Movimientos Reales'!$F$4:$F$1048576,'Caja Real mensual '!$D$40)</f>
        <v>2920000000</v>
      </c>
      <c r="P40" s="2">
        <f>+SUMIFS('Movimientos Reales'!$D$4:$D$1048576,'Movimientos Reales'!$E$4:$E$1048576,'Caja Real mensual '!$P$4,'Movimientos Reales'!$F$4:$F$1048576,'Caja Real mensual '!$D$40)</f>
        <v>0</v>
      </c>
      <c r="Q40" s="2">
        <f>+SUMIFS('Movimientos Reales'!$D$4:$D$1048576,'Movimientos Reales'!$E$4:$E$1048576,'Caja Real mensual '!$Q$4,'Movimientos Reales'!$F$4:$F$1048576,'Caja Real mensual '!$D$40)</f>
        <v>0</v>
      </c>
      <c r="R40" s="2">
        <f>+SUMIFS('Movimientos Reales'!$D$4:$D$1048576,'Movimientos Reales'!$E$4:$E$1048576,'Caja Real mensual '!$R$4,'Movimientos Reales'!$F$4:$F$1048576,'Caja Real mensual '!$D$40)</f>
        <v>0</v>
      </c>
      <c r="S40" s="2">
        <f>+SUMIFS('Movimientos Reales'!$D$4:$D$1048576,'Movimientos Reales'!$E$4:$E$1048576,'Caja Real mensual '!$S$4,'Movimientos Reales'!$F$4:$F$1048576,'Caja Real mensual '!$D$40)</f>
        <v>0</v>
      </c>
      <c r="T40" s="2">
        <f>+SUMIFS('Movimientos Reales'!$D$4:$D$1048576,'Movimientos Reales'!$E$4:$E$1048576,'Caja Real mensual '!$T$4,'Movimientos Reales'!$F$4:$F$1048576,'Caja Real mensual '!$D$40)</f>
        <v>0</v>
      </c>
      <c r="U40" s="13"/>
    </row>
    <row r="41" spans="2:21" ht="15.75" customHeight="1">
      <c r="D41" s="367" t="s">
        <v>983</v>
      </c>
      <c r="E41" s="1"/>
      <c r="F41" s="11" t="s">
        <v>9050</v>
      </c>
      <c r="G41" s="12"/>
      <c r="H41" s="11"/>
      <c r="I41" s="2">
        <f>+SUMIFS('Movimientos Reales'!$D$4:$D$1048576,'Movimientos Reales'!$E$4:$E$1048576,'Caja Real mensual '!$I$4,'Movimientos Reales'!$F$4:$F$1048576,'Caja Real mensual '!$D$41)</f>
        <v>23789961</v>
      </c>
      <c r="J41" s="2">
        <f>+SUMIFS('Movimientos Reales'!$D$4:$D$1048576,'Movimientos Reales'!$E$4:$E$1048576,'Caja Real mensual '!$J$4,'Movimientos Reales'!$F$4:$F$1048576,'Caja Real mensual '!$D$41)</f>
        <v>324699990</v>
      </c>
      <c r="K41" s="2">
        <f>+SUMIFS('Movimientos Reales'!$D$4:$D$1048576,'Movimientos Reales'!$E$4:$E$1048576,'Caja Real mensual '!$K$4,'Movimientos Reales'!$F$4:$F$1048576,'Caja Real mensual '!$D$41)</f>
        <v>296200673.68000001</v>
      </c>
      <c r="L41" s="13">
        <f>+SUMIFS('Movimientos Reales'!$D$4:$D$1048576,'Movimientos Reales'!$E$4:$E$1048576,'Caja Real mensual '!$L$4,'Movimientos Reales'!$F$4:$F$1048576,'Caja Real mensual '!$D$41)</f>
        <v>185624973</v>
      </c>
      <c r="M41" s="2">
        <f>+SUMIFS('Movimientos Reales'!$D$4:$D$1048576,'Movimientos Reales'!$E$4:$E$1048576,'Caja Real mensual '!$M$4,'Movimientos Reales'!$F$4:$F$1048576,'Caja Real mensual '!$D$41)</f>
        <v>264957137</v>
      </c>
      <c r="N41" s="2">
        <f>+SUMIFS('Movimientos Reales'!$D$4:$D$1048576,'Movimientos Reales'!$E$4:$E$1048576,'Caja Real mensual '!$N$4,'Movimientos Reales'!$F$4:$F$1048576,'Caja Real mensual '!$D$41)</f>
        <v>254080613</v>
      </c>
      <c r="O41" s="2">
        <f>+SUMIFS('Movimientos Reales'!$D$4:$D$1048576,'Movimientos Reales'!$E$4:$E$1048576,'Caja Real mensual '!$O$4,'Movimientos Reales'!$F$4:$F$1048576,'Caja Real mensual '!$D$41)</f>
        <v>0</v>
      </c>
      <c r="P41" s="2">
        <f>+SUMIFS('Movimientos Reales'!$D$4:$D$1048576,'Movimientos Reales'!$E$4:$E$1048576,'Caja Real mensual '!$P$4,'Movimientos Reales'!$F$4:$F$1048576,'Caja Real mensual '!$D$41)</f>
        <v>0</v>
      </c>
      <c r="Q41" s="2">
        <f>+SUMIFS('Movimientos Reales'!$D$4:$D$1048576,'Movimientos Reales'!$E$4:$E$1048576,'Caja Real mensual '!$Q$4,'Movimientos Reales'!$F$4:$F$1048576,'Caja Real mensual '!$D$41)</f>
        <v>0</v>
      </c>
      <c r="R41" s="2">
        <f>+SUMIFS('Movimientos Reales'!$D$4:$D$1048576,'Movimientos Reales'!$E$4:$E$1048576,'Caja Real mensual '!$R$4,'Movimientos Reales'!$F$4:$F$1048576,'Caja Real mensual '!$D$41)</f>
        <v>0</v>
      </c>
      <c r="S41" s="2">
        <f>+SUMIFS('Movimientos Reales'!$D$4:$D$1048576,'Movimientos Reales'!$E$4:$E$1048576,'Caja Real mensual '!$S$4,'Movimientos Reales'!$F$4:$F$1048576,'Caja Real mensual '!$D$41)</f>
        <v>0</v>
      </c>
      <c r="T41" s="2">
        <f>+SUMIFS('Movimientos Reales'!$D$4:$D$1048576,'Movimientos Reales'!$E$4:$E$1048576,'Caja Real mensual '!$T$4,'Movimientos Reales'!$F$4:$F$1048576,'Caja Real mensual '!$D$41)</f>
        <v>0</v>
      </c>
      <c r="U41" s="13"/>
    </row>
    <row r="42" spans="2:21" ht="15.75" customHeight="1">
      <c r="D42" s="367" t="s">
        <v>9051</v>
      </c>
      <c r="E42" s="1"/>
      <c r="F42" s="11" t="s">
        <v>9052</v>
      </c>
      <c r="G42" s="12"/>
      <c r="H42" s="11"/>
      <c r="I42" s="2">
        <f>+SUMIFS('Movimientos Reales'!$D$4:$D$1048576,'Movimientos Reales'!$E$4:$E$1048576,'Caja Real mensual '!$I$4,'Movimientos Reales'!$F$4:$F$1048576,'Caja Real mensual '!$D$42)</f>
        <v>0</v>
      </c>
      <c r="J42" s="2">
        <f>+SUMIFS('Movimientos Reales'!$D$4:$D$1048576,'Movimientos Reales'!$E$4:$E$1048576,'Caja Real mensual '!$I$4,'Movimientos Reales'!$F$4:$F$1048576,'Caja Real mensual '!$D$42)</f>
        <v>0</v>
      </c>
      <c r="K42" s="2">
        <f>+SUMIFS('Movimientos Reales'!$D$4:$D$1048576,'Movimientos Reales'!$E$4:$E$1048576,'Caja Real mensual '!$I$4,'Movimientos Reales'!$F$4:$F$1048576,'Caja Real mensual '!$D$42)</f>
        <v>0</v>
      </c>
      <c r="L42" s="13">
        <f>+SUMIFS('Movimientos Reales'!$D$4:$D$1048576,'Movimientos Reales'!$E$4:$E$1048576,'Caja Real mensual '!$L$4,'Movimientos Reales'!$F$4:$F$1048576,'Caja Real mensual '!$D$42)</f>
        <v>0</v>
      </c>
      <c r="M42" s="2"/>
      <c r="N42" s="2"/>
      <c r="O42" s="2"/>
      <c r="P42" s="2"/>
      <c r="Q42" s="2"/>
      <c r="R42" s="2"/>
      <c r="S42" s="2"/>
      <c r="T42" s="2"/>
      <c r="U42" s="13"/>
    </row>
    <row r="43" spans="2:21" ht="15.75" customHeight="1">
      <c r="D43" s="200" t="s">
        <v>525</v>
      </c>
      <c r="E43" s="184"/>
      <c r="F43" s="11" t="s">
        <v>9053</v>
      </c>
      <c r="G43" s="12"/>
      <c r="H43" s="11"/>
      <c r="I43" s="2">
        <f>+SUMIFS('Movimientos Reales'!$D$4:$D$1048576,'Movimientos Reales'!$E$4:$E$1048576,'Caja Real mensual '!$I$4,'Movimientos Reales'!$F$4:$F$1048576,'Caja Real mensual '!$D$43)</f>
        <v>-119563000</v>
      </c>
      <c r="J43" s="2">
        <f>+SUMIFS('Movimientos Reales'!$D$4:$D$1048576,'Movimientos Reales'!$E$4:$E$1048576,'Caja Real mensual '!$J$4,'Movimientos Reales'!$F$4:$F$1048576,'Caja Real mensual '!$D$43)</f>
        <v>-22576000</v>
      </c>
      <c r="K43" s="2">
        <f>+SUMIFS('Movimientos Reales'!$D$4:$D$1048576,'Movimientos Reales'!$E$4:$E$1048576,'Caja Real mensual '!$K$4,'Movimientos Reales'!$F$4:$F$1048576,'Caja Real mensual '!$D$43)</f>
        <v>-64693000</v>
      </c>
      <c r="L43" s="13">
        <f>+SUMIFS('Movimientos Reales'!$D$4:$D$1048576,'Movimientos Reales'!$E$4:$E$1048576,'Caja Real mensual '!$L$4,'Movimientos Reales'!$F$4:$F$1048576,'Caja Real mensual '!$D$43)</f>
        <v>-54189000</v>
      </c>
      <c r="M43" s="2">
        <f>+SUMIFS('Movimientos Reales'!$D$4:$D$1048576,'Movimientos Reales'!$E$4:$E$1048576,'Caja Real mensual '!$M$4,'Movimientos Reales'!$F$4:$F$1048576,'Caja Real mensual '!$D$43)</f>
        <v>-61654000</v>
      </c>
      <c r="N43" s="2">
        <f>+SUMIFS('Movimientos Reales'!$D$4:$D$1048576,'Movimientos Reales'!$E$4:$E$1048576,'Caja Real mensual '!$N$4,'Movimientos Reales'!$F$4:$F$1048576,'Caja Real mensual '!$D$43)</f>
        <v>-60815000</v>
      </c>
      <c r="O43" s="2">
        <f>+SUMIFS('Movimientos Reales'!$D$4:$D$1048576,'Movimientos Reales'!$E$4:$E$1048576,'Caja Real mensual '!$O$4,'Movimientos Reales'!$F$4:$F$1048576,'Caja Real mensual '!$D$43)</f>
        <v>-50748000</v>
      </c>
      <c r="P43" s="2">
        <f>+SUMIFS('Movimientos Reales'!$D$4:$D$1048576,'Movimientos Reales'!$E$4:$E$1048576,'Caja Real mensual '!$P$4,'Movimientos Reales'!$F$4:$F$1048576,'Caja Real mensual '!$D$43)</f>
        <v>0</v>
      </c>
      <c r="Q43" s="2">
        <f>+SUMIFS('Movimientos Reales'!$D$4:$D$1048576,'Movimientos Reales'!$E$4:$E$1048576,'Caja Real mensual '!$Q$4,'Movimientos Reales'!$F$4:$F$1048576,'Caja Real mensual '!$D$43)</f>
        <v>0</v>
      </c>
      <c r="R43" s="2">
        <f>+SUMIFS('Movimientos Reales'!$D$4:$D$1048576,'Movimientos Reales'!$E$4:$E$1048576,'Caja Real mensual '!$R$4,'Movimientos Reales'!$F$4:$F$1048576,'Caja Real mensual '!$D$43)</f>
        <v>0</v>
      </c>
      <c r="S43" s="2">
        <f>+SUMIFS('Movimientos Reales'!$D$4:$D$1048576,'Movimientos Reales'!$E$4:$E$1048576,'Caja Real mensual '!$S$4,'Movimientos Reales'!$F$4:$F$1048576,'Caja Real mensual '!$D$43)</f>
        <v>0</v>
      </c>
      <c r="T43" s="2">
        <f>+SUMIFS('Movimientos Reales'!$D$4:$D$1048576,'Movimientos Reales'!$E$4:$E$1048576,'Caja Real mensual '!$T$4,'Movimientos Reales'!$F$4:$F$1048576,'Caja Real mensual '!$D$43)</f>
        <v>0</v>
      </c>
      <c r="U43" s="13"/>
    </row>
    <row r="44" spans="2:21" ht="27" customHeight="1">
      <c r="D44" s="1"/>
      <c r="E44" s="1"/>
      <c r="F44" s="23" t="s">
        <v>9054</v>
      </c>
      <c r="G44" s="24"/>
      <c r="H44" s="25"/>
      <c r="I44" s="26">
        <f>+I24+I35+I39+I43+I38+I41+I40</f>
        <v>-29496355.242998123</v>
      </c>
      <c r="J44" s="26">
        <f>+J24+J35+J39+J43+J38+J36+J40+J41+J26+J28+J29+J31+J32</f>
        <v>187152743.55000019</v>
      </c>
      <c r="K44" s="26">
        <f>+K24+K35+K39+K43+K38+K36+K40+K41+K26+K28+K29+K31+K32</f>
        <v>-130289281.84999973</v>
      </c>
      <c r="L44" s="26">
        <f>+L24+L35+L39+L43+L38+L36+L40+L41+L25+L26+L28+L29+L32+L31+L33+L27+L30+L42</f>
        <v>-1274044140.6800008</v>
      </c>
      <c r="M44" s="26">
        <f>+M24+M35+M39+M43+M38+M36+M40+M41+M29+M30+M31+M33+M34+M27</f>
        <v>-548352100.50999975</v>
      </c>
      <c r="N44" s="26">
        <f>+N24+N35+N39+N43+N38+N36+N25+N40+N41+N27+N29+N30+N31+N33+N34</f>
        <v>-901356296.53000021</v>
      </c>
      <c r="O44" s="26">
        <f>+O24+O35+O39+O43+O38+O36+O25+O37+O40+O41</f>
        <v>333170979.8300004</v>
      </c>
      <c r="P44" s="26">
        <f>+P24+P35+P39+P43+P38+P36+P25+P37+P26+P40+P41</f>
        <v>0</v>
      </c>
      <c r="Q44" s="26">
        <f>+Q24+Q35+Q39+Q43+Q38+Q36+Q25+Q37+Q26+Q40+Q41</f>
        <v>0</v>
      </c>
      <c r="R44" s="26">
        <f>+R24+R35+R39+R43+R38+R36+R25+R37+R26+R28+R40+R41</f>
        <v>0</v>
      </c>
      <c r="S44" s="26">
        <f>+S24+S35+S39+S43+S38+S36+S25+S37+S26+S28+S40+S41</f>
        <v>0</v>
      </c>
      <c r="T44" s="26">
        <f>+T24+T35+T39+T43+T38+T36+T25+T37+T26+T28+T40+T41</f>
        <v>0</v>
      </c>
      <c r="U44" s="13"/>
    </row>
    <row r="45" spans="2:21" ht="14.1" customHeight="1">
      <c r="D45" s="1" t="s">
        <v>298</v>
      </c>
      <c r="E45" s="1"/>
      <c r="F45" s="11" t="s">
        <v>9055</v>
      </c>
      <c r="G45" s="12"/>
      <c r="H45" s="11"/>
      <c r="I45" s="2">
        <f>+SUMIFS('Movimientos Reales'!$D$4:$D$1048576,'Movimientos Reales'!$E$4:$E$1048576,'Caja Real mensual '!$I$4,'Movimientos Reales'!$F$4:$F$1048576,'Caja Real mensual '!$D$45)-Retenciones!B2</f>
        <v>-55255374.977002002</v>
      </c>
      <c r="J45" s="2">
        <f>+SUMIFS('Movimientos Reales'!$D$4:$D$1048576,'Movimientos Reales'!$E$4:$E$1048576,'Caja Real mensual '!$J$4,'Movimientos Reales'!$F$4:$F$1048576,'Caja Real mensual '!$D$45)-Retenciones!C2</f>
        <v>31523579.580000002</v>
      </c>
      <c r="K45" s="2">
        <f>+SUMIFS('Movimientos Reales'!$D$4:$D$1048576,'Movimientos Reales'!$E$4:$E$1048576,'Caja Real mensual '!$K$4,'Movimientos Reales'!$F$4:$F$1048576,'Caja Real mensual '!$D$45)-Retenciones!D2</f>
        <v>-11435544.579999998</v>
      </c>
      <c r="L45" s="2">
        <f>+SUMIFS('Movimientos Reales'!$D$4:$D$1048576,'Movimientos Reales'!$E$4:$E$1048576,'Caja Real mensual '!$L$4,'Movimientos Reales'!$F$4:$F$1048576,'Caja Real mensual '!$D$45)-Retenciones!E2</f>
        <v>2070456616.8700001</v>
      </c>
      <c r="M45" s="2">
        <f>+SUMIFS('Movimientos Reales'!$D$4:$D$1048576,'Movimientos Reales'!$E$4:$E$1048576,'Caja Real mensual '!$M$4,'Movimientos Reales'!$F$4:$F$1048576,'Caja Real mensual '!$D$45)-Retenciones!F2</f>
        <v>1475721701</v>
      </c>
      <c r="N45" s="2">
        <f>+SUMIFS('Movimientos Reales'!$D$4:$D$1048576,'Movimientos Reales'!$E$4:$E$1048576,'Caja Real mensual '!$N$4,'Movimientos Reales'!$F$4:$F$1048576,'Caja Real mensual '!$D$45)-Retenciones!G2</f>
        <v>-4089755</v>
      </c>
      <c r="O45" s="2">
        <f>+SUMIFS('Movimientos Reales'!$D$4:$D$1048576,'Movimientos Reales'!$E$4:$E$1048576,'Caja Real mensual '!$O$4,'Movimientos Reales'!$F$4:$F$1048576,'Caja Real mensual '!$D$45)-Retenciones!H2</f>
        <v>-458466818</v>
      </c>
      <c r="P45" s="2">
        <f>+SUMIFS('Movimientos Reales'!$D$4:$D$1048576,'Movimientos Reales'!$E$4:$E$1048576,'Caja Real mensual '!$P$4,'Movimientos Reales'!$F$4:$F$1048576,'Caja Real mensual '!$D$45)-Retenciones!I2</f>
        <v>0</v>
      </c>
      <c r="Q45" s="2">
        <f>+SUMIFS('Movimientos Reales'!$D$4:$D$1048576,'Movimientos Reales'!$E$4:$E$1048576,'Caja Real mensual '!$Q$4,'Movimientos Reales'!$F$4:$F$1048576,'Caja Real mensual '!$D$45)-Retenciones!J2</f>
        <v>0</v>
      </c>
      <c r="R45" s="491">
        <f>+SUMIFS('Movimientos Reales'!$D$4:$D$1048576,'Movimientos Reales'!$E$4:$E$1048576,'Caja Real mensual '!$R$4,'Movimientos Reales'!$F$4:$F$1048576,'Caja Real mensual '!$D$45)-Retenciones!K2</f>
        <v>0</v>
      </c>
      <c r="S45" s="491">
        <f>+SUMIFS('Movimientos Reales'!$D$4:$D$1048576,'Movimientos Reales'!$E$4:$E$1048576,'Caja Real mensual '!$S$4,'Movimientos Reales'!$F$4:$F$1048576,'Caja Real mensual '!$D$45)-Retenciones!L2</f>
        <v>0</v>
      </c>
      <c r="T45" s="491">
        <f>+SUMIFS('Movimientos Reales'!$D$4:$D$1048576,'Movimientos Reales'!$E$4:$E$1048576,'Caja Real mensual '!$T$4,'Movimientos Reales'!$F$4:$F$1048576,'Caja Real mensual '!$D$45)-Retenciones!M2</f>
        <v>0</v>
      </c>
    </row>
    <row r="46" spans="2:21" ht="21" customHeight="1">
      <c r="D46" s="14"/>
      <c r="E46" s="14"/>
      <c r="F46" s="15" t="s">
        <v>9056</v>
      </c>
      <c r="G46" s="16"/>
      <c r="H46" s="17"/>
      <c r="I46" s="18">
        <f>+I44+I45</f>
        <v>-84751730.220000118</v>
      </c>
      <c r="J46" s="18">
        <f t="shared" ref="J46:K46" si="9">+J44+J45</f>
        <v>218676323.1300002</v>
      </c>
      <c r="K46" s="18">
        <f t="shared" si="9"/>
        <v>-141724826.42999971</v>
      </c>
      <c r="L46" s="18">
        <f>+L44+L45</f>
        <v>796412476.18999934</v>
      </c>
      <c r="M46" s="18">
        <f>+M44+M45</f>
        <v>927369600.49000025</v>
      </c>
      <c r="N46" s="18">
        <f t="shared" ref="N46:T46" si="10">+N44+N45</f>
        <v>-905446051.53000021</v>
      </c>
      <c r="O46" s="18">
        <f t="shared" si="10"/>
        <v>-125295838.1699996</v>
      </c>
      <c r="P46" s="18">
        <f t="shared" si="10"/>
        <v>0</v>
      </c>
      <c r="Q46" s="18">
        <f t="shared" si="10"/>
        <v>0</v>
      </c>
      <c r="R46" s="18">
        <f>+R44+R45</f>
        <v>0</v>
      </c>
      <c r="S46" s="18">
        <f t="shared" si="10"/>
        <v>0</v>
      </c>
      <c r="T46" s="18">
        <f t="shared" si="10"/>
        <v>0</v>
      </c>
    </row>
    <row r="47" spans="2:21" ht="12" customHeight="1" thickBot="1">
      <c r="D47" s="14"/>
      <c r="E47" s="14"/>
      <c r="F47" s="11" t="s">
        <v>9057</v>
      </c>
      <c r="G47" s="12"/>
      <c r="H47" s="11"/>
      <c r="I47" s="2"/>
      <c r="J47" s="2"/>
      <c r="K47" s="2"/>
      <c r="L47" s="2"/>
      <c r="M47" s="2"/>
    </row>
    <row r="48" spans="2:21" ht="11.1" customHeight="1" thickBot="1">
      <c r="F48" s="11" t="s">
        <v>9058</v>
      </c>
      <c r="G48" s="12"/>
      <c r="H48" s="11"/>
      <c r="I48" s="2"/>
      <c r="J48" s="2"/>
      <c r="K48" s="2"/>
      <c r="L48" s="2"/>
      <c r="M48" s="2"/>
      <c r="N48" s="6"/>
      <c r="O48" s="6"/>
      <c r="P48" s="6"/>
      <c r="Q48" s="6"/>
      <c r="R48" s="6"/>
      <c r="S48" s="6"/>
      <c r="T48" s="331"/>
    </row>
    <row r="49" spans="6:20" ht="14.1" customHeight="1">
      <c r="F49" s="11" t="s">
        <v>9059</v>
      </c>
      <c r="G49" s="11"/>
      <c r="H49" s="11"/>
      <c r="I49" s="6"/>
      <c r="K49" s="6"/>
      <c r="L49" s="6"/>
      <c r="M49" s="6"/>
      <c r="N49" s="6"/>
      <c r="O49" s="6"/>
      <c r="P49" s="6"/>
      <c r="Q49" s="6"/>
      <c r="R49" s="6"/>
      <c r="S49" s="6"/>
      <c r="T49" s="6"/>
    </row>
    <row r="50" spans="6:20" ht="15.75" customHeight="1">
      <c r="F50" s="15" t="s">
        <v>9060</v>
      </c>
      <c r="G50" s="16"/>
      <c r="H50" s="17"/>
      <c r="I50" s="18">
        <f t="shared" ref="I50:K50" si="11">+I46+I47+I49</f>
        <v>-84751730.220000118</v>
      </c>
      <c r="J50" s="18">
        <f t="shared" si="11"/>
        <v>218676323.1300002</v>
      </c>
      <c r="K50" s="18">
        <f t="shared" si="11"/>
        <v>-141724826.42999971</v>
      </c>
      <c r="L50" s="18">
        <f>+L46+L47+L49</f>
        <v>796412476.18999934</v>
      </c>
      <c r="M50" s="18">
        <f>+M46+M47+M49</f>
        <v>927369600.49000025</v>
      </c>
      <c r="N50" s="18">
        <f t="shared" ref="N50:T50" si="12">+N46+N47+N49</f>
        <v>-905446051.53000021</v>
      </c>
      <c r="O50" s="18">
        <f t="shared" si="12"/>
        <v>-125295838.1699996</v>
      </c>
      <c r="P50" s="18">
        <f t="shared" si="12"/>
        <v>0</v>
      </c>
      <c r="Q50" s="18">
        <f t="shared" si="12"/>
        <v>0</v>
      </c>
      <c r="R50" s="18">
        <f>+R46+R47+R49</f>
        <v>0</v>
      </c>
      <c r="S50" s="18">
        <f t="shared" si="12"/>
        <v>0</v>
      </c>
      <c r="T50" s="18">
        <f t="shared" si="12"/>
        <v>0</v>
      </c>
    </row>
    <row r="51" spans="6:20" ht="15.75" customHeight="1">
      <c r="F51" s="11" t="s">
        <v>9061</v>
      </c>
      <c r="G51" s="12"/>
      <c r="H51" s="11"/>
      <c r="I51" s="12">
        <f>+'Verificación Caja'!C34</f>
        <v>229066096.78</v>
      </c>
      <c r="J51" s="12">
        <f t="shared" ref="J51:O51" si="13">+I52</f>
        <v>144314366.55999988</v>
      </c>
      <c r="K51" s="12">
        <f t="shared" si="13"/>
        <v>362990689.69000006</v>
      </c>
      <c r="L51" s="12">
        <f t="shared" si="13"/>
        <v>221265863.26000035</v>
      </c>
      <c r="M51" s="12">
        <f t="shared" si="13"/>
        <v>1017678339.4499997</v>
      </c>
      <c r="N51" s="12">
        <f t="shared" si="13"/>
        <v>1945047939.9400001</v>
      </c>
      <c r="O51" s="12">
        <f t="shared" si="13"/>
        <v>1039601888.4099998</v>
      </c>
      <c r="P51" s="12">
        <f t="shared" ref="P51:T51" si="14">+O52</f>
        <v>914306050.24000025</v>
      </c>
      <c r="Q51" s="12">
        <f t="shared" si="14"/>
        <v>914306050.24000025</v>
      </c>
      <c r="R51" s="12">
        <f t="shared" si="14"/>
        <v>914306050.24000025</v>
      </c>
      <c r="S51" s="12">
        <f t="shared" si="14"/>
        <v>914306050.24000025</v>
      </c>
      <c r="T51" s="12">
        <f t="shared" si="14"/>
        <v>914306050.24000025</v>
      </c>
    </row>
    <row r="52" spans="6:20" ht="21" customHeight="1">
      <c r="F52" s="28" t="s">
        <v>9062</v>
      </c>
      <c r="G52" s="29"/>
      <c r="H52" s="30"/>
      <c r="I52" s="31">
        <f t="shared" ref="I52:M52" si="15">+I50+I51</f>
        <v>144314366.55999988</v>
      </c>
      <c r="J52" s="31">
        <f t="shared" si="15"/>
        <v>362990689.69000006</v>
      </c>
      <c r="K52" s="31">
        <f t="shared" si="15"/>
        <v>221265863.26000035</v>
      </c>
      <c r="L52" s="31">
        <f t="shared" si="15"/>
        <v>1017678339.4499997</v>
      </c>
      <c r="M52" s="31">
        <f t="shared" si="15"/>
        <v>1945047939.9400001</v>
      </c>
      <c r="N52" s="31">
        <f t="shared" ref="N52:R52" si="16">+N50+N51</f>
        <v>1039601888.4099998</v>
      </c>
      <c r="O52" s="31">
        <f t="shared" si="16"/>
        <v>914306050.24000025</v>
      </c>
      <c r="P52" s="31">
        <f t="shared" si="16"/>
        <v>914306050.24000025</v>
      </c>
      <c r="Q52" s="31">
        <f t="shared" si="16"/>
        <v>914306050.24000025</v>
      </c>
      <c r="R52" s="31">
        <f t="shared" si="16"/>
        <v>914306050.24000025</v>
      </c>
      <c r="S52" s="31">
        <f>+S50+S51</f>
        <v>914306050.24000025</v>
      </c>
      <c r="T52" s="31">
        <f>+T50+T51</f>
        <v>914306050.24000025</v>
      </c>
    </row>
    <row r="53" spans="6:20" ht="15.75" customHeight="1">
      <c r="F53" s="30"/>
      <c r="G53" s="223"/>
      <c r="H53" s="30"/>
      <c r="I53" s="224"/>
      <c r="J53" s="224"/>
      <c r="K53" s="224"/>
      <c r="L53" s="224"/>
      <c r="M53" s="224">
        <v>1472662672</v>
      </c>
      <c r="N53" s="224"/>
      <c r="O53" s="224"/>
      <c r="P53" s="224"/>
      <c r="Q53" s="224"/>
      <c r="R53" s="224"/>
      <c r="S53" s="224"/>
      <c r="T53" s="224"/>
    </row>
    <row r="54" spans="6:20" ht="15.75" customHeight="1">
      <c r="F54" s="30"/>
      <c r="G54" s="223"/>
      <c r="H54" s="30"/>
      <c r="I54" s="224"/>
      <c r="J54" s="224"/>
      <c r="K54" s="224"/>
      <c r="L54" s="224"/>
      <c r="M54" s="224">
        <f>+M45-M53</f>
        <v>3059029</v>
      </c>
      <c r="N54" s="885"/>
      <c r="O54" s="224"/>
      <c r="P54" s="224"/>
      <c r="Q54" s="224"/>
      <c r="R54" s="224"/>
      <c r="S54" s="224"/>
      <c r="T54" s="224"/>
    </row>
    <row r="55" spans="6:20" ht="15.75" customHeight="1">
      <c r="F55" s="1"/>
      <c r="G55" s="1"/>
      <c r="H55" s="1"/>
      <c r="I55" s="2"/>
      <c r="J55" s="2"/>
      <c r="K55" s="2"/>
      <c r="L55" s="2"/>
      <c r="M55" s="2">
        <f>+M57-M52</f>
        <v>117086328.38330793</v>
      </c>
      <c r="N55" s="2"/>
      <c r="O55" s="2"/>
      <c r="P55" s="2"/>
      <c r="Q55" s="2"/>
      <c r="R55" s="2"/>
      <c r="S55" s="6"/>
      <c r="T55" s="6"/>
    </row>
    <row r="56" spans="6:20" ht="15" customHeight="1">
      <c r="I56" s="13"/>
    </row>
    <row r="57" spans="6:20" ht="15" customHeight="1">
      <c r="I57">
        <v>82450000</v>
      </c>
      <c r="M57" s="835">
        <v>2062134268.323308</v>
      </c>
    </row>
    <row r="61" spans="6:20" ht="15" customHeight="1">
      <c r="T61" s="13"/>
    </row>
  </sheetData>
  <mergeCells count="1">
    <mergeCell ref="F2:G2"/>
  </mergeCells>
  <conditionalFormatting sqref="M57">
    <cfRule type="expression" dxfId="5" priority="1">
      <formula>M57&lt;0</formula>
    </cfRule>
    <cfRule type="expression" dxfId="4" priority="2">
      <formula>M57&gt;0</formula>
    </cfRule>
  </conditionalFormatting>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59909-C3A2-4E6A-A72C-DAD2F3E65529}">
  <sheetPr filterMode="1"/>
  <dimension ref="B1:M1029"/>
  <sheetViews>
    <sheetView topLeftCell="A786" zoomScale="85" zoomScaleNormal="85" workbookViewId="0">
      <selection activeCell="E947" sqref="E947:E1029"/>
    </sheetView>
  </sheetViews>
  <sheetFormatPr defaultColWidth="11.42578125" defaultRowHeight="12.6"/>
  <cols>
    <col min="1" max="1" width="5.28515625" customWidth="1"/>
    <col min="2" max="2" width="37.85546875" customWidth="1"/>
    <col min="3" max="3" width="51.85546875" customWidth="1"/>
    <col min="4" max="4" width="25.7109375" bestFit="1" customWidth="1"/>
    <col min="5" max="5" width="15" customWidth="1"/>
    <col min="6" max="6" width="18.7109375" customWidth="1"/>
    <col min="7" max="7" width="21.28515625" customWidth="1"/>
    <col min="8" max="8" width="29.85546875" bestFit="1" customWidth="1"/>
    <col min="9" max="9" width="22.42578125" customWidth="1"/>
    <col min="10" max="10" width="15.7109375" bestFit="1" customWidth="1"/>
    <col min="11" max="11" width="12.42578125" bestFit="1" customWidth="1"/>
    <col min="12" max="12" width="15.28515625" bestFit="1" customWidth="1"/>
    <col min="13" max="13" width="14.7109375" bestFit="1" customWidth="1"/>
  </cols>
  <sheetData>
    <row r="1" spans="2:13" ht="12.95">
      <c r="B1" s="8">
        <v>45658</v>
      </c>
      <c r="C1" s="8">
        <v>45689</v>
      </c>
      <c r="D1" s="9">
        <v>45717</v>
      </c>
      <c r="E1" s="8">
        <v>45748</v>
      </c>
      <c r="F1" s="8">
        <v>45778</v>
      </c>
      <c r="G1" s="9">
        <v>45809</v>
      </c>
      <c r="H1" s="8">
        <v>45839</v>
      </c>
      <c r="I1" s="8">
        <v>45870</v>
      </c>
      <c r="J1" s="9">
        <v>45901</v>
      </c>
      <c r="K1" s="8">
        <v>45931</v>
      </c>
      <c r="L1" s="8">
        <v>45962</v>
      </c>
      <c r="M1" s="9">
        <v>45992</v>
      </c>
    </row>
    <row r="2" spans="2:13">
      <c r="B2" s="13">
        <f>+SUMIFS(E9:$E$278,F9:$F$278,B1)</f>
        <v>-8053343.8029980008</v>
      </c>
      <c r="C2" s="13">
        <f>+SUMIFS($E9:E$283,$F9:F$283,C1)</f>
        <v>-10139524.120000001</v>
      </c>
      <c r="D2" s="13">
        <f>+SUMIFS($E283:F$721,$F283:G$721,D1)</f>
        <v>-14166104</v>
      </c>
      <c r="E2" s="13">
        <f>+SUMIFS($E444:F$721,$F444:G$721,E1)</f>
        <v>-21946558.149999999</v>
      </c>
      <c r="F2" s="13">
        <f>+SUMIFS($E592:G$935,$F592:H$935,F1)</f>
        <v>-10606595</v>
      </c>
      <c r="G2" s="13">
        <f>+SUMIFS($E762:F$952,$F762:G$952,G1)</f>
        <v>-10795139</v>
      </c>
      <c r="H2" s="13">
        <f>+SUMIFS($E762:G$1189,$F762:H$1189,H1)</f>
        <v>-4501042</v>
      </c>
      <c r="I2" s="13">
        <f>+SUMIFS($E9:L$278,$F9:M$278,I1)</f>
        <v>0</v>
      </c>
      <c r="J2" s="13">
        <f>+SUMIFS($E9:M$278,$F9:N$278,J1)</f>
        <v>0</v>
      </c>
      <c r="K2" s="13">
        <f>+SUMIFS($E9:N$278,$F9:O$278,K1)</f>
        <v>0</v>
      </c>
      <c r="L2" s="13">
        <f>+SUMIFS($E9:O$278,$F9:P$278,L1)</f>
        <v>0</v>
      </c>
      <c r="M2" s="13">
        <f>+SUMIFS($E9:P$278,$F9:Q$278,M1)</f>
        <v>0</v>
      </c>
    </row>
    <row r="4" spans="2:13" ht="12.95">
      <c r="D4" s="48"/>
      <c r="E4" s="87">
        <f>-SUM(E7:E1048576)</f>
        <v>80208306.072998017</v>
      </c>
    </row>
    <row r="5" spans="2:13" ht="12.95">
      <c r="D5" s="48"/>
      <c r="E5" s="364"/>
    </row>
    <row r="6" spans="2:13" ht="12.95">
      <c r="D6" s="48"/>
      <c r="E6" s="364"/>
    </row>
    <row r="8" spans="2:13" ht="14.1">
      <c r="B8" s="185" t="s">
        <v>290</v>
      </c>
      <c r="C8" s="225" t="s">
        <v>299</v>
      </c>
      <c r="D8" s="186" t="s">
        <v>300</v>
      </c>
      <c r="E8" s="187" t="s">
        <v>124</v>
      </c>
      <c r="F8" s="188" t="s">
        <v>9063</v>
      </c>
      <c r="G8" s="188" t="s">
        <v>9064</v>
      </c>
    </row>
    <row r="9" spans="2:13" ht="14.1" hidden="1">
      <c r="B9" s="540">
        <v>45666</v>
      </c>
      <c r="C9" s="534" t="s">
        <v>400</v>
      </c>
      <c r="D9" s="541" t="s">
        <v>372</v>
      </c>
      <c r="E9" s="534">
        <v>-840</v>
      </c>
      <c r="F9" s="532">
        <v>45658</v>
      </c>
      <c r="G9" s="541" t="s">
        <v>296</v>
      </c>
      <c r="H9" s="541" t="s">
        <v>328</v>
      </c>
      <c r="I9" s="541" t="s">
        <v>268</v>
      </c>
    </row>
    <row r="10" spans="2:13" ht="14.1" hidden="1">
      <c r="B10" s="529">
        <v>45666</v>
      </c>
      <c r="C10" s="530" t="s">
        <v>401</v>
      </c>
      <c r="D10" s="531" t="s">
        <v>372</v>
      </c>
      <c r="E10" s="530">
        <v>-504</v>
      </c>
      <c r="F10" s="532">
        <v>45658</v>
      </c>
      <c r="G10" s="531" t="s">
        <v>296</v>
      </c>
      <c r="H10" s="531" t="s">
        <v>328</v>
      </c>
      <c r="I10" s="531" t="s">
        <v>268</v>
      </c>
    </row>
    <row r="11" spans="2:13" ht="14.1" hidden="1">
      <c r="B11" s="529">
        <v>45666</v>
      </c>
      <c r="C11" s="530" t="s">
        <v>402</v>
      </c>
      <c r="D11" s="531" t="s">
        <v>372</v>
      </c>
      <c r="E11" s="535">
        <v>-3219</v>
      </c>
      <c r="F11" s="532">
        <v>45658</v>
      </c>
      <c r="G11" s="531" t="s">
        <v>296</v>
      </c>
      <c r="H11" s="531" t="s">
        <v>328</v>
      </c>
      <c r="I11" s="531" t="s">
        <v>375</v>
      </c>
    </row>
    <row r="12" spans="2:13" ht="14.1" hidden="1">
      <c r="B12" s="529">
        <v>45666</v>
      </c>
      <c r="C12" s="530" t="s">
        <v>403</v>
      </c>
      <c r="D12" s="531" t="s">
        <v>372</v>
      </c>
      <c r="E12" s="535">
        <v>-410622</v>
      </c>
      <c r="F12" s="532">
        <v>45658</v>
      </c>
      <c r="G12" s="531" t="s">
        <v>296</v>
      </c>
      <c r="H12" s="531" t="s">
        <v>328</v>
      </c>
      <c r="I12" s="531" t="s">
        <v>377</v>
      </c>
    </row>
    <row r="13" spans="2:13" ht="14.1" hidden="1">
      <c r="B13" s="529">
        <v>45666</v>
      </c>
      <c r="C13" s="530" t="s">
        <v>404</v>
      </c>
      <c r="D13" s="531" t="s">
        <v>372</v>
      </c>
      <c r="E13" s="535">
        <v>-290400</v>
      </c>
      <c r="F13" s="532">
        <v>45658</v>
      </c>
      <c r="G13" s="531" t="s">
        <v>296</v>
      </c>
      <c r="H13" s="531" t="s">
        <v>341</v>
      </c>
      <c r="I13" s="531" t="s">
        <v>379</v>
      </c>
    </row>
    <row r="14" spans="2:13" ht="14.1" hidden="1">
      <c r="B14" s="529">
        <v>45666</v>
      </c>
      <c r="C14" s="530" t="s">
        <v>405</v>
      </c>
      <c r="D14" s="531" t="s">
        <v>372</v>
      </c>
      <c r="E14" s="535">
        <v>-2533</v>
      </c>
      <c r="F14" s="532">
        <v>45658</v>
      </c>
      <c r="G14" s="531" t="s">
        <v>296</v>
      </c>
      <c r="H14" s="531" t="s">
        <v>44</v>
      </c>
      <c r="I14" s="531" t="s">
        <v>381</v>
      </c>
    </row>
    <row r="15" spans="2:13" ht="14.1" hidden="1">
      <c r="B15" s="529">
        <v>45666</v>
      </c>
      <c r="C15" s="530" t="s">
        <v>406</v>
      </c>
      <c r="D15" s="531" t="s">
        <v>372</v>
      </c>
      <c r="E15" s="535">
        <v>-3230</v>
      </c>
      <c r="F15" s="532">
        <v>45658</v>
      </c>
      <c r="G15" s="531" t="s">
        <v>296</v>
      </c>
      <c r="H15" s="531" t="s">
        <v>44</v>
      </c>
      <c r="I15" s="531" t="s">
        <v>381</v>
      </c>
    </row>
    <row r="16" spans="2:13" ht="14.1" hidden="1">
      <c r="B16" s="529">
        <v>45666</v>
      </c>
      <c r="C16" s="530" t="s">
        <v>407</v>
      </c>
      <c r="D16" s="531" t="s">
        <v>372</v>
      </c>
      <c r="E16" s="535">
        <v>-2533</v>
      </c>
      <c r="F16" s="532">
        <v>45658</v>
      </c>
      <c r="G16" s="531" t="s">
        <v>296</v>
      </c>
      <c r="H16" s="531" t="s">
        <v>337</v>
      </c>
      <c r="I16" s="531" t="s">
        <v>381</v>
      </c>
    </row>
    <row r="17" spans="2:9" ht="14.1" hidden="1">
      <c r="B17" s="529">
        <v>45666</v>
      </c>
      <c r="C17" s="530" t="s">
        <v>408</v>
      </c>
      <c r="D17" s="531" t="s">
        <v>372</v>
      </c>
      <c r="E17" s="535">
        <v>-3230</v>
      </c>
      <c r="F17" s="532">
        <v>45658</v>
      </c>
      <c r="G17" s="531" t="s">
        <v>296</v>
      </c>
      <c r="H17" s="531" t="s">
        <v>337</v>
      </c>
      <c r="I17" s="531" t="s">
        <v>381</v>
      </c>
    </row>
    <row r="18" spans="2:9" ht="14.1" hidden="1">
      <c r="B18" s="529">
        <v>45666</v>
      </c>
      <c r="C18" s="530" t="s">
        <v>409</v>
      </c>
      <c r="D18" s="531" t="s">
        <v>372</v>
      </c>
      <c r="E18" s="535">
        <v>-19250</v>
      </c>
      <c r="F18" s="532">
        <v>45658</v>
      </c>
      <c r="G18" s="531" t="s">
        <v>296</v>
      </c>
      <c r="H18" s="531" t="s">
        <v>341</v>
      </c>
      <c r="I18" s="531" t="s">
        <v>342</v>
      </c>
    </row>
    <row r="19" spans="2:9" ht="14.1" hidden="1">
      <c r="B19" s="199">
        <v>45672</v>
      </c>
      <c r="C19" s="202" t="s">
        <v>485</v>
      </c>
      <c r="D19" s="200" t="s">
        <v>372</v>
      </c>
      <c r="E19" s="204">
        <v>-133600</v>
      </c>
      <c r="F19" s="201">
        <v>45658</v>
      </c>
      <c r="G19" s="200" t="s">
        <v>256</v>
      </c>
      <c r="H19" s="200" t="s">
        <v>256</v>
      </c>
      <c r="I19" s="200" t="s">
        <v>257</v>
      </c>
    </row>
    <row r="20" spans="2:9" ht="14.1" hidden="1">
      <c r="B20" s="199">
        <v>45977</v>
      </c>
      <c r="C20" s="202" t="s">
        <v>632</v>
      </c>
      <c r="D20" s="200" t="s">
        <v>372</v>
      </c>
      <c r="E20" s="204">
        <v>-825000</v>
      </c>
      <c r="F20" s="201">
        <v>45658</v>
      </c>
      <c r="G20" s="200" t="s">
        <v>452</v>
      </c>
      <c r="H20" s="200" t="s">
        <v>453</v>
      </c>
      <c r="I20" s="200" t="s">
        <v>98</v>
      </c>
    </row>
    <row r="21" spans="2:9" ht="14.1" hidden="1">
      <c r="B21" s="199">
        <v>45673</v>
      </c>
      <c r="C21" s="202" t="s">
        <v>636</v>
      </c>
      <c r="D21" s="200" t="s">
        <v>372</v>
      </c>
      <c r="E21" s="204">
        <v>-21345</v>
      </c>
      <c r="F21" s="201">
        <v>45658</v>
      </c>
      <c r="G21" s="200" t="s">
        <v>452</v>
      </c>
      <c r="H21" s="200" t="s">
        <v>9065</v>
      </c>
      <c r="I21" s="200" t="s">
        <v>379</v>
      </c>
    </row>
    <row r="22" spans="2:9" ht="14.1" hidden="1">
      <c r="B22" s="199">
        <v>45673</v>
      </c>
      <c r="C22" s="202" t="s">
        <v>638</v>
      </c>
      <c r="D22" s="200" t="s">
        <v>372</v>
      </c>
      <c r="E22" s="204">
        <v>-605000</v>
      </c>
      <c r="F22" s="201">
        <v>45658</v>
      </c>
      <c r="G22" s="200" t="s">
        <v>452</v>
      </c>
      <c r="H22" s="200" t="s">
        <v>321</v>
      </c>
      <c r="I22" s="200" t="s">
        <v>366</v>
      </c>
    </row>
    <row r="23" spans="2:9" ht="14.1" hidden="1">
      <c r="B23" s="199">
        <v>45673</v>
      </c>
      <c r="C23" s="202" t="s">
        <v>640</v>
      </c>
      <c r="D23" s="200" t="s">
        <v>372</v>
      </c>
      <c r="E23" s="204">
        <v>-41280</v>
      </c>
      <c r="F23" s="201">
        <v>45658</v>
      </c>
      <c r="G23" s="200" t="s">
        <v>452</v>
      </c>
      <c r="H23" s="200" t="s">
        <v>44</v>
      </c>
      <c r="I23" s="200" t="s">
        <v>490</v>
      </c>
    </row>
    <row r="24" spans="2:9" ht="14.1" hidden="1">
      <c r="B24" s="199">
        <v>45673</v>
      </c>
      <c r="C24" s="202" t="s">
        <v>641</v>
      </c>
      <c r="D24" s="200" t="s">
        <v>372</v>
      </c>
      <c r="E24" s="204">
        <v>-12384</v>
      </c>
      <c r="F24" s="201">
        <v>45658</v>
      </c>
      <c r="G24" s="200" t="s">
        <v>452</v>
      </c>
      <c r="H24" s="200" t="s">
        <v>44</v>
      </c>
      <c r="I24" s="200" t="s">
        <v>490</v>
      </c>
    </row>
    <row r="25" spans="2:9" ht="14.1" hidden="1">
      <c r="B25" s="199">
        <v>45678</v>
      </c>
      <c r="C25" s="202" t="s">
        <v>400</v>
      </c>
      <c r="D25" s="200" t="s">
        <v>372</v>
      </c>
      <c r="E25" s="204">
        <v>-2950</v>
      </c>
      <c r="F25" s="201">
        <v>45658</v>
      </c>
      <c r="G25" s="200" t="s">
        <v>296</v>
      </c>
      <c r="H25" s="200" t="s">
        <v>482</v>
      </c>
      <c r="I25" s="531" t="s">
        <v>268</v>
      </c>
    </row>
    <row r="26" spans="2:9" ht="14.1" hidden="1">
      <c r="B26" s="199">
        <v>45678</v>
      </c>
      <c r="C26" s="202" t="s">
        <v>401</v>
      </c>
      <c r="D26" s="200" t="s">
        <v>372</v>
      </c>
      <c r="E26" s="204">
        <v>-1770</v>
      </c>
      <c r="F26" s="201">
        <v>45658</v>
      </c>
      <c r="G26" s="200" t="s">
        <v>296</v>
      </c>
      <c r="H26" s="200" t="s">
        <v>482</v>
      </c>
      <c r="I26" s="531" t="s">
        <v>268</v>
      </c>
    </row>
    <row r="27" spans="2:9" ht="14.1" hidden="1">
      <c r="B27" s="199">
        <v>45678</v>
      </c>
      <c r="C27" s="202" t="s">
        <v>675</v>
      </c>
      <c r="D27" s="200" t="s">
        <v>372</v>
      </c>
      <c r="E27" s="204">
        <v>-6160</v>
      </c>
      <c r="F27" s="201">
        <v>45658</v>
      </c>
      <c r="G27" s="200" t="s">
        <v>296</v>
      </c>
      <c r="H27" s="200" t="s">
        <v>482</v>
      </c>
      <c r="I27" s="531" t="s">
        <v>268</v>
      </c>
    </row>
    <row r="28" spans="2:9" ht="14.1" hidden="1">
      <c r="B28" s="199">
        <v>45678</v>
      </c>
      <c r="C28" s="202" t="s">
        <v>675</v>
      </c>
      <c r="D28" s="200" t="s">
        <v>372</v>
      </c>
      <c r="E28" s="204">
        <v>-3696</v>
      </c>
      <c r="F28" s="201">
        <v>45658</v>
      </c>
      <c r="G28" s="200" t="s">
        <v>296</v>
      </c>
      <c r="H28" s="200" t="s">
        <v>482</v>
      </c>
      <c r="I28" s="531" t="s">
        <v>268</v>
      </c>
    </row>
    <row r="29" spans="2:9" ht="14.1" hidden="1">
      <c r="B29" s="199">
        <v>45678</v>
      </c>
      <c r="C29" s="202" t="s">
        <v>762</v>
      </c>
      <c r="D29" s="200" t="s">
        <v>372</v>
      </c>
      <c r="E29" s="204">
        <v>-37313</v>
      </c>
      <c r="F29" s="201">
        <v>45658</v>
      </c>
      <c r="G29" s="200" t="s">
        <v>296</v>
      </c>
      <c r="H29" s="200" t="s">
        <v>44</v>
      </c>
      <c r="I29" s="200" t="s">
        <v>322</v>
      </c>
    </row>
    <row r="30" spans="2:9" ht="14.1" hidden="1">
      <c r="B30" s="199">
        <v>45678</v>
      </c>
      <c r="C30" s="202" t="s">
        <v>763</v>
      </c>
      <c r="D30" s="200" t="s">
        <v>372</v>
      </c>
      <c r="E30" s="204">
        <v>-8955</v>
      </c>
      <c r="F30" s="201">
        <v>45658</v>
      </c>
      <c r="G30" s="200" t="s">
        <v>296</v>
      </c>
      <c r="H30" s="200" t="s">
        <v>44</v>
      </c>
      <c r="I30" s="200" t="s">
        <v>322</v>
      </c>
    </row>
    <row r="31" spans="2:9" ht="14.1" hidden="1">
      <c r="B31" s="199">
        <v>45678</v>
      </c>
      <c r="C31" s="202" t="s">
        <v>762</v>
      </c>
      <c r="D31" s="200" t="s">
        <v>372</v>
      </c>
      <c r="E31" s="204">
        <v>-37313</v>
      </c>
      <c r="F31" s="201">
        <v>45658</v>
      </c>
      <c r="G31" s="200" t="s">
        <v>296</v>
      </c>
      <c r="H31" s="200" t="s">
        <v>337</v>
      </c>
      <c r="I31" s="200" t="s">
        <v>322</v>
      </c>
    </row>
    <row r="32" spans="2:9" ht="14.1" hidden="1">
      <c r="B32" s="199">
        <v>45678</v>
      </c>
      <c r="C32" s="202" t="s">
        <v>763</v>
      </c>
      <c r="D32" s="200" t="s">
        <v>372</v>
      </c>
      <c r="E32" s="204">
        <v>-8955</v>
      </c>
      <c r="F32" s="201">
        <v>45658</v>
      </c>
      <c r="G32" s="200" t="s">
        <v>296</v>
      </c>
      <c r="H32" s="200" t="s">
        <v>337</v>
      </c>
      <c r="I32" s="200" t="s">
        <v>322</v>
      </c>
    </row>
    <row r="33" spans="2:9" ht="14.1" hidden="1">
      <c r="B33" s="199">
        <v>45678</v>
      </c>
      <c r="C33" s="202" t="s">
        <v>780</v>
      </c>
      <c r="D33" s="200" t="s">
        <v>372</v>
      </c>
      <c r="E33" s="204">
        <v>-16800</v>
      </c>
      <c r="F33" s="201">
        <v>45658</v>
      </c>
      <c r="G33" s="200" t="s">
        <v>452</v>
      </c>
      <c r="H33" s="200" t="s">
        <v>453</v>
      </c>
      <c r="I33" s="200" t="s">
        <v>97</v>
      </c>
    </row>
    <row r="34" spans="2:9" ht="14.1" hidden="1">
      <c r="B34" s="199">
        <v>45678</v>
      </c>
      <c r="C34" s="202" t="s">
        <v>781</v>
      </c>
      <c r="D34" s="200" t="s">
        <v>372</v>
      </c>
      <c r="E34" s="204">
        <v>2880</v>
      </c>
      <c r="F34" s="201">
        <v>45658</v>
      </c>
      <c r="G34" s="200" t="s">
        <v>452</v>
      </c>
      <c r="H34" s="200" t="s">
        <v>453</v>
      </c>
      <c r="I34" s="200" t="s">
        <v>97</v>
      </c>
    </row>
    <row r="35" spans="2:9" ht="14.1" hidden="1">
      <c r="B35" s="199">
        <v>45678</v>
      </c>
      <c r="C35" s="202" t="s">
        <v>783</v>
      </c>
      <c r="D35" s="200" t="s">
        <v>372</v>
      </c>
      <c r="E35" s="204">
        <v>-11200</v>
      </c>
      <c r="F35" s="201">
        <v>45658</v>
      </c>
      <c r="G35" s="200" t="s">
        <v>256</v>
      </c>
      <c r="H35" s="200" t="s">
        <v>256</v>
      </c>
      <c r="I35" s="200" t="s">
        <v>269</v>
      </c>
    </row>
    <row r="36" spans="2:9" ht="14.1" hidden="1">
      <c r="B36" s="199">
        <v>45678</v>
      </c>
      <c r="C36" s="202" t="s">
        <v>784</v>
      </c>
      <c r="D36" s="200" t="s">
        <v>372</v>
      </c>
      <c r="E36" s="204">
        <v>-1920</v>
      </c>
      <c r="F36" s="201">
        <v>45658</v>
      </c>
      <c r="G36" s="200" t="s">
        <v>256</v>
      </c>
      <c r="H36" s="200" t="s">
        <v>256</v>
      </c>
      <c r="I36" s="200" t="s">
        <v>269</v>
      </c>
    </row>
    <row r="37" spans="2:9" ht="14.1" hidden="1">
      <c r="B37" s="199">
        <v>45678</v>
      </c>
      <c r="C37" s="202" t="s">
        <v>786</v>
      </c>
      <c r="D37" s="200" t="s">
        <v>372</v>
      </c>
      <c r="E37" s="204">
        <v>-30800</v>
      </c>
      <c r="F37" s="201">
        <v>45658</v>
      </c>
      <c r="G37" s="200" t="s">
        <v>256</v>
      </c>
      <c r="H37" s="200" t="s">
        <v>256</v>
      </c>
      <c r="I37" s="200" t="s">
        <v>269</v>
      </c>
    </row>
    <row r="38" spans="2:9" ht="14.1" hidden="1">
      <c r="B38" s="199">
        <v>45678</v>
      </c>
      <c r="C38" s="202" t="s">
        <v>787</v>
      </c>
      <c r="D38" s="200" t="s">
        <v>372</v>
      </c>
      <c r="E38" s="204">
        <v>-5280</v>
      </c>
      <c r="F38" s="201">
        <v>45658</v>
      </c>
      <c r="G38" s="200" t="s">
        <v>256</v>
      </c>
      <c r="H38" s="200" t="s">
        <v>256</v>
      </c>
      <c r="I38" s="200" t="s">
        <v>269</v>
      </c>
    </row>
    <row r="39" spans="2:9" ht="14.1" hidden="1">
      <c r="B39" s="199">
        <v>45678</v>
      </c>
      <c r="C39" s="202" t="s">
        <v>789</v>
      </c>
      <c r="D39" s="200" t="s">
        <v>372</v>
      </c>
      <c r="E39" s="204">
        <v>-242869</v>
      </c>
      <c r="F39" s="201">
        <v>45658</v>
      </c>
      <c r="G39" s="200" t="s">
        <v>452</v>
      </c>
      <c r="H39" s="200" t="s">
        <v>453</v>
      </c>
      <c r="I39" s="200" t="s">
        <v>95</v>
      </c>
    </row>
    <row r="40" spans="2:9" ht="14.1" hidden="1">
      <c r="B40" s="199">
        <v>45678</v>
      </c>
      <c r="C40" s="202" t="s">
        <v>791</v>
      </c>
      <c r="D40" s="200" t="s">
        <v>372</v>
      </c>
      <c r="E40" s="204">
        <v>-219060</v>
      </c>
      <c r="F40" s="201">
        <v>45658</v>
      </c>
      <c r="G40" s="200" t="s">
        <v>256</v>
      </c>
      <c r="H40" s="200" t="s">
        <v>256</v>
      </c>
      <c r="I40" s="200" t="s">
        <v>259</v>
      </c>
    </row>
    <row r="41" spans="2:9" ht="14.1" hidden="1">
      <c r="B41" s="199">
        <v>45680</v>
      </c>
      <c r="C41" s="202" t="s">
        <v>808</v>
      </c>
      <c r="D41" s="200" t="s">
        <v>372</v>
      </c>
      <c r="E41" s="204">
        <v>-12600</v>
      </c>
      <c r="F41" s="201">
        <v>45658</v>
      </c>
      <c r="G41" s="200" t="s">
        <v>256</v>
      </c>
      <c r="H41" s="200" t="s">
        <v>107</v>
      </c>
      <c r="I41" s="200" t="s">
        <v>275</v>
      </c>
    </row>
    <row r="42" spans="2:9" ht="14.1" hidden="1">
      <c r="B42" s="199">
        <v>45679</v>
      </c>
      <c r="C42" s="202" t="s">
        <v>817</v>
      </c>
      <c r="D42" s="200" t="s">
        <v>372</v>
      </c>
      <c r="E42" s="204">
        <v>-48125</v>
      </c>
      <c r="F42" s="201">
        <v>45658</v>
      </c>
      <c r="G42" s="200" t="s">
        <v>296</v>
      </c>
      <c r="H42" s="200" t="s">
        <v>44</v>
      </c>
      <c r="I42" s="200" t="s">
        <v>811</v>
      </c>
    </row>
    <row r="43" spans="2:9" ht="14.1" hidden="1">
      <c r="B43" s="199">
        <v>45679</v>
      </c>
      <c r="C43" s="202" t="s">
        <v>818</v>
      </c>
      <c r="D43" s="200" t="s">
        <v>372</v>
      </c>
      <c r="E43" s="204">
        <v>-11550</v>
      </c>
      <c r="F43" s="201">
        <v>45658</v>
      </c>
      <c r="G43" s="200" t="s">
        <v>296</v>
      </c>
      <c r="H43" s="200" t="s">
        <v>44</v>
      </c>
      <c r="I43" s="200" t="s">
        <v>811</v>
      </c>
    </row>
    <row r="44" spans="2:9" ht="14.1" hidden="1">
      <c r="B44" s="199">
        <v>45679</v>
      </c>
      <c r="C44" s="202" t="s">
        <v>820</v>
      </c>
      <c r="D44" s="200" t="s">
        <v>372</v>
      </c>
      <c r="E44" s="204">
        <v>-98000</v>
      </c>
      <c r="F44" s="201">
        <v>45658</v>
      </c>
      <c r="G44" s="200" t="s">
        <v>296</v>
      </c>
      <c r="H44" s="200" t="s">
        <v>337</v>
      </c>
      <c r="I44" s="200" t="s">
        <v>811</v>
      </c>
    </row>
    <row r="45" spans="2:9" ht="14.1" hidden="1">
      <c r="B45" s="199">
        <v>45679</v>
      </c>
      <c r="C45" s="202" t="s">
        <v>821</v>
      </c>
      <c r="D45" s="200" t="s">
        <v>372</v>
      </c>
      <c r="E45" s="204">
        <v>-23520</v>
      </c>
      <c r="F45" s="201">
        <v>45658</v>
      </c>
      <c r="G45" s="200" t="s">
        <v>296</v>
      </c>
      <c r="H45" s="200" t="s">
        <v>337</v>
      </c>
      <c r="I45" s="200" t="s">
        <v>811</v>
      </c>
    </row>
    <row r="46" spans="2:9" ht="14.1" hidden="1">
      <c r="B46" s="199">
        <v>45679</v>
      </c>
      <c r="C46" s="202" t="s">
        <v>823</v>
      </c>
      <c r="D46" s="200" t="s">
        <v>372</v>
      </c>
      <c r="E46" s="204">
        <v>-45000</v>
      </c>
      <c r="F46" s="201">
        <v>45658</v>
      </c>
      <c r="G46" s="200" t="s">
        <v>296</v>
      </c>
      <c r="H46" s="200" t="s">
        <v>337</v>
      </c>
      <c r="I46" s="200" t="s">
        <v>370</v>
      </c>
    </row>
    <row r="47" spans="2:9" ht="14.1" hidden="1">
      <c r="B47" s="199">
        <v>45679</v>
      </c>
      <c r="C47" s="202" t="s">
        <v>824</v>
      </c>
      <c r="D47" s="200" t="s">
        <v>372</v>
      </c>
      <c r="E47" s="204">
        <v>-27000</v>
      </c>
      <c r="F47" s="201">
        <v>45658</v>
      </c>
      <c r="G47" s="200" t="s">
        <v>296</v>
      </c>
      <c r="H47" s="200" t="s">
        <v>337</v>
      </c>
      <c r="I47" s="200" t="s">
        <v>370</v>
      </c>
    </row>
    <row r="48" spans="2:9" ht="14.1" hidden="1">
      <c r="B48" s="199">
        <v>45679</v>
      </c>
      <c r="C48" s="202" t="s">
        <v>825</v>
      </c>
      <c r="D48" s="200" t="s">
        <v>372</v>
      </c>
      <c r="E48" s="204">
        <v>-90000</v>
      </c>
      <c r="F48" s="201">
        <v>45658</v>
      </c>
      <c r="G48" s="200" t="s">
        <v>296</v>
      </c>
      <c r="H48" s="200" t="s">
        <v>337</v>
      </c>
      <c r="I48" s="200" t="s">
        <v>370</v>
      </c>
    </row>
    <row r="49" spans="2:9" ht="14.1" hidden="1">
      <c r="B49" s="199">
        <v>45679</v>
      </c>
      <c r="C49" s="202" t="s">
        <v>826</v>
      </c>
      <c r="D49" s="200" t="s">
        <v>372</v>
      </c>
      <c r="E49" s="204">
        <v>-54000</v>
      </c>
      <c r="F49" s="201">
        <v>45658</v>
      </c>
      <c r="G49" s="200" t="s">
        <v>296</v>
      </c>
      <c r="H49" s="200" t="s">
        <v>337</v>
      </c>
      <c r="I49" s="200" t="s">
        <v>370</v>
      </c>
    </row>
    <row r="50" spans="2:9" ht="14.1" hidden="1">
      <c r="B50" s="199">
        <v>45679</v>
      </c>
      <c r="C50" s="202" t="s">
        <v>830</v>
      </c>
      <c r="D50" s="200" t="s">
        <v>372</v>
      </c>
      <c r="E50" s="204">
        <v>-167960</v>
      </c>
      <c r="F50" s="201">
        <v>45658</v>
      </c>
      <c r="G50" s="200" t="s">
        <v>296</v>
      </c>
      <c r="H50" s="200" t="s">
        <v>522</v>
      </c>
      <c r="I50" s="200" t="s">
        <v>322</v>
      </c>
    </row>
    <row r="51" spans="2:9" ht="14.1" hidden="1">
      <c r="B51" s="199">
        <v>45679</v>
      </c>
      <c r="C51" s="202" t="s">
        <v>831</v>
      </c>
      <c r="D51" s="200" t="s">
        <v>372</v>
      </c>
      <c r="E51" s="204">
        <v>-40310</v>
      </c>
      <c r="F51" s="201">
        <v>45658</v>
      </c>
      <c r="G51" s="200" t="s">
        <v>296</v>
      </c>
      <c r="H51" s="200" t="s">
        <v>522</v>
      </c>
      <c r="I51" s="200" t="s">
        <v>322</v>
      </c>
    </row>
    <row r="52" spans="2:9" ht="14.1" hidden="1">
      <c r="B52" s="199">
        <v>45679</v>
      </c>
      <c r="C52" s="202" t="s">
        <v>833</v>
      </c>
      <c r="D52" s="200" t="s">
        <v>372</v>
      </c>
      <c r="E52" s="204">
        <v>-15173.666665999999</v>
      </c>
      <c r="F52" s="201">
        <v>45658</v>
      </c>
      <c r="G52" s="200" t="s">
        <v>296</v>
      </c>
      <c r="H52" s="200" t="s">
        <v>522</v>
      </c>
      <c r="I52" s="200" t="s">
        <v>326</v>
      </c>
    </row>
    <row r="53" spans="2:9" ht="14.1" hidden="1">
      <c r="B53" s="199">
        <v>45679</v>
      </c>
      <c r="C53" s="202" t="s">
        <v>833</v>
      </c>
      <c r="D53" s="200" t="s">
        <v>372</v>
      </c>
      <c r="E53" s="204">
        <v>-15173.666665999999</v>
      </c>
      <c r="F53" s="201">
        <v>45658</v>
      </c>
      <c r="G53" s="200" t="s">
        <v>296</v>
      </c>
      <c r="H53" s="200" t="s">
        <v>337</v>
      </c>
      <c r="I53" s="200" t="s">
        <v>326</v>
      </c>
    </row>
    <row r="54" spans="2:9" ht="14.1" hidden="1">
      <c r="B54" s="199">
        <v>45679</v>
      </c>
      <c r="C54" s="202" t="s">
        <v>833</v>
      </c>
      <c r="D54" s="200" t="s">
        <v>372</v>
      </c>
      <c r="E54" s="204">
        <v>-15173.666665999999</v>
      </c>
      <c r="F54" s="201">
        <v>45658</v>
      </c>
      <c r="G54" s="200" t="s">
        <v>296</v>
      </c>
      <c r="H54" s="200" t="s">
        <v>44</v>
      </c>
      <c r="I54" s="200" t="s">
        <v>326</v>
      </c>
    </row>
    <row r="55" spans="2:9" ht="14.1" hidden="1">
      <c r="B55" s="199">
        <v>45679</v>
      </c>
      <c r="C55" s="202" t="s">
        <v>835</v>
      </c>
      <c r="D55" s="200" t="s">
        <v>372</v>
      </c>
      <c r="E55" s="204">
        <v>-3500</v>
      </c>
      <c r="F55" s="201">
        <v>45658</v>
      </c>
      <c r="G55" s="200" t="s">
        <v>296</v>
      </c>
      <c r="H55" s="200" t="s">
        <v>44</v>
      </c>
      <c r="I55" s="200" t="s">
        <v>326</v>
      </c>
    </row>
    <row r="56" spans="2:9" ht="14.1" hidden="1">
      <c r="B56" s="199">
        <v>45679</v>
      </c>
      <c r="C56" s="202" t="s">
        <v>840</v>
      </c>
      <c r="D56" s="200" t="s">
        <v>372</v>
      </c>
      <c r="E56" s="204">
        <v>-81500</v>
      </c>
      <c r="F56" s="201">
        <v>45658</v>
      </c>
      <c r="G56" s="200" t="s">
        <v>296</v>
      </c>
      <c r="H56" s="200" t="s">
        <v>9065</v>
      </c>
      <c r="I56" s="200" t="s">
        <v>839</v>
      </c>
    </row>
    <row r="57" spans="2:9" ht="14.1" hidden="1">
      <c r="B57" s="199">
        <v>45679</v>
      </c>
      <c r="C57" s="202" t="s">
        <v>842</v>
      </c>
      <c r="D57" s="200" t="s">
        <v>372</v>
      </c>
      <c r="E57" s="204">
        <v>-68500</v>
      </c>
      <c r="F57" s="201">
        <v>45658</v>
      </c>
      <c r="G57" s="200" t="s">
        <v>296</v>
      </c>
      <c r="H57" s="200" t="s">
        <v>390</v>
      </c>
      <c r="I57" s="200" t="s">
        <v>839</v>
      </c>
    </row>
    <row r="58" spans="2:9" ht="14.1" hidden="1">
      <c r="B58" s="199">
        <v>45679</v>
      </c>
      <c r="C58" s="202" t="s">
        <v>847</v>
      </c>
      <c r="D58" s="200" t="s">
        <v>372</v>
      </c>
      <c r="E58" s="204">
        <v>-246522</v>
      </c>
      <c r="F58" s="201">
        <v>45658</v>
      </c>
      <c r="G58" s="200" t="s">
        <v>296</v>
      </c>
      <c r="H58" s="200" t="s">
        <v>341</v>
      </c>
      <c r="I58" s="200" t="s">
        <v>377</v>
      </c>
    </row>
    <row r="59" spans="2:9" ht="14.1" hidden="1">
      <c r="B59" s="199">
        <v>45679</v>
      </c>
      <c r="C59" s="202" t="s">
        <v>847</v>
      </c>
      <c r="D59" s="200" t="s">
        <v>372</v>
      </c>
      <c r="E59" s="204">
        <v>-231975</v>
      </c>
      <c r="F59" s="201">
        <v>45658</v>
      </c>
      <c r="G59" s="200" t="s">
        <v>296</v>
      </c>
      <c r="H59" s="200" t="s">
        <v>44</v>
      </c>
      <c r="I59" s="200" t="s">
        <v>848</v>
      </c>
    </row>
    <row r="60" spans="2:9" ht="14.1" hidden="1">
      <c r="B60" s="199">
        <v>45679</v>
      </c>
      <c r="C60" s="202" t="s">
        <v>847</v>
      </c>
      <c r="D60" s="200" t="s">
        <v>372</v>
      </c>
      <c r="E60" s="204">
        <v>-231975</v>
      </c>
      <c r="F60" s="201">
        <v>45658</v>
      </c>
      <c r="G60" s="200" t="s">
        <v>296</v>
      </c>
      <c r="H60" s="200" t="s">
        <v>522</v>
      </c>
      <c r="I60" s="200" t="s">
        <v>848</v>
      </c>
    </row>
    <row r="61" spans="2:9" ht="14.1" hidden="1">
      <c r="B61" s="199">
        <v>45679</v>
      </c>
      <c r="C61" s="202" t="s">
        <v>847</v>
      </c>
      <c r="D61" s="200" t="s">
        <v>372</v>
      </c>
      <c r="E61" s="204">
        <v>-231975</v>
      </c>
      <c r="F61" s="201">
        <v>45658</v>
      </c>
      <c r="G61" s="200" t="s">
        <v>296</v>
      </c>
      <c r="H61" s="200" t="s">
        <v>337</v>
      </c>
      <c r="I61" s="200" t="s">
        <v>848</v>
      </c>
    </row>
    <row r="62" spans="2:9" ht="14.1" hidden="1">
      <c r="B62" s="199">
        <v>45679</v>
      </c>
      <c r="C62" s="202" t="s">
        <v>851</v>
      </c>
      <c r="D62" s="200" t="s">
        <v>372</v>
      </c>
      <c r="E62" s="204">
        <v>-675807</v>
      </c>
      <c r="F62" s="201">
        <v>45658</v>
      </c>
      <c r="G62" s="200" t="s">
        <v>452</v>
      </c>
      <c r="H62" s="200" t="s">
        <v>341</v>
      </c>
      <c r="I62" s="200" t="s">
        <v>364</v>
      </c>
    </row>
    <row r="63" spans="2:9" ht="14.1" hidden="1">
      <c r="B63" s="199">
        <v>45680</v>
      </c>
      <c r="C63" s="202" t="s">
        <v>853</v>
      </c>
      <c r="D63" s="200" t="s">
        <v>372</v>
      </c>
      <c r="E63" s="204">
        <v>-258151</v>
      </c>
      <c r="F63" s="201">
        <v>45658</v>
      </c>
      <c r="G63" s="200" t="s">
        <v>452</v>
      </c>
      <c r="H63" s="200" t="s">
        <v>522</v>
      </c>
      <c r="I63" s="200" t="s">
        <v>322</v>
      </c>
    </row>
    <row r="64" spans="2:9" ht="14.1" hidden="1">
      <c r="B64" s="199">
        <v>45680</v>
      </c>
      <c r="C64" s="202" t="s">
        <v>854</v>
      </c>
      <c r="D64" s="200" t="s">
        <v>372</v>
      </c>
      <c r="E64" s="204">
        <v>-61956</v>
      </c>
      <c r="F64" s="201">
        <v>45658</v>
      </c>
      <c r="G64" s="200" t="s">
        <v>452</v>
      </c>
      <c r="H64" s="200" t="s">
        <v>522</v>
      </c>
      <c r="I64" s="200" t="s">
        <v>322</v>
      </c>
    </row>
    <row r="65" spans="2:9" ht="14.1" hidden="1">
      <c r="B65" s="199">
        <v>45681</v>
      </c>
      <c r="C65" s="202" t="s">
        <v>865</v>
      </c>
      <c r="D65" s="200" t="s">
        <v>372</v>
      </c>
      <c r="E65" s="204">
        <v>-2500</v>
      </c>
      <c r="F65" s="201">
        <v>45658</v>
      </c>
      <c r="G65" s="200" t="s">
        <v>296</v>
      </c>
      <c r="H65" s="200" t="s">
        <v>482</v>
      </c>
      <c r="I65" s="200" t="s">
        <v>268</v>
      </c>
    </row>
    <row r="66" spans="2:9" ht="14.1" hidden="1">
      <c r="B66" s="199">
        <v>45681</v>
      </c>
      <c r="C66" s="202" t="s">
        <v>866</v>
      </c>
      <c r="D66" s="200" t="s">
        <v>372</v>
      </c>
      <c r="E66" s="204">
        <v>-1500</v>
      </c>
      <c r="F66" s="201">
        <v>45658</v>
      </c>
      <c r="G66" s="200" t="s">
        <v>296</v>
      </c>
      <c r="H66" s="200" t="s">
        <v>482</v>
      </c>
      <c r="I66" s="200" t="s">
        <v>268</v>
      </c>
    </row>
    <row r="67" spans="2:9" ht="14.1" hidden="1">
      <c r="B67" s="199">
        <v>45685</v>
      </c>
      <c r="C67" s="202" t="s">
        <v>1028</v>
      </c>
      <c r="D67" s="200" t="s">
        <v>372</v>
      </c>
      <c r="E67" s="204">
        <v>-7460</v>
      </c>
      <c r="F67" s="201">
        <v>45658</v>
      </c>
      <c r="G67" s="200" t="s">
        <v>452</v>
      </c>
      <c r="H67" s="200" t="s">
        <v>522</v>
      </c>
      <c r="I67" s="200" t="s">
        <v>268</v>
      </c>
    </row>
    <row r="68" spans="2:9" ht="14.1" hidden="1">
      <c r="B68" s="199">
        <v>45685</v>
      </c>
      <c r="C68" s="202" t="s">
        <v>1029</v>
      </c>
      <c r="D68" s="200" t="s">
        <v>372</v>
      </c>
      <c r="E68" s="204">
        <v>-4476</v>
      </c>
      <c r="F68" s="201">
        <v>45658</v>
      </c>
      <c r="G68" s="200" t="s">
        <v>452</v>
      </c>
      <c r="H68" s="200" t="s">
        <v>522</v>
      </c>
      <c r="I68" s="200" t="s">
        <v>268</v>
      </c>
    </row>
    <row r="69" spans="2:9" ht="14.1" hidden="1">
      <c r="B69" s="199">
        <v>45681</v>
      </c>
      <c r="C69" s="202" t="s">
        <v>1090</v>
      </c>
      <c r="D69" s="200" t="s">
        <v>372</v>
      </c>
      <c r="E69" s="204">
        <v>-463235.32500000001</v>
      </c>
      <c r="F69" s="201">
        <v>45658</v>
      </c>
      <c r="G69" s="200" t="s">
        <v>296</v>
      </c>
      <c r="H69" s="200" t="s">
        <v>44</v>
      </c>
      <c r="I69" s="200" t="s">
        <v>811</v>
      </c>
    </row>
    <row r="70" spans="2:9" ht="14.1" hidden="1">
      <c r="B70" s="199">
        <v>45681</v>
      </c>
      <c r="C70" s="202" t="s">
        <v>1091</v>
      </c>
      <c r="D70" s="200" t="s">
        <v>372</v>
      </c>
      <c r="E70" s="204">
        <v>-111176.478</v>
      </c>
      <c r="F70" s="201">
        <v>45658</v>
      </c>
      <c r="G70" s="200" t="s">
        <v>296</v>
      </c>
      <c r="H70" s="200" t="s">
        <v>44</v>
      </c>
      <c r="I70" s="200" t="s">
        <v>811</v>
      </c>
    </row>
    <row r="71" spans="2:9" ht="14.1" hidden="1">
      <c r="B71" s="199">
        <v>45685</v>
      </c>
      <c r="C71" s="202" t="s">
        <v>1096</v>
      </c>
      <c r="D71" s="200" t="s">
        <v>372</v>
      </c>
      <c r="E71" s="204">
        <v>-4957</v>
      </c>
      <c r="F71" s="201">
        <v>45658</v>
      </c>
      <c r="G71" s="200" t="s">
        <v>296</v>
      </c>
      <c r="H71" s="200" t="s">
        <v>337</v>
      </c>
      <c r="I71" s="200" t="s">
        <v>366</v>
      </c>
    </row>
    <row r="72" spans="2:9" ht="14.1" hidden="1">
      <c r="B72" s="199">
        <v>45685</v>
      </c>
      <c r="C72" s="202" t="s">
        <v>1098</v>
      </c>
      <c r="D72" s="200" t="s">
        <v>372</v>
      </c>
      <c r="E72" s="204">
        <v>-4160</v>
      </c>
      <c r="F72" s="201">
        <v>45658</v>
      </c>
      <c r="G72" s="200" t="s">
        <v>296</v>
      </c>
      <c r="H72" s="200" t="s">
        <v>522</v>
      </c>
      <c r="I72" s="200" t="s">
        <v>322</v>
      </c>
    </row>
    <row r="73" spans="2:9" ht="14.1" hidden="1">
      <c r="B73" s="199">
        <v>45685</v>
      </c>
      <c r="C73" s="202" t="s">
        <v>1102</v>
      </c>
      <c r="D73" s="200" t="s">
        <v>372</v>
      </c>
      <c r="E73" s="204">
        <v>-1230203</v>
      </c>
      <c r="F73" s="201">
        <v>45658</v>
      </c>
      <c r="G73" s="200" t="s">
        <v>296</v>
      </c>
      <c r="H73" s="200" t="s">
        <v>328</v>
      </c>
      <c r="I73" s="200" t="s">
        <v>350</v>
      </c>
    </row>
    <row r="74" spans="2:9" ht="14.1" hidden="1">
      <c r="B74" s="199">
        <v>45685</v>
      </c>
      <c r="C74" s="202" t="s">
        <v>1106</v>
      </c>
      <c r="D74" s="200" t="s">
        <v>372</v>
      </c>
      <c r="E74" s="204">
        <v>-5720</v>
      </c>
      <c r="F74" s="201">
        <v>45658</v>
      </c>
      <c r="G74" s="200" t="s">
        <v>296</v>
      </c>
      <c r="H74" s="200" t="s">
        <v>482</v>
      </c>
      <c r="I74" s="200" t="s">
        <v>379</v>
      </c>
    </row>
    <row r="75" spans="2:9" ht="14.1" hidden="1">
      <c r="B75" s="199">
        <v>45685</v>
      </c>
      <c r="C75" s="202" t="s">
        <v>1107</v>
      </c>
      <c r="D75" s="200" t="s">
        <v>372</v>
      </c>
      <c r="E75" s="204">
        <v>-1373</v>
      </c>
      <c r="F75" s="201">
        <v>45658</v>
      </c>
      <c r="G75" s="200" t="s">
        <v>296</v>
      </c>
      <c r="H75" s="200" t="s">
        <v>482</v>
      </c>
      <c r="I75" s="200" t="s">
        <v>379</v>
      </c>
    </row>
    <row r="76" spans="2:9" ht="14.1" hidden="1">
      <c r="B76" s="199">
        <v>45685</v>
      </c>
      <c r="C76" s="202" t="s">
        <v>1106</v>
      </c>
      <c r="D76" s="200" t="s">
        <v>372</v>
      </c>
      <c r="E76" s="204">
        <v>-7732</v>
      </c>
      <c r="F76" s="201">
        <v>45658</v>
      </c>
      <c r="G76" s="200" t="s">
        <v>296</v>
      </c>
      <c r="H76" s="200" t="s">
        <v>328</v>
      </c>
      <c r="I76" s="200" t="s">
        <v>379</v>
      </c>
    </row>
    <row r="77" spans="2:9" ht="14.1" hidden="1">
      <c r="B77" s="199">
        <v>45685</v>
      </c>
      <c r="C77" s="202" t="s">
        <v>1107</v>
      </c>
      <c r="D77" s="200" t="s">
        <v>372</v>
      </c>
      <c r="E77" s="204">
        <v>-1856</v>
      </c>
      <c r="F77" s="201">
        <v>45658</v>
      </c>
      <c r="G77" s="200" t="s">
        <v>296</v>
      </c>
      <c r="H77" s="200" t="s">
        <v>328</v>
      </c>
      <c r="I77" s="200" t="s">
        <v>379</v>
      </c>
    </row>
    <row r="78" spans="2:9" ht="14.1" hidden="1">
      <c r="B78" s="199">
        <v>45685</v>
      </c>
      <c r="C78" s="202" t="s">
        <v>1109</v>
      </c>
      <c r="D78" s="200" t="s">
        <v>372</v>
      </c>
      <c r="E78" s="204">
        <v>-42918</v>
      </c>
      <c r="F78" s="201">
        <v>45658</v>
      </c>
      <c r="G78" s="200" t="s">
        <v>296</v>
      </c>
      <c r="H78" s="200" t="s">
        <v>522</v>
      </c>
      <c r="I78" s="200" t="s">
        <v>322</v>
      </c>
    </row>
    <row r="79" spans="2:9" ht="14.1" hidden="1">
      <c r="B79" s="199">
        <v>45685</v>
      </c>
      <c r="C79" s="202" t="s">
        <v>1110</v>
      </c>
      <c r="D79" s="200" t="s">
        <v>372</v>
      </c>
      <c r="E79" s="204">
        <v>-10300</v>
      </c>
      <c r="F79" s="201">
        <v>45658</v>
      </c>
      <c r="G79" s="200" t="s">
        <v>296</v>
      </c>
      <c r="H79" s="200" t="s">
        <v>522</v>
      </c>
      <c r="I79" s="200" t="s">
        <v>322</v>
      </c>
    </row>
    <row r="80" spans="2:9" ht="14.1" hidden="1">
      <c r="B80" s="199">
        <v>45685</v>
      </c>
      <c r="C80" s="202" t="s">
        <v>1109</v>
      </c>
      <c r="D80" s="200" t="s">
        <v>372</v>
      </c>
      <c r="E80" s="204">
        <v>-42918</v>
      </c>
      <c r="F80" s="201">
        <v>45658</v>
      </c>
      <c r="G80" s="200" t="s">
        <v>296</v>
      </c>
      <c r="H80" s="200" t="s">
        <v>44</v>
      </c>
      <c r="I80" s="200" t="s">
        <v>322</v>
      </c>
    </row>
    <row r="81" spans="2:9" ht="14.1" hidden="1">
      <c r="B81" s="199">
        <v>45685</v>
      </c>
      <c r="C81" s="202" t="s">
        <v>1110</v>
      </c>
      <c r="D81" s="200" t="s">
        <v>372</v>
      </c>
      <c r="E81" s="204">
        <v>-10300</v>
      </c>
      <c r="F81" s="201">
        <v>45658</v>
      </c>
      <c r="G81" s="200" t="s">
        <v>296</v>
      </c>
      <c r="H81" s="200" t="s">
        <v>44</v>
      </c>
      <c r="I81" s="200" t="s">
        <v>322</v>
      </c>
    </row>
    <row r="82" spans="2:9" ht="14.1" hidden="1">
      <c r="B82" s="199">
        <v>45685</v>
      </c>
      <c r="C82" s="202" t="s">
        <v>1112</v>
      </c>
      <c r="D82" s="200" t="s">
        <v>372</v>
      </c>
      <c r="E82" s="204">
        <v>-14042</v>
      </c>
      <c r="F82" s="201">
        <v>45658</v>
      </c>
      <c r="G82" s="200" t="s">
        <v>296</v>
      </c>
      <c r="H82" s="200" t="s">
        <v>337</v>
      </c>
      <c r="I82" s="200" t="s">
        <v>322</v>
      </c>
    </row>
    <row r="83" spans="2:9" ht="14.1" hidden="1">
      <c r="B83" s="199">
        <v>45685</v>
      </c>
      <c r="C83" s="202" t="s">
        <v>1113</v>
      </c>
      <c r="D83" s="200" t="s">
        <v>372</v>
      </c>
      <c r="E83" s="204">
        <v>-3370</v>
      </c>
      <c r="F83" s="201">
        <v>45658</v>
      </c>
      <c r="G83" s="200" t="s">
        <v>296</v>
      </c>
      <c r="H83" s="200" t="s">
        <v>337</v>
      </c>
      <c r="I83" s="200" t="s">
        <v>322</v>
      </c>
    </row>
    <row r="84" spans="2:9" ht="14.1" hidden="1">
      <c r="B84" s="199">
        <v>45685</v>
      </c>
      <c r="C84" s="202" t="s">
        <v>1112</v>
      </c>
      <c r="D84" s="200" t="s">
        <v>372</v>
      </c>
      <c r="E84" s="204">
        <v>-1412</v>
      </c>
      <c r="F84" s="201">
        <v>45658</v>
      </c>
      <c r="G84" s="200" t="s">
        <v>296</v>
      </c>
      <c r="H84" s="200" t="s">
        <v>44</v>
      </c>
      <c r="I84" s="200" t="s">
        <v>322</v>
      </c>
    </row>
    <row r="85" spans="2:9" ht="14.1" hidden="1">
      <c r="B85" s="199">
        <v>45685</v>
      </c>
      <c r="C85" s="202" t="s">
        <v>1113</v>
      </c>
      <c r="D85" s="200" t="s">
        <v>372</v>
      </c>
      <c r="E85" s="204">
        <v>-339</v>
      </c>
      <c r="F85" s="201">
        <v>45658</v>
      </c>
      <c r="G85" s="200" t="s">
        <v>296</v>
      </c>
      <c r="H85" s="200" t="s">
        <v>44</v>
      </c>
      <c r="I85" s="200" t="s">
        <v>322</v>
      </c>
    </row>
    <row r="86" spans="2:9" ht="14.1" hidden="1">
      <c r="B86" s="199">
        <v>45685</v>
      </c>
      <c r="C86" s="202" t="s">
        <v>1115</v>
      </c>
      <c r="D86" s="200" t="s">
        <v>372</v>
      </c>
      <c r="E86" s="204">
        <v>-9947</v>
      </c>
      <c r="F86" s="201">
        <v>45658</v>
      </c>
      <c r="G86" s="200" t="s">
        <v>296</v>
      </c>
      <c r="H86" s="200" t="s">
        <v>328</v>
      </c>
      <c r="I86" s="200" t="s">
        <v>379</v>
      </c>
    </row>
    <row r="87" spans="2:9" ht="14.1" hidden="1">
      <c r="B87" s="199">
        <v>45685</v>
      </c>
      <c r="C87" s="202" t="s">
        <v>1116</v>
      </c>
      <c r="D87" s="200" t="s">
        <v>372</v>
      </c>
      <c r="E87" s="204">
        <v>-2387</v>
      </c>
      <c r="F87" s="201">
        <v>45658</v>
      </c>
      <c r="G87" s="200" t="s">
        <v>296</v>
      </c>
      <c r="H87" s="200" t="s">
        <v>328</v>
      </c>
      <c r="I87" s="200" t="s">
        <v>379</v>
      </c>
    </row>
    <row r="88" spans="2:9" ht="14.1" hidden="1">
      <c r="B88" s="199">
        <v>45685</v>
      </c>
      <c r="C88" s="202" t="s">
        <v>1115</v>
      </c>
      <c r="D88" s="200" t="s">
        <v>372</v>
      </c>
      <c r="E88" s="204">
        <v>-5203</v>
      </c>
      <c r="F88" s="201">
        <v>45658</v>
      </c>
      <c r="G88" s="200" t="s">
        <v>296</v>
      </c>
      <c r="H88" s="200" t="s">
        <v>9065</v>
      </c>
      <c r="I88" s="200" t="s">
        <v>379</v>
      </c>
    </row>
    <row r="89" spans="2:9" ht="14.1" hidden="1">
      <c r="B89" s="199">
        <v>45685</v>
      </c>
      <c r="C89" s="202" t="s">
        <v>1116</v>
      </c>
      <c r="D89" s="200" t="s">
        <v>372</v>
      </c>
      <c r="E89" s="204">
        <v>-1249</v>
      </c>
      <c r="F89" s="201">
        <v>45658</v>
      </c>
      <c r="G89" s="200" t="s">
        <v>296</v>
      </c>
      <c r="H89" s="200" t="s">
        <v>9065</v>
      </c>
      <c r="I89" s="200" t="s">
        <v>379</v>
      </c>
    </row>
    <row r="90" spans="2:9" ht="14.1" hidden="1">
      <c r="B90" s="199">
        <v>45685</v>
      </c>
      <c r="C90" s="202" t="s">
        <v>1115</v>
      </c>
      <c r="D90" s="200" t="s">
        <v>372</v>
      </c>
      <c r="E90" s="204">
        <v>-11675</v>
      </c>
      <c r="F90" s="201">
        <v>45658</v>
      </c>
      <c r="G90" s="200" t="s">
        <v>296</v>
      </c>
      <c r="H90" s="200" t="s">
        <v>482</v>
      </c>
      <c r="I90" s="200" t="s">
        <v>379</v>
      </c>
    </row>
    <row r="91" spans="2:9" ht="14.1" hidden="1">
      <c r="B91" s="199">
        <v>45685</v>
      </c>
      <c r="C91" s="202" t="s">
        <v>1116</v>
      </c>
      <c r="D91" s="200" t="s">
        <v>372</v>
      </c>
      <c r="E91" s="204">
        <v>-2802</v>
      </c>
      <c r="F91" s="201">
        <v>45658</v>
      </c>
      <c r="G91" s="200" t="s">
        <v>296</v>
      </c>
      <c r="H91" s="200" t="s">
        <v>482</v>
      </c>
      <c r="I91" s="200" t="s">
        <v>379</v>
      </c>
    </row>
    <row r="92" spans="2:9" ht="14.1" hidden="1">
      <c r="B92" s="199">
        <v>45685</v>
      </c>
      <c r="C92" s="202" t="s">
        <v>1126</v>
      </c>
      <c r="D92" s="200" t="s">
        <v>372</v>
      </c>
      <c r="E92" s="204">
        <v>-110250</v>
      </c>
      <c r="F92" s="201">
        <v>45658</v>
      </c>
      <c r="G92" s="200" t="s">
        <v>296</v>
      </c>
      <c r="H92" s="200" t="s">
        <v>44</v>
      </c>
      <c r="I92" s="200" t="s">
        <v>811</v>
      </c>
    </row>
    <row r="93" spans="2:9" ht="14.1" hidden="1">
      <c r="B93" s="199">
        <v>45685</v>
      </c>
      <c r="C93" s="202" t="s">
        <v>1127</v>
      </c>
      <c r="D93" s="200" t="s">
        <v>372</v>
      </c>
      <c r="E93" s="204">
        <v>-26460</v>
      </c>
      <c r="F93" s="201">
        <v>45658</v>
      </c>
      <c r="G93" s="200" t="s">
        <v>296</v>
      </c>
      <c r="H93" s="200" t="s">
        <v>44</v>
      </c>
      <c r="I93" s="200" t="s">
        <v>811</v>
      </c>
    </row>
    <row r="94" spans="2:9" ht="14.1" hidden="1">
      <c r="B94" s="199">
        <v>45685</v>
      </c>
      <c r="C94" s="202" t="s">
        <v>1129</v>
      </c>
      <c r="D94" s="200" t="s">
        <v>372</v>
      </c>
      <c r="E94" s="204">
        <v>-7980</v>
      </c>
      <c r="F94" s="201">
        <v>45658</v>
      </c>
      <c r="G94" s="200" t="s">
        <v>296</v>
      </c>
      <c r="H94" s="200" t="s">
        <v>522</v>
      </c>
      <c r="I94" s="200" t="s">
        <v>490</v>
      </c>
    </row>
    <row r="95" spans="2:9" ht="14.1" hidden="1">
      <c r="B95" s="199">
        <v>45685</v>
      </c>
      <c r="C95" s="202" t="s">
        <v>1131</v>
      </c>
      <c r="D95" s="200" t="s">
        <v>372</v>
      </c>
      <c r="E95" s="204">
        <v>-7980</v>
      </c>
      <c r="F95" s="201">
        <v>45658</v>
      </c>
      <c r="G95" s="200" t="s">
        <v>296</v>
      </c>
      <c r="H95" s="200" t="s">
        <v>44</v>
      </c>
      <c r="I95" s="200" t="s">
        <v>488</v>
      </c>
    </row>
    <row r="96" spans="2:9" ht="14.1" hidden="1">
      <c r="B96" s="199">
        <v>45685</v>
      </c>
      <c r="C96" s="202" t="s">
        <v>1137</v>
      </c>
      <c r="D96" s="200" t="s">
        <v>372</v>
      </c>
      <c r="E96" s="204">
        <v>-24725</v>
      </c>
      <c r="F96" s="201">
        <v>45658</v>
      </c>
      <c r="G96" s="200" t="s">
        <v>296</v>
      </c>
      <c r="H96" s="200" t="s">
        <v>522</v>
      </c>
      <c r="I96" s="200" t="s">
        <v>366</v>
      </c>
    </row>
    <row r="97" spans="2:9" ht="14.1" hidden="1">
      <c r="B97" s="199">
        <v>45685</v>
      </c>
      <c r="C97" s="202" t="s">
        <v>1137</v>
      </c>
      <c r="D97" s="200" t="s">
        <v>372</v>
      </c>
      <c r="E97" s="204">
        <v>-24725</v>
      </c>
      <c r="F97" s="201">
        <v>45658</v>
      </c>
      <c r="G97" s="200" t="s">
        <v>296</v>
      </c>
      <c r="H97" s="200" t="s">
        <v>321</v>
      </c>
      <c r="I97" s="200" t="s">
        <v>366</v>
      </c>
    </row>
    <row r="98" spans="2:9" ht="14.1" hidden="1">
      <c r="B98" s="199">
        <v>45685</v>
      </c>
      <c r="C98" s="202" t="s">
        <v>1143</v>
      </c>
      <c r="D98" s="200" t="s">
        <v>372</v>
      </c>
      <c r="E98" s="204">
        <v>-46675</v>
      </c>
      <c r="F98" s="201">
        <v>45658</v>
      </c>
      <c r="G98" s="200" t="s">
        <v>296</v>
      </c>
      <c r="H98" s="200" t="s">
        <v>522</v>
      </c>
      <c r="I98" s="200" t="s">
        <v>490</v>
      </c>
    </row>
    <row r="99" spans="2:9" ht="14.1" hidden="1">
      <c r="B99" s="199">
        <v>45686</v>
      </c>
      <c r="C99" s="202" t="s">
        <v>1198</v>
      </c>
      <c r="D99" s="200" t="s">
        <v>372</v>
      </c>
      <c r="E99" s="204">
        <v>-19800</v>
      </c>
      <c r="F99" s="201">
        <v>45658</v>
      </c>
      <c r="G99" s="200" t="s">
        <v>256</v>
      </c>
      <c r="H99" s="200" t="s">
        <v>256</v>
      </c>
      <c r="I99" s="200" t="s">
        <v>267</v>
      </c>
    </row>
    <row r="100" spans="2:9" ht="14.1" hidden="1">
      <c r="B100" s="199">
        <v>45686</v>
      </c>
      <c r="C100" s="202" t="s">
        <v>1199</v>
      </c>
      <c r="D100" s="200" t="s">
        <v>372</v>
      </c>
      <c r="E100" s="204">
        <v>-1080</v>
      </c>
      <c r="F100" s="201">
        <v>45658</v>
      </c>
      <c r="G100" s="200" t="s">
        <v>256</v>
      </c>
      <c r="H100" s="200" t="s">
        <v>256</v>
      </c>
      <c r="I100" s="200" t="s">
        <v>267</v>
      </c>
    </row>
    <row r="101" spans="2:9" ht="14.1" hidden="1">
      <c r="B101" s="199">
        <v>45687</v>
      </c>
      <c r="C101" s="202" t="s">
        <v>1206</v>
      </c>
      <c r="D101" s="200" t="s">
        <v>372</v>
      </c>
      <c r="E101" s="204">
        <v>-1810</v>
      </c>
      <c r="F101" s="201">
        <v>45658</v>
      </c>
      <c r="G101" s="200" t="s">
        <v>296</v>
      </c>
      <c r="H101" s="200" t="s">
        <v>482</v>
      </c>
      <c r="I101" s="200" t="s">
        <v>268</v>
      </c>
    </row>
    <row r="102" spans="2:9" ht="14.1" hidden="1">
      <c r="B102" s="199">
        <v>45687</v>
      </c>
      <c r="C102" s="202" t="s">
        <v>1207</v>
      </c>
      <c r="D102" s="200" t="s">
        <v>372</v>
      </c>
      <c r="E102" s="204">
        <v>-1086</v>
      </c>
      <c r="F102" s="201">
        <v>45658</v>
      </c>
      <c r="G102" s="200" t="s">
        <v>296</v>
      </c>
      <c r="H102" s="200" t="s">
        <v>482</v>
      </c>
      <c r="I102" s="200" t="s">
        <v>268</v>
      </c>
    </row>
    <row r="103" spans="2:9" ht="14.1" hidden="1">
      <c r="B103" s="199">
        <v>45687</v>
      </c>
      <c r="C103" s="202" t="s">
        <v>1208</v>
      </c>
      <c r="D103" s="200" t="s">
        <v>372</v>
      </c>
      <c r="E103" s="204">
        <v>-2295</v>
      </c>
      <c r="F103" s="201">
        <v>45658</v>
      </c>
      <c r="G103" s="200" t="s">
        <v>296</v>
      </c>
      <c r="H103" s="200" t="s">
        <v>482</v>
      </c>
      <c r="I103" s="200" t="s">
        <v>268</v>
      </c>
    </row>
    <row r="104" spans="2:9" ht="14.1" hidden="1">
      <c r="B104" s="199">
        <v>45687</v>
      </c>
      <c r="C104" s="202" t="s">
        <v>1209</v>
      </c>
      <c r="D104" s="200" t="s">
        <v>372</v>
      </c>
      <c r="E104" s="204">
        <v>-1377</v>
      </c>
      <c r="F104" s="201">
        <v>45658</v>
      </c>
      <c r="G104" s="200" t="s">
        <v>296</v>
      </c>
      <c r="H104" s="200" t="s">
        <v>482</v>
      </c>
      <c r="I104" s="200" t="s">
        <v>268</v>
      </c>
    </row>
    <row r="105" spans="2:9" ht="14.1" hidden="1">
      <c r="B105" s="199">
        <v>45688</v>
      </c>
      <c r="C105" s="202" t="s">
        <v>1417</v>
      </c>
      <c r="D105" s="200" t="s">
        <v>372</v>
      </c>
      <c r="E105" s="204">
        <v>-5820</v>
      </c>
      <c r="F105" s="201">
        <v>45658</v>
      </c>
      <c r="G105" s="200" t="s">
        <v>297</v>
      </c>
      <c r="H105" s="200" t="s">
        <v>9066</v>
      </c>
      <c r="I105" s="200" t="s">
        <v>268</v>
      </c>
    </row>
    <row r="106" spans="2:9" ht="14.1" hidden="1">
      <c r="B106" s="199">
        <v>45688</v>
      </c>
      <c r="C106" s="202" t="s">
        <v>1418</v>
      </c>
      <c r="D106" s="200" t="s">
        <v>372</v>
      </c>
      <c r="E106" s="204">
        <v>-3492</v>
      </c>
      <c r="F106" s="201">
        <v>45658</v>
      </c>
      <c r="G106" s="200" t="s">
        <v>297</v>
      </c>
      <c r="H106" s="200" t="s">
        <v>9066</v>
      </c>
      <c r="I106" s="200" t="s">
        <v>268</v>
      </c>
    </row>
    <row r="107" spans="2:9" ht="14.1" hidden="1">
      <c r="B107" s="199">
        <v>45691</v>
      </c>
      <c r="C107" s="202" t="s">
        <v>1513</v>
      </c>
      <c r="D107" s="200" t="s">
        <v>372</v>
      </c>
      <c r="E107" s="204">
        <v>-128756</v>
      </c>
      <c r="F107" s="201">
        <v>45689</v>
      </c>
      <c r="G107" s="200" t="s">
        <v>296</v>
      </c>
      <c r="H107" s="200" t="s">
        <v>337</v>
      </c>
      <c r="I107" s="200" t="s">
        <v>446</v>
      </c>
    </row>
    <row r="108" spans="2:9" ht="14.1" hidden="1">
      <c r="B108" s="199">
        <v>45693</v>
      </c>
      <c r="C108" s="202" t="s">
        <v>1528</v>
      </c>
      <c r="D108" s="200" t="s">
        <v>372</v>
      </c>
      <c r="E108" s="204">
        <v>-39600</v>
      </c>
      <c r="F108" s="201">
        <v>45689</v>
      </c>
      <c r="G108" s="200" t="s">
        <v>256</v>
      </c>
      <c r="H108" s="200" t="s">
        <v>256</v>
      </c>
      <c r="I108" s="200" t="s">
        <v>267</v>
      </c>
    </row>
    <row r="109" spans="2:9" ht="14.1" hidden="1">
      <c r="B109" s="199">
        <v>45693</v>
      </c>
      <c r="C109" s="202" t="s">
        <v>1529</v>
      </c>
      <c r="D109" s="200" t="s">
        <v>372</v>
      </c>
      <c r="E109" s="204">
        <v>-2160</v>
      </c>
      <c r="F109" s="201">
        <v>45689</v>
      </c>
      <c r="G109" s="200" t="s">
        <v>256</v>
      </c>
      <c r="H109" s="200" t="s">
        <v>256</v>
      </c>
      <c r="I109" s="200" t="s">
        <v>267</v>
      </c>
    </row>
    <row r="110" spans="2:9" ht="14.1" hidden="1">
      <c r="B110" s="199">
        <v>45693</v>
      </c>
      <c r="C110" s="202" t="s">
        <v>1537</v>
      </c>
      <c r="D110" s="200" t="s">
        <v>372</v>
      </c>
      <c r="E110" s="204">
        <v>-140484</v>
      </c>
      <c r="F110" s="201">
        <v>45689</v>
      </c>
      <c r="G110" s="200" t="s">
        <v>256</v>
      </c>
      <c r="H110" s="200" t="s">
        <v>256</v>
      </c>
      <c r="I110" s="200" t="s">
        <v>257</v>
      </c>
    </row>
    <row r="111" spans="2:9" ht="14.1" hidden="1">
      <c r="B111" s="199">
        <v>45692</v>
      </c>
      <c r="C111" s="202" t="s">
        <v>1542</v>
      </c>
      <c r="D111" s="200" t="s">
        <v>372</v>
      </c>
      <c r="E111" s="204">
        <v>-115000</v>
      </c>
      <c r="F111" s="201">
        <v>45689</v>
      </c>
      <c r="G111" s="200" t="s">
        <v>296</v>
      </c>
      <c r="H111" s="200" t="s">
        <v>337</v>
      </c>
      <c r="I111" s="200" t="s">
        <v>421</v>
      </c>
    </row>
    <row r="112" spans="2:9" ht="14.1" hidden="1">
      <c r="B112" s="199">
        <v>45692</v>
      </c>
      <c r="C112" s="202" t="s">
        <v>1543</v>
      </c>
      <c r="D112" s="200" t="s">
        <v>372</v>
      </c>
      <c r="E112" s="204">
        <v>-34500</v>
      </c>
      <c r="F112" s="201">
        <v>45689</v>
      </c>
      <c r="G112" s="200" t="s">
        <v>296</v>
      </c>
      <c r="H112" s="200" t="s">
        <v>337</v>
      </c>
      <c r="I112" s="200" t="s">
        <v>421</v>
      </c>
    </row>
    <row r="113" spans="2:9" ht="14.1" hidden="1">
      <c r="B113" s="199">
        <v>45692</v>
      </c>
      <c r="C113" s="202" t="s">
        <v>1542</v>
      </c>
      <c r="D113" s="200" t="s">
        <v>372</v>
      </c>
      <c r="E113" s="204">
        <v>-16200</v>
      </c>
      <c r="F113" s="201">
        <v>45689</v>
      </c>
      <c r="G113" s="200" t="s">
        <v>296</v>
      </c>
      <c r="H113" s="200" t="s">
        <v>482</v>
      </c>
      <c r="I113" s="200" t="s">
        <v>857</v>
      </c>
    </row>
    <row r="114" spans="2:9" ht="14.1" hidden="1">
      <c r="B114" s="199">
        <v>45692</v>
      </c>
      <c r="C114" s="202" t="s">
        <v>1543</v>
      </c>
      <c r="D114" s="200" t="s">
        <v>372</v>
      </c>
      <c r="E114" s="204">
        <v>-4860</v>
      </c>
      <c r="F114" s="201">
        <v>45689</v>
      </c>
      <c r="G114" s="200" t="s">
        <v>296</v>
      </c>
      <c r="H114" s="200" t="s">
        <v>482</v>
      </c>
      <c r="I114" s="200" t="s">
        <v>857</v>
      </c>
    </row>
    <row r="115" spans="2:9" ht="14.1" hidden="1">
      <c r="B115" s="199">
        <v>45692</v>
      </c>
      <c r="C115" s="202" t="s">
        <v>1546</v>
      </c>
      <c r="D115" s="200" t="s">
        <v>372</v>
      </c>
      <c r="E115" s="204">
        <v>-15800</v>
      </c>
      <c r="F115" s="201">
        <v>45689</v>
      </c>
      <c r="G115" s="200" t="s">
        <v>296</v>
      </c>
      <c r="H115" s="200" t="s">
        <v>482</v>
      </c>
      <c r="I115" s="200" t="s">
        <v>857</v>
      </c>
    </row>
    <row r="116" spans="2:9" ht="14.1" hidden="1">
      <c r="B116" s="199">
        <v>45692</v>
      </c>
      <c r="C116" s="202" t="s">
        <v>1547</v>
      </c>
      <c r="D116" s="200" t="s">
        <v>372</v>
      </c>
      <c r="E116" s="204">
        <v>-4740</v>
      </c>
      <c r="F116" s="201">
        <v>45689</v>
      </c>
      <c r="G116" s="200" t="s">
        <v>296</v>
      </c>
      <c r="H116" s="200" t="s">
        <v>482</v>
      </c>
      <c r="I116" s="200" t="s">
        <v>857</v>
      </c>
    </row>
    <row r="117" spans="2:9" ht="14.1" hidden="1">
      <c r="B117" s="199">
        <v>45692</v>
      </c>
      <c r="C117" s="202" t="s">
        <v>1549</v>
      </c>
      <c r="D117" s="200" t="s">
        <v>372</v>
      </c>
      <c r="E117" s="204">
        <v>-471113</v>
      </c>
      <c r="F117" s="201">
        <v>45689</v>
      </c>
      <c r="G117" s="200" t="s">
        <v>296</v>
      </c>
      <c r="H117" s="200" t="s">
        <v>44</v>
      </c>
      <c r="I117" s="200" t="s">
        <v>488</v>
      </c>
    </row>
    <row r="118" spans="2:9" ht="14.1" hidden="1">
      <c r="B118" s="199">
        <v>45692</v>
      </c>
      <c r="C118" s="202" t="s">
        <v>1550</v>
      </c>
      <c r="D118" s="200" t="s">
        <v>372</v>
      </c>
      <c r="E118" s="204">
        <v>-141334</v>
      </c>
      <c r="F118" s="201">
        <v>45689</v>
      </c>
      <c r="G118" s="200" t="s">
        <v>296</v>
      </c>
      <c r="H118" s="200" t="s">
        <v>44</v>
      </c>
      <c r="I118" s="200" t="s">
        <v>488</v>
      </c>
    </row>
    <row r="119" spans="2:9" ht="14.1" hidden="1">
      <c r="B119" s="199">
        <v>45693</v>
      </c>
      <c r="C119" s="202" t="s">
        <v>1567</v>
      </c>
      <c r="D119" s="200" t="s">
        <v>372</v>
      </c>
      <c r="E119" s="204">
        <v>-2006</v>
      </c>
      <c r="F119" s="201">
        <v>45689</v>
      </c>
      <c r="G119" s="200" t="s">
        <v>256</v>
      </c>
      <c r="H119" s="200" t="s">
        <v>256</v>
      </c>
      <c r="I119" s="200" t="s">
        <v>267</v>
      </c>
    </row>
    <row r="120" spans="2:9" ht="14.1" hidden="1">
      <c r="B120" s="199">
        <v>45693</v>
      </c>
      <c r="C120" s="202" t="s">
        <v>1568</v>
      </c>
      <c r="D120" s="200" t="s">
        <v>372</v>
      </c>
      <c r="E120" s="204">
        <v>-3971</v>
      </c>
      <c r="F120" s="201">
        <v>45689</v>
      </c>
      <c r="G120" s="200" t="s">
        <v>296</v>
      </c>
      <c r="H120" s="200" t="s">
        <v>522</v>
      </c>
      <c r="I120" s="200" t="s">
        <v>322</v>
      </c>
    </row>
    <row r="121" spans="2:9" ht="14.1" hidden="1">
      <c r="B121" s="199">
        <v>45694</v>
      </c>
      <c r="C121" s="202" t="s">
        <v>409</v>
      </c>
      <c r="D121" s="200" t="s">
        <v>372</v>
      </c>
      <c r="E121" s="204">
        <v>-19948</v>
      </c>
      <c r="F121" s="201">
        <v>45689</v>
      </c>
      <c r="G121" s="200" t="s">
        <v>296</v>
      </c>
      <c r="H121" s="200" t="s">
        <v>341</v>
      </c>
      <c r="I121" s="200" t="s">
        <v>342</v>
      </c>
    </row>
    <row r="122" spans="2:9" ht="14.1" hidden="1">
      <c r="B122" s="199">
        <v>45694</v>
      </c>
      <c r="C122" s="202" t="s">
        <v>1592</v>
      </c>
      <c r="D122" s="200" t="s">
        <v>372</v>
      </c>
      <c r="E122" s="204">
        <v>-279000</v>
      </c>
      <c r="F122" s="201">
        <v>45689</v>
      </c>
      <c r="G122" s="200" t="s">
        <v>296</v>
      </c>
      <c r="H122" s="200" t="s">
        <v>44</v>
      </c>
      <c r="I122" s="200" t="s">
        <v>442</v>
      </c>
    </row>
    <row r="123" spans="2:9" ht="14.1" hidden="1">
      <c r="B123" s="199">
        <v>45694</v>
      </c>
      <c r="C123" s="202" t="s">
        <v>1597</v>
      </c>
      <c r="D123" s="200" t="s">
        <v>372</v>
      </c>
      <c r="E123" s="204">
        <v>-56471</v>
      </c>
      <c r="F123" s="201">
        <v>45689</v>
      </c>
      <c r="G123" s="200" t="s">
        <v>296</v>
      </c>
      <c r="H123" s="200" t="s">
        <v>9067</v>
      </c>
      <c r="I123" s="200" t="s">
        <v>342</v>
      </c>
    </row>
    <row r="124" spans="2:9" ht="14.1" hidden="1">
      <c r="B124" s="199">
        <v>45694</v>
      </c>
      <c r="C124" s="202" t="s">
        <v>1599</v>
      </c>
      <c r="D124" s="200" t="s">
        <v>372</v>
      </c>
      <c r="E124" s="204">
        <v>-107117</v>
      </c>
      <c r="F124" s="201">
        <v>45689</v>
      </c>
      <c r="G124" s="200" t="s">
        <v>256</v>
      </c>
      <c r="H124" s="200" t="s">
        <v>256</v>
      </c>
      <c r="I124" s="200" t="s">
        <v>9</v>
      </c>
    </row>
    <row r="125" spans="2:9" ht="14.1" hidden="1">
      <c r="B125" s="199">
        <v>45694</v>
      </c>
      <c r="C125" s="202" t="s">
        <v>1601</v>
      </c>
      <c r="D125" s="200" t="s">
        <v>372</v>
      </c>
      <c r="E125" s="204">
        <v>-41700</v>
      </c>
      <c r="F125" s="201">
        <v>45689</v>
      </c>
      <c r="G125" s="200" t="s">
        <v>296</v>
      </c>
      <c r="H125" s="200" t="s">
        <v>411</v>
      </c>
      <c r="I125" s="200" t="s">
        <v>377</v>
      </c>
    </row>
    <row r="126" spans="2:9" ht="14.1" hidden="1">
      <c r="B126" s="199">
        <v>45694</v>
      </c>
      <c r="C126" s="202" t="s">
        <v>1602</v>
      </c>
      <c r="D126" s="200" t="s">
        <v>372</v>
      </c>
      <c r="E126" s="204">
        <v>-8340</v>
      </c>
      <c r="F126" s="201">
        <v>45689</v>
      </c>
      <c r="G126" s="200" t="s">
        <v>296</v>
      </c>
      <c r="H126" s="200" t="s">
        <v>411</v>
      </c>
      <c r="I126" s="200" t="s">
        <v>377</v>
      </c>
    </row>
    <row r="127" spans="2:9" ht="14.1" hidden="1">
      <c r="B127" s="199">
        <v>45694</v>
      </c>
      <c r="C127" s="202" t="s">
        <v>1605</v>
      </c>
      <c r="D127" s="200" t="s">
        <v>372</v>
      </c>
      <c r="E127" s="204">
        <v>-80000</v>
      </c>
      <c r="F127" s="201">
        <v>45689</v>
      </c>
      <c r="G127" s="200" t="s">
        <v>256</v>
      </c>
      <c r="H127" s="200" t="s">
        <v>107</v>
      </c>
      <c r="I127" s="200" t="s">
        <v>777</v>
      </c>
    </row>
    <row r="128" spans="2:9" ht="14.1" hidden="1">
      <c r="B128" s="199">
        <v>45694</v>
      </c>
      <c r="C128" s="202" t="s">
        <v>1606</v>
      </c>
      <c r="D128" s="200" t="s">
        <v>372</v>
      </c>
      <c r="E128" s="204">
        <v>-12000</v>
      </c>
      <c r="F128" s="201">
        <v>45689</v>
      </c>
      <c r="G128" s="200" t="s">
        <v>256</v>
      </c>
      <c r="H128" s="200" t="s">
        <v>107</v>
      </c>
      <c r="I128" s="200" t="s">
        <v>777</v>
      </c>
    </row>
    <row r="129" spans="2:9" ht="14.1" hidden="1">
      <c r="B129" s="199">
        <v>45694</v>
      </c>
      <c r="C129" s="202" t="s">
        <v>1608</v>
      </c>
      <c r="D129" s="200" t="s">
        <v>372</v>
      </c>
      <c r="E129" s="204">
        <v>-80000</v>
      </c>
      <c r="F129" s="201">
        <v>45689</v>
      </c>
      <c r="G129" s="200" t="s">
        <v>256</v>
      </c>
      <c r="H129" s="200" t="s">
        <v>107</v>
      </c>
      <c r="I129" s="200" t="s">
        <v>777</v>
      </c>
    </row>
    <row r="130" spans="2:9" ht="14.1" hidden="1">
      <c r="B130" s="199">
        <v>45694</v>
      </c>
      <c r="C130" s="202" t="s">
        <v>1609</v>
      </c>
      <c r="D130" s="200" t="s">
        <v>372</v>
      </c>
      <c r="E130" s="204">
        <v>-12000</v>
      </c>
      <c r="F130" s="201">
        <v>45689</v>
      </c>
      <c r="G130" s="200" t="s">
        <v>256</v>
      </c>
      <c r="H130" s="200" t="s">
        <v>107</v>
      </c>
      <c r="I130" s="200" t="s">
        <v>777</v>
      </c>
    </row>
    <row r="131" spans="2:9" ht="14.1" hidden="1">
      <c r="B131" s="199">
        <v>45694</v>
      </c>
      <c r="C131" s="202" t="s">
        <v>1611</v>
      </c>
      <c r="D131" s="200" t="s">
        <v>372</v>
      </c>
      <c r="E131" s="204">
        <v>-48000</v>
      </c>
      <c r="F131" s="201">
        <v>45689</v>
      </c>
      <c r="G131" s="200" t="s">
        <v>296</v>
      </c>
      <c r="H131" s="200" t="s">
        <v>522</v>
      </c>
      <c r="I131" s="200" t="s">
        <v>381</v>
      </c>
    </row>
    <row r="132" spans="2:9" ht="14.1" hidden="1">
      <c r="B132" s="199">
        <v>45694</v>
      </c>
      <c r="C132" s="202" t="s">
        <v>1612</v>
      </c>
      <c r="D132" s="200" t="s">
        <v>372</v>
      </c>
      <c r="E132" s="204">
        <v>-7200</v>
      </c>
      <c r="F132" s="201">
        <v>45689</v>
      </c>
      <c r="G132" s="200" t="s">
        <v>296</v>
      </c>
      <c r="H132" s="200" t="s">
        <v>522</v>
      </c>
      <c r="I132" s="200" t="s">
        <v>381</v>
      </c>
    </row>
    <row r="133" spans="2:9" ht="14.1" hidden="1">
      <c r="B133" s="199">
        <v>45694</v>
      </c>
      <c r="C133" s="202" t="s">
        <v>1613</v>
      </c>
      <c r="D133" s="200" t="s">
        <v>372</v>
      </c>
      <c r="E133" s="204">
        <v>-4000</v>
      </c>
      <c r="F133" s="201">
        <v>45689</v>
      </c>
      <c r="G133" s="200" t="s">
        <v>296</v>
      </c>
      <c r="H133" s="200" t="s">
        <v>522</v>
      </c>
      <c r="I133" s="200" t="s">
        <v>381</v>
      </c>
    </row>
    <row r="134" spans="2:9" ht="14.1" hidden="1">
      <c r="B134" s="199">
        <v>45694</v>
      </c>
      <c r="C134" s="202" t="s">
        <v>1612</v>
      </c>
      <c r="D134" s="200" t="s">
        <v>372</v>
      </c>
      <c r="E134" s="204">
        <v>-2400</v>
      </c>
      <c r="F134" s="201">
        <v>45689</v>
      </c>
      <c r="G134" s="200" t="s">
        <v>296</v>
      </c>
      <c r="H134" s="200" t="s">
        <v>522</v>
      </c>
      <c r="I134" s="200" t="s">
        <v>381</v>
      </c>
    </row>
    <row r="135" spans="2:9" ht="14.1" hidden="1">
      <c r="B135" s="199">
        <v>45694</v>
      </c>
      <c r="C135" s="202" t="s">
        <v>1616</v>
      </c>
      <c r="D135" s="200" t="s">
        <v>372</v>
      </c>
      <c r="E135" s="204">
        <v>-67020</v>
      </c>
      <c r="F135" s="201">
        <v>45689</v>
      </c>
      <c r="G135" s="200" t="s">
        <v>296</v>
      </c>
      <c r="H135" s="200" t="s">
        <v>337</v>
      </c>
      <c r="I135" s="200" t="s">
        <v>366</v>
      </c>
    </row>
    <row r="136" spans="2:9" ht="14.1" hidden="1">
      <c r="B136" s="199">
        <v>45694</v>
      </c>
      <c r="C136" s="202" t="s">
        <v>1619</v>
      </c>
      <c r="D136" s="200" t="s">
        <v>372</v>
      </c>
      <c r="E136" s="204">
        <v>-2587</v>
      </c>
      <c r="F136" s="201">
        <v>45689</v>
      </c>
      <c r="G136" s="200" t="s">
        <v>296</v>
      </c>
      <c r="H136" s="200" t="s">
        <v>328</v>
      </c>
      <c r="I136" s="200" t="s">
        <v>364</v>
      </c>
    </row>
    <row r="137" spans="2:9" ht="14.1" hidden="1">
      <c r="B137" s="199">
        <v>45694</v>
      </c>
      <c r="C137" s="202" t="s">
        <v>1644</v>
      </c>
      <c r="D137" s="200" t="s">
        <v>372</v>
      </c>
      <c r="E137" s="204">
        <v>-56723</v>
      </c>
      <c r="F137" s="201">
        <v>45689</v>
      </c>
      <c r="G137" s="200" t="s">
        <v>256</v>
      </c>
      <c r="H137" s="200" t="s">
        <v>107</v>
      </c>
      <c r="I137" s="200" t="s">
        <v>777</v>
      </c>
    </row>
    <row r="138" spans="2:9" ht="14.1" hidden="1">
      <c r="B138" s="199">
        <v>45694</v>
      </c>
      <c r="C138" s="202" t="s">
        <v>1646</v>
      </c>
      <c r="D138" s="200" t="s">
        <v>372</v>
      </c>
      <c r="E138" s="204">
        <v>-5397</v>
      </c>
      <c r="F138" s="201">
        <v>45689</v>
      </c>
      <c r="G138" s="200" t="s">
        <v>296</v>
      </c>
      <c r="H138" s="200" t="s">
        <v>337</v>
      </c>
      <c r="I138" s="200" t="s">
        <v>366</v>
      </c>
    </row>
    <row r="139" spans="2:9" ht="14.1" hidden="1">
      <c r="B139" s="199">
        <v>45694</v>
      </c>
      <c r="C139" s="202" t="s">
        <v>1653</v>
      </c>
      <c r="D139" s="200" t="s">
        <v>372</v>
      </c>
      <c r="E139" s="204">
        <v>-24000</v>
      </c>
      <c r="F139" s="201">
        <v>45689</v>
      </c>
      <c r="G139" s="200" t="s">
        <v>296</v>
      </c>
      <c r="H139" s="200" t="s">
        <v>337</v>
      </c>
      <c r="I139" s="200" t="s">
        <v>370</v>
      </c>
    </row>
    <row r="140" spans="2:9" ht="14.1" hidden="1">
      <c r="B140" s="199">
        <v>45694</v>
      </c>
      <c r="C140" s="202" t="s">
        <v>1668</v>
      </c>
      <c r="D140" s="200" t="s">
        <v>372</v>
      </c>
      <c r="E140" s="204">
        <v>-1530</v>
      </c>
      <c r="F140" s="201">
        <v>45689</v>
      </c>
      <c r="G140" s="200" t="s">
        <v>296</v>
      </c>
      <c r="H140" s="200" t="s">
        <v>482</v>
      </c>
      <c r="I140" s="200" t="s">
        <v>268</v>
      </c>
    </row>
    <row r="141" spans="2:9" ht="14.1" hidden="1">
      <c r="B141" s="199">
        <v>45694</v>
      </c>
      <c r="C141" s="202" t="s">
        <v>1669</v>
      </c>
      <c r="D141" s="200" t="s">
        <v>372</v>
      </c>
      <c r="E141" s="204">
        <v>-2550</v>
      </c>
      <c r="F141" s="201">
        <v>45689</v>
      </c>
      <c r="G141" s="200" t="s">
        <v>296</v>
      </c>
      <c r="H141" s="200" t="s">
        <v>482</v>
      </c>
      <c r="I141" s="200" t="s">
        <v>268</v>
      </c>
    </row>
    <row r="142" spans="2:9" ht="14.1" hidden="1">
      <c r="B142" s="199">
        <v>45692</v>
      </c>
      <c r="C142" s="202" t="s">
        <v>1681</v>
      </c>
      <c r="D142" s="200" t="s">
        <v>372</v>
      </c>
      <c r="E142" s="204">
        <v>-7430</v>
      </c>
      <c r="F142" s="201">
        <v>45689</v>
      </c>
      <c r="G142" s="655" t="s">
        <v>395</v>
      </c>
      <c r="H142" s="655" t="s">
        <v>395</v>
      </c>
      <c r="I142" s="200" t="s">
        <v>268</v>
      </c>
    </row>
    <row r="143" spans="2:9" ht="14.1" hidden="1">
      <c r="B143" s="199">
        <v>45692</v>
      </c>
      <c r="C143" s="202" t="s">
        <v>1681</v>
      </c>
      <c r="D143" s="200" t="s">
        <v>372</v>
      </c>
      <c r="E143" s="204">
        <v>-4458</v>
      </c>
      <c r="F143" s="201">
        <v>45689</v>
      </c>
      <c r="G143" s="200" t="s">
        <v>296</v>
      </c>
      <c r="H143" s="200" t="s">
        <v>482</v>
      </c>
      <c r="I143" s="200" t="s">
        <v>268</v>
      </c>
    </row>
    <row r="144" spans="2:9" ht="14.1" hidden="1">
      <c r="B144" s="199">
        <v>45695</v>
      </c>
      <c r="C144" s="202" t="s">
        <v>1722</v>
      </c>
      <c r="D144" s="200" t="s">
        <v>372</v>
      </c>
      <c r="E144" s="204">
        <v>-1920</v>
      </c>
      <c r="F144" s="201">
        <v>45689</v>
      </c>
      <c r="G144" s="200" t="s">
        <v>296</v>
      </c>
      <c r="H144" s="200" t="s">
        <v>482</v>
      </c>
      <c r="I144" s="200" t="s">
        <v>268</v>
      </c>
    </row>
    <row r="145" spans="2:9" ht="14.1" hidden="1">
      <c r="B145" s="199">
        <v>45695</v>
      </c>
      <c r="C145" s="202" t="s">
        <v>1722</v>
      </c>
      <c r="D145" s="200" t="s">
        <v>372</v>
      </c>
      <c r="E145" s="204">
        <v>-1152</v>
      </c>
      <c r="F145" s="201">
        <v>45689</v>
      </c>
      <c r="G145" s="200" t="s">
        <v>296</v>
      </c>
      <c r="H145" s="200" t="s">
        <v>482</v>
      </c>
      <c r="I145" s="200" t="s">
        <v>268</v>
      </c>
    </row>
    <row r="146" spans="2:9" ht="14.1" hidden="1">
      <c r="B146" s="199">
        <v>45694</v>
      </c>
      <c r="C146" s="202" t="s">
        <v>1726</v>
      </c>
      <c r="D146" s="200" t="s">
        <v>372</v>
      </c>
      <c r="E146" s="204">
        <v>-47041</v>
      </c>
      <c r="F146" s="201">
        <v>45689</v>
      </c>
      <c r="G146" s="200" t="s">
        <v>296</v>
      </c>
      <c r="H146" s="200" t="s">
        <v>337</v>
      </c>
      <c r="I146" s="200" t="s">
        <v>366</v>
      </c>
    </row>
    <row r="147" spans="2:9" ht="14.1" hidden="1">
      <c r="B147" s="199">
        <v>37293</v>
      </c>
      <c r="C147" s="202" t="s">
        <v>1727</v>
      </c>
      <c r="D147" s="200" t="s">
        <v>372</v>
      </c>
      <c r="E147" s="204">
        <v>-9048</v>
      </c>
      <c r="F147" s="201">
        <v>45689</v>
      </c>
      <c r="G147" s="200" t="s">
        <v>296</v>
      </c>
      <c r="H147" s="200" t="s">
        <v>337</v>
      </c>
      <c r="I147" s="200" t="s">
        <v>366</v>
      </c>
    </row>
    <row r="148" spans="2:9" ht="14.1" hidden="1">
      <c r="B148" s="199">
        <v>45700</v>
      </c>
      <c r="C148" s="202" t="s">
        <v>1775</v>
      </c>
      <c r="D148" s="200" t="s">
        <v>372</v>
      </c>
      <c r="E148" s="204">
        <v>-48601</v>
      </c>
      <c r="F148" s="201">
        <v>45689</v>
      </c>
      <c r="G148" s="200" t="s">
        <v>296</v>
      </c>
      <c r="H148" s="200" t="s">
        <v>337</v>
      </c>
      <c r="I148" s="200" t="s">
        <v>446</v>
      </c>
    </row>
    <row r="149" spans="2:9" ht="14.1" hidden="1">
      <c r="B149" s="199">
        <v>45700</v>
      </c>
      <c r="C149" s="202" t="s">
        <v>1818</v>
      </c>
      <c r="D149" s="200" t="s">
        <v>372</v>
      </c>
      <c r="E149" s="204">
        <v>-378172</v>
      </c>
      <c r="F149" s="201">
        <v>45689</v>
      </c>
      <c r="G149" s="200" t="s">
        <v>296</v>
      </c>
      <c r="H149" s="200" t="s">
        <v>328</v>
      </c>
      <c r="I149" s="200" t="s">
        <v>377</v>
      </c>
    </row>
    <row r="150" spans="2:9" ht="14.1" hidden="1">
      <c r="B150" s="199">
        <v>45700</v>
      </c>
      <c r="C150" s="202" t="s">
        <v>1821</v>
      </c>
      <c r="D150" s="200" t="s">
        <v>372</v>
      </c>
      <c r="E150" s="204">
        <v>-645</v>
      </c>
      <c r="F150" s="201">
        <v>45689</v>
      </c>
      <c r="G150" s="200" t="s">
        <v>296</v>
      </c>
      <c r="H150" s="200" t="s">
        <v>328</v>
      </c>
      <c r="I150" s="200" t="s">
        <v>350</v>
      </c>
    </row>
    <row r="151" spans="2:9" ht="14.1" hidden="1">
      <c r="B151" s="199">
        <v>45700</v>
      </c>
      <c r="C151" s="202" t="s">
        <v>1821</v>
      </c>
      <c r="D151" s="200" t="s">
        <v>372</v>
      </c>
      <c r="E151" s="204">
        <v>-756</v>
      </c>
      <c r="F151" s="201">
        <v>45689</v>
      </c>
      <c r="G151" s="200" t="s">
        <v>296</v>
      </c>
      <c r="H151" s="200" t="s">
        <v>482</v>
      </c>
      <c r="I151" s="200" t="s">
        <v>350</v>
      </c>
    </row>
    <row r="152" spans="2:9" ht="14.1" hidden="1">
      <c r="B152" s="199">
        <v>45700</v>
      </c>
      <c r="C152" s="202" t="s">
        <v>1823</v>
      </c>
      <c r="D152" s="200" t="s">
        <v>372</v>
      </c>
      <c r="E152" s="204">
        <v>-1637</v>
      </c>
      <c r="F152" s="201">
        <v>45689</v>
      </c>
      <c r="G152" s="200" t="s">
        <v>296</v>
      </c>
      <c r="H152" s="200" t="s">
        <v>411</v>
      </c>
      <c r="I152" s="200" t="s">
        <v>379</v>
      </c>
    </row>
    <row r="153" spans="2:9" ht="14.1" hidden="1">
      <c r="B153" s="199">
        <v>45700</v>
      </c>
      <c r="C153" s="202" t="s">
        <v>1823</v>
      </c>
      <c r="D153" s="200" t="s">
        <v>372</v>
      </c>
      <c r="E153" s="204">
        <v>-1637</v>
      </c>
      <c r="F153" s="201">
        <v>45689</v>
      </c>
      <c r="G153" s="200" t="s">
        <v>297</v>
      </c>
      <c r="H153" s="200" t="s">
        <v>1578</v>
      </c>
      <c r="I153" s="200" t="s">
        <v>379</v>
      </c>
    </row>
    <row r="154" spans="2:9" ht="14.1" hidden="1">
      <c r="B154" s="199">
        <v>45700</v>
      </c>
      <c r="C154" s="202" t="s">
        <v>1827</v>
      </c>
      <c r="D154" s="200" t="s">
        <v>372</v>
      </c>
      <c r="E154" s="204">
        <v>-194740</v>
      </c>
      <c r="F154" s="201">
        <v>45689</v>
      </c>
      <c r="G154" s="200" t="s">
        <v>256</v>
      </c>
      <c r="H154" s="200" t="s">
        <v>256</v>
      </c>
      <c r="I154" s="200" t="s">
        <v>257</v>
      </c>
    </row>
    <row r="155" spans="2:9" ht="14.1" hidden="1">
      <c r="B155" s="199">
        <v>45700</v>
      </c>
      <c r="C155" s="202" t="s">
        <v>1828</v>
      </c>
      <c r="D155" s="200" t="s">
        <v>372</v>
      </c>
      <c r="E155" s="204">
        <v>-33384</v>
      </c>
      <c r="F155" s="201">
        <v>45689</v>
      </c>
      <c r="G155" s="200" t="s">
        <v>256</v>
      </c>
      <c r="H155" s="200" t="s">
        <v>256</v>
      </c>
      <c r="I155" s="200" t="s">
        <v>257</v>
      </c>
    </row>
    <row r="156" spans="2:9" ht="14.1" hidden="1">
      <c r="B156" s="199">
        <v>45700</v>
      </c>
      <c r="C156" s="202" t="s">
        <v>1830</v>
      </c>
      <c r="D156" s="200" t="s">
        <v>372</v>
      </c>
      <c r="E156" s="204">
        <v>-3183</v>
      </c>
      <c r="F156" s="201">
        <v>45689</v>
      </c>
      <c r="G156" s="200" t="s">
        <v>296</v>
      </c>
      <c r="H156" s="200" t="s">
        <v>482</v>
      </c>
      <c r="I156" s="200" t="s">
        <v>375</v>
      </c>
    </row>
    <row r="157" spans="2:9" ht="14.1" hidden="1">
      <c r="B157" s="199">
        <v>45700</v>
      </c>
      <c r="C157" s="202" t="s">
        <v>1833</v>
      </c>
      <c r="D157" s="200" t="s">
        <v>372</v>
      </c>
      <c r="E157" s="204">
        <v>-2502</v>
      </c>
      <c r="F157" s="201">
        <v>45689</v>
      </c>
      <c r="G157" s="200" t="s">
        <v>296</v>
      </c>
      <c r="H157" s="200" t="s">
        <v>9068</v>
      </c>
      <c r="I157" s="200" t="s">
        <v>377</v>
      </c>
    </row>
    <row r="158" spans="2:9" ht="14.1" hidden="1">
      <c r="B158" s="199">
        <v>45700</v>
      </c>
      <c r="C158" s="202" t="s">
        <v>1836</v>
      </c>
      <c r="D158" s="200" t="s">
        <v>372</v>
      </c>
      <c r="E158" s="204">
        <v>-17800</v>
      </c>
      <c r="F158" s="201">
        <v>45689</v>
      </c>
      <c r="G158" s="200" t="s">
        <v>296</v>
      </c>
      <c r="H158" s="200" t="s">
        <v>9068</v>
      </c>
      <c r="I158" s="200" t="s">
        <v>346</v>
      </c>
    </row>
    <row r="159" spans="2:9" ht="14.1" hidden="1">
      <c r="B159" s="199">
        <v>45700</v>
      </c>
      <c r="C159" s="202" t="s">
        <v>1836</v>
      </c>
      <c r="D159" s="200" t="s">
        <v>372</v>
      </c>
      <c r="E159" s="204">
        <v>-17800</v>
      </c>
      <c r="F159" s="201">
        <v>45689</v>
      </c>
      <c r="G159" s="200" t="s">
        <v>297</v>
      </c>
      <c r="H159" s="200" t="s">
        <v>9069</v>
      </c>
      <c r="I159" s="200" t="s">
        <v>346</v>
      </c>
    </row>
    <row r="160" spans="2:9" ht="14.1" hidden="1">
      <c r="B160" s="199">
        <v>45700</v>
      </c>
      <c r="C160" s="202" t="s">
        <v>1839</v>
      </c>
      <c r="D160" s="200" t="s">
        <v>372</v>
      </c>
      <c r="E160" s="204">
        <v>-153051</v>
      </c>
      <c r="F160" s="201">
        <v>45689</v>
      </c>
      <c r="G160" s="200" t="s">
        <v>296</v>
      </c>
      <c r="H160" s="200" t="s">
        <v>9068</v>
      </c>
      <c r="I160" s="200" t="s">
        <v>839</v>
      </c>
    </row>
    <row r="161" spans="2:9" ht="14.1" hidden="1">
      <c r="B161" s="199">
        <v>45700</v>
      </c>
      <c r="C161" s="202" t="s">
        <v>1847</v>
      </c>
      <c r="D161" s="200" t="s">
        <v>372</v>
      </c>
      <c r="E161" s="204">
        <v>-3010.6149999999998</v>
      </c>
      <c r="F161" s="201">
        <v>45689</v>
      </c>
      <c r="G161" s="200" t="s">
        <v>296</v>
      </c>
      <c r="H161" s="200" t="s">
        <v>328</v>
      </c>
      <c r="I161" s="200" t="s">
        <v>350</v>
      </c>
    </row>
    <row r="162" spans="2:9" ht="14.1" hidden="1">
      <c r="B162" s="199">
        <v>45700</v>
      </c>
      <c r="C162" s="202" t="s">
        <v>1848</v>
      </c>
      <c r="D162" s="200" t="s">
        <v>372</v>
      </c>
      <c r="E162" s="204">
        <v>-4389.66</v>
      </c>
      <c r="F162" s="201">
        <v>45689</v>
      </c>
      <c r="G162" s="200" t="s">
        <v>296</v>
      </c>
      <c r="H162" s="200" t="s">
        <v>328</v>
      </c>
      <c r="I162" s="200" t="s">
        <v>364</v>
      </c>
    </row>
    <row r="163" spans="2:9" ht="14.1" hidden="1">
      <c r="B163" s="199">
        <v>45700</v>
      </c>
      <c r="C163" s="202" t="s">
        <v>1849</v>
      </c>
      <c r="D163" s="200" t="s">
        <v>372</v>
      </c>
      <c r="E163" s="204">
        <v>-2015.2249999999999</v>
      </c>
      <c r="F163" s="201">
        <v>45689</v>
      </c>
      <c r="G163" s="200" t="s">
        <v>296</v>
      </c>
      <c r="H163" s="200" t="s">
        <v>328</v>
      </c>
      <c r="I163" s="200" t="s">
        <v>350</v>
      </c>
    </row>
    <row r="164" spans="2:9" ht="14.1" hidden="1">
      <c r="B164" s="199">
        <v>45700</v>
      </c>
      <c r="C164" s="202" t="s">
        <v>1849</v>
      </c>
      <c r="D164" s="200" t="s">
        <v>372</v>
      </c>
      <c r="E164" s="204">
        <v>-1266.1199999999999</v>
      </c>
      <c r="F164" s="201">
        <v>45689</v>
      </c>
      <c r="G164" s="200" t="s">
        <v>296</v>
      </c>
      <c r="H164" s="200" t="s">
        <v>390</v>
      </c>
      <c r="I164" s="200" t="s">
        <v>350</v>
      </c>
    </row>
    <row r="165" spans="2:9" ht="14.1" hidden="1">
      <c r="B165" s="199">
        <v>45700</v>
      </c>
      <c r="C165" s="202" t="s">
        <v>1857</v>
      </c>
      <c r="D165" s="200" t="s">
        <v>372</v>
      </c>
      <c r="E165" s="204">
        <v>-58333</v>
      </c>
      <c r="F165" s="201">
        <v>45689</v>
      </c>
      <c r="G165" s="200" t="s">
        <v>256</v>
      </c>
      <c r="H165" s="200" t="s">
        <v>256</v>
      </c>
      <c r="I165" s="200" t="s">
        <v>9</v>
      </c>
    </row>
    <row r="166" spans="2:9" ht="14.1" hidden="1">
      <c r="B166" s="199">
        <v>45700</v>
      </c>
      <c r="C166" s="202" t="s">
        <v>1863</v>
      </c>
      <c r="D166" s="200" t="s">
        <v>372</v>
      </c>
      <c r="E166" s="204">
        <v>-41370</v>
      </c>
      <c r="F166" s="201">
        <v>45689</v>
      </c>
      <c r="G166" s="200" t="s">
        <v>256</v>
      </c>
      <c r="H166" s="200" t="s">
        <v>256</v>
      </c>
      <c r="I166" s="200" t="s">
        <v>267</v>
      </c>
    </row>
    <row r="167" spans="2:9" ht="14.1" hidden="1">
      <c r="B167" s="199">
        <v>45700</v>
      </c>
      <c r="C167" s="202" t="s">
        <v>1864</v>
      </c>
      <c r="D167" s="200" t="s">
        <v>372</v>
      </c>
      <c r="E167" s="204">
        <v>-9929</v>
      </c>
      <c r="F167" s="201">
        <v>45689</v>
      </c>
      <c r="G167" s="200" t="s">
        <v>256</v>
      </c>
      <c r="H167" s="200" t="s">
        <v>256</v>
      </c>
      <c r="I167" s="200" t="s">
        <v>267</v>
      </c>
    </row>
    <row r="168" spans="2:9" ht="14.1" hidden="1">
      <c r="B168" s="199">
        <v>45700</v>
      </c>
      <c r="C168" s="202" t="s">
        <v>1867</v>
      </c>
      <c r="D168" s="200" t="s">
        <v>372</v>
      </c>
      <c r="E168" s="204">
        <v>-105000</v>
      </c>
      <c r="F168" s="201">
        <v>45689</v>
      </c>
      <c r="G168" s="200" t="s">
        <v>296</v>
      </c>
      <c r="H168" s="200" t="s">
        <v>522</v>
      </c>
      <c r="I168" s="200" t="s">
        <v>370</v>
      </c>
    </row>
    <row r="169" spans="2:9" ht="14.1" hidden="1">
      <c r="B169" s="199">
        <v>45700</v>
      </c>
      <c r="C169" s="202" t="s">
        <v>1868</v>
      </c>
      <c r="D169" s="200" t="s">
        <v>372</v>
      </c>
      <c r="E169" s="204">
        <v>-63000</v>
      </c>
      <c r="F169" s="201">
        <v>45689</v>
      </c>
      <c r="G169" s="200" t="s">
        <v>296</v>
      </c>
      <c r="H169" s="200" t="s">
        <v>522</v>
      </c>
      <c r="I169" s="200" t="s">
        <v>370</v>
      </c>
    </row>
    <row r="170" spans="2:9" ht="14.1" hidden="1">
      <c r="B170" s="199">
        <v>45700</v>
      </c>
      <c r="C170" s="202" t="s">
        <v>1870</v>
      </c>
      <c r="D170" s="200" t="s">
        <v>372</v>
      </c>
      <c r="E170" s="204">
        <v>-6500</v>
      </c>
      <c r="F170" s="201">
        <v>45689</v>
      </c>
      <c r="G170" s="200" t="s">
        <v>296</v>
      </c>
      <c r="H170" s="200" t="s">
        <v>522</v>
      </c>
      <c r="I170" s="200" t="s">
        <v>326</v>
      </c>
    </row>
    <row r="171" spans="2:9" ht="14.1" hidden="1">
      <c r="B171" s="199">
        <v>45700</v>
      </c>
      <c r="C171" s="202" t="s">
        <v>1872</v>
      </c>
      <c r="D171" s="200" t="s">
        <v>372</v>
      </c>
      <c r="E171" s="204">
        <v>-29137.5</v>
      </c>
      <c r="F171" s="201">
        <v>45689</v>
      </c>
      <c r="G171" s="200" t="s">
        <v>296</v>
      </c>
      <c r="H171" s="200" t="s">
        <v>337</v>
      </c>
      <c r="I171" s="200" t="s">
        <v>326</v>
      </c>
    </row>
    <row r="172" spans="2:9" ht="14.1" hidden="1">
      <c r="B172" s="199">
        <v>45700</v>
      </c>
      <c r="C172" s="202" t="s">
        <v>1872</v>
      </c>
      <c r="D172" s="200" t="s">
        <v>372</v>
      </c>
      <c r="E172" s="204">
        <v>-29137.5</v>
      </c>
      <c r="F172" s="201">
        <v>45689</v>
      </c>
      <c r="G172" s="200" t="s">
        <v>296</v>
      </c>
      <c r="H172" s="200" t="s">
        <v>44</v>
      </c>
      <c r="I172" s="200" t="s">
        <v>326</v>
      </c>
    </row>
    <row r="173" spans="2:9" ht="14.1" hidden="1">
      <c r="B173" s="199">
        <v>45700</v>
      </c>
      <c r="C173" s="202" t="s">
        <v>1872</v>
      </c>
      <c r="D173" s="200" t="s">
        <v>372</v>
      </c>
      <c r="E173" s="204">
        <v>-29137.5</v>
      </c>
      <c r="F173" s="201">
        <v>45689</v>
      </c>
      <c r="G173" s="200" t="s">
        <v>296</v>
      </c>
      <c r="H173" s="200" t="s">
        <v>522</v>
      </c>
      <c r="I173" s="200" t="s">
        <v>326</v>
      </c>
    </row>
    <row r="174" spans="2:9" ht="56.1" hidden="1">
      <c r="B174" s="199">
        <v>45700</v>
      </c>
      <c r="C174" s="693" t="s">
        <v>1877</v>
      </c>
      <c r="D174" s="200" t="s">
        <v>372</v>
      </c>
      <c r="E174" s="204">
        <v>-24000</v>
      </c>
      <c r="F174" s="201">
        <v>45689</v>
      </c>
      <c r="G174" s="200" t="s">
        <v>296</v>
      </c>
      <c r="H174" s="200" t="s">
        <v>341</v>
      </c>
      <c r="I174" s="200" t="s">
        <v>342</v>
      </c>
    </row>
    <row r="175" spans="2:9" ht="14.1" hidden="1">
      <c r="B175" s="199">
        <v>45700</v>
      </c>
      <c r="C175" s="202" t="s">
        <v>1881</v>
      </c>
      <c r="D175" s="200" t="s">
        <v>372</v>
      </c>
      <c r="E175" s="204">
        <v>-4000</v>
      </c>
      <c r="F175" s="201">
        <v>45689</v>
      </c>
      <c r="G175" s="200" t="s">
        <v>296</v>
      </c>
      <c r="H175" s="200" t="s">
        <v>522</v>
      </c>
      <c r="I175" s="200" t="s">
        <v>381</v>
      </c>
    </row>
    <row r="176" spans="2:9" ht="14.1" hidden="1">
      <c r="B176" s="199">
        <v>45700</v>
      </c>
      <c r="C176" s="202" t="s">
        <v>1882</v>
      </c>
      <c r="D176" s="200" t="s">
        <v>372</v>
      </c>
      <c r="E176" s="204">
        <v>-2400</v>
      </c>
      <c r="F176" s="201">
        <v>45689</v>
      </c>
      <c r="G176" s="200" t="s">
        <v>296</v>
      </c>
      <c r="H176" s="200" t="s">
        <v>522</v>
      </c>
      <c r="I176" s="200" t="s">
        <v>381</v>
      </c>
    </row>
    <row r="177" spans="2:9" ht="14.1" hidden="1">
      <c r="B177" s="199">
        <v>45700</v>
      </c>
      <c r="C177" s="202" t="s">
        <v>1883</v>
      </c>
      <c r="D177" s="200" t="s">
        <v>372</v>
      </c>
      <c r="E177" s="204">
        <v>-16000</v>
      </c>
      <c r="F177" s="201">
        <v>45689</v>
      </c>
      <c r="G177" s="200" t="s">
        <v>296</v>
      </c>
      <c r="H177" s="200" t="s">
        <v>337</v>
      </c>
      <c r="I177" s="200" t="s">
        <v>381</v>
      </c>
    </row>
    <row r="178" spans="2:9" ht="14.1" hidden="1">
      <c r="B178" s="199">
        <v>45700</v>
      </c>
      <c r="C178" s="202" t="s">
        <v>1882</v>
      </c>
      <c r="D178" s="200" t="s">
        <v>372</v>
      </c>
      <c r="E178" s="204">
        <v>-2400</v>
      </c>
      <c r="F178" s="201">
        <v>45689</v>
      </c>
      <c r="G178" s="200" t="s">
        <v>296</v>
      </c>
      <c r="H178" s="200" t="s">
        <v>337</v>
      </c>
      <c r="I178" s="200" t="s">
        <v>381</v>
      </c>
    </row>
    <row r="179" spans="2:9" ht="14.1" hidden="1">
      <c r="B179" s="199">
        <v>45700</v>
      </c>
      <c r="C179" s="202" t="s">
        <v>1883</v>
      </c>
      <c r="D179" s="200" t="s">
        <v>372</v>
      </c>
      <c r="E179" s="204">
        <v>-16000</v>
      </c>
      <c r="F179" s="201">
        <v>45689</v>
      </c>
      <c r="G179" s="200" t="s">
        <v>296</v>
      </c>
      <c r="H179" s="200" t="s">
        <v>44</v>
      </c>
      <c r="I179" s="200" t="s">
        <v>381</v>
      </c>
    </row>
    <row r="180" spans="2:9" ht="14.1" hidden="1">
      <c r="B180" s="199">
        <v>45700</v>
      </c>
      <c r="C180" s="202" t="s">
        <v>1882</v>
      </c>
      <c r="D180" s="200" t="s">
        <v>372</v>
      </c>
      <c r="E180" s="204">
        <v>-2400</v>
      </c>
      <c r="F180" s="201">
        <v>45689</v>
      </c>
      <c r="G180" s="200" t="s">
        <v>296</v>
      </c>
      <c r="H180" s="200" t="s">
        <v>44</v>
      </c>
      <c r="I180" s="200" t="s">
        <v>381</v>
      </c>
    </row>
    <row r="181" spans="2:9" ht="14.1" hidden="1">
      <c r="B181" s="199">
        <v>45700</v>
      </c>
      <c r="C181" s="202" t="s">
        <v>1883</v>
      </c>
      <c r="D181" s="200" t="s">
        <v>372</v>
      </c>
      <c r="E181" s="204">
        <v>-16000</v>
      </c>
      <c r="F181" s="201">
        <v>45689</v>
      </c>
      <c r="G181" s="200" t="s">
        <v>296</v>
      </c>
      <c r="H181" s="200" t="s">
        <v>522</v>
      </c>
      <c r="I181" s="200" t="s">
        <v>381</v>
      </c>
    </row>
    <row r="182" spans="2:9" ht="14.1" hidden="1">
      <c r="B182" s="199">
        <v>45700</v>
      </c>
      <c r="C182" s="202" t="s">
        <v>1882</v>
      </c>
      <c r="D182" s="200" t="s">
        <v>372</v>
      </c>
      <c r="E182" s="204">
        <v>-2400</v>
      </c>
      <c r="F182" s="201">
        <v>45689</v>
      </c>
      <c r="G182" s="200" t="s">
        <v>296</v>
      </c>
      <c r="H182" s="200" t="s">
        <v>522</v>
      </c>
      <c r="I182" s="200" t="s">
        <v>381</v>
      </c>
    </row>
    <row r="183" spans="2:9" ht="14.1" hidden="1">
      <c r="B183" s="199">
        <v>45699</v>
      </c>
      <c r="C183" s="202" t="s">
        <v>1926</v>
      </c>
      <c r="D183" s="200" t="s">
        <v>372</v>
      </c>
      <c r="E183" s="204">
        <v>-5710</v>
      </c>
      <c r="F183" s="201">
        <v>45689</v>
      </c>
      <c r="G183" s="200" t="s">
        <v>296</v>
      </c>
      <c r="H183" s="200" t="s">
        <v>482</v>
      </c>
      <c r="I183" s="200" t="s">
        <v>268</v>
      </c>
    </row>
    <row r="184" spans="2:9" ht="14.1" hidden="1">
      <c r="B184" s="199">
        <v>45699</v>
      </c>
      <c r="C184" s="202" t="s">
        <v>1927</v>
      </c>
      <c r="D184" s="200" t="s">
        <v>372</v>
      </c>
      <c r="E184" s="204">
        <v>-3426</v>
      </c>
      <c r="F184" s="201">
        <v>45689</v>
      </c>
      <c r="G184" s="200" t="s">
        <v>296</v>
      </c>
      <c r="H184" s="200" t="s">
        <v>482</v>
      </c>
      <c r="I184" s="200" t="s">
        <v>268</v>
      </c>
    </row>
    <row r="185" spans="2:9" ht="14.1" hidden="1">
      <c r="B185" s="199">
        <v>45698</v>
      </c>
      <c r="C185" s="202" t="s">
        <v>1941</v>
      </c>
      <c r="D185" s="200" t="s">
        <v>372</v>
      </c>
      <c r="E185" s="204">
        <v>-510</v>
      </c>
      <c r="F185" s="201">
        <v>45689</v>
      </c>
      <c r="G185" s="200" t="s">
        <v>296</v>
      </c>
      <c r="H185" s="200" t="s">
        <v>482</v>
      </c>
      <c r="I185" s="200" t="s">
        <v>268</v>
      </c>
    </row>
    <row r="186" spans="2:9" ht="14.1" hidden="1">
      <c r="B186" s="199">
        <v>45698</v>
      </c>
      <c r="C186" s="202" t="s">
        <v>1209</v>
      </c>
      <c r="D186" s="200" t="s">
        <v>372</v>
      </c>
      <c r="E186" s="204">
        <v>-306</v>
      </c>
      <c r="F186" s="201">
        <v>45689</v>
      </c>
      <c r="G186" s="200" t="s">
        <v>296</v>
      </c>
      <c r="H186" s="200" t="s">
        <v>482</v>
      </c>
      <c r="I186" s="200" t="s">
        <v>268</v>
      </c>
    </row>
    <row r="187" spans="2:9" ht="14.1" hidden="1">
      <c r="B187" s="199">
        <v>45701</v>
      </c>
      <c r="C187" s="202" t="s">
        <v>1953</v>
      </c>
      <c r="D187" s="200" t="s">
        <v>372</v>
      </c>
      <c r="E187" s="204">
        <v>-78400</v>
      </c>
      <c r="F187" s="201">
        <v>45689</v>
      </c>
      <c r="G187" s="200" t="s">
        <v>256</v>
      </c>
      <c r="H187" s="200" t="s">
        <v>107</v>
      </c>
      <c r="I187" s="200" t="s">
        <v>777</v>
      </c>
    </row>
    <row r="188" spans="2:9" ht="14.1" hidden="1">
      <c r="B188" s="199">
        <v>45701</v>
      </c>
      <c r="C188" s="202" t="s">
        <v>1955</v>
      </c>
      <c r="D188" s="200" t="s">
        <v>372</v>
      </c>
      <c r="E188" s="204">
        <v>-105600</v>
      </c>
      <c r="F188" s="201">
        <v>45689</v>
      </c>
      <c r="G188" s="200" t="s">
        <v>256</v>
      </c>
      <c r="H188" s="200" t="s">
        <v>107</v>
      </c>
      <c r="I188" s="200" t="s">
        <v>777</v>
      </c>
    </row>
    <row r="189" spans="2:9" ht="14.1" hidden="1">
      <c r="B189" s="199">
        <v>45701</v>
      </c>
      <c r="C189" s="202" t="s">
        <v>1957</v>
      </c>
      <c r="D189" s="200" t="s">
        <v>372</v>
      </c>
      <c r="E189" s="204">
        <v>-1704</v>
      </c>
      <c r="F189" s="201">
        <v>45689</v>
      </c>
      <c r="G189" s="200" t="s">
        <v>296</v>
      </c>
      <c r="H189" s="200" t="s">
        <v>337</v>
      </c>
      <c r="I189" s="200" t="s">
        <v>421</v>
      </c>
    </row>
    <row r="190" spans="2:9" ht="14.1" hidden="1">
      <c r="B190" s="199">
        <v>45701</v>
      </c>
      <c r="C190" s="202" t="s">
        <v>1959</v>
      </c>
      <c r="D190" s="200" t="s">
        <v>372</v>
      </c>
      <c r="E190" s="204">
        <v>-3378</v>
      </c>
      <c r="F190" s="201">
        <v>45689</v>
      </c>
      <c r="G190" s="200" t="s">
        <v>296</v>
      </c>
      <c r="H190" s="200" t="s">
        <v>411</v>
      </c>
      <c r="I190" s="200" t="s">
        <v>350</v>
      </c>
    </row>
    <row r="191" spans="2:9" ht="14.1" hidden="1">
      <c r="B191" s="199">
        <v>45701</v>
      </c>
      <c r="C191" s="202" t="s">
        <v>1963</v>
      </c>
      <c r="D191" s="200" t="s">
        <v>372</v>
      </c>
      <c r="E191" s="204">
        <v>-429000</v>
      </c>
      <c r="F191" s="201">
        <v>45689</v>
      </c>
      <c r="G191" s="200" t="s">
        <v>296</v>
      </c>
      <c r="H191" s="200" t="s">
        <v>328</v>
      </c>
      <c r="I191" s="200" t="s">
        <v>1962</v>
      </c>
    </row>
    <row r="192" spans="2:9" ht="14.1" hidden="1">
      <c r="B192" s="199">
        <v>45701</v>
      </c>
      <c r="C192" s="202" t="s">
        <v>1963</v>
      </c>
      <c r="D192" s="200" t="s">
        <v>372</v>
      </c>
      <c r="E192" s="204">
        <v>-176000</v>
      </c>
      <c r="F192" s="201">
        <v>45689</v>
      </c>
      <c r="G192" s="200" t="s">
        <v>296</v>
      </c>
      <c r="H192" s="200" t="s">
        <v>482</v>
      </c>
      <c r="I192" s="200" t="s">
        <v>1962</v>
      </c>
    </row>
    <row r="193" spans="2:9" ht="14.1" hidden="1">
      <c r="B193" s="199">
        <v>45701</v>
      </c>
      <c r="C193" s="202" t="s">
        <v>1963</v>
      </c>
      <c r="D193" s="200" t="s">
        <v>372</v>
      </c>
      <c r="E193" s="204">
        <v>-143000</v>
      </c>
      <c r="F193" s="201">
        <v>45689</v>
      </c>
      <c r="G193" s="200" t="s">
        <v>296</v>
      </c>
      <c r="H193" s="200" t="s">
        <v>390</v>
      </c>
      <c r="I193" s="200" t="s">
        <v>1962</v>
      </c>
    </row>
    <row r="194" spans="2:9" ht="14.1" hidden="1">
      <c r="B194" s="199">
        <v>45701</v>
      </c>
      <c r="C194" s="202" t="s">
        <v>1970</v>
      </c>
      <c r="D194" s="200" t="s">
        <v>372</v>
      </c>
      <c r="E194" s="204">
        <v>-51600</v>
      </c>
      <c r="F194" s="201">
        <v>45689</v>
      </c>
      <c r="G194" s="200" t="s">
        <v>296</v>
      </c>
      <c r="H194" s="200" t="s">
        <v>453</v>
      </c>
      <c r="I194" s="200" t="s">
        <v>97</v>
      </c>
    </row>
    <row r="195" spans="2:9" ht="14.1" hidden="1">
      <c r="B195" s="199">
        <v>45701</v>
      </c>
      <c r="C195" s="202" t="s">
        <v>1972</v>
      </c>
      <c r="D195" s="200" t="s">
        <v>372</v>
      </c>
      <c r="E195" s="204">
        <v>-27000</v>
      </c>
      <c r="F195" s="201">
        <v>45689</v>
      </c>
      <c r="G195" s="200" t="s">
        <v>296</v>
      </c>
      <c r="H195" s="200" t="s">
        <v>522</v>
      </c>
      <c r="I195" s="200" t="s">
        <v>490</v>
      </c>
    </row>
    <row r="196" spans="2:9" ht="14.1" hidden="1">
      <c r="B196" s="199">
        <v>45701</v>
      </c>
      <c r="C196" s="202" t="s">
        <v>1973</v>
      </c>
      <c r="D196" s="200" t="s">
        <v>372</v>
      </c>
      <c r="E196" s="204">
        <v>-16200</v>
      </c>
      <c r="F196" s="201">
        <v>45689</v>
      </c>
      <c r="G196" s="200" t="s">
        <v>296</v>
      </c>
      <c r="H196" s="200" t="s">
        <v>522</v>
      </c>
      <c r="I196" s="200" t="s">
        <v>490</v>
      </c>
    </row>
    <row r="197" spans="2:9" ht="14.1" hidden="1">
      <c r="B197" s="199">
        <v>45701</v>
      </c>
      <c r="C197" s="202" t="s">
        <v>1977</v>
      </c>
      <c r="D197" s="200" t="s">
        <v>372</v>
      </c>
      <c r="E197" s="204">
        <v>-3240</v>
      </c>
      <c r="F197" s="201">
        <v>45689</v>
      </c>
      <c r="G197" s="200" t="s">
        <v>296</v>
      </c>
      <c r="H197" s="200" t="s">
        <v>328</v>
      </c>
      <c r="I197" s="200" t="s">
        <v>268</v>
      </c>
    </row>
    <row r="198" spans="2:9" ht="14.1" hidden="1">
      <c r="B198" s="199">
        <v>45701</v>
      </c>
      <c r="C198" s="202" t="s">
        <v>1978</v>
      </c>
      <c r="D198" s="200" t="s">
        <v>372</v>
      </c>
      <c r="E198" s="204">
        <v>-1944</v>
      </c>
      <c r="F198" s="201">
        <v>45689</v>
      </c>
      <c r="G198" s="200" t="s">
        <v>296</v>
      </c>
      <c r="H198" s="200" t="s">
        <v>328</v>
      </c>
      <c r="I198" s="200" t="s">
        <v>268</v>
      </c>
    </row>
    <row r="199" spans="2:9" ht="14.1" hidden="1">
      <c r="B199" s="199">
        <v>45705</v>
      </c>
      <c r="C199" s="202" t="s">
        <v>2122</v>
      </c>
      <c r="D199" s="200" t="s">
        <v>372</v>
      </c>
      <c r="E199" s="204">
        <v>-24500</v>
      </c>
      <c r="F199" s="201">
        <v>45689</v>
      </c>
      <c r="G199" s="200" t="s">
        <v>296</v>
      </c>
      <c r="H199" s="200" t="s">
        <v>411</v>
      </c>
      <c r="I199" s="200" t="s">
        <v>342</v>
      </c>
    </row>
    <row r="200" spans="2:9" ht="14.1" hidden="1">
      <c r="B200" s="199">
        <v>45705</v>
      </c>
      <c r="C200" s="202" t="s">
        <v>2124</v>
      </c>
      <c r="D200" s="200" t="s">
        <v>372</v>
      </c>
      <c r="E200" s="204">
        <v>-252000</v>
      </c>
      <c r="F200" s="201">
        <v>45689</v>
      </c>
      <c r="G200" s="200" t="s">
        <v>256</v>
      </c>
      <c r="H200" s="200" t="s">
        <v>256</v>
      </c>
      <c r="I200" s="200" t="s">
        <v>257</v>
      </c>
    </row>
    <row r="201" spans="2:9" ht="14.1" hidden="1">
      <c r="B201" s="199">
        <v>45705</v>
      </c>
      <c r="C201" s="202" t="s">
        <v>2126</v>
      </c>
      <c r="D201" s="200" t="s">
        <v>372</v>
      </c>
      <c r="E201" s="204">
        <v>-127756</v>
      </c>
      <c r="F201" s="201">
        <v>45689</v>
      </c>
      <c r="G201" s="200" t="s">
        <v>296</v>
      </c>
      <c r="H201" s="200" t="s">
        <v>522</v>
      </c>
      <c r="I201" s="200" t="s">
        <v>1079</v>
      </c>
    </row>
    <row r="202" spans="2:9" ht="14.1" hidden="1">
      <c r="B202" s="199">
        <v>45705</v>
      </c>
      <c r="C202" s="202" t="s">
        <v>2127</v>
      </c>
      <c r="D202" s="200" t="s">
        <v>372</v>
      </c>
      <c r="E202" s="204">
        <v>-38327</v>
      </c>
      <c r="F202" s="201">
        <v>45689</v>
      </c>
      <c r="G202" s="200" t="s">
        <v>296</v>
      </c>
      <c r="H202" s="200" t="s">
        <v>522</v>
      </c>
      <c r="I202" s="200" t="s">
        <v>1079</v>
      </c>
    </row>
    <row r="203" spans="2:9" ht="14.1" hidden="1">
      <c r="B203" s="199">
        <v>45705</v>
      </c>
      <c r="C203" s="202" t="s">
        <v>2129</v>
      </c>
      <c r="D203" s="200" t="s">
        <v>372</v>
      </c>
      <c r="E203" s="204">
        <v>-148238</v>
      </c>
      <c r="F203" s="201">
        <v>45689</v>
      </c>
      <c r="G203" s="200" t="s">
        <v>296</v>
      </c>
      <c r="H203" s="200" t="s">
        <v>522</v>
      </c>
      <c r="I203" s="200" t="s">
        <v>488</v>
      </c>
    </row>
    <row r="204" spans="2:9" ht="14.1" hidden="1">
      <c r="B204" s="199">
        <v>45705</v>
      </c>
      <c r="C204" s="202" t="s">
        <v>2133</v>
      </c>
      <c r="D204" s="200" t="s">
        <v>372</v>
      </c>
      <c r="E204" s="204">
        <v>-13299</v>
      </c>
      <c r="F204" s="201">
        <v>45689</v>
      </c>
      <c r="G204" s="200" t="s">
        <v>296</v>
      </c>
      <c r="H204" s="200" t="s">
        <v>522</v>
      </c>
      <c r="I204" s="200" t="s">
        <v>446</v>
      </c>
    </row>
    <row r="205" spans="2:9" ht="14.1" hidden="1">
      <c r="B205" s="199">
        <v>45705</v>
      </c>
      <c r="C205" s="202" t="s">
        <v>2133</v>
      </c>
      <c r="D205" s="200" t="s">
        <v>372</v>
      </c>
      <c r="E205" s="204">
        <v>-13299</v>
      </c>
      <c r="F205" s="201">
        <v>45689</v>
      </c>
      <c r="G205" s="200" t="s">
        <v>296</v>
      </c>
      <c r="H205" s="200" t="s">
        <v>44</v>
      </c>
      <c r="I205" s="200" t="s">
        <v>446</v>
      </c>
    </row>
    <row r="206" spans="2:9" ht="14.1" hidden="1">
      <c r="B206" s="199">
        <v>45705</v>
      </c>
      <c r="C206" s="202" t="s">
        <v>2133</v>
      </c>
      <c r="D206" s="200" t="s">
        <v>372</v>
      </c>
      <c r="E206" s="204">
        <v>-13299</v>
      </c>
      <c r="F206" s="201">
        <v>45689</v>
      </c>
      <c r="G206" s="200" t="s">
        <v>296</v>
      </c>
      <c r="H206" s="200" t="s">
        <v>337</v>
      </c>
      <c r="I206" s="200" t="s">
        <v>446</v>
      </c>
    </row>
    <row r="207" spans="2:9" ht="14.1" hidden="1">
      <c r="B207" s="199">
        <v>45705</v>
      </c>
      <c r="C207" s="202" t="s">
        <v>2136</v>
      </c>
      <c r="D207" s="200" t="s">
        <v>372</v>
      </c>
      <c r="E207" s="204">
        <v>-1887</v>
      </c>
      <c r="F207" s="201">
        <v>45689</v>
      </c>
      <c r="G207" s="200" t="s">
        <v>296</v>
      </c>
      <c r="H207" s="200" t="s">
        <v>328</v>
      </c>
      <c r="I207" s="200" t="s">
        <v>350</v>
      </c>
    </row>
    <row r="208" spans="2:9" ht="14.1" hidden="1">
      <c r="B208" s="199">
        <v>45707</v>
      </c>
      <c r="C208" s="202" t="s">
        <v>2142</v>
      </c>
      <c r="D208" s="200" t="s">
        <v>372</v>
      </c>
      <c r="E208" s="204">
        <v>-1008</v>
      </c>
      <c r="F208" s="201">
        <v>45689</v>
      </c>
      <c r="G208" s="200" t="s">
        <v>296</v>
      </c>
      <c r="H208" s="200" t="s">
        <v>411</v>
      </c>
      <c r="I208" s="200" t="s">
        <v>350</v>
      </c>
    </row>
    <row r="209" spans="2:9" ht="14.1" hidden="1">
      <c r="B209" s="199">
        <v>45707</v>
      </c>
      <c r="C209" s="202" t="s">
        <v>2143</v>
      </c>
      <c r="D209" s="200" t="s">
        <v>372</v>
      </c>
      <c r="E209" s="204">
        <v>-242</v>
      </c>
      <c r="F209" s="201">
        <v>45689</v>
      </c>
      <c r="G209" s="200" t="s">
        <v>296</v>
      </c>
      <c r="H209" s="200" t="s">
        <v>411</v>
      </c>
      <c r="I209" s="200" t="s">
        <v>350</v>
      </c>
    </row>
    <row r="210" spans="2:9" ht="14.1" hidden="1">
      <c r="B210" s="199">
        <v>45707</v>
      </c>
      <c r="C210" s="202" t="s">
        <v>2142</v>
      </c>
      <c r="D210" s="200" t="s">
        <v>372</v>
      </c>
      <c r="E210" s="204">
        <v>-10992</v>
      </c>
      <c r="F210" s="201">
        <v>45689</v>
      </c>
      <c r="G210" s="200" t="s">
        <v>296</v>
      </c>
      <c r="H210" s="200" t="s">
        <v>984</v>
      </c>
      <c r="I210" s="200" t="s">
        <v>350</v>
      </c>
    </row>
    <row r="211" spans="2:9" ht="14.1" hidden="1">
      <c r="B211" s="199">
        <v>45707</v>
      </c>
      <c r="C211" s="202" t="s">
        <v>2143</v>
      </c>
      <c r="D211" s="200" t="s">
        <v>372</v>
      </c>
      <c r="E211" s="204">
        <v>-2638</v>
      </c>
      <c r="F211" s="201">
        <v>45689</v>
      </c>
      <c r="G211" s="200" t="s">
        <v>296</v>
      </c>
      <c r="H211" s="200" t="s">
        <v>984</v>
      </c>
      <c r="I211" s="200" t="s">
        <v>350</v>
      </c>
    </row>
    <row r="212" spans="2:9" ht="14.1" hidden="1">
      <c r="B212" s="199">
        <v>45707</v>
      </c>
      <c r="C212" s="202" t="s">
        <v>2145</v>
      </c>
      <c r="D212" s="200" t="s">
        <v>372</v>
      </c>
      <c r="E212" s="204">
        <v>-11052</v>
      </c>
      <c r="F212" s="201">
        <v>45689</v>
      </c>
      <c r="G212" s="200" t="s">
        <v>296</v>
      </c>
      <c r="H212" s="200" t="s">
        <v>984</v>
      </c>
      <c r="I212" s="200" t="s">
        <v>350</v>
      </c>
    </row>
    <row r="213" spans="2:9" ht="14.1" hidden="1">
      <c r="B213" s="199">
        <v>45707</v>
      </c>
      <c r="C213" s="202" t="s">
        <v>2146</v>
      </c>
      <c r="D213" s="200" t="s">
        <v>372</v>
      </c>
      <c r="E213" s="204">
        <v>-2653</v>
      </c>
      <c r="F213" s="201">
        <v>45689</v>
      </c>
      <c r="G213" s="200" t="s">
        <v>296</v>
      </c>
      <c r="H213" s="200" t="s">
        <v>984</v>
      </c>
      <c r="I213" s="200" t="s">
        <v>350</v>
      </c>
    </row>
    <row r="214" spans="2:9" ht="14.1" hidden="1">
      <c r="B214" s="199">
        <v>45707</v>
      </c>
      <c r="C214" s="202" t="s">
        <v>2148</v>
      </c>
      <c r="D214" s="200" t="s">
        <v>372</v>
      </c>
      <c r="E214" s="204">
        <v>-5294</v>
      </c>
      <c r="F214" s="201">
        <v>45689</v>
      </c>
      <c r="G214" s="200" t="s">
        <v>296</v>
      </c>
      <c r="H214" s="200" t="s">
        <v>411</v>
      </c>
      <c r="I214" s="200" t="s">
        <v>350</v>
      </c>
    </row>
    <row r="215" spans="2:9" ht="14.1" hidden="1">
      <c r="B215" s="199">
        <v>45707</v>
      </c>
      <c r="C215" s="202" t="s">
        <v>2149</v>
      </c>
      <c r="D215" s="200" t="s">
        <v>372</v>
      </c>
      <c r="E215" s="204">
        <v>-1271</v>
      </c>
      <c r="F215" s="201">
        <v>45689</v>
      </c>
      <c r="G215" s="200" t="s">
        <v>296</v>
      </c>
      <c r="H215" s="200" t="s">
        <v>411</v>
      </c>
      <c r="I215" s="200" t="s">
        <v>350</v>
      </c>
    </row>
    <row r="216" spans="2:9" ht="14.1" hidden="1">
      <c r="B216" s="199">
        <v>45707</v>
      </c>
      <c r="C216" s="202" t="s">
        <v>2148</v>
      </c>
      <c r="D216" s="200" t="s">
        <v>372</v>
      </c>
      <c r="E216" s="204">
        <v>-5829</v>
      </c>
      <c r="F216" s="201">
        <v>45689</v>
      </c>
      <c r="G216" s="200" t="s">
        <v>296</v>
      </c>
      <c r="H216" s="200" t="s">
        <v>984</v>
      </c>
      <c r="I216" s="200" t="s">
        <v>350</v>
      </c>
    </row>
    <row r="217" spans="2:9" ht="14.1" hidden="1">
      <c r="B217" s="199">
        <v>45707</v>
      </c>
      <c r="C217" s="202" t="s">
        <v>2149</v>
      </c>
      <c r="D217" s="200" t="s">
        <v>372</v>
      </c>
      <c r="E217" s="204">
        <v>-1399</v>
      </c>
      <c r="F217" s="201">
        <v>45689</v>
      </c>
      <c r="G217" s="200" t="s">
        <v>296</v>
      </c>
      <c r="H217" s="200" t="s">
        <v>984</v>
      </c>
      <c r="I217" s="200" t="s">
        <v>350</v>
      </c>
    </row>
    <row r="218" spans="2:9" ht="14.1" hidden="1">
      <c r="B218" s="199">
        <v>45707</v>
      </c>
      <c r="C218" s="202" t="s">
        <v>2151</v>
      </c>
      <c r="D218" s="200" t="s">
        <v>372</v>
      </c>
      <c r="E218" s="204">
        <v>-10566</v>
      </c>
      <c r="F218" s="201">
        <v>45689</v>
      </c>
      <c r="G218" s="200" t="s">
        <v>296</v>
      </c>
      <c r="H218" s="200" t="s">
        <v>984</v>
      </c>
      <c r="I218" s="200" t="s">
        <v>350</v>
      </c>
    </row>
    <row r="219" spans="2:9" ht="14.1" hidden="1">
      <c r="B219" s="199">
        <v>45707</v>
      </c>
      <c r="C219" s="202" t="s">
        <v>2152</v>
      </c>
      <c r="D219" s="200" t="s">
        <v>372</v>
      </c>
      <c r="E219" s="204">
        <v>-2536</v>
      </c>
      <c r="F219" s="201">
        <v>45689</v>
      </c>
      <c r="G219" s="200" t="s">
        <v>296</v>
      </c>
      <c r="H219" s="200" t="s">
        <v>984</v>
      </c>
      <c r="I219" s="200" t="s">
        <v>350</v>
      </c>
    </row>
    <row r="220" spans="2:9" ht="14.1" hidden="1">
      <c r="B220" s="199">
        <v>45707</v>
      </c>
      <c r="C220" s="202" t="s">
        <v>2160</v>
      </c>
      <c r="D220" s="200" t="s">
        <v>372</v>
      </c>
      <c r="E220" s="204">
        <v>-385638</v>
      </c>
      <c r="F220" s="201">
        <v>45689</v>
      </c>
      <c r="G220" s="200" t="s">
        <v>296</v>
      </c>
      <c r="H220" s="200" t="s">
        <v>1124</v>
      </c>
      <c r="I220" s="200" t="s">
        <v>379</v>
      </c>
    </row>
    <row r="221" spans="2:9" ht="14.1" hidden="1">
      <c r="B221" s="199">
        <v>45707</v>
      </c>
      <c r="C221" s="202" t="s">
        <v>2169</v>
      </c>
      <c r="D221" s="200" t="s">
        <v>372</v>
      </c>
      <c r="E221" s="204">
        <v>-35365</v>
      </c>
      <c r="F221" s="201">
        <v>45689</v>
      </c>
      <c r="G221" s="200" t="s">
        <v>296</v>
      </c>
      <c r="H221" s="200" t="s">
        <v>337</v>
      </c>
      <c r="I221" s="200" t="s">
        <v>366</v>
      </c>
    </row>
    <row r="222" spans="2:9" ht="14.1" hidden="1">
      <c r="B222" s="199">
        <v>45708</v>
      </c>
      <c r="C222" s="202" t="s">
        <v>2195</v>
      </c>
      <c r="D222" s="200" t="s">
        <v>372</v>
      </c>
      <c r="E222" s="204">
        <v>-812250</v>
      </c>
      <c r="F222" s="201">
        <v>45689</v>
      </c>
      <c r="G222" s="200" t="s">
        <v>297</v>
      </c>
      <c r="H222" s="200" t="s">
        <v>311</v>
      </c>
      <c r="I222" s="200" t="s">
        <v>839</v>
      </c>
    </row>
    <row r="223" spans="2:9" ht="14.1" hidden="1">
      <c r="B223" s="199">
        <v>45708</v>
      </c>
      <c r="C223" s="202" t="s">
        <v>2195</v>
      </c>
      <c r="D223" s="200" t="s">
        <v>372</v>
      </c>
      <c r="E223" s="204">
        <v>-6700</v>
      </c>
      <c r="F223" s="201">
        <v>45689</v>
      </c>
      <c r="G223" s="200" t="s">
        <v>297</v>
      </c>
      <c r="H223" s="200" t="s">
        <v>311</v>
      </c>
      <c r="I223" s="200" t="s">
        <v>839</v>
      </c>
    </row>
    <row r="224" spans="2:9" ht="14.1" hidden="1">
      <c r="B224" s="199">
        <v>45708</v>
      </c>
      <c r="C224" s="202" t="s">
        <v>2198</v>
      </c>
      <c r="D224" s="200" t="s">
        <v>372</v>
      </c>
      <c r="E224" s="204">
        <v>-307800</v>
      </c>
      <c r="F224" s="201">
        <v>45689</v>
      </c>
      <c r="G224" s="200" t="s">
        <v>296</v>
      </c>
      <c r="H224" s="200" t="s">
        <v>44</v>
      </c>
      <c r="I224" s="200" t="s">
        <v>488</v>
      </c>
    </row>
    <row r="225" spans="2:9" ht="14.1" hidden="1">
      <c r="B225" s="199">
        <v>45708</v>
      </c>
      <c r="C225" s="202" t="s">
        <v>2199</v>
      </c>
      <c r="D225" s="200" t="s">
        <v>372</v>
      </c>
      <c r="E225" s="204">
        <v>-92340</v>
      </c>
      <c r="F225" s="201">
        <v>45689</v>
      </c>
      <c r="G225" s="200" t="s">
        <v>296</v>
      </c>
      <c r="H225" s="200" t="s">
        <v>44</v>
      </c>
      <c r="I225" s="200" t="s">
        <v>488</v>
      </c>
    </row>
    <row r="226" spans="2:9" ht="14.1" hidden="1">
      <c r="B226" s="199">
        <v>45706</v>
      </c>
      <c r="C226" s="202" t="s">
        <v>1925</v>
      </c>
      <c r="D226" s="200" t="s">
        <v>372</v>
      </c>
      <c r="E226" s="204">
        <v>-10840</v>
      </c>
      <c r="F226" s="201">
        <v>45689</v>
      </c>
      <c r="G226" s="200" t="s">
        <v>296</v>
      </c>
      <c r="H226" s="200" t="s">
        <v>337</v>
      </c>
      <c r="I226" s="200" t="s">
        <v>326</v>
      </c>
    </row>
    <row r="227" spans="2:9" ht="14.1" hidden="1">
      <c r="B227" s="199">
        <v>45706</v>
      </c>
      <c r="C227" s="202" t="s">
        <v>1925</v>
      </c>
      <c r="D227" s="200" t="s">
        <v>372</v>
      </c>
      <c r="E227" s="204">
        <v>-6504</v>
      </c>
      <c r="F227" s="201">
        <v>45689</v>
      </c>
      <c r="G227" s="200" t="s">
        <v>296</v>
      </c>
      <c r="H227" s="200" t="s">
        <v>337</v>
      </c>
      <c r="I227" s="200" t="s">
        <v>326</v>
      </c>
    </row>
    <row r="228" spans="2:9" ht="14.1" hidden="1">
      <c r="B228" s="199">
        <v>45708</v>
      </c>
      <c r="C228" s="202" t="s">
        <v>327</v>
      </c>
      <c r="D228" s="200" t="s">
        <v>372</v>
      </c>
      <c r="E228" s="204">
        <v>-2850</v>
      </c>
      <c r="F228" s="201">
        <v>45689</v>
      </c>
      <c r="G228" s="200" t="s">
        <v>395</v>
      </c>
      <c r="H228" s="200" t="s">
        <v>395</v>
      </c>
      <c r="I228" s="200" t="s">
        <v>268</v>
      </c>
    </row>
    <row r="229" spans="2:9" ht="14.1" hidden="1">
      <c r="B229" s="199">
        <v>45708</v>
      </c>
      <c r="C229" s="202" t="s">
        <v>327</v>
      </c>
      <c r="D229" s="200" t="s">
        <v>372</v>
      </c>
      <c r="E229" s="204">
        <v>-1710</v>
      </c>
      <c r="F229" s="201">
        <v>45689</v>
      </c>
      <c r="G229" s="200" t="s">
        <v>395</v>
      </c>
      <c r="H229" s="200" t="s">
        <v>395</v>
      </c>
      <c r="I229" s="200" t="s">
        <v>268</v>
      </c>
    </row>
    <row r="230" spans="2:9" ht="14.1" hidden="1">
      <c r="B230" s="199">
        <v>45713</v>
      </c>
      <c r="C230" s="202" t="s">
        <v>2525</v>
      </c>
      <c r="D230" s="200" t="s">
        <v>372</v>
      </c>
      <c r="E230" s="204">
        <v>-26114</v>
      </c>
      <c r="F230" s="201">
        <v>45689</v>
      </c>
      <c r="G230" s="200" t="s">
        <v>296</v>
      </c>
      <c r="H230" s="200" t="s">
        <v>337</v>
      </c>
      <c r="I230" s="200" t="s">
        <v>446</v>
      </c>
    </row>
    <row r="231" spans="2:9" ht="14.1" hidden="1">
      <c r="B231" s="199">
        <v>45713</v>
      </c>
      <c r="C231" s="202" t="s">
        <v>2525</v>
      </c>
      <c r="D231" s="200" t="s">
        <v>372</v>
      </c>
      <c r="E231" s="204">
        <v>-26114</v>
      </c>
      <c r="F231" s="201">
        <v>45689</v>
      </c>
      <c r="G231" s="200" t="s">
        <v>296</v>
      </c>
      <c r="H231" s="200" t="s">
        <v>522</v>
      </c>
      <c r="I231" s="200" t="s">
        <v>446</v>
      </c>
    </row>
    <row r="232" spans="2:9" ht="14.1" hidden="1">
      <c r="B232" s="199">
        <v>45713</v>
      </c>
      <c r="C232" s="202" t="s">
        <v>2525</v>
      </c>
      <c r="D232" s="200" t="s">
        <v>372</v>
      </c>
      <c r="E232" s="204">
        <v>-26114</v>
      </c>
      <c r="F232" s="201">
        <v>45689</v>
      </c>
      <c r="G232" s="200" t="s">
        <v>296</v>
      </c>
      <c r="H232" s="200" t="s">
        <v>44</v>
      </c>
      <c r="I232" s="200" t="s">
        <v>446</v>
      </c>
    </row>
    <row r="233" spans="2:9" ht="14.1" hidden="1">
      <c r="B233" s="199">
        <v>45715</v>
      </c>
      <c r="C233" s="202" t="s">
        <v>2592</v>
      </c>
      <c r="D233" s="200" t="s">
        <v>372</v>
      </c>
      <c r="E233" s="204">
        <v>-30800</v>
      </c>
      <c r="F233" s="201">
        <v>45689</v>
      </c>
      <c r="G233" s="200" t="s">
        <v>256</v>
      </c>
      <c r="H233" s="200" t="s">
        <v>256</v>
      </c>
      <c r="I233" s="200" t="s">
        <v>269</v>
      </c>
    </row>
    <row r="234" spans="2:9" ht="14.1" hidden="1">
      <c r="B234" s="199">
        <v>45715</v>
      </c>
      <c r="C234" s="202" t="s">
        <v>2593</v>
      </c>
      <c r="D234" s="200" t="s">
        <v>372</v>
      </c>
      <c r="E234" s="204">
        <v>-5280</v>
      </c>
      <c r="F234" s="201">
        <v>45689</v>
      </c>
      <c r="G234" s="200" t="s">
        <v>256</v>
      </c>
      <c r="H234" s="200" t="s">
        <v>256</v>
      </c>
      <c r="I234" s="200" t="s">
        <v>269</v>
      </c>
    </row>
    <row r="235" spans="2:9" ht="14.1" hidden="1">
      <c r="B235" s="199">
        <v>45713</v>
      </c>
      <c r="C235" s="202" t="s">
        <v>2602</v>
      </c>
      <c r="D235" s="200" t="s">
        <v>372</v>
      </c>
      <c r="E235" s="204">
        <v>-8042</v>
      </c>
      <c r="F235" s="201">
        <v>45689</v>
      </c>
      <c r="G235" s="200" t="s">
        <v>296</v>
      </c>
      <c r="H235" s="200" t="s">
        <v>984</v>
      </c>
      <c r="I235" s="200" t="s">
        <v>350</v>
      </c>
    </row>
    <row r="236" spans="2:9" ht="14.1" hidden="1">
      <c r="B236" s="199">
        <v>45713</v>
      </c>
      <c r="C236" s="202" t="s">
        <v>2603</v>
      </c>
      <c r="D236" s="200" t="s">
        <v>372</v>
      </c>
      <c r="E236" s="204">
        <v>-1930</v>
      </c>
      <c r="F236" s="201">
        <v>45689</v>
      </c>
      <c r="G236" s="200" t="s">
        <v>296</v>
      </c>
      <c r="H236" s="200" t="s">
        <v>984</v>
      </c>
      <c r="I236" s="200" t="s">
        <v>350</v>
      </c>
    </row>
    <row r="237" spans="2:9" ht="14.1" hidden="1">
      <c r="B237" s="199">
        <v>45713</v>
      </c>
      <c r="C237" s="202" t="s">
        <v>2602</v>
      </c>
      <c r="D237" s="200" t="s">
        <v>372</v>
      </c>
      <c r="E237" s="204">
        <v>-164</v>
      </c>
      <c r="F237" s="201">
        <v>45689</v>
      </c>
      <c r="G237" s="200" t="s">
        <v>296</v>
      </c>
      <c r="H237" s="200" t="s">
        <v>328</v>
      </c>
      <c r="I237" s="200" t="s">
        <v>350</v>
      </c>
    </row>
    <row r="238" spans="2:9" ht="14.1" hidden="1">
      <c r="B238" s="199">
        <v>45713</v>
      </c>
      <c r="C238" s="202" t="s">
        <v>2603</v>
      </c>
      <c r="D238" s="200" t="s">
        <v>372</v>
      </c>
      <c r="E238" s="204">
        <v>-39</v>
      </c>
      <c r="F238" s="201">
        <v>45689</v>
      </c>
      <c r="G238" s="200" t="s">
        <v>296</v>
      </c>
      <c r="H238" s="200" t="s">
        <v>328</v>
      </c>
      <c r="I238" s="200" t="s">
        <v>350</v>
      </c>
    </row>
    <row r="239" spans="2:9" ht="14.1" hidden="1">
      <c r="B239" s="199">
        <v>45713</v>
      </c>
      <c r="C239" s="202" t="s">
        <v>2602</v>
      </c>
      <c r="D239" s="200" t="s">
        <v>372</v>
      </c>
      <c r="E239" s="204">
        <v>-1155</v>
      </c>
      <c r="F239" s="201">
        <v>45689</v>
      </c>
      <c r="G239" s="200" t="s">
        <v>297</v>
      </c>
      <c r="H239" s="200" t="s">
        <v>1313</v>
      </c>
      <c r="I239" s="200" t="s">
        <v>350</v>
      </c>
    </row>
    <row r="240" spans="2:9" ht="14.1" hidden="1">
      <c r="B240" s="199">
        <v>45713</v>
      </c>
      <c r="C240" s="202" t="s">
        <v>2603</v>
      </c>
      <c r="D240" s="200" t="s">
        <v>372</v>
      </c>
      <c r="E240" s="204">
        <v>-277</v>
      </c>
      <c r="F240" s="201">
        <v>45689</v>
      </c>
      <c r="G240" s="200" t="s">
        <v>297</v>
      </c>
      <c r="H240" s="200" t="s">
        <v>1313</v>
      </c>
      <c r="I240" s="200" t="s">
        <v>350</v>
      </c>
    </row>
    <row r="241" spans="2:9" ht="14.1" hidden="1">
      <c r="B241" s="199">
        <v>45713</v>
      </c>
      <c r="C241" s="202" t="s">
        <v>2605</v>
      </c>
      <c r="D241" s="200" t="s">
        <v>372</v>
      </c>
      <c r="E241" s="204">
        <v>-3471</v>
      </c>
      <c r="F241" s="201">
        <v>45689</v>
      </c>
      <c r="G241" s="200" t="s">
        <v>296</v>
      </c>
      <c r="H241" s="200" t="s">
        <v>328</v>
      </c>
      <c r="I241" s="200" t="s">
        <v>350</v>
      </c>
    </row>
    <row r="242" spans="2:9" ht="14.1" hidden="1">
      <c r="B242" s="199">
        <v>45713</v>
      </c>
      <c r="C242" s="202" t="s">
        <v>2606</v>
      </c>
      <c r="D242" s="200" t="s">
        <v>372</v>
      </c>
      <c r="E242" s="204">
        <v>-833</v>
      </c>
      <c r="F242" s="201">
        <v>45689</v>
      </c>
      <c r="G242" s="200" t="s">
        <v>296</v>
      </c>
      <c r="H242" s="200" t="s">
        <v>328</v>
      </c>
      <c r="I242" s="200" t="s">
        <v>350</v>
      </c>
    </row>
    <row r="243" spans="2:9" ht="14.1" hidden="1">
      <c r="B243" s="199">
        <v>45713</v>
      </c>
      <c r="C243" s="202" t="s">
        <v>2605</v>
      </c>
      <c r="D243" s="200" t="s">
        <v>372</v>
      </c>
      <c r="E243" s="204">
        <v>-428</v>
      </c>
      <c r="F243" s="201">
        <v>45689</v>
      </c>
      <c r="G243" s="200" t="s">
        <v>297</v>
      </c>
      <c r="H243" s="200" t="s">
        <v>1313</v>
      </c>
      <c r="I243" s="200" t="s">
        <v>350</v>
      </c>
    </row>
    <row r="244" spans="2:9" ht="14.1" hidden="1">
      <c r="B244" s="199">
        <v>45713</v>
      </c>
      <c r="C244" s="202" t="s">
        <v>2606</v>
      </c>
      <c r="D244" s="200" t="s">
        <v>372</v>
      </c>
      <c r="E244" s="204">
        <v>-103</v>
      </c>
      <c r="F244" s="201">
        <v>45689</v>
      </c>
      <c r="G244" s="200" t="s">
        <v>297</v>
      </c>
      <c r="H244" s="200" t="s">
        <v>1313</v>
      </c>
      <c r="I244" s="200" t="s">
        <v>350</v>
      </c>
    </row>
    <row r="245" spans="2:9" ht="14.1" hidden="1">
      <c r="B245" s="199">
        <v>45713</v>
      </c>
      <c r="C245" s="202" t="s">
        <v>2605</v>
      </c>
      <c r="D245" s="200" t="s">
        <v>372</v>
      </c>
      <c r="E245" s="204">
        <v>-21991</v>
      </c>
      <c r="F245" s="201">
        <v>45689</v>
      </c>
      <c r="G245" s="200" t="s">
        <v>296</v>
      </c>
      <c r="H245" s="200" t="s">
        <v>411</v>
      </c>
      <c r="I245" s="200" t="s">
        <v>350</v>
      </c>
    </row>
    <row r="246" spans="2:9" ht="14.1" hidden="1">
      <c r="B246" s="199">
        <v>45713</v>
      </c>
      <c r="C246" s="202" t="s">
        <v>2606</v>
      </c>
      <c r="D246" s="200" t="s">
        <v>372</v>
      </c>
      <c r="E246" s="204">
        <v>-5278</v>
      </c>
      <c r="F246" s="201">
        <v>45689</v>
      </c>
      <c r="G246" s="200" t="s">
        <v>296</v>
      </c>
      <c r="H246" s="200" t="s">
        <v>411</v>
      </c>
      <c r="I246" s="200" t="s">
        <v>350</v>
      </c>
    </row>
    <row r="247" spans="2:9" ht="14.1" hidden="1">
      <c r="B247" s="199">
        <v>45713</v>
      </c>
      <c r="C247" s="202" t="s">
        <v>2608</v>
      </c>
      <c r="D247" s="200" t="s">
        <v>372</v>
      </c>
      <c r="E247" s="204">
        <v>-9038</v>
      </c>
      <c r="F247" s="201">
        <v>45689</v>
      </c>
      <c r="G247" s="200" t="s">
        <v>296</v>
      </c>
      <c r="H247" s="200" t="s">
        <v>337</v>
      </c>
      <c r="I247" s="200" t="s">
        <v>429</v>
      </c>
    </row>
    <row r="248" spans="2:9" ht="14.1" hidden="1">
      <c r="B248" s="199">
        <v>45713</v>
      </c>
      <c r="C248" s="202" t="s">
        <v>2609</v>
      </c>
      <c r="D248" s="200" t="s">
        <v>372</v>
      </c>
      <c r="E248" s="204">
        <v>-2169</v>
      </c>
      <c r="F248" s="201">
        <v>45689</v>
      </c>
      <c r="G248" s="200" t="s">
        <v>296</v>
      </c>
      <c r="H248" s="200" t="s">
        <v>337</v>
      </c>
      <c r="I248" s="200" t="s">
        <v>429</v>
      </c>
    </row>
    <row r="249" spans="2:9" ht="14.1" hidden="1">
      <c r="B249" s="199">
        <v>45713</v>
      </c>
      <c r="C249" s="202" t="s">
        <v>2611</v>
      </c>
      <c r="D249" s="200" t="s">
        <v>372</v>
      </c>
      <c r="E249" s="204">
        <v>-4246</v>
      </c>
      <c r="F249" s="201">
        <v>45689</v>
      </c>
      <c r="G249" s="200" t="s">
        <v>296</v>
      </c>
      <c r="H249" s="200" t="s">
        <v>984</v>
      </c>
      <c r="I249" s="531" t="s">
        <v>379</v>
      </c>
    </row>
    <row r="250" spans="2:9" ht="14.1" hidden="1">
      <c r="B250" s="199">
        <v>45713</v>
      </c>
      <c r="C250" s="202" t="s">
        <v>2612</v>
      </c>
      <c r="D250" s="200" t="s">
        <v>372</v>
      </c>
      <c r="E250" s="204">
        <v>-1019</v>
      </c>
      <c r="F250" s="201">
        <v>45689</v>
      </c>
      <c r="G250" s="200" t="s">
        <v>296</v>
      </c>
      <c r="H250" s="200" t="s">
        <v>984</v>
      </c>
      <c r="I250" s="531" t="s">
        <v>379</v>
      </c>
    </row>
    <row r="251" spans="2:9" ht="14.1" hidden="1">
      <c r="B251" s="199">
        <v>45713</v>
      </c>
      <c r="C251" s="202" t="s">
        <v>2611</v>
      </c>
      <c r="D251" s="200" t="s">
        <v>372</v>
      </c>
      <c r="E251" s="204">
        <v>-29118</v>
      </c>
      <c r="F251" s="201">
        <v>45689</v>
      </c>
      <c r="G251" s="200" t="s">
        <v>296</v>
      </c>
      <c r="H251" s="200" t="s">
        <v>337</v>
      </c>
      <c r="I251" s="200" t="s">
        <v>366</v>
      </c>
    </row>
    <row r="252" spans="2:9" ht="14.1" hidden="1">
      <c r="B252" s="199">
        <v>45713</v>
      </c>
      <c r="C252" s="202" t="s">
        <v>2612</v>
      </c>
      <c r="D252" s="200" t="s">
        <v>372</v>
      </c>
      <c r="E252" s="204">
        <v>-6988</v>
      </c>
      <c r="F252" s="201">
        <v>45689</v>
      </c>
      <c r="G252" s="200" t="s">
        <v>296</v>
      </c>
      <c r="H252" s="200" t="s">
        <v>337</v>
      </c>
      <c r="I252" s="200" t="s">
        <v>366</v>
      </c>
    </row>
    <row r="253" spans="2:9" ht="14.1" hidden="1">
      <c r="B253" s="199">
        <v>45713</v>
      </c>
      <c r="C253" s="202" t="s">
        <v>2617</v>
      </c>
      <c r="D253" s="200" t="s">
        <v>372</v>
      </c>
      <c r="E253" s="204">
        <v>-5000</v>
      </c>
      <c r="F253" s="201">
        <v>45689</v>
      </c>
      <c r="G253" s="200" t="s">
        <v>296</v>
      </c>
      <c r="H253" s="200" t="s">
        <v>321</v>
      </c>
      <c r="I253" s="200" t="s">
        <v>322</v>
      </c>
    </row>
    <row r="254" spans="2:9" ht="14.1" hidden="1">
      <c r="B254" s="199">
        <v>45713</v>
      </c>
      <c r="C254" s="202" t="s">
        <v>2618</v>
      </c>
      <c r="D254" s="200" t="s">
        <v>372</v>
      </c>
      <c r="E254" s="204">
        <v>-3000</v>
      </c>
      <c r="F254" s="201">
        <v>45689</v>
      </c>
      <c r="G254" s="200" t="s">
        <v>296</v>
      </c>
      <c r="H254" s="200" t="s">
        <v>44</v>
      </c>
      <c r="I254" s="200" t="s">
        <v>322</v>
      </c>
    </row>
    <row r="255" spans="2:9" ht="14.1" hidden="1">
      <c r="B255" s="199">
        <v>45713</v>
      </c>
      <c r="C255" s="202" t="s">
        <v>2620</v>
      </c>
      <c r="D255" s="200" t="s">
        <v>372</v>
      </c>
      <c r="E255" s="204">
        <v>-45000</v>
      </c>
      <c r="F255" s="201">
        <v>45689</v>
      </c>
      <c r="G255" s="200" t="s">
        <v>296</v>
      </c>
      <c r="H255" s="200" t="s">
        <v>522</v>
      </c>
      <c r="I255" s="200" t="s">
        <v>370</v>
      </c>
    </row>
    <row r="256" spans="2:9" ht="14.1" hidden="1">
      <c r="B256" s="199">
        <v>45713</v>
      </c>
      <c r="C256" s="202" t="s">
        <v>2621</v>
      </c>
      <c r="D256" s="200" t="s">
        <v>372</v>
      </c>
      <c r="E256" s="204">
        <v>-27000</v>
      </c>
      <c r="F256" s="201">
        <v>45689</v>
      </c>
      <c r="G256" s="200" t="s">
        <v>296</v>
      </c>
      <c r="H256" s="200" t="s">
        <v>522</v>
      </c>
      <c r="I256" s="200" t="s">
        <v>370</v>
      </c>
    </row>
    <row r="257" spans="2:9" ht="14.1" hidden="1">
      <c r="B257" s="199">
        <v>45713</v>
      </c>
      <c r="C257" s="202" t="s">
        <v>2623</v>
      </c>
      <c r="D257" s="200" t="s">
        <v>372</v>
      </c>
      <c r="E257" s="204">
        <v>-20000</v>
      </c>
      <c r="F257" s="201">
        <v>45689</v>
      </c>
      <c r="G257" s="200" t="s">
        <v>296</v>
      </c>
      <c r="H257" s="200" t="s">
        <v>44</v>
      </c>
      <c r="I257" s="200" t="s">
        <v>370</v>
      </c>
    </row>
    <row r="258" spans="2:9" ht="14.1" hidden="1">
      <c r="B258" s="199">
        <v>45713</v>
      </c>
      <c r="C258" s="202" t="s">
        <v>2624</v>
      </c>
      <c r="D258" s="200" t="s">
        <v>372</v>
      </c>
      <c r="E258" s="204">
        <v>-12000</v>
      </c>
      <c r="F258" s="201">
        <v>45689</v>
      </c>
      <c r="G258" s="200" t="s">
        <v>296</v>
      </c>
      <c r="H258" s="200" t="s">
        <v>44</v>
      </c>
      <c r="I258" s="200" t="s">
        <v>370</v>
      </c>
    </row>
    <row r="259" spans="2:9" ht="14.1" hidden="1">
      <c r="B259" s="199">
        <v>45347</v>
      </c>
      <c r="C259" s="202" t="s">
        <v>2627</v>
      </c>
      <c r="D259" s="200" t="s">
        <v>372</v>
      </c>
      <c r="E259" s="204">
        <v>-2862</v>
      </c>
      <c r="F259" s="201">
        <v>45689</v>
      </c>
      <c r="G259" s="200" t="s">
        <v>296</v>
      </c>
      <c r="H259" s="200" t="s">
        <v>328</v>
      </c>
      <c r="I259" s="200" t="s">
        <v>350</v>
      </c>
    </row>
    <row r="260" spans="2:9" ht="14.1" hidden="1">
      <c r="B260" s="199">
        <v>45713</v>
      </c>
      <c r="C260" s="202" t="s">
        <v>2629</v>
      </c>
      <c r="D260" s="200" t="s">
        <v>372</v>
      </c>
      <c r="E260" s="204">
        <v>-4350</v>
      </c>
      <c r="F260" s="201">
        <v>45689</v>
      </c>
      <c r="G260" s="200" t="s">
        <v>297</v>
      </c>
      <c r="H260" s="200" t="s">
        <v>1313</v>
      </c>
      <c r="I260" s="200" t="s">
        <v>377</v>
      </c>
    </row>
    <row r="261" spans="2:9" ht="14.1" hidden="1">
      <c r="B261" s="199">
        <v>45713</v>
      </c>
      <c r="C261" s="202" t="s">
        <v>2630</v>
      </c>
      <c r="D261" s="200" t="s">
        <v>372</v>
      </c>
      <c r="E261" s="204">
        <v>-36250</v>
      </c>
      <c r="F261" s="201">
        <v>45689</v>
      </c>
      <c r="G261" s="200" t="s">
        <v>297</v>
      </c>
      <c r="H261" s="200" t="s">
        <v>1313</v>
      </c>
      <c r="I261" s="200" t="s">
        <v>377</v>
      </c>
    </row>
    <row r="262" spans="2:9" ht="14.1" hidden="1">
      <c r="B262" s="199">
        <v>45713</v>
      </c>
      <c r="C262" s="202" t="s">
        <v>2632</v>
      </c>
      <c r="D262" s="200" t="s">
        <v>372</v>
      </c>
      <c r="E262" s="204">
        <v>-12580</v>
      </c>
      <c r="F262" s="201">
        <v>45689</v>
      </c>
      <c r="G262" s="200" t="s">
        <v>296</v>
      </c>
      <c r="H262" s="200" t="s">
        <v>328</v>
      </c>
      <c r="I262" s="200" t="s">
        <v>377</v>
      </c>
    </row>
    <row r="263" spans="2:9" ht="14.1" hidden="1">
      <c r="B263" s="199">
        <v>45713</v>
      </c>
      <c r="C263" s="202" t="s">
        <v>2633</v>
      </c>
      <c r="D263" s="200" t="s">
        <v>372</v>
      </c>
      <c r="E263" s="204">
        <v>-1887</v>
      </c>
      <c r="F263" s="201">
        <v>45689</v>
      </c>
      <c r="G263" s="200" t="s">
        <v>296</v>
      </c>
      <c r="H263" s="200" t="s">
        <v>328</v>
      </c>
      <c r="I263" s="200" t="s">
        <v>377</v>
      </c>
    </row>
    <row r="264" spans="2:9" ht="14.1" hidden="1">
      <c r="B264" s="199">
        <v>45713</v>
      </c>
      <c r="C264" s="202" t="s">
        <v>2635</v>
      </c>
      <c r="D264" s="200" t="s">
        <v>372</v>
      </c>
      <c r="E264" s="204">
        <v>-6008</v>
      </c>
      <c r="F264" s="201">
        <v>45689</v>
      </c>
      <c r="G264" s="200" t="s">
        <v>296</v>
      </c>
      <c r="H264" s="200" t="s">
        <v>328</v>
      </c>
      <c r="I264" s="200" t="s">
        <v>350</v>
      </c>
    </row>
    <row r="265" spans="2:9" ht="14.1" hidden="1">
      <c r="B265" s="199">
        <v>45714</v>
      </c>
      <c r="C265" s="202" t="s">
        <v>2645</v>
      </c>
      <c r="D265" s="200" t="s">
        <v>372</v>
      </c>
      <c r="E265" s="204">
        <v>-4100</v>
      </c>
      <c r="F265" s="201">
        <v>45689</v>
      </c>
      <c r="G265" s="200" t="s">
        <v>296</v>
      </c>
      <c r="H265" s="200" t="s">
        <v>337</v>
      </c>
      <c r="I265" s="200" t="s">
        <v>322</v>
      </c>
    </row>
    <row r="266" spans="2:9" ht="14.1" hidden="1">
      <c r="B266" s="199">
        <v>45714</v>
      </c>
      <c r="C266" s="202" t="s">
        <v>2657</v>
      </c>
      <c r="D266" s="200" t="s">
        <v>372</v>
      </c>
      <c r="E266" s="204">
        <v>-4881</v>
      </c>
      <c r="F266" s="201">
        <v>45689</v>
      </c>
      <c r="G266" s="200" t="s">
        <v>296</v>
      </c>
      <c r="H266" s="200" t="s">
        <v>513</v>
      </c>
      <c r="I266" s="200" t="s">
        <v>322</v>
      </c>
    </row>
    <row r="267" spans="2:9" ht="14.1" hidden="1">
      <c r="B267" s="199">
        <v>45715</v>
      </c>
      <c r="C267" s="202" t="s">
        <v>2671</v>
      </c>
      <c r="D267" s="200" t="s">
        <v>372</v>
      </c>
      <c r="E267" s="204">
        <v>-4186</v>
      </c>
      <c r="F267" s="201">
        <v>45689</v>
      </c>
      <c r="G267" s="200" t="s">
        <v>256</v>
      </c>
      <c r="H267" s="200" t="s">
        <v>256</v>
      </c>
      <c r="I267" s="200" t="s">
        <v>267</v>
      </c>
    </row>
    <row r="268" spans="2:9" ht="14.1" hidden="1">
      <c r="B268" s="199">
        <v>45715</v>
      </c>
      <c r="C268" s="202" t="s">
        <v>2676</v>
      </c>
      <c r="D268" s="200" t="s">
        <v>372</v>
      </c>
      <c r="E268" s="204">
        <v>-276247</v>
      </c>
      <c r="F268" s="201">
        <v>45689</v>
      </c>
      <c r="G268" s="200" t="s">
        <v>256</v>
      </c>
      <c r="H268" s="200" t="s">
        <v>256</v>
      </c>
      <c r="I268" s="200" t="s">
        <v>259</v>
      </c>
    </row>
    <row r="269" spans="2:9" ht="14.1" hidden="1">
      <c r="B269" s="199">
        <v>45715</v>
      </c>
      <c r="C269" s="202" t="s">
        <v>2679</v>
      </c>
      <c r="D269" s="200" t="s">
        <v>372</v>
      </c>
      <c r="E269" s="204">
        <v>-52800</v>
      </c>
      <c r="F269" s="201">
        <v>45689</v>
      </c>
      <c r="G269" s="200" t="s">
        <v>256</v>
      </c>
      <c r="H269" s="200" t="s">
        <v>256</v>
      </c>
      <c r="I269" s="200" t="s">
        <v>267</v>
      </c>
    </row>
    <row r="270" spans="2:9" ht="14.1" hidden="1">
      <c r="B270" s="199">
        <v>45715</v>
      </c>
      <c r="C270" s="202" t="s">
        <v>2686</v>
      </c>
      <c r="D270" s="200" t="s">
        <v>372</v>
      </c>
      <c r="E270" s="204">
        <v>-1030080</v>
      </c>
      <c r="F270" s="201">
        <v>45689</v>
      </c>
      <c r="G270" s="200" t="s">
        <v>296</v>
      </c>
      <c r="H270" s="200" t="s">
        <v>1825</v>
      </c>
      <c r="I270" s="200" t="s">
        <v>1079</v>
      </c>
    </row>
    <row r="271" spans="2:9" ht="14.1" hidden="1">
      <c r="B271" s="199">
        <v>45715</v>
      </c>
      <c r="C271" s="202" t="s">
        <v>2687</v>
      </c>
      <c r="D271" s="200" t="s">
        <v>372</v>
      </c>
      <c r="E271" s="204">
        <v>-618048</v>
      </c>
      <c r="F271" s="201">
        <v>45689</v>
      </c>
      <c r="G271" s="200" t="s">
        <v>296</v>
      </c>
      <c r="H271" s="200" t="s">
        <v>1825</v>
      </c>
      <c r="I271" s="200" t="s">
        <v>1079</v>
      </c>
    </row>
    <row r="272" spans="2:9" ht="14.1" hidden="1">
      <c r="B272" s="199">
        <v>45715</v>
      </c>
      <c r="C272" s="202" t="s">
        <v>2689</v>
      </c>
      <c r="D272" s="200" t="s">
        <v>372</v>
      </c>
      <c r="E272" s="204">
        <v>-47280</v>
      </c>
      <c r="F272" s="201">
        <v>45689</v>
      </c>
      <c r="G272" s="200" t="s">
        <v>296</v>
      </c>
      <c r="H272" s="200" t="s">
        <v>44</v>
      </c>
      <c r="I272" s="200" t="s">
        <v>1079</v>
      </c>
    </row>
    <row r="273" spans="2:9" ht="14.1" hidden="1">
      <c r="B273" s="199">
        <v>45715</v>
      </c>
      <c r="C273" s="202" t="s">
        <v>2690</v>
      </c>
      <c r="D273" s="200" t="s">
        <v>372</v>
      </c>
      <c r="E273" s="204">
        <v>-28368</v>
      </c>
      <c r="F273" s="201">
        <v>45689</v>
      </c>
      <c r="G273" s="200" t="s">
        <v>296</v>
      </c>
      <c r="H273" s="200" t="s">
        <v>44</v>
      </c>
      <c r="I273" s="200" t="s">
        <v>1079</v>
      </c>
    </row>
    <row r="274" spans="2:9" ht="14.1" hidden="1">
      <c r="B274" s="199">
        <v>45715</v>
      </c>
      <c r="C274" s="202" t="s">
        <v>2692</v>
      </c>
      <c r="D274" s="200" t="s">
        <v>372</v>
      </c>
      <c r="E274" s="204">
        <v>-61000</v>
      </c>
      <c r="F274" s="201">
        <v>45689</v>
      </c>
      <c r="G274" s="200" t="s">
        <v>296</v>
      </c>
      <c r="H274" s="200" t="s">
        <v>337</v>
      </c>
      <c r="I274" s="200" t="s">
        <v>429</v>
      </c>
    </row>
    <row r="275" spans="2:9" ht="14.1" hidden="1">
      <c r="B275" s="199">
        <v>45715</v>
      </c>
      <c r="C275" s="202" t="s">
        <v>2693</v>
      </c>
      <c r="D275" s="200" t="s">
        <v>372</v>
      </c>
      <c r="E275" s="204">
        <v>-36600</v>
      </c>
      <c r="F275" s="201">
        <v>45689</v>
      </c>
      <c r="G275" s="200" t="s">
        <v>296</v>
      </c>
      <c r="H275" s="200" t="s">
        <v>337</v>
      </c>
      <c r="I275" s="200" t="s">
        <v>429</v>
      </c>
    </row>
    <row r="276" spans="2:9" ht="14.1" hidden="1">
      <c r="B276" s="199">
        <v>45715</v>
      </c>
      <c r="C276" s="202" t="s">
        <v>2695</v>
      </c>
      <c r="D276" s="200" t="s">
        <v>372</v>
      </c>
      <c r="E276" s="204">
        <v>-85520</v>
      </c>
      <c r="F276" s="201">
        <v>45689</v>
      </c>
      <c r="G276" s="200" t="s">
        <v>296</v>
      </c>
      <c r="H276" s="200" t="s">
        <v>522</v>
      </c>
      <c r="I276" s="200" t="s">
        <v>1079</v>
      </c>
    </row>
    <row r="277" spans="2:9" ht="14.1" hidden="1">
      <c r="B277" s="199">
        <v>45715</v>
      </c>
      <c r="C277" s="202" t="s">
        <v>2696</v>
      </c>
      <c r="D277" s="200" t="s">
        <v>372</v>
      </c>
      <c r="E277" s="204">
        <v>-51312</v>
      </c>
      <c r="F277" s="201">
        <v>45689</v>
      </c>
      <c r="G277" s="200" t="s">
        <v>296</v>
      </c>
      <c r="H277" s="200" t="s">
        <v>522</v>
      </c>
      <c r="I277" s="200" t="s">
        <v>1079</v>
      </c>
    </row>
    <row r="278" spans="2:9" ht="14.1" hidden="1">
      <c r="B278" s="199">
        <v>45715</v>
      </c>
      <c r="C278" s="202" t="s">
        <v>2698</v>
      </c>
      <c r="D278" s="200" t="s">
        <v>372</v>
      </c>
      <c r="E278" s="204">
        <v>-477941</v>
      </c>
      <c r="F278" s="201">
        <v>45689</v>
      </c>
      <c r="G278" s="200" t="s">
        <v>296</v>
      </c>
      <c r="H278" s="200" t="s">
        <v>522</v>
      </c>
      <c r="I278" s="200" t="s">
        <v>811</v>
      </c>
    </row>
    <row r="279" spans="2:9" ht="14.1" hidden="1">
      <c r="B279" s="199">
        <v>45715</v>
      </c>
      <c r="C279" s="202" t="s">
        <v>2699</v>
      </c>
      <c r="D279" s="200" t="s">
        <v>372</v>
      </c>
      <c r="E279" s="204">
        <v>-114706</v>
      </c>
      <c r="F279" s="201">
        <v>45689</v>
      </c>
      <c r="G279" s="200" t="s">
        <v>296</v>
      </c>
      <c r="H279" s="200" t="s">
        <v>522</v>
      </c>
      <c r="I279" s="200" t="s">
        <v>811</v>
      </c>
    </row>
    <row r="280" spans="2:9" ht="14.1" hidden="1">
      <c r="B280" s="199">
        <v>45715</v>
      </c>
      <c r="C280" s="202" t="s">
        <v>2709</v>
      </c>
      <c r="D280" s="200" t="s">
        <v>372</v>
      </c>
      <c r="E280" s="204">
        <v>-22185</v>
      </c>
      <c r="F280" s="201">
        <v>45689</v>
      </c>
      <c r="G280" s="200" t="s">
        <v>296</v>
      </c>
      <c r="H280" s="200" t="s">
        <v>522</v>
      </c>
      <c r="I280" s="200" t="s">
        <v>1213</v>
      </c>
    </row>
    <row r="281" spans="2:9" ht="14.1" hidden="1">
      <c r="B281" s="199">
        <v>45715</v>
      </c>
      <c r="C281" s="202" t="s">
        <v>2710</v>
      </c>
      <c r="D281" s="200" t="s">
        <v>372</v>
      </c>
      <c r="E281" s="204">
        <v>-3328</v>
      </c>
      <c r="F281" s="201">
        <v>45689</v>
      </c>
      <c r="G281" s="200" t="s">
        <v>296</v>
      </c>
      <c r="H281" s="200" t="s">
        <v>522</v>
      </c>
      <c r="I281" s="200" t="s">
        <v>1213</v>
      </c>
    </row>
    <row r="282" spans="2:9" ht="14.1" hidden="1">
      <c r="B282" s="199">
        <v>45715</v>
      </c>
      <c r="C282" s="202" t="s">
        <v>2733</v>
      </c>
      <c r="D282" s="200" t="s">
        <v>372</v>
      </c>
      <c r="E282" s="204">
        <v>-3690</v>
      </c>
      <c r="F282" s="201">
        <v>45689</v>
      </c>
      <c r="G282" s="200" t="s">
        <v>296</v>
      </c>
      <c r="H282" s="200" t="s">
        <v>984</v>
      </c>
      <c r="I282" s="200" t="s">
        <v>268</v>
      </c>
    </row>
    <row r="283" spans="2:9" ht="14.1" hidden="1">
      <c r="B283" s="199">
        <v>45715</v>
      </c>
      <c r="C283" s="202" t="s">
        <v>2734</v>
      </c>
      <c r="D283" s="200" t="s">
        <v>372</v>
      </c>
      <c r="E283" s="204">
        <v>-2214</v>
      </c>
      <c r="F283" s="201">
        <v>45689</v>
      </c>
      <c r="G283" s="200" t="s">
        <v>296</v>
      </c>
      <c r="H283" s="200" t="s">
        <v>984</v>
      </c>
      <c r="I283" s="200" t="s">
        <v>268</v>
      </c>
    </row>
    <row r="284" spans="2:9" ht="14.1" hidden="1">
      <c r="B284" s="199">
        <v>45722</v>
      </c>
      <c r="C284" s="202" t="s">
        <v>2944</v>
      </c>
      <c r="D284" s="200" t="s">
        <v>372</v>
      </c>
      <c r="E284" s="204">
        <v>-770</v>
      </c>
      <c r="F284" s="201">
        <v>45717</v>
      </c>
      <c r="G284" s="200" t="s">
        <v>297</v>
      </c>
      <c r="H284" s="200" t="s">
        <v>1313</v>
      </c>
      <c r="I284" s="200" t="s">
        <v>268</v>
      </c>
    </row>
    <row r="285" spans="2:9" ht="14.1" hidden="1">
      <c r="B285" s="199">
        <v>45722</v>
      </c>
      <c r="C285" s="202" t="s">
        <v>2945</v>
      </c>
      <c r="D285" s="200" t="s">
        <v>372</v>
      </c>
      <c r="E285" s="204">
        <v>-462</v>
      </c>
      <c r="F285" s="201">
        <v>45717</v>
      </c>
      <c r="G285" s="200" t="s">
        <v>297</v>
      </c>
      <c r="H285" s="200" t="s">
        <v>1313</v>
      </c>
      <c r="I285" s="200" t="s">
        <v>268</v>
      </c>
    </row>
    <row r="286" spans="2:9" ht="14.1" hidden="1">
      <c r="B286" s="199">
        <v>45720</v>
      </c>
      <c r="C286" s="202" t="s">
        <v>3015</v>
      </c>
      <c r="D286" s="200" t="s">
        <v>372</v>
      </c>
      <c r="E286" s="204">
        <v>-1710</v>
      </c>
      <c r="F286" s="201">
        <v>45717</v>
      </c>
      <c r="G286" s="200" t="s">
        <v>296</v>
      </c>
      <c r="H286" s="200" t="s">
        <v>328</v>
      </c>
      <c r="I286" s="200" t="s">
        <v>268</v>
      </c>
    </row>
    <row r="287" spans="2:9" ht="14.1" hidden="1">
      <c r="B287" s="199">
        <v>45720</v>
      </c>
      <c r="C287" s="202" t="s">
        <v>3016</v>
      </c>
      <c r="D287" s="200" t="s">
        <v>372</v>
      </c>
      <c r="E287" s="204">
        <v>-1026</v>
      </c>
      <c r="F287" s="201">
        <v>45717</v>
      </c>
      <c r="G287" s="200" t="s">
        <v>296</v>
      </c>
      <c r="H287" s="200" t="s">
        <v>328</v>
      </c>
      <c r="I287" s="200" t="s">
        <v>268</v>
      </c>
    </row>
    <row r="288" spans="2:9" ht="14.1" hidden="1">
      <c r="B288" s="199">
        <v>45722</v>
      </c>
      <c r="C288" s="202" t="s">
        <v>3046</v>
      </c>
      <c r="D288" s="200" t="s">
        <v>372</v>
      </c>
      <c r="E288" s="204">
        <v>-126360</v>
      </c>
      <c r="F288" s="201">
        <v>45717</v>
      </c>
      <c r="G288" s="200" t="s">
        <v>256</v>
      </c>
      <c r="H288" s="200" t="s">
        <v>256</v>
      </c>
      <c r="I288" s="200" t="s">
        <v>257</v>
      </c>
    </row>
    <row r="289" spans="2:9" ht="14.1" hidden="1">
      <c r="B289" s="199">
        <v>45720</v>
      </c>
      <c r="C289" s="202" t="s">
        <v>3051</v>
      </c>
      <c r="D289" s="200" t="s">
        <v>372</v>
      </c>
      <c r="E289" s="204">
        <v>-82353</v>
      </c>
      <c r="F289" s="201">
        <v>45717</v>
      </c>
      <c r="G289" s="200" t="s">
        <v>296</v>
      </c>
      <c r="H289" s="200" t="s">
        <v>1124</v>
      </c>
      <c r="I289" s="200" t="s">
        <v>342</v>
      </c>
    </row>
    <row r="290" spans="2:9" ht="14.1" hidden="1">
      <c r="B290" s="199">
        <v>45720</v>
      </c>
      <c r="C290" s="202" t="s">
        <v>3053</v>
      </c>
      <c r="D290" s="200" t="s">
        <v>372</v>
      </c>
      <c r="E290" s="204">
        <v>-825000</v>
      </c>
      <c r="F290" s="201">
        <v>45717</v>
      </c>
      <c r="G290" s="200" t="s">
        <v>452</v>
      </c>
      <c r="H290" s="200" t="s">
        <v>453</v>
      </c>
      <c r="I290" s="200" t="s">
        <v>98</v>
      </c>
    </row>
    <row r="291" spans="2:9" ht="14.1" hidden="1">
      <c r="B291" s="199">
        <v>45720</v>
      </c>
      <c r="C291" s="202" t="s">
        <v>3055</v>
      </c>
      <c r="D291" s="200" t="s">
        <v>372</v>
      </c>
      <c r="E291" s="204">
        <v>-5119</v>
      </c>
      <c r="F291" s="201">
        <v>45717</v>
      </c>
      <c r="G291" s="200" t="s">
        <v>296</v>
      </c>
      <c r="H291" s="200" t="s">
        <v>482</v>
      </c>
      <c r="I291" s="200" t="s">
        <v>1066</v>
      </c>
    </row>
    <row r="292" spans="2:9" ht="14.1" hidden="1">
      <c r="B292" s="199">
        <v>45720</v>
      </c>
      <c r="C292" s="202" t="s">
        <v>3061</v>
      </c>
      <c r="D292" s="200" t="s">
        <v>372</v>
      </c>
      <c r="E292" s="204">
        <v>-2106</v>
      </c>
      <c r="F292" s="201">
        <v>45717</v>
      </c>
      <c r="G292" s="200" t="s">
        <v>297</v>
      </c>
      <c r="H292" s="200" t="s">
        <v>69</v>
      </c>
      <c r="I292" s="200" t="s">
        <v>350</v>
      </c>
    </row>
    <row r="293" spans="2:9" ht="14.1" hidden="1">
      <c r="B293" s="199">
        <v>45720</v>
      </c>
      <c r="C293" s="202" t="s">
        <v>3062</v>
      </c>
      <c r="D293" s="200" t="s">
        <v>372</v>
      </c>
      <c r="E293" s="204">
        <v>-8773</v>
      </c>
      <c r="F293" s="201">
        <v>45717</v>
      </c>
      <c r="G293" s="200" t="s">
        <v>297</v>
      </c>
      <c r="H293" s="200" t="s">
        <v>69</v>
      </c>
      <c r="I293" s="200" t="s">
        <v>350</v>
      </c>
    </row>
    <row r="294" spans="2:9" ht="14.1" hidden="1">
      <c r="B294" s="199">
        <v>45720</v>
      </c>
      <c r="C294" s="202" t="s">
        <v>3061</v>
      </c>
      <c r="D294" s="200" t="s">
        <v>372</v>
      </c>
      <c r="E294" s="204">
        <v>-1107</v>
      </c>
      <c r="F294" s="201">
        <v>45717</v>
      </c>
      <c r="G294" s="200" t="s">
        <v>297</v>
      </c>
      <c r="H294" s="200" t="s">
        <v>1313</v>
      </c>
      <c r="I294" s="200" t="s">
        <v>350</v>
      </c>
    </row>
    <row r="295" spans="2:9" ht="14.1" hidden="1">
      <c r="B295" s="199">
        <v>45720</v>
      </c>
      <c r="C295" s="202" t="s">
        <v>3062</v>
      </c>
      <c r="D295" s="200" t="s">
        <v>372</v>
      </c>
      <c r="E295" s="204">
        <v>-4613</v>
      </c>
      <c r="F295" s="201">
        <v>45717</v>
      </c>
      <c r="G295" s="200" t="s">
        <v>297</v>
      </c>
      <c r="H295" s="200" t="s">
        <v>1313</v>
      </c>
      <c r="I295" s="200" t="s">
        <v>350</v>
      </c>
    </row>
    <row r="296" spans="2:9" ht="14.1" hidden="1">
      <c r="B296" s="199">
        <v>45720</v>
      </c>
      <c r="C296" s="202" t="s">
        <v>3064</v>
      </c>
      <c r="D296" s="200" t="s">
        <v>372</v>
      </c>
      <c r="E296" s="204">
        <v>-1887</v>
      </c>
      <c r="F296" s="201">
        <v>45717</v>
      </c>
      <c r="G296" s="200" t="s">
        <v>297</v>
      </c>
      <c r="H296" s="200" t="s">
        <v>1313</v>
      </c>
      <c r="I296" s="200" t="s">
        <v>350</v>
      </c>
    </row>
    <row r="297" spans="2:9" ht="14.1" hidden="1">
      <c r="B297" s="199">
        <v>45720</v>
      </c>
      <c r="C297" s="202" t="s">
        <v>3065</v>
      </c>
      <c r="D297" s="200" t="s">
        <v>372</v>
      </c>
      <c r="E297" s="204">
        <v>-7861</v>
      </c>
      <c r="F297" s="201">
        <v>45717</v>
      </c>
      <c r="G297" s="200" t="s">
        <v>297</v>
      </c>
      <c r="H297" s="200" t="s">
        <v>1313</v>
      </c>
      <c r="I297" s="200" t="s">
        <v>350</v>
      </c>
    </row>
    <row r="298" spans="2:9" ht="14.1" hidden="1">
      <c r="B298" s="199">
        <v>45720</v>
      </c>
      <c r="C298" s="202" t="s">
        <v>3067</v>
      </c>
      <c r="D298" s="200" t="s">
        <v>372</v>
      </c>
      <c r="E298" s="204">
        <v>-1516</v>
      </c>
      <c r="F298" s="201">
        <v>45717</v>
      </c>
      <c r="G298" s="200" t="s">
        <v>297</v>
      </c>
      <c r="H298" s="200" t="s">
        <v>2994</v>
      </c>
      <c r="I298" s="200" t="s">
        <v>350</v>
      </c>
    </row>
    <row r="299" spans="2:9" ht="14.1" hidden="1">
      <c r="B299" s="199">
        <v>45720</v>
      </c>
      <c r="C299" s="202" t="s">
        <v>3068</v>
      </c>
      <c r="D299" s="200" t="s">
        <v>372</v>
      </c>
      <c r="E299" s="204">
        <v>-6315</v>
      </c>
      <c r="F299" s="201">
        <v>45717</v>
      </c>
      <c r="G299" s="200" t="s">
        <v>297</v>
      </c>
      <c r="H299" s="200" t="s">
        <v>2994</v>
      </c>
      <c r="I299" s="200" t="s">
        <v>350</v>
      </c>
    </row>
    <row r="300" spans="2:9" ht="14.1" hidden="1">
      <c r="B300" s="199">
        <v>45720</v>
      </c>
      <c r="C300" s="202" t="s">
        <v>3067</v>
      </c>
      <c r="D300" s="200" t="s">
        <v>372</v>
      </c>
      <c r="E300" s="204">
        <v>-2521</v>
      </c>
      <c r="F300" s="201">
        <v>45717</v>
      </c>
      <c r="G300" s="200" t="s">
        <v>297</v>
      </c>
      <c r="H300" s="200" t="s">
        <v>1313</v>
      </c>
      <c r="I300" s="200" t="s">
        <v>350</v>
      </c>
    </row>
    <row r="301" spans="2:9" ht="14.1" hidden="1">
      <c r="B301" s="199">
        <v>45720</v>
      </c>
      <c r="C301" s="202" t="s">
        <v>3068</v>
      </c>
      <c r="D301" s="200" t="s">
        <v>372</v>
      </c>
      <c r="E301" s="204">
        <v>-10504</v>
      </c>
      <c r="F301" s="201">
        <v>45717</v>
      </c>
      <c r="G301" s="200" t="s">
        <v>297</v>
      </c>
      <c r="H301" s="200" t="s">
        <v>1313</v>
      </c>
      <c r="I301" s="200" t="s">
        <v>350</v>
      </c>
    </row>
    <row r="302" spans="2:9" ht="14.1" hidden="1">
      <c r="B302" s="199">
        <v>45720</v>
      </c>
      <c r="C302" s="202" t="s">
        <v>3080</v>
      </c>
      <c r="D302" s="200" t="s">
        <v>372</v>
      </c>
      <c r="E302" s="204">
        <v>-605000</v>
      </c>
      <c r="F302" s="201">
        <v>45717</v>
      </c>
      <c r="G302" s="200" t="s">
        <v>296</v>
      </c>
      <c r="H302" s="200" t="s">
        <v>337</v>
      </c>
      <c r="I302" s="200" t="s">
        <v>366</v>
      </c>
    </row>
    <row r="303" spans="2:9" ht="14.1" hidden="1">
      <c r="B303" s="199">
        <v>45720</v>
      </c>
      <c r="C303" s="202" t="s">
        <v>3085</v>
      </c>
      <c r="D303" s="200" t="s">
        <v>372</v>
      </c>
      <c r="E303" s="204">
        <v>-5632</v>
      </c>
      <c r="F303" s="201">
        <v>45717</v>
      </c>
      <c r="G303" s="200" t="s">
        <v>256</v>
      </c>
      <c r="H303" s="200" t="s">
        <v>256</v>
      </c>
      <c r="I303" s="200" t="s">
        <v>267</v>
      </c>
    </row>
    <row r="304" spans="2:9" ht="14.1" hidden="1">
      <c r="B304" s="199">
        <v>45722</v>
      </c>
      <c r="C304" s="202" t="s">
        <v>3095</v>
      </c>
      <c r="D304" s="200" t="s">
        <v>372</v>
      </c>
      <c r="E304" s="204">
        <v>-194740</v>
      </c>
      <c r="F304" s="201">
        <v>45717</v>
      </c>
      <c r="G304" s="200" t="s">
        <v>256</v>
      </c>
      <c r="H304" s="200" t="s">
        <v>256</v>
      </c>
      <c r="I304" s="200" t="s">
        <v>257</v>
      </c>
    </row>
    <row r="305" spans="2:9" ht="14.1" hidden="1">
      <c r="B305" s="199">
        <v>45722</v>
      </c>
      <c r="C305" s="202" t="s">
        <v>3096</v>
      </c>
      <c r="D305" s="200" t="s">
        <v>372</v>
      </c>
      <c r="E305" s="204">
        <v>-33384</v>
      </c>
      <c r="F305" s="201">
        <v>45717</v>
      </c>
      <c r="G305" s="200" t="s">
        <v>256</v>
      </c>
      <c r="H305" s="200" t="s">
        <v>256</v>
      </c>
      <c r="I305" s="200" t="s">
        <v>257</v>
      </c>
    </row>
    <row r="306" spans="2:9" ht="14.1" hidden="1">
      <c r="B306" s="199">
        <v>45722</v>
      </c>
      <c r="C306" s="202" t="s">
        <v>3099</v>
      </c>
      <c r="D306" s="200" t="s">
        <v>372</v>
      </c>
      <c r="E306" s="204">
        <v>-10532</v>
      </c>
      <c r="F306" s="201">
        <v>45717</v>
      </c>
      <c r="G306" s="200" t="s">
        <v>256</v>
      </c>
      <c r="H306" s="200" t="s">
        <v>256</v>
      </c>
      <c r="I306" s="200" t="s">
        <v>9</v>
      </c>
    </row>
    <row r="307" spans="2:9" ht="14.1" hidden="1">
      <c r="B307" s="199">
        <v>45722</v>
      </c>
      <c r="C307" s="202" t="s">
        <v>3100</v>
      </c>
      <c r="D307" s="200" t="s">
        <v>372</v>
      </c>
      <c r="E307" s="204">
        <v>-1806</v>
      </c>
      <c r="F307" s="201">
        <v>45717</v>
      </c>
      <c r="G307" s="200" t="s">
        <v>256</v>
      </c>
      <c r="H307" s="200" t="s">
        <v>256</v>
      </c>
      <c r="I307" s="200" t="s">
        <v>9</v>
      </c>
    </row>
    <row r="308" spans="2:9" ht="14.1" hidden="1">
      <c r="B308" s="199">
        <v>45844</v>
      </c>
      <c r="C308" s="202" t="s">
        <v>3151</v>
      </c>
      <c r="D308" s="200" t="s">
        <v>372</v>
      </c>
      <c r="E308" s="204">
        <v>-275000</v>
      </c>
      <c r="F308" s="201">
        <v>45717</v>
      </c>
      <c r="G308" s="200" t="s">
        <v>256</v>
      </c>
      <c r="H308" s="200" t="s">
        <v>256</v>
      </c>
      <c r="I308" s="200" t="s">
        <v>258</v>
      </c>
    </row>
    <row r="309" spans="2:9" ht="14.1" hidden="1">
      <c r="B309" s="199">
        <v>45844</v>
      </c>
      <c r="C309" s="202" t="s">
        <v>3152</v>
      </c>
      <c r="D309" s="200" t="s">
        <v>372</v>
      </c>
      <c r="E309" s="204">
        <v>-15000</v>
      </c>
      <c r="F309" s="201">
        <v>45717</v>
      </c>
      <c r="G309" s="200" t="s">
        <v>256</v>
      </c>
      <c r="H309" s="200" t="s">
        <v>256</v>
      </c>
      <c r="I309" s="200" t="s">
        <v>258</v>
      </c>
    </row>
    <row r="310" spans="2:9" ht="14.1" hidden="1">
      <c r="B310" s="199">
        <v>45844</v>
      </c>
      <c r="C310" s="202" t="s">
        <v>3154</v>
      </c>
      <c r="D310" s="200" t="s">
        <v>372</v>
      </c>
      <c r="E310" s="204">
        <v>-6400</v>
      </c>
      <c r="F310" s="201">
        <v>45717</v>
      </c>
      <c r="G310" s="200" t="s">
        <v>297</v>
      </c>
      <c r="H310" s="200" t="s">
        <v>1313</v>
      </c>
      <c r="I310" s="200" t="s">
        <v>268</v>
      </c>
    </row>
    <row r="311" spans="2:9" ht="14.1" hidden="1">
      <c r="B311" s="199">
        <v>45844</v>
      </c>
      <c r="C311" s="202" t="s">
        <v>3155</v>
      </c>
      <c r="D311" s="200" t="s">
        <v>372</v>
      </c>
      <c r="E311" s="204">
        <v>-3840</v>
      </c>
      <c r="F311" s="201">
        <v>45717</v>
      </c>
      <c r="G311" s="200" t="s">
        <v>297</v>
      </c>
      <c r="H311" s="200" t="s">
        <v>1313</v>
      </c>
      <c r="I311" s="200" t="s">
        <v>268</v>
      </c>
    </row>
    <row r="312" spans="2:9" ht="14.1" hidden="1">
      <c r="B312" s="199">
        <v>45720</v>
      </c>
      <c r="C312" s="202" t="s">
        <v>3172</v>
      </c>
      <c r="D312" s="200" t="s">
        <v>372</v>
      </c>
      <c r="E312" s="204">
        <v>-102600</v>
      </c>
      <c r="F312" s="201">
        <v>45717</v>
      </c>
      <c r="G312" s="200" t="s">
        <v>296</v>
      </c>
      <c r="H312" s="648" t="s">
        <v>1087</v>
      </c>
      <c r="I312" s="648" t="s">
        <v>322</v>
      </c>
    </row>
    <row r="313" spans="2:9" ht="14.1" hidden="1">
      <c r="B313" s="199">
        <v>45719</v>
      </c>
      <c r="C313" s="202" t="s">
        <v>1926</v>
      </c>
      <c r="D313" s="200" t="s">
        <v>372</v>
      </c>
      <c r="E313" s="204">
        <v>-11690</v>
      </c>
      <c r="F313" s="201">
        <v>45717</v>
      </c>
      <c r="G313" s="200" t="s">
        <v>296</v>
      </c>
      <c r="H313" s="200" t="s">
        <v>411</v>
      </c>
      <c r="I313" s="200" t="s">
        <v>268</v>
      </c>
    </row>
    <row r="314" spans="2:9" ht="14.1" hidden="1">
      <c r="B314" s="199">
        <v>45719</v>
      </c>
      <c r="C314" s="202" t="s">
        <v>1927</v>
      </c>
      <c r="D314" s="200" t="s">
        <v>372</v>
      </c>
      <c r="E314" s="204">
        <v>-7014</v>
      </c>
      <c r="F314" s="201">
        <v>45717</v>
      </c>
      <c r="G314" s="200" t="s">
        <v>296</v>
      </c>
      <c r="H314" s="200" t="s">
        <v>411</v>
      </c>
      <c r="I314" s="200" t="s">
        <v>268</v>
      </c>
    </row>
    <row r="315" spans="2:9" ht="14.1" hidden="1">
      <c r="B315" s="199">
        <v>45727</v>
      </c>
      <c r="C315" s="202" t="s">
        <v>3216</v>
      </c>
      <c r="D315" s="200" t="s">
        <v>372</v>
      </c>
      <c r="E315" s="716">
        <v>-56300</v>
      </c>
      <c r="F315" s="201">
        <v>45717</v>
      </c>
      <c r="G315" s="200" t="s">
        <v>296</v>
      </c>
      <c r="H315" s="200" t="s">
        <v>44</v>
      </c>
      <c r="I315" s="200" t="s">
        <v>1079</v>
      </c>
    </row>
    <row r="316" spans="2:9" ht="14.1" hidden="1">
      <c r="B316" s="199">
        <v>45727</v>
      </c>
      <c r="C316" s="202" t="s">
        <v>3221</v>
      </c>
      <c r="D316" s="200" t="s">
        <v>372</v>
      </c>
      <c r="E316" s="716">
        <v>-79000</v>
      </c>
      <c r="F316" s="201">
        <v>45717</v>
      </c>
      <c r="G316" s="200" t="s">
        <v>296</v>
      </c>
      <c r="H316" s="200" t="s">
        <v>2994</v>
      </c>
      <c r="I316" s="200" t="s">
        <v>857</v>
      </c>
    </row>
    <row r="317" spans="2:9" ht="14.1" hidden="1">
      <c r="B317" s="199">
        <v>45727</v>
      </c>
      <c r="C317" s="202" t="s">
        <v>3222</v>
      </c>
      <c r="D317" s="200" t="s">
        <v>372</v>
      </c>
      <c r="E317" s="716">
        <v>-23700</v>
      </c>
      <c r="F317" s="201">
        <v>45717</v>
      </c>
      <c r="G317" s="200" t="s">
        <v>296</v>
      </c>
      <c r="H317" s="200" t="s">
        <v>2994</v>
      </c>
      <c r="I317" s="200" t="s">
        <v>857</v>
      </c>
    </row>
    <row r="318" spans="2:9" ht="14.1" hidden="1">
      <c r="B318" s="199">
        <v>45727</v>
      </c>
      <c r="C318" s="202" t="s">
        <v>3226</v>
      </c>
      <c r="D318" s="200" t="s">
        <v>372</v>
      </c>
      <c r="E318" s="716">
        <v>-25147</v>
      </c>
      <c r="F318" s="201">
        <v>45717</v>
      </c>
      <c r="G318" s="200" t="s">
        <v>296</v>
      </c>
      <c r="H318" s="200" t="s">
        <v>337</v>
      </c>
      <c r="I318" s="200" t="s">
        <v>446</v>
      </c>
    </row>
    <row r="319" spans="2:9" ht="14.1" hidden="1">
      <c r="B319" s="199">
        <v>45727</v>
      </c>
      <c r="C319" s="202" t="s">
        <v>3226</v>
      </c>
      <c r="D319" s="200" t="s">
        <v>372</v>
      </c>
      <c r="E319" s="716">
        <v>-25147</v>
      </c>
      <c r="F319" s="201">
        <v>45717</v>
      </c>
      <c r="G319" s="200" t="s">
        <v>296</v>
      </c>
      <c r="H319" s="200" t="s">
        <v>522</v>
      </c>
      <c r="I319" s="200" t="s">
        <v>446</v>
      </c>
    </row>
    <row r="320" spans="2:9" ht="14.1" hidden="1">
      <c r="B320" s="199">
        <v>45727</v>
      </c>
      <c r="C320" s="202" t="s">
        <v>3226</v>
      </c>
      <c r="D320" s="200" t="s">
        <v>372</v>
      </c>
      <c r="E320" s="716">
        <v>-25147</v>
      </c>
      <c r="F320" s="201">
        <v>45717</v>
      </c>
      <c r="G320" s="200" t="s">
        <v>296</v>
      </c>
      <c r="H320" s="200" t="s">
        <v>44</v>
      </c>
      <c r="I320" s="200" t="s">
        <v>446</v>
      </c>
    </row>
    <row r="321" spans="2:9" ht="14.1" hidden="1">
      <c r="B321" s="199">
        <v>45728</v>
      </c>
      <c r="C321" s="202" t="s">
        <v>3228</v>
      </c>
      <c r="D321" s="200" t="s">
        <v>372</v>
      </c>
      <c r="E321" s="716">
        <v>-40500</v>
      </c>
      <c r="F321" s="201">
        <v>45717</v>
      </c>
      <c r="G321" s="200" t="s">
        <v>296</v>
      </c>
      <c r="H321" s="200" t="s">
        <v>522</v>
      </c>
      <c r="I321" s="200" t="s">
        <v>811</v>
      </c>
    </row>
    <row r="322" spans="2:9" ht="14.1" hidden="1">
      <c r="B322" s="199">
        <v>45728</v>
      </c>
      <c r="C322" s="202" t="s">
        <v>3229</v>
      </c>
      <c r="D322" s="200" t="s">
        <v>372</v>
      </c>
      <c r="E322" s="716">
        <v>-24300</v>
      </c>
      <c r="F322" s="201">
        <v>45717</v>
      </c>
      <c r="G322" s="200" t="s">
        <v>296</v>
      </c>
      <c r="H322" s="200" t="s">
        <v>522</v>
      </c>
      <c r="I322" s="200" t="s">
        <v>811</v>
      </c>
    </row>
    <row r="323" spans="2:9" ht="14.1" hidden="1">
      <c r="B323" s="199">
        <v>45728</v>
      </c>
      <c r="C323" s="202" t="s">
        <v>3231</v>
      </c>
      <c r="D323" s="200" t="s">
        <v>372</v>
      </c>
      <c r="E323" s="716">
        <v>-21750</v>
      </c>
      <c r="F323" s="201">
        <v>45717</v>
      </c>
      <c r="G323" s="200" t="s">
        <v>296</v>
      </c>
      <c r="H323" s="200" t="s">
        <v>1825</v>
      </c>
      <c r="I323" s="200" t="s">
        <v>488</v>
      </c>
    </row>
    <row r="324" spans="2:9" ht="14.1" hidden="1">
      <c r="B324" s="199">
        <v>45728</v>
      </c>
      <c r="C324" s="202" t="s">
        <v>3232</v>
      </c>
      <c r="D324" s="200" t="s">
        <v>372</v>
      </c>
      <c r="E324" s="716">
        <v>-13050</v>
      </c>
      <c r="F324" s="201">
        <v>45717</v>
      </c>
      <c r="G324" s="200" t="s">
        <v>296</v>
      </c>
      <c r="H324" s="200" t="s">
        <v>1825</v>
      </c>
      <c r="I324" s="200" t="s">
        <v>488</v>
      </c>
    </row>
    <row r="325" spans="2:9" ht="14.1" hidden="1">
      <c r="B325" s="199">
        <v>45728</v>
      </c>
      <c r="C325" s="202" t="s">
        <v>3231</v>
      </c>
      <c r="D325" s="200" t="s">
        <v>372</v>
      </c>
      <c r="E325" s="716">
        <v>-21750</v>
      </c>
      <c r="F325" s="201">
        <v>45717</v>
      </c>
      <c r="G325" s="200" t="s">
        <v>296</v>
      </c>
      <c r="H325" s="200" t="s">
        <v>1825</v>
      </c>
      <c r="I325" s="200" t="s">
        <v>490</v>
      </c>
    </row>
    <row r="326" spans="2:9" ht="14.1" hidden="1">
      <c r="B326" s="199">
        <v>45728</v>
      </c>
      <c r="C326" s="202" t="s">
        <v>3232</v>
      </c>
      <c r="D326" s="200" t="s">
        <v>372</v>
      </c>
      <c r="E326" s="716">
        <v>-13050</v>
      </c>
      <c r="F326" s="201">
        <v>45717</v>
      </c>
      <c r="G326" s="200" t="s">
        <v>296</v>
      </c>
      <c r="H326" s="200" t="s">
        <v>1825</v>
      </c>
      <c r="I326" s="200" t="s">
        <v>490</v>
      </c>
    </row>
    <row r="327" spans="2:9" ht="14.1" hidden="1">
      <c r="B327" s="199">
        <v>45727</v>
      </c>
      <c r="C327" s="202" t="s">
        <v>3245</v>
      </c>
      <c r="D327" s="200" t="s">
        <v>372</v>
      </c>
      <c r="E327" s="716">
        <v>-14958</v>
      </c>
      <c r="F327" s="201">
        <v>45717</v>
      </c>
      <c r="G327" s="200" t="s">
        <v>296</v>
      </c>
      <c r="H327" s="200" t="s">
        <v>337</v>
      </c>
      <c r="I327" s="200" t="s">
        <v>421</v>
      </c>
    </row>
    <row r="328" spans="2:9" ht="14.1" hidden="1">
      <c r="B328" s="199">
        <v>45727</v>
      </c>
      <c r="C328" s="202" t="s">
        <v>3246</v>
      </c>
      <c r="D328" s="200" t="s">
        <v>372</v>
      </c>
      <c r="E328" s="716">
        <v>-3590</v>
      </c>
      <c r="F328" s="201">
        <v>45717</v>
      </c>
      <c r="G328" s="200" t="s">
        <v>296</v>
      </c>
      <c r="H328" s="200" t="s">
        <v>337</v>
      </c>
      <c r="I328" s="200" t="s">
        <v>421</v>
      </c>
    </row>
    <row r="329" spans="2:9" ht="14.1" hidden="1">
      <c r="B329" s="199">
        <v>45727</v>
      </c>
      <c r="C329" s="202" t="s">
        <v>3248</v>
      </c>
      <c r="D329" s="200" t="s">
        <v>372</v>
      </c>
      <c r="E329" s="716">
        <v>-9328</v>
      </c>
      <c r="F329" s="201">
        <v>45717</v>
      </c>
      <c r="G329" s="200" t="s">
        <v>296</v>
      </c>
      <c r="H329" s="200" t="s">
        <v>522</v>
      </c>
      <c r="I329" s="200" t="s">
        <v>429</v>
      </c>
    </row>
    <row r="330" spans="2:9" ht="14.1" hidden="1">
      <c r="B330" s="199">
        <v>45727</v>
      </c>
      <c r="C330" s="202" t="s">
        <v>3249</v>
      </c>
      <c r="D330" s="200" t="s">
        <v>372</v>
      </c>
      <c r="E330" s="716">
        <v>-2239</v>
      </c>
      <c r="F330" s="201">
        <v>45717</v>
      </c>
      <c r="G330" s="200" t="s">
        <v>296</v>
      </c>
      <c r="H330" s="200" t="s">
        <v>522</v>
      </c>
      <c r="I330" s="200" t="s">
        <v>429</v>
      </c>
    </row>
    <row r="331" spans="2:9" ht="14.1" hidden="1">
      <c r="B331" s="199">
        <v>45727</v>
      </c>
      <c r="C331" s="202" t="s">
        <v>3251</v>
      </c>
      <c r="D331" s="200" t="s">
        <v>372</v>
      </c>
      <c r="E331" s="716">
        <v>-4468</v>
      </c>
      <c r="F331" s="201">
        <v>45717</v>
      </c>
      <c r="G331" s="200" t="s">
        <v>296</v>
      </c>
      <c r="H331" s="200" t="s">
        <v>395</v>
      </c>
      <c r="I331" s="200" t="s">
        <v>350</v>
      </c>
    </row>
    <row r="332" spans="2:9" ht="14.1" hidden="1">
      <c r="B332" s="199">
        <v>45727</v>
      </c>
      <c r="C332" s="202" t="s">
        <v>3252</v>
      </c>
      <c r="D332" s="200" t="s">
        <v>372</v>
      </c>
      <c r="E332" s="716">
        <v>-1072</v>
      </c>
      <c r="F332" s="201">
        <v>45717</v>
      </c>
      <c r="G332" s="200" t="s">
        <v>296</v>
      </c>
      <c r="H332" s="200" t="s">
        <v>395</v>
      </c>
      <c r="I332" s="200" t="s">
        <v>350</v>
      </c>
    </row>
    <row r="333" spans="2:9" ht="14.1" hidden="1">
      <c r="B333" s="199">
        <v>45727</v>
      </c>
      <c r="C333" s="202" t="s">
        <v>3251</v>
      </c>
      <c r="D333" s="200" t="s">
        <v>372</v>
      </c>
      <c r="E333" s="716">
        <v>-7513</v>
      </c>
      <c r="F333" s="201">
        <v>45717</v>
      </c>
      <c r="G333" s="200" t="s">
        <v>297</v>
      </c>
      <c r="H333" s="200" t="s">
        <v>1578</v>
      </c>
      <c r="I333" s="200" t="s">
        <v>350</v>
      </c>
    </row>
    <row r="334" spans="2:9" ht="14.1" hidden="1">
      <c r="B334" s="199">
        <v>45727</v>
      </c>
      <c r="C334" s="202" t="s">
        <v>3252</v>
      </c>
      <c r="D334" s="200" t="s">
        <v>372</v>
      </c>
      <c r="E334" s="716">
        <v>-1803</v>
      </c>
      <c r="F334" s="201">
        <v>45717</v>
      </c>
      <c r="G334" s="200" t="s">
        <v>297</v>
      </c>
      <c r="H334" s="200" t="s">
        <v>1578</v>
      </c>
      <c r="I334" s="200" t="s">
        <v>350</v>
      </c>
    </row>
    <row r="335" spans="2:9" ht="14.1" hidden="1">
      <c r="B335" s="199">
        <v>45727</v>
      </c>
      <c r="C335" s="202" t="s">
        <v>3251</v>
      </c>
      <c r="D335" s="200" t="s">
        <v>372</v>
      </c>
      <c r="E335" s="716">
        <v>-3895</v>
      </c>
      <c r="F335" s="201">
        <v>45717</v>
      </c>
      <c r="G335" s="200" t="s">
        <v>296</v>
      </c>
      <c r="H335" s="200" t="s">
        <v>984</v>
      </c>
      <c r="I335" s="200" t="s">
        <v>350</v>
      </c>
    </row>
    <row r="336" spans="2:9" ht="14.1" hidden="1">
      <c r="B336" s="199">
        <v>45727</v>
      </c>
      <c r="C336" s="202" t="s">
        <v>3252</v>
      </c>
      <c r="D336" s="200" t="s">
        <v>372</v>
      </c>
      <c r="E336" s="716">
        <v>-935</v>
      </c>
      <c r="F336" s="201">
        <v>45717</v>
      </c>
      <c r="G336" s="200" t="s">
        <v>296</v>
      </c>
      <c r="H336" s="200" t="s">
        <v>984</v>
      </c>
      <c r="I336" s="200" t="s">
        <v>350</v>
      </c>
    </row>
    <row r="337" spans="2:9" ht="14.1" hidden="1">
      <c r="B337" s="199">
        <v>45727</v>
      </c>
      <c r="C337" s="202" t="s">
        <v>3248</v>
      </c>
      <c r="D337" s="200" t="s">
        <v>372</v>
      </c>
      <c r="E337" s="716">
        <v>-5706</v>
      </c>
      <c r="F337" s="201">
        <v>45717</v>
      </c>
      <c r="G337" s="200" t="s">
        <v>296</v>
      </c>
      <c r="H337" s="200" t="s">
        <v>522</v>
      </c>
      <c r="I337" s="200" t="s">
        <v>488</v>
      </c>
    </row>
    <row r="338" spans="2:9" ht="14.1" hidden="1">
      <c r="B338" s="199">
        <v>45727</v>
      </c>
      <c r="C338" s="202" t="s">
        <v>3249</v>
      </c>
      <c r="D338" s="200" t="s">
        <v>372</v>
      </c>
      <c r="E338" s="716">
        <v>-1369</v>
      </c>
      <c r="F338" s="201">
        <v>45717</v>
      </c>
      <c r="G338" s="200" t="s">
        <v>296</v>
      </c>
      <c r="H338" s="200" t="s">
        <v>522</v>
      </c>
      <c r="I338" s="200" t="s">
        <v>488</v>
      </c>
    </row>
    <row r="339" spans="2:9" ht="14.1" hidden="1">
      <c r="B339" s="199">
        <v>45727</v>
      </c>
      <c r="C339" s="202" t="s">
        <v>3254</v>
      </c>
      <c r="D339" s="200" t="s">
        <v>372</v>
      </c>
      <c r="E339" s="716">
        <v>-92647</v>
      </c>
      <c r="F339" s="201">
        <v>45717</v>
      </c>
      <c r="G339" s="200" t="s">
        <v>256</v>
      </c>
      <c r="H339" s="200" t="s">
        <v>256</v>
      </c>
      <c r="I339" s="200" t="s">
        <v>9</v>
      </c>
    </row>
    <row r="340" spans="2:9" ht="14.1" hidden="1">
      <c r="B340" s="199">
        <v>45727</v>
      </c>
      <c r="C340" s="202" t="s">
        <v>3259</v>
      </c>
      <c r="D340" s="200" t="s">
        <v>372</v>
      </c>
      <c r="E340" s="716">
        <v>-2800</v>
      </c>
      <c r="F340" s="201">
        <v>45717</v>
      </c>
      <c r="G340" s="200" t="s">
        <v>297</v>
      </c>
      <c r="H340" s="200" t="s">
        <v>69</v>
      </c>
      <c r="I340" s="200" t="s">
        <v>379</v>
      </c>
    </row>
    <row r="341" spans="2:9" ht="14.1" hidden="1">
      <c r="B341" s="199">
        <v>45727</v>
      </c>
      <c r="C341" s="202" t="s">
        <v>3260</v>
      </c>
      <c r="D341" s="200" t="s">
        <v>372</v>
      </c>
      <c r="E341" s="716">
        <v>-420</v>
      </c>
      <c r="F341" s="201">
        <v>45717</v>
      </c>
      <c r="G341" s="200" t="s">
        <v>297</v>
      </c>
      <c r="H341" s="200" t="s">
        <v>69</v>
      </c>
      <c r="I341" s="200" t="s">
        <v>379</v>
      </c>
    </row>
    <row r="342" spans="2:9" ht="14.1" hidden="1">
      <c r="B342" s="199">
        <v>45727</v>
      </c>
      <c r="C342" s="202" t="s">
        <v>3262</v>
      </c>
      <c r="D342" s="200" t="s">
        <v>372</v>
      </c>
      <c r="E342" s="716">
        <v>-6000</v>
      </c>
      <c r="F342" s="201">
        <v>45717</v>
      </c>
      <c r="G342" s="200" t="s">
        <v>296</v>
      </c>
      <c r="H342" s="200" t="s">
        <v>482</v>
      </c>
      <c r="I342" s="200" t="s">
        <v>379</v>
      </c>
    </row>
    <row r="343" spans="2:9" ht="14.1" hidden="1">
      <c r="B343" s="199">
        <v>45727</v>
      </c>
      <c r="C343" s="202" t="s">
        <v>3263</v>
      </c>
      <c r="D343" s="200" t="s">
        <v>372</v>
      </c>
      <c r="E343" s="716">
        <v>-900</v>
      </c>
      <c r="F343" s="201">
        <v>45717</v>
      </c>
      <c r="G343" s="200" t="s">
        <v>296</v>
      </c>
      <c r="H343" s="200" t="s">
        <v>482</v>
      </c>
      <c r="I343" s="200" t="s">
        <v>379</v>
      </c>
    </row>
    <row r="344" spans="2:9" ht="14.1" hidden="1">
      <c r="B344" s="199">
        <v>45727</v>
      </c>
      <c r="C344" s="202" t="s">
        <v>3265</v>
      </c>
      <c r="D344" s="200" t="s">
        <v>372</v>
      </c>
      <c r="E344" s="716">
        <v>-10200</v>
      </c>
      <c r="F344" s="201">
        <v>45717</v>
      </c>
      <c r="G344" s="200" t="s">
        <v>296</v>
      </c>
      <c r="H344" s="200" t="s">
        <v>522</v>
      </c>
      <c r="I344" s="200" t="s">
        <v>322</v>
      </c>
    </row>
    <row r="345" spans="2:9" ht="14.1" hidden="1">
      <c r="B345" s="199">
        <v>45727</v>
      </c>
      <c r="C345" s="202" t="s">
        <v>3266</v>
      </c>
      <c r="D345" s="200" t="s">
        <v>372</v>
      </c>
      <c r="E345" s="716">
        <v>-1530</v>
      </c>
      <c r="F345" s="201">
        <v>45717</v>
      </c>
      <c r="G345" s="200" t="s">
        <v>296</v>
      </c>
      <c r="H345" s="200" t="s">
        <v>522</v>
      </c>
      <c r="I345" s="200" t="s">
        <v>322</v>
      </c>
    </row>
    <row r="346" spans="2:9" ht="14.1" hidden="1">
      <c r="B346" s="199">
        <v>45728</v>
      </c>
      <c r="C346" s="202" t="s">
        <v>3286</v>
      </c>
      <c r="D346" s="200" t="s">
        <v>372</v>
      </c>
      <c r="E346" s="716">
        <v>-143000</v>
      </c>
      <c r="F346" s="201">
        <v>45717</v>
      </c>
      <c r="G346" s="200" t="s">
        <v>296</v>
      </c>
      <c r="H346" s="200" t="s">
        <v>875</v>
      </c>
      <c r="I346" s="200" t="s">
        <v>1066</v>
      </c>
    </row>
    <row r="347" spans="2:9" ht="14.1" hidden="1">
      <c r="B347" s="199">
        <v>45728</v>
      </c>
      <c r="C347" s="202" t="s">
        <v>3288</v>
      </c>
      <c r="D347" s="200" t="s">
        <v>372</v>
      </c>
      <c r="E347" s="716">
        <v>-169400</v>
      </c>
      <c r="F347" s="201">
        <v>45717</v>
      </c>
      <c r="G347" s="200" t="s">
        <v>296</v>
      </c>
      <c r="H347" s="200" t="s">
        <v>411</v>
      </c>
      <c r="I347" s="200" t="s">
        <v>1066</v>
      </c>
    </row>
    <row r="348" spans="2:9" ht="14.1" hidden="1">
      <c r="B348" s="199">
        <v>45728</v>
      </c>
      <c r="C348" s="202" t="s">
        <v>3290</v>
      </c>
      <c r="D348" s="200" t="s">
        <v>372</v>
      </c>
      <c r="E348" s="716">
        <v>-187000</v>
      </c>
      <c r="F348" s="201">
        <v>45717</v>
      </c>
      <c r="G348" s="200" t="s">
        <v>296</v>
      </c>
      <c r="H348" s="200" t="s">
        <v>984</v>
      </c>
      <c r="I348" s="200" t="s">
        <v>1066</v>
      </c>
    </row>
    <row r="349" spans="2:9" ht="14.1" hidden="1">
      <c r="B349" s="199">
        <v>45728</v>
      </c>
      <c r="C349" s="202" t="s">
        <v>3294</v>
      </c>
      <c r="D349" s="200" t="s">
        <v>372</v>
      </c>
      <c r="E349" s="716">
        <v>-7890</v>
      </c>
      <c r="F349" s="201">
        <v>45717</v>
      </c>
      <c r="G349" s="200" t="s">
        <v>297</v>
      </c>
      <c r="H349" s="200" t="s">
        <v>1578</v>
      </c>
      <c r="I349" s="200" t="s">
        <v>268</v>
      </c>
    </row>
    <row r="350" spans="2:9" ht="14.1" hidden="1">
      <c r="B350" s="199">
        <v>45728</v>
      </c>
      <c r="C350" s="202" t="s">
        <v>3295</v>
      </c>
      <c r="D350" s="200" t="s">
        <v>372</v>
      </c>
      <c r="E350" s="716">
        <v>-4734</v>
      </c>
      <c r="F350" s="201">
        <v>45717</v>
      </c>
      <c r="G350" s="200" t="s">
        <v>297</v>
      </c>
      <c r="H350" s="200" t="s">
        <v>1578</v>
      </c>
      <c r="I350" s="200" t="s">
        <v>268</v>
      </c>
    </row>
    <row r="351" spans="2:9" ht="14.1" hidden="1">
      <c r="B351" s="199">
        <v>45728</v>
      </c>
      <c r="C351" s="202" t="s">
        <v>3300</v>
      </c>
      <c r="D351" s="200" t="s">
        <v>372</v>
      </c>
      <c r="E351" s="716">
        <v>-1938</v>
      </c>
      <c r="F351" s="201">
        <v>45717</v>
      </c>
      <c r="G351" s="200" t="s">
        <v>296</v>
      </c>
      <c r="H351" s="200" t="s">
        <v>411</v>
      </c>
      <c r="I351" s="200" t="s">
        <v>379</v>
      </c>
    </row>
    <row r="352" spans="2:9" ht="14.1" hidden="1">
      <c r="B352" s="199">
        <v>45728</v>
      </c>
      <c r="C352" s="202" t="s">
        <v>3300</v>
      </c>
      <c r="D352" s="200" t="s">
        <v>372</v>
      </c>
      <c r="E352" s="716">
        <v>-1938</v>
      </c>
      <c r="F352" s="201">
        <v>45717</v>
      </c>
      <c r="G352" s="200" t="s">
        <v>297</v>
      </c>
      <c r="H352" s="200" t="s">
        <v>1578</v>
      </c>
      <c r="I352" s="200" t="s">
        <v>379</v>
      </c>
    </row>
    <row r="353" spans="2:9" ht="14.1" hidden="1">
      <c r="B353" s="199">
        <v>45729</v>
      </c>
      <c r="C353" s="202" t="s">
        <v>3306</v>
      </c>
      <c r="D353" s="200" t="s">
        <v>372</v>
      </c>
      <c r="E353" s="716">
        <v>-40000</v>
      </c>
      <c r="F353" s="201">
        <v>45717</v>
      </c>
      <c r="G353" s="200" t="s">
        <v>256</v>
      </c>
      <c r="H353" s="200" t="s">
        <v>107</v>
      </c>
      <c r="I353" s="200" t="s">
        <v>777</v>
      </c>
    </row>
    <row r="354" spans="2:9" ht="14.1" hidden="1">
      <c r="B354" s="199">
        <v>45729</v>
      </c>
      <c r="C354" s="202" t="s">
        <v>3307</v>
      </c>
      <c r="D354" s="200" t="s">
        <v>372</v>
      </c>
      <c r="E354" s="716">
        <v>-6000</v>
      </c>
      <c r="F354" s="201">
        <v>45717</v>
      </c>
      <c r="G354" s="200" t="s">
        <v>256</v>
      </c>
      <c r="H354" s="200" t="s">
        <v>107</v>
      </c>
      <c r="I354" s="200" t="s">
        <v>777</v>
      </c>
    </row>
    <row r="355" spans="2:9" ht="14.1" hidden="1">
      <c r="B355" s="199">
        <v>45729</v>
      </c>
      <c r="C355" s="202" t="s">
        <v>3309</v>
      </c>
      <c r="D355" s="200" t="s">
        <v>372</v>
      </c>
      <c r="E355" s="716">
        <v>-68716</v>
      </c>
      <c r="F355" s="201">
        <v>45717</v>
      </c>
      <c r="G355" s="200" t="s">
        <v>256</v>
      </c>
      <c r="H355" s="200" t="s">
        <v>256</v>
      </c>
      <c r="I355" s="200" t="s">
        <v>267</v>
      </c>
    </row>
    <row r="356" spans="2:9" ht="14.1" hidden="1">
      <c r="B356" s="199">
        <v>45729</v>
      </c>
      <c r="C356" s="202" t="s">
        <v>3310</v>
      </c>
      <c r="D356" s="200" t="s">
        <v>372</v>
      </c>
      <c r="E356" s="716">
        <v>-16492</v>
      </c>
      <c r="F356" s="201">
        <v>45717</v>
      </c>
      <c r="G356" s="200" t="s">
        <v>256</v>
      </c>
      <c r="H356" s="200" t="s">
        <v>256</v>
      </c>
      <c r="I356" s="200" t="s">
        <v>267</v>
      </c>
    </row>
    <row r="357" spans="2:9" ht="14.1" hidden="1">
      <c r="B357" s="199">
        <v>45729</v>
      </c>
      <c r="C357" s="202" t="s">
        <v>3314</v>
      </c>
      <c r="D357" s="200" t="s">
        <v>372</v>
      </c>
      <c r="E357" s="716">
        <v>-700</v>
      </c>
      <c r="F357" s="201">
        <v>45717</v>
      </c>
      <c r="G357" s="200" t="s">
        <v>395</v>
      </c>
      <c r="H357" s="200" t="s">
        <v>395</v>
      </c>
      <c r="I357" s="200" t="s">
        <v>268</v>
      </c>
    </row>
    <row r="358" spans="2:9" ht="14.1" hidden="1">
      <c r="B358" s="199">
        <v>45729</v>
      </c>
      <c r="C358" s="202" t="s">
        <v>2734</v>
      </c>
      <c r="D358" s="200" t="s">
        <v>372</v>
      </c>
      <c r="E358" s="716">
        <v>-420</v>
      </c>
      <c r="F358" s="201">
        <v>45717</v>
      </c>
      <c r="G358" s="200" t="s">
        <v>395</v>
      </c>
      <c r="H358" s="200" t="s">
        <v>395</v>
      </c>
      <c r="I358" s="200" t="s">
        <v>268</v>
      </c>
    </row>
    <row r="359" spans="2:9" ht="14.1" hidden="1">
      <c r="B359" s="199">
        <v>45726</v>
      </c>
      <c r="C359" s="202" t="s">
        <v>3479</v>
      </c>
      <c r="D359" s="200" t="s">
        <v>372</v>
      </c>
      <c r="E359" s="716">
        <v>-9000</v>
      </c>
      <c r="F359" s="201">
        <v>45717</v>
      </c>
      <c r="G359" s="200" t="s">
        <v>297</v>
      </c>
      <c r="H359" s="200" t="s">
        <v>1313</v>
      </c>
      <c r="I359" s="200" t="s">
        <v>342</v>
      </c>
    </row>
    <row r="360" spans="2:9" ht="14.1" hidden="1">
      <c r="B360" s="199">
        <v>45726</v>
      </c>
      <c r="C360" s="202" t="s">
        <v>3480</v>
      </c>
      <c r="D360" s="200" t="s">
        <v>372</v>
      </c>
      <c r="E360" s="716">
        <v>-2700</v>
      </c>
      <c r="F360" s="201">
        <v>45717</v>
      </c>
      <c r="G360" s="200" t="s">
        <v>297</v>
      </c>
      <c r="H360" s="200" t="s">
        <v>1313</v>
      </c>
      <c r="I360" s="200" t="s">
        <v>342</v>
      </c>
    </row>
    <row r="361" spans="2:9" ht="14.1" hidden="1">
      <c r="B361" s="199">
        <v>45726</v>
      </c>
      <c r="C361" s="202" t="s">
        <v>3479</v>
      </c>
      <c r="D361" s="200" t="s">
        <v>372</v>
      </c>
      <c r="E361" s="716">
        <v>-1500</v>
      </c>
      <c r="F361" s="201">
        <v>45717</v>
      </c>
      <c r="G361" s="200" t="s">
        <v>296</v>
      </c>
      <c r="H361" s="200" t="s">
        <v>522</v>
      </c>
      <c r="I361" s="200" t="s">
        <v>490</v>
      </c>
    </row>
    <row r="362" spans="2:9" ht="14.1" hidden="1">
      <c r="B362" s="199">
        <v>45726</v>
      </c>
      <c r="C362" s="202" t="s">
        <v>3480</v>
      </c>
      <c r="D362" s="200" t="s">
        <v>372</v>
      </c>
      <c r="E362" s="716">
        <v>-900</v>
      </c>
      <c r="F362" s="201">
        <v>45717</v>
      </c>
      <c r="G362" s="200" t="s">
        <v>296</v>
      </c>
      <c r="H362" s="200" t="s">
        <v>522</v>
      </c>
      <c r="I362" s="200" t="s">
        <v>490</v>
      </c>
    </row>
    <row r="363" spans="2:9" ht="14.1" hidden="1">
      <c r="B363" s="199">
        <v>45726</v>
      </c>
      <c r="C363" s="202" t="s">
        <v>3479</v>
      </c>
      <c r="D363" s="200" t="s">
        <v>372</v>
      </c>
      <c r="E363" s="716">
        <v>-1500</v>
      </c>
      <c r="F363" s="201">
        <v>45717</v>
      </c>
      <c r="G363" s="200" t="s">
        <v>296</v>
      </c>
      <c r="H363" s="200" t="s">
        <v>337</v>
      </c>
      <c r="I363" s="200" t="s">
        <v>490</v>
      </c>
    </row>
    <row r="364" spans="2:9" ht="14.1" hidden="1">
      <c r="B364" s="199">
        <v>45726</v>
      </c>
      <c r="C364" s="202" t="s">
        <v>3480</v>
      </c>
      <c r="D364" s="200" t="s">
        <v>372</v>
      </c>
      <c r="E364" s="716">
        <v>-900</v>
      </c>
      <c r="F364" s="201">
        <v>45717</v>
      </c>
      <c r="G364" s="200" t="s">
        <v>296</v>
      </c>
      <c r="H364" s="200" t="s">
        <v>337</v>
      </c>
      <c r="I364" s="200" t="s">
        <v>490</v>
      </c>
    </row>
    <row r="365" spans="2:9" ht="14.1" hidden="1">
      <c r="B365" s="199">
        <v>45726</v>
      </c>
      <c r="C365" s="202" t="s">
        <v>3479</v>
      </c>
      <c r="D365" s="200" t="s">
        <v>372</v>
      </c>
      <c r="E365" s="716">
        <v>-1500</v>
      </c>
      <c r="F365" s="201">
        <v>45717</v>
      </c>
      <c r="G365" s="200" t="s">
        <v>296</v>
      </c>
      <c r="H365" s="200" t="s">
        <v>44</v>
      </c>
      <c r="I365" s="200" t="s">
        <v>490</v>
      </c>
    </row>
    <row r="366" spans="2:9" ht="14.1" hidden="1">
      <c r="B366" s="199">
        <v>45726</v>
      </c>
      <c r="C366" s="202" t="s">
        <v>3480</v>
      </c>
      <c r="D366" s="200" t="s">
        <v>372</v>
      </c>
      <c r="E366" s="716">
        <v>-900</v>
      </c>
      <c r="F366" s="201">
        <v>45717</v>
      </c>
      <c r="G366" s="200" t="s">
        <v>296</v>
      </c>
      <c r="H366" s="200" t="s">
        <v>44</v>
      </c>
      <c r="I366" s="200" t="s">
        <v>490</v>
      </c>
    </row>
    <row r="367" spans="2:9" ht="14.1" hidden="1">
      <c r="B367" s="199">
        <v>45726</v>
      </c>
      <c r="C367" s="202" t="s">
        <v>3482</v>
      </c>
      <c r="D367" s="200" t="s">
        <v>372</v>
      </c>
      <c r="E367" s="716">
        <v>-143840</v>
      </c>
      <c r="F367" s="201">
        <v>45717</v>
      </c>
      <c r="G367" s="200" t="s">
        <v>296</v>
      </c>
      <c r="H367" s="200" t="s">
        <v>44</v>
      </c>
      <c r="I367" s="200" t="s">
        <v>490</v>
      </c>
    </row>
    <row r="368" spans="2:9" ht="14.1" hidden="1">
      <c r="B368" s="199">
        <v>45726</v>
      </c>
      <c r="C368" s="202" t="s">
        <v>3483</v>
      </c>
      <c r="D368" s="200" t="s">
        <v>372</v>
      </c>
      <c r="E368" s="716">
        <v>-43152</v>
      </c>
      <c r="F368" s="201">
        <v>45717</v>
      </c>
      <c r="G368" s="200" t="s">
        <v>296</v>
      </c>
      <c r="H368" s="200" t="s">
        <v>44</v>
      </c>
      <c r="I368" s="200" t="s">
        <v>490</v>
      </c>
    </row>
    <row r="369" spans="2:10" ht="14.1" hidden="1">
      <c r="B369" s="199">
        <v>45726</v>
      </c>
      <c r="C369" s="202" t="s">
        <v>3485</v>
      </c>
      <c r="D369" s="200" t="s">
        <v>372</v>
      </c>
      <c r="E369" s="716">
        <v>-185280</v>
      </c>
      <c r="F369" s="201">
        <v>45717</v>
      </c>
      <c r="G369" s="200" t="s">
        <v>296</v>
      </c>
      <c r="H369" s="200" t="s">
        <v>337</v>
      </c>
      <c r="I369" s="200" t="s">
        <v>490</v>
      </c>
    </row>
    <row r="370" spans="2:10" ht="14.1" hidden="1">
      <c r="B370" s="199">
        <v>45726</v>
      </c>
      <c r="C370" s="202" t="s">
        <v>3486</v>
      </c>
      <c r="D370" s="200" t="s">
        <v>372</v>
      </c>
      <c r="E370" s="716">
        <v>-55584</v>
      </c>
      <c r="F370" s="201">
        <v>45717</v>
      </c>
      <c r="G370" s="200" t="s">
        <v>296</v>
      </c>
      <c r="H370" s="200" t="s">
        <v>337</v>
      </c>
      <c r="I370" s="200" t="s">
        <v>490</v>
      </c>
    </row>
    <row r="371" spans="2:10" ht="14.1" hidden="1">
      <c r="B371" s="199">
        <v>45726</v>
      </c>
      <c r="C371" s="202" t="s">
        <v>3488</v>
      </c>
      <c r="D371" s="200" t="s">
        <v>372</v>
      </c>
      <c r="E371" s="716">
        <v>-37620</v>
      </c>
      <c r="F371" s="201">
        <v>45717</v>
      </c>
      <c r="G371" s="200" t="s">
        <v>296</v>
      </c>
      <c r="H371" s="200" t="s">
        <v>522</v>
      </c>
      <c r="I371" s="200" t="s">
        <v>490</v>
      </c>
    </row>
    <row r="372" spans="2:10" ht="14.1" hidden="1">
      <c r="B372" s="199">
        <v>45726</v>
      </c>
      <c r="C372" s="202" t="s">
        <v>3489</v>
      </c>
      <c r="D372" s="200" t="s">
        <v>372</v>
      </c>
      <c r="E372" s="716">
        <v>-11286</v>
      </c>
      <c r="F372" s="201">
        <v>45717</v>
      </c>
      <c r="G372" s="200" t="s">
        <v>296</v>
      </c>
      <c r="H372" s="200" t="s">
        <v>522</v>
      </c>
      <c r="I372" s="200" t="s">
        <v>490</v>
      </c>
    </row>
    <row r="373" spans="2:10" ht="14.1" hidden="1">
      <c r="B373" s="199">
        <v>45734</v>
      </c>
      <c r="C373" s="202" t="s">
        <v>3531</v>
      </c>
      <c r="D373" s="200" t="s">
        <v>372</v>
      </c>
      <c r="E373" s="204">
        <v>-51300</v>
      </c>
      <c r="F373" s="201">
        <v>45717</v>
      </c>
      <c r="G373" s="200" t="s">
        <v>297</v>
      </c>
      <c r="H373" s="200" t="s">
        <v>1578</v>
      </c>
      <c r="I373" s="200" t="s">
        <v>377</v>
      </c>
      <c r="J373" s="200"/>
    </row>
    <row r="374" spans="2:10" ht="14.1" hidden="1">
      <c r="B374" s="199">
        <v>45734</v>
      </c>
      <c r="C374" s="202" t="s">
        <v>3532</v>
      </c>
      <c r="D374" s="200" t="s">
        <v>372</v>
      </c>
      <c r="E374" s="204">
        <v>-6156</v>
      </c>
      <c r="F374" s="201">
        <v>45717</v>
      </c>
      <c r="G374" s="200" t="s">
        <v>297</v>
      </c>
      <c r="H374" s="200" t="s">
        <v>1578</v>
      </c>
      <c r="I374" s="200" t="s">
        <v>377</v>
      </c>
      <c r="J374" s="200"/>
    </row>
    <row r="375" spans="2:10" ht="14.1" hidden="1">
      <c r="B375" s="199">
        <v>45734</v>
      </c>
      <c r="C375" s="202" t="s">
        <v>3534</v>
      </c>
      <c r="D375" s="200" t="s">
        <v>372</v>
      </c>
      <c r="E375" s="204">
        <v>-589</v>
      </c>
      <c r="F375" s="201">
        <v>45717</v>
      </c>
      <c r="G375" s="200" t="s">
        <v>296</v>
      </c>
      <c r="H375" s="200" t="s">
        <v>453</v>
      </c>
      <c r="I375" s="200" t="s">
        <v>105</v>
      </c>
      <c r="J375" s="200"/>
    </row>
    <row r="376" spans="2:10" ht="14.1" hidden="1">
      <c r="B376" s="199">
        <v>45734</v>
      </c>
      <c r="C376" s="202" t="s">
        <v>3534</v>
      </c>
      <c r="D376" s="200" t="s">
        <v>372</v>
      </c>
      <c r="E376" s="204">
        <v>-589</v>
      </c>
      <c r="F376" s="201">
        <v>45717</v>
      </c>
      <c r="G376" s="200" t="s">
        <v>296</v>
      </c>
      <c r="H376" s="200" t="s">
        <v>453</v>
      </c>
      <c r="I376" s="200" t="s">
        <v>105</v>
      </c>
      <c r="J376" s="200"/>
    </row>
    <row r="377" spans="2:10" ht="14.1" hidden="1">
      <c r="B377" s="199">
        <v>45734</v>
      </c>
      <c r="C377" s="202" t="s">
        <v>3534</v>
      </c>
      <c r="D377" s="200" t="s">
        <v>372</v>
      </c>
      <c r="E377" s="204">
        <v>-589</v>
      </c>
      <c r="F377" s="201">
        <v>45717</v>
      </c>
      <c r="G377" s="200" t="s">
        <v>296</v>
      </c>
      <c r="H377" s="200" t="s">
        <v>453</v>
      </c>
      <c r="I377" s="200" t="s">
        <v>105</v>
      </c>
      <c r="J377" s="200"/>
    </row>
    <row r="378" spans="2:10" ht="14.1" hidden="1">
      <c r="B378" s="199">
        <v>45734</v>
      </c>
      <c r="C378" s="202" t="s">
        <v>3536</v>
      </c>
      <c r="D378" s="200" t="s">
        <v>372</v>
      </c>
      <c r="E378" s="204">
        <v>-3999</v>
      </c>
      <c r="F378" s="201">
        <v>45717</v>
      </c>
      <c r="G378" s="200" t="s">
        <v>296</v>
      </c>
      <c r="H378" s="200" t="s">
        <v>44</v>
      </c>
      <c r="I378" s="200" t="s">
        <v>488</v>
      </c>
      <c r="J378" s="200"/>
    </row>
    <row r="379" spans="2:10" ht="14.1" hidden="1">
      <c r="B379" s="199">
        <v>45734</v>
      </c>
      <c r="C379" s="202" t="s">
        <v>3538</v>
      </c>
      <c r="D379" s="200" t="s">
        <v>372</v>
      </c>
      <c r="E379" s="204">
        <v>-27444</v>
      </c>
      <c r="F379" s="201">
        <v>45717</v>
      </c>
      <c r="G379" s="200" t="s">
        <v>296</v>
      </c>
      <c r="H379" s="200" t="s">
        <v>337</v>
      </c>
      <c r="I379" s="200" t="s">
        <v>446</v>
      </c>
      <c r="J379" s="200"/>
    </row>
    <row r="380" spans="2:10" ht="14.1" hidden="1">
      <c r="B380" s="199">
        <v>45734</v>
      </c>
      <c r="C380" s="202" t="s">
        <v>3538</v>
      </c>
      <c r="D380" s="200" t="s">
        <v>372</v>
      </c>
      <c r="E380" s="204">
        <v>-27444</v>
      </c>
      <c r="F380" s="201">
        <v>45717</v>
      </c>
      <c r="G380" s="200" t="s">
        <v>296</v>
      </c>
      <c r="H380" s="200" t="s">
        <v>44</v>
      </c>
      <c r="I380" s="200" t="s">
        <v>326</v>
      </c>
      <c r="J380" s="200"/>
    </row>
    <row r="381" spans="2:10" ht="14.1" hidden="1">
      <c r="B381" s="199">
        <v>45734</v>
      </c>
      <c r="C381" s="202" t="s">
        <v>3538</v>
      </c>
      <c r="D381" s="200" t="s">
        <v>372</v>
      </c>
      <c r="E381" s="204">
        <v>-27444</v>
      </c>
      <c r="F381" s="201">
        <v>45717</v>
      </c>
      <c r="G381" s="200" t="s">
        <v>296</v>
      </c>
      <c r="H381" s="200" t="s">
        <v>522</v>
      </c>
      <c r="I381" s="200" t="s">
        <v>446</v>
      </c>
      <c r="J381" s="200"/>
    </row>
    <row r="382" spans="2:10" ht="14.1" hidden="1">
      <c r="B382" s="199">
        <v>45734</v>
      </c>
      <c r="C382" s="202" t="s">
        <v>3542</v>
      </c>
      <c r="D382" s="200" t="s">
        <v>372</v>
      </c>
      <c r="E382" s="204">
        <v>-81064</v>
      </c>
      <c r="F382" s="201">
        <v>45717</v>
      </c>
      <c r="G382" s="200" t="s">
        <v>296</v>
      </c>
      <c r="H382" s="200" t="s">
        <v>337</v>
      </c>
      <c r="I382" s="200" t="s">
        <v>326</v>
      </c>
      <c r="J382" s="200"/>
    </row>
    <row r="383" spans="2:10" ht="14.1" hidden="1">
      <c r="B383" s="199">
        <v>45734</v>
      </c>
      <c r="C383" s="202" t="s">
        <v>3545</v>
      </c>
      <c r="D383" s="200" t="s">
        <v>372</v>
      </c>
      <c r="E383" s="204">
        <v>-24500</v>
      </c>
      <c r="F383" s="201">
        <v>45717</v>
      </c>
      <c r="G383" s="200" t="s">
        <v>296</v>
      </c>
      <c r="H383" s="200" t="s">
        <v>522</v>
      </c>
      <c r="I383" s="200" t="s">
        <v>488</v>
      </c>
      <c r="J383" s="200"/>
    </row>
    <row r="384" spans="2:10" ht="14.1" hidden="1">
      <c r="B384" s="199">
        <v>45734</v>
      </c>
      <c r="C384" s="202" t="s">
        <v>3547</v>
      </c>
      <c r="D384" s="200" t="s">
        <v>372</v>
      </c>
      <c r="E384" s="204">
        <v>-19750</v>
      </c>
      <c r="F384" s="201">
        <v>45717</v>
      </c>
      <c r="G384" s="200" t="s">
        <v>296</v>
      </c>
      <c r="H384" s="200" t="s">
        <v>44</v>
      </c>
      <c r="I384" s="200" t="s">
        <v>811</v>
      </c>
      <c r="J384" s="200"/>
    </row>
    <row r="385" spans="2:10" ht="14.1" hidden="1">
      <c r="B385" s="199">
        <v>45734</v>
      </c>
      <c r="C385" s="202" t="s">
        <v>3552</v>
      </c>
      <c r="D385" s="200" t="s">
        <v>372</v>
      </c>
      <c r="E385" s="204">
        <v>-24500</v>
      </c>
      <c r="F385" s="201">
        <v>45717</v>
      </c>
      <c r="G385" s="200" t="s">
        <v>296</v>
      </c>
      <c r="H385" s="200" t="s">
        <v>453</v>
      </c>
      <c r="I385" s="200" t="s">
        <v>97</v>
      </c>
      <c r="J385" s="200"/>
    </row>
    <row r="386" spans="2:10" ht="14.1" hidden="1">
      <c r="B386" s="199">
        <v>45734</v>
      </c>
      <c r="C386" s="202" t="s">
        <v>3554</v>
      </c>
      <c r="D386" s="200" t="s">
        <v>372</v>
      </c>
      <c r="E386" s="204">
        <v>-825000</v>
      </c>
      <c r="F386" s="201">
        <v>45717</v>
      </c>
      <c r="G386" s="200" t="s">
        <v>296</v>
      </c>
      <c r="H386" s="200" t="s">
        <v>453</v>
      </c>
      <c r="I386" s="200" t="s">
        <v>98</v>
      </c>
      <c r="J386" s="200"/>
    </row>
    <row r="387" spans="2:10" ht="14.1" hidden="1">
      <c r="B387" s="199">
        <v>45734</v>
      </c>
      <c r="C387" s="202" t="s">
        <v>3560</v>
      </c>
      <c r="D387" s="200" t="s">
        <v>372</v>
      </c>
      <c r="E387" s="204">
        <v>-8750</v>
      </c>
      <c r="F387" s="201">
        <v>45717</v>
      </c>
      <c r="G387" s="200" t="s">
        <v>296</v>
      </c>
      <c r="H387" s="200" t="s">
        <v>337</v>
      </c>
      <c r="I387" s="531" t="s">
        <v>322</v>
      </c>
      <c r="J387" s="200"/>
    </row>
    <row r="388" spans="2:10" ht="14.1" hidden="1">
      <c r="B388" s="199">
        <v>45734</v>
      </c>
      <c r="C388" s="202" t="s">
        <v>3561</v>
      </c>
      <c r="D388" s="200" t="s">
        <v>372</v>
      </c>
      <c r="E388" s="204">
        <v>-1500</v>
      </c>
      <c r="F388" s="201">
        <v>45717</v>
      </c>
      <c r="G388" s="200" t="s">
        <v>296</v>
      </c>
      <c r="H388" s="200" t="s">
        <v>337</v>
      </c>
      <c r="I388" s="531" t="s">
        <v>322</v>
      </c>
      <c r="J388" s="200"/>
    </row>
    <row r="389" spans="2:10" ht="14.1" hidden="1">
      <c r="B389" s="199">
        <v>45734</v>
      </c>
      <c r="C389" s="202" t="s">
        <v>3560</v>
      </c>
      <c r="D389" s="200" t="s">
        <v>372</v>
      </c>
      <c r="E389" s="204">
        <v>-8750</v>
      </c>
      <c r="F389" s="201">
        <v>45717</v>
      </c>
      <c r="G389" s="200" t="s">
        <v>296</v>
      </c>
      <c r="H389" s="200" t="s">
        <v>321</v>
      </c>
      <c r="I389" s="531" t="s">
        <v>322</v>
      </c>
      <c r="J389" s="200"/>
    </row>
    <row r="390" spans="2:10" ht="14.1" hidden="1">
      <c r="B390" s="199">
        <v>45734</v>
      </c>
      <c r="C390" s="202" t="s">
        <v>3561</v>
      </c>
      <c r="D390" s="200" t="s">
        <v>372</v>
      </c>
      <c r="E390" s="204">
        <v>-1500</v>
      </c>
      <c r="F390" s="201">
        <v>45717</v>
      </c>
      <c r="G390" s="200" t="s">
        <v>296</v>
      </c>
      <c r="H390" s="200" t="s">
        <v>321</v>
      </c>
      <c r="I390" s="531" t="s">
        <v>322</v>
      </c>
      <c r="J390" s="200"/>
    </row>
    <row r="391" spans="2:10" ht="14.1" hidden="1">
      <c r="B391" s="199">
        <v>45734</v>
      </c>
      <c r="C391" s="202" t="s">
        <v>3565</v>
      </c>
      <c r="D391" s="200" t="s">
        <v>372</v>
      </c>
      <c r="E391" s="204">
        <v>-48000</v>
      </c>
      <c r="F391" s="201">
        <v>45717</v>
      </c>
      <c r="G391" s="200" t="s">
        <v>256</v>
      </c>
      <c r="H391" s="200" t="s">
        <v>107</v>
      </c>
      <c r="I391" s="200" t="s">
        <v>777</v>
      </c>
      <c r="J391" s="200"/>
    </row>
    <row r="392" spans="2:10" ht="14.1" hidden="1">
      <c r="B392" s="199">
        <v>45734</v>
      </c>
      <c r="C392" s="202" t="s">
        <v>3566</v>
      </c>
      <c r="D392" s="200" t="s">
        <v>372</v>
      </c>
      <c r="E392" s="204">
        <v>-7200</v>
      </c>
      <c r="F392" s="201">
        <v>45717</v>
      </c>
      <c r="G392" s="200" t="s">
        <v>256</v>
      </c>
      <c r="H392" s="200" t="s">
        <v>107</v>
      </c>
      <c r="I392" s="200" t="s">
        <v>777</v>
      </c>
      <c r="J392" s="200"/>
    </row>
    <row r="393" spans="2:10" ht="14.1" hidden="1">
      <c r="B393" s="199">
        <v>45734</v>
      </c>
      <c r="C393" s="202" t="s">
        <v>3617</v>
      </c>
      <c r="D393" s="200" t="s">
        <v>372</v>
      </c>
      <c r="E393" s="204">
        <v>-234262</v>
      </c>
      <c r="F393" s="201">
        <v>45717</v>
      </c>
      <c r="G393" s="200" t="s">
        <v>296</v>
      </c>
      <c r="H393" s="200" t="s">
        <v>1362</v>
      </c>
      <c r="I393" s="200" t="s">
        <v>375</v>
      </c>
      <c r="J393" s="200"/>
    </row>
    <row r="394" spans="2:10" ht="14.1" hidden="1">
      <c r="B394" s="199">
        <v>45736</v>
      </c>
      <c r="C394" s="202" t="s">
        <v>3622</v>
      </c>
      <c r="D394" s="200" t="s">
        <v>372</v>
      </c>
      <c r="E394" s="204">
        <v>-5460</v>
      </c>
      <c r="F394" s="201">
        <v>45717</v>
      </c>
      <c r="G394" s="200" t="s">
        <v>297</v>
      </c>
      <c r="H394" s="200" t="s">
        <v>1578</v>
      </c>
      <c r="I394" s="200" t="s">
        <v>268</v>
      </c>
      <c r="J394" s="200"/>
    </row>
    <row r="395" spans="2:10" ht="14.1" hidden="1">
      <c r="B395" s="199">
        <v>45736</v>
      </c>
      <c r="C395" s="202" t="s">
        <v>3295</v>
      </c>
      <c r="D395" s="200" t="s">
        <v>372</v>
      </c>
      <c r="E395" s="204">
        <v>-3276</v>
      </c>
      <c r="F395" s="201">
        <v>45717</v>
      </c>
      <c r="G395" s="200" t="s">
        <v>297</v>
      </c>
      <c r="H395" s="200" t="s">
        <v>1578</v>
      </c>
      <c r="I395" s="200" t="s">
        <v>268</v>
      </c>
      <c r="J395" s="200"/>
    </row>
    <row r="396" spans="2:10" ht="14.1" hidden="1">
      <c r="B396" s="199">
        <v>45736</v>
      </c>
      <c r="C396" s="202" t="s">
        <v>3624</v>
      </c>
      <c r="D396" s="200" t="s">
        <v>372</v>
      </c>
      <c r="E396" s="204">
        <v>-183700</v>
      </c>
      <c r="F396" s="201">
        <v>45717</v>
      </c>
      <c r="G396" s="200" t="s">
        <v>296</v>
      </c>
      <c r="H396" s="200" t="s">
        <v>321</v>
      </c>
      <c r="I396" s="200" t="s">
        <v>2654</v>
      </c>
      <c r="J396" s="200"/>
    </row>
    <row r="397" spans="2:10" ht="14.1" hidden="1">
      <c r="B397" s="199">
        <v>45736</v>
      </c>
      <c r="C397" s="202" t="s">
        <v>3624</v>
      </c>
      <c r="D397" s="200" t="s">
        <v>372</v>
      </c>
      <c r="E397" s="204">
        <v>-183700</v>
      </c>
      <c r="F397" s="201">
        <v>45717</v>
      </c>
      <c r="G397" s="200" t="s">
        <v>296</v>
      </c>
      <c r="H397" s="200" t="s">
        <v>337</v>
      </c>
      <c r="I397" s="200" t="s">
        <v>2654</v>
      </c>
      <c r="J397" s="200"/>
    </row>
    <row r="398" spans="2:10" ht="14.1" hidden="1">
      <c r="B398" s="199">
        <v>45736</v>
      </c>
      <c r="C398" s="202" t="s">
        <v>3624</v>
      </c>
      <c r="D398" s="200" t="s">
        <v>372</v>
      </c>
      <c r="E398" s="204">
        <v>-183700</v>
      </c>
      <c r="F398" s="201">
        <v>45717</v>
      </c>
      <c r="G398" s="200" t="s">
        <v>296</v>
      </c>
      <c r="H398" s="200" t="s">
        <v>44</v>
      </c>
      <c r="I398" s="200" t="s">
        <v>2654</v>
      </c>
      <c r="J398" s="200"/>
    </row>
    <row r="399" spans="2:10" ht="14.1" hidden="1">
      <c r="B399" s="199">
        <v>45736</v>
      </c>
      <c r="C399" s="202" t="s">
        <v>3624</v>
      </c>
      <c r="D399" s="200" t="s">
        <v>372</v>
      </c>
      <c r="E399" s="204">
        <v>-183700</v>
      </c>
      <c r="F399" s="201">
        <v>45717</v>
      </c>
      <c r="G399" s="200" t="s">
        <v>296</v>
      </c>
      <c r="H399" s="200" t="s">
        <v>1825</v>
      </c>
      <c r="I399" s="200" t="s">
        <v>2654</v>
      </c>
      <c r="J399" s="200"/>
    </row>
    <row r="400" spans="2:10" ht="14.1" hidden="1">
      <c r="B400" s="199">
        <v>45736</v>
      </c>
      <c r="C400" s="202" t="s">
        <v>3624</v>
      </c>
      <c r="D400" s="200" t="s">
        <v>372</v>
      </c>
      <c r="E400" s="204">
        <v>-183700</v>
      </c>
      <c r="F400" s="201">
        <v>45717</v>
      </c>
      <c r="G400" s="200" t="s">
        <v>296</v>
      </c>
      <c r="H400" s="200" t="s">
        <v>522</v>
      </c>
      <c r="I400" s="200" t="s">
        <v>2654</v>
      </c>
      <c r="J400" s="200"/>
    </row>
    <row r="401" spans="2:10" ht="14.1" hidden="1">
      <c r="B401" s="199">
        <v>45736</v>
      </c>
      <c r="C401" s="202" t="s">
        <v>3624</v>
      </c>
      <c r="D401" s="200" t="s">
        <v>372</v>
      </c>
      <c r="E401" s="204">
        <v>-2000</v>
      </c>
      <c r="F401" s="201">
        <v>45717</v>
      </c>
      <c r="G401" s="200" t="s">
        <v>296</v>
      </c>
      <c r="H401" s="200" t="s">
        <v>321</v>
      </c>
      <c r="I401" s="200" t="s">
        <v>2654</v>
      </c>
      <c r="J401" s="200"/>
    </row>
    <row r="402" spans="2:10" ht="14.1" hidden="1">
      <c r="B402" s="199">
        <v>45736</v>
      </c>
      <c r="C402" s="202" t="s">
        <v>3624</v>
      </c>
      <c r="D402" s="200" t="s">
        <v>372</v>
      </c>
      <c r="E402" s="204">
        <v>-2000</v>
      </c>
      <c r="F402" s="201">
        <v>45717</v>
      </c>
      <c r="G402" s="200" t="s">
        <v>296</v>
      </c>
      <c r="H402" s="200" t="s">
        <v>337</v>
      </c>
      <c r="I402" s="200" t="s">
        <v>2654</v>
      </c>
      <c r="J402" s="200"/>
    </row>
    <row r="403" spans="2:10" ht="14.1" hidden="1">
      <c r="B403" s="199">
        <v>45736</v>
      </c>
      <c r="C403" s="202" t="s">
        <v>3624</v>
      </c>
      <c r="D403" s="200" t="s">
        <v>372</v>
      </c>
      <c r="E403" s="204">
        <v>-2000</v>
      </c>
      <c r="F403" s="201">
        <v>45717</v>
      </c>
      <c r="G403" s="200" t="s">
        <v>296</v>
      </c>
      <c r="H403" s="200" t="s">
        <v>44</v>
      </c>
      <c r="I403" s="200" t="s">
        <v>2654</v>
      </c>
      <c r="J403" s="200"/>
    </row>
    <row r="404" spans="2:10" ht="14.1" hidden="1">
      <c r="B404" s="199">
        <v>45736</v>
      </c>
      <c r="C404" s="202" t="s">
        <v>3624</v>
      </c>
      <c r="D404" s="200" t="s">
        <v>372</v>
      </c>
      <c r="E404" s="204">
        <v>-2000</v>
      </c>
      <c r="F404" s="201">
        <v>45717</v>
      </c>
      <c r="G404" s="200" t="s">
        <v>296</v>
      </c>
      <c r="H404" s="200" t="s">
        <v>1825</v>
      </c>
      <c r="I404" s="200" t="s">
        <v>2654</v>
      </c>
      <c r="J404" s="200"/>
    </row>
    <row r="405" spans="2:10" ht="14.1" hidden="1">
      <c r="B405" s="199">
        <v>45736</v>
      </c>
      <c r="C405" s="202" t="s">
        <v>3624</v>
      </c>
      <c r="D405" s="200" t="s">
        <v>372</v>
      </c>
      <c r="E405" s="204">
        <v>-2000</v>
      </c>
      <c r="F405" s="201">
        <v>45717</v>
      </c>
      <c r="G405" s="200" t="s">
        <v>296</v>
      </c>
      <c r="H405" s="200" t="s">
        <v>522</v>
      </c>
      <c r="I405" s="200" t="s">
        <v>2654</v>
      </c>
      <c r="J405" s="200"/>
    </row>
    <row r="406" spans="2:10" ht="14.1" hidden="1">
      <c r="B406" s="199">
        <v>45736</v>
      </c>
      <c r="C406" s="202" t="s">
        <v>3626</v>
      </c>
      <c r="D406" s="200" t="s">
        <v>372</v>
      </c>
      <c r="E406" s="204">
        <v>-2505</v>
      </c>
      <c r="F406" s="201">
        <v>45717</v>
      </c>
      <c r="G406" s="200" t="s">
        <v>296</v>
      </c>
      <c r="H406" s="200" t="s">
        <v>2994</v>
      </c>
      <c r="I406" s="200" t="s">
        <v>377</v>
      </c>
      <c r="J406" s="200"/>
    </row>
    <row r="407" spans="2:10" ht="14.1" hidden="1">
      <c r="B407" s="199">
        <v>45736</v>
      </c>
      <c r="C407" s="202" t="s">
        <v>3630</v>
      </c>
      <c r="D407" s="200" t="s">
        <v>372</v>
      </c>
      <c r="E407" s="204">
        <v>-47856</v>
      </c>
      <c r="F407" s="201">
        <v>45717</v>
      </c>
      <c r="G407" s="200" t="s">
        <v>297</v>
      </c>
      <c r="H407" s="200" t="s">
        <v>388</v>
      </c>
      <c r="I407" s="200" t="s">
        <v>1962</v>
      </c>
      <c r="J407" s="200"/>
    </row>
    <row r="408" spans="2:10" ht="14.1" hidden="1">
      <c r="B408" s="199">
        <v>45736</v>
      </c>
      <c r="C408" s="202" t="s">
        <v>3632</v>
      </c>
      <c r="D408" s="200" t="s">
        <v>372</v>
      </c>
      <c r="E408" s="204">
        <v>-126000</v>
      </c>
      <c r="F408" s="201">
        <v>45717</v>
      </c>
      <c r="G408" s="200" t="s">
        <v>256</v>
      </c>
      <c r="H408" s="200" t="s">
        <v>256</v>
      </c>
      <c r="I408" s="200" t="s">
        <v>257</v>
      </c>
      <c r="J408" s="200"/>
    </row>
    <row r="409" spans="2:10" ht="14.1" hidden="1">
      <c r="B409" s="199">
        <v>45736</v>
      </c>
      <c r="C409" s="202" t="s">
        <v>3635</v>
      </c>
      <c r="D409" s="200" t="s">
        <v>372</v>
      </c>
      <c r="E409" s="204">
        <v>-109200</v>
      </c>
      <c r="F409" s="201">
        <v>45717</v>
      </c>
      <c r="G409" s="200" t="s">
        <v>296</v>
      </c>
      <c r="H409" s="200" t="s">
        <v>337</v>
      </c>
      <c r="I409" s="200" t="s">
        <v>366</v>
      </c>
      <c r="J409" s="200"/>
    </row>
    <row r="410" spans="2:10" ht="14.1" hidden="1">
      <c r="B410" s="199">
        <v>45736</v>
      </c>
      <c r="C410" s="202" t="s">
        <v>3636</v>
      </c>
      <c r="D410" s="200" t="s">
        <v>372</v>
      </c>
      <c r="E410" s="204">
        <v>-32760</v>
      </c>
      <c r="F410" s="201">
        <v>45717</v>
      </c>
      <c r="G410" s="200" t="s">
        <v>296</v>
      </c>
      <c r="H410" s="200" t="s">
        <v>337</v>
      </c>
      <c r="I410" s="200" t="s">
        <v>366</v>
      </c>
      <c r="J410" s="200"/>
    </row>
    <row r="411" spans="2:10" ht="14.1" hidden="1">
      <c r="B411" s="199">
        <v>45736</v>
      </c>
      <c r="C411" s="202" t="s">
        <v>3640</v>
      </c>
      <c r="D411" s="200" t="s">
        <v>372</v>
      </c>
      <c r="E411" s="204">
        <v>-420000</v>
      </c>
      <c r="F411" s="201">
        <v>45717</v>
      </c>
      <c r="G411" s="200" t="s">
        <v>296</v>
      </c>
      <c r="H411" s="200" t="s">
        <v>522</v>
      </c>
      <c r="I411" s="200" t="s">
        <v>488</v>
      </c>
      <c r="J411" s="200"/>
    </row>
    <row r="412" spans="2:10" ht="14.1" hidden="1">
      <c r="B412" s="199">
        <v>45736</v>
      </c>
      <c r="C412" s="202" t="s">
        <v>3641</v>
      </c>
      <c r="D412" s="200" t="s">
        <v>372</v>
      </c>
      <c r="E412" s="204">
        <v>-126000</v>
      </c>
      <c r="F412" s="201">
        <v>45717</v>
      </c>
      <c r="G412" s="200" t="s">
        <v>296</v>
      </c>
      <c r="H412" s="200" t="s">
        <v>522</v>
      </c>
      <c r="I412" s="200" t="s">
        <v>488</v>
      </c>
      <c r="J412" s="200"/>
    </row>
    <row r="413" spans="2:10" ht="14.1" hidden="1">
      <c r="B413" s="199">
        <v>45734</v>
      </c>
      <c r="C413" s="202" t="s">
        <v>3785</v>
      </c>
      <c r="D413" s="200" t="s">
        <v>372</v>
      </c>
      <c r="E413" s="204">
        <v>-1600</v>
      </c>
      <c r="F413" s="201">
        <v>45717</v>
      </c>
      <c r="G413" s="200" t="s">
        <v>296</v>
      </c>
      <c r="H413" s="200" t="s">
        <v>337</v>
      </c>
      <c r="I413" s="200" t="s">
        <v>326</v>
      </c>
      <c r="J413" s="200"/>
    </row>
    <row r="414" spans="2:10" ht="14.1" hidden="1">
      <c r="B414" s="199">
        <v>45734</v>
      </c>
      <c r="C414" s="202" t="s">
        <v>2734</v>
      </c>
      <c r="D414" s="200" t="s">
        <v>372</v>
      </c>
      <c r="E414" s="204">
        <v>-960</v>
      </c>
      <c r="F414" s="201">
        <v>45717</v>
      </c>
      <c r="G414" s="200" t="s">
        <v>296</v>
      </c>
      <c r="H414" s="200" t="s">
        <v>337</v>
      </c>
      <c r="I414" s="200" t="s">
        <v>326</v>
      </c>
      <c r="J414" s="200"/>
    </row>
    <row r="415" spans="2:10" ht="14.1" hidden="1">
      <c r="B415" s="199">
        <v>45741</v>
      </c>
      <c r="C415" s="202" t="s">
        <v>3866</v>
      </c>
      <c r="D415" s="200" t="s">
        <v>372</v>
      </c>
      <c r="E415" s="204">
        <v>-40500</v>
      </c>
      <c r="F415" s="201">
        <v>45717</v>
      </c>
      <c r="G415" s="200" t="s">
        <v>296</v>
      </c>
      <c r="H415" s="200" t="s">
        <v>522</v>
      </c>
      <c r="I415" s="200" t="s">
        <v>811</v>
      </c>
    </row>
    <row r="416" spans="2:10" ht="14.1" hidden="1">
      <c r="B416" s="199">
        <v>45741</v>
      </c>
      <c r="C416" s="202" t="s">
        <v>3867</v>
      </c>
      <c r="D416" s="200" t="s">
        <v>372</v>
      </c>
      <c r="E416" s="204">
        <v>-24300</v>
      </c>
      <c r="F416" s="201">
        <v>45717</v>
      </c>
      <c r="G416" s="200" t="s">
        <v>296</v>
      </c>
      <c r="H416" s="200" t="s">
        <v>522</v>
      </c>
      <c r="I416" s="200" t="s">
        <v>811</v>
      </c>
    </row>
    <row r="417" spans="2:9" ht="14.1" hidden="1">
      <c r="B417" s="199">
        <v>45742</v>
      </c>
      <c r="C417" s="202" t="s">
        <v>3870</v>
      </c>
      <c r="D417" s="200" t="s">
        <v>372</v>
      </c>
      <c r="E417" s="204">
        <v>-14000</v>
      </c>
      <c r="F417" s="201">
        <v>45717</v>
      </c>
      <c r="G417" s="200" t="s">
        <v>256</v>
      </c>
      <c r="H417" s="200" t="s">
        <v>256</v>
      </c>
      <c r="I417" s="200" t="s">
        <v>269</v>
      </c>
    </row>
    <row r="418" spans="2:9" ht="14.1" hidden="1">
      <c r="B418" s="199">
        <v>45742</v>
      </c>
      <c r="C418" s="202" t="s">
        <v>3871</v>
      </c>
      <c r="D418" s="200" t="s">
        <v>372</v>
      </c>
      <c r="E418" s="204">
        <v>-2400</v>
      </c>
      <c r="F418" s="201">
        <v>45717</v>
      </c>
      <c r="G418" s="200" t="s">
        <v>256</v>
      </c>
      <c r="H418" s="200" t="s">
        <v>256</v>
      </c>
      <c r="I418" s="200" t="s">
        <v>269</v>
      </c>
    </row>
    <row r="419" spans="2:9" ht="14.1" hidden="1">
      <c r="B419" s="199">
        <v>45742</v>
      </c>
      <c r="C419" s="202" t="s">
        <v>3873</v>
      </c>
      <c r="D419" s="200" t="s">
        <v>372</v>
      </c>
      <c r="E419" s="204">
        <v>-12000</v>
      </c>
      <c r="F419" s="201">
        <v>45717</v>
      </c>
      <c r="G419" s="200" t="s">
        <v>296</v>
      </c>
      <c r="H419" s="200" t="s">
        <v>1124</v>
      </c>
      <c r="I419" s="200" t="s">
        <v>346</v>
      </c>
    </row>
    <row r="420" spans="2:9" ht="14.1" hidden="1">
      <c r="B420" s="199">
        <v>45741</v>
      </c>
      <c r="C420" s="202" t="s">
        <v>3880</v>
      </c>
      <c r="D420" s="200" t="s">
        <v>372</v>
      </c>
      <c r="E420" s="204">
        <v>-4817375</v>
      </c>
      <c r="F420" s="201">
        <v>45717</v>
      </c>
      <c r="G420" s="200" t="s">
        <v>296</v>
      </c>
      <c r="H420" s="200" t="s">
        <v>44</v>
      </c>
      <c r="I420" s="200" t="s">
        <v>2659</v>
      </c>
    </row>
    <row r="421" spans="2:9" ht="14.1" hidden="1">
      <c r="B421" s="199">
        <v>45742</v>
      </c>
      <c r="C421" s="202" t="s">
        <v>3884</v>
      </c>
      <c r="D421" s="200" t="s">
        <v>372</v>
      </c>
      <c r="E421" s="204">
        <v>-21762</v>
      </c>
      <c r="F421" s="201">
        <v>45717</v>
      </c>
      <c r="G421" s="200" t="s">
        <v>296</v>
      </c>
      <c r="H421" s="200" t="s">
        <v>337</v>
      </c>
      <c r="I421" s="200" t="s">
        <v>446</v>
      </c>
    </row>
    <row r="422" spans="2:9" ht="14.1" hidden="1">
      <c r="B422" s="199">
        <v>45742</v>
      </c>
      <c r="C422" s="202" t="s">
        <v>3884</v>
      </c>
      <c r="D422" s="200" t="s">
        <v>372</v>
      </c>
      <c r="E422" s="204">
        <v>-21762</v>
      </c>
      <c r="F422" s="201">
        <v>45717</v>
      </c>
      <c r="G422" s="200" t="s">
        <v>296</v>
      </c>
      <c r="H422" s="200" t="s">
        <v>522</v>
      </c>
      <c r="I422" s="200" t="s">
        <v>446</v>
      </c>
    </row>
    <row r="423" spans="2:9" ht="14.1" hidden="1">
      <c r="B423" s="199">
        <v>45742</v>
      </c>
      <c r="C423" s="202" t="s">
        <v>3884</v>
      </c>
      <c r="D423" s="200" t="s">
        <v>372</v>
      </c>
      <c r="E423" s="204">
        <v>-21762</v>
      </c>
      <c r="F423" s="201">
        <v>45717</v>
      </c>
      <c r="G423" s="200" t="s">
        <v>296</v>
      </c>
      <c r="H423" s="200" t="s">
        <v>44</v>
      </c>
      <c r="I423" s="200" t="s">
        <v>326</v>
      </c>
    </row>
    <row r="424" spans="2:9" ht="14.1" hidden="1">
      <c r="B424" s="199">
        <v>45743</v>
      </c>
      <c r="C424" s="202" t="s">
        <v>3887</v>
      </c>
      <c r="D424" s="200" t="s">
        <v>372</v>
      </c>
      <c r="E424" s="204">
        <v>-638250</v>
      </c>
      <c r="F424" s="201">
        <v>45717</v>
      </c>
      <c r="G424" s="200" t="s">
        <v>296</v>
      </c>
      <c r="H424" s="200" t="s">
        <v>1980</v>
      </c>
      <c r="I424" s="200" t="s">
        <v>1560</v>
      </c>
    </row>
    <row r="425" spans="2:9" ht="14.1" hidden="1">
      <c r="B425" s="199">
        <v>45743</v>
      </c>
      <c r="C425" s="202" t="s">
        <v>3887</v>
      </c>
      <c r="D425" s="200" t="s">
        <v>372</v>
      </c>
      <c r="E425" s="204">
        <v>-638250</v>
      </c>
      <c r="F425" s="201">
        <v>45717</v>
      </c>
      <c r="G425" s="200" t="s">
        <v>296</v>
      </c>
      <c r="H425" s="200" t="s">
        <v>1983</v>
      </c>
      <c r="I425" s="200" t="s">
        <v>1560</v>
      </c>
    </row>
    <row r="426" spans="2:9" ht="14.1" hidden="1">
      <c r="B426" s="199">
        <v>45743</v>
      </c>
      <c r="C426" s="202" t="s">
        <v>3899</v>
      </c>
      <c r="D426" s="200" t="s">
        <v>372</v>
      </c>
      <c r="E426" s="204">
        <v>-21260</v>
      </c>
      <c r="F426" s="201">
        <v>45717</v>
      </c>
      <c r="G426" s="200" t="s">
        <v>256</v>
      </c>
      <c r="H426" s="200" t="s">
        <v>256</v>
      </c>
      <c r="I426" s="200" t="s">
        <v>267</v>
      </c>
    </row>
    <row r="427" spans="2:9" ht="14.1" hidden="1">
      <c r="B427" s="199">
        <v>45744</v>
      </c>
      <c r="C427" s="202" t="s">
        <v>3906</v>
      </c>
      <c r="D427" s="200" t="s">
        <v>372</v>
      </c>
      <c r="E427" s="204">
        <v>-68000</v>
      </c>
      <c r="F427" s="201">
        <v>45717</v>
      </c>
      <c r="G427" s="200" t="s">
        <v>256</v>
      </c>
      <c r="H427" s="200" t="s">
        <v>256</v>
      </c>
      <c r="I427" s="200" t="s">
        <v>777</v>
      </c>
    </row>
    <row r="428" spans="2:9" ht="14.1" hidden="1">
      <c r="B428" s="199">
        <v>45744</v>
      </c>
      <c r="C428" s="202" t="s">
        <v>3907</v>
      </c>
      <c r="D428" s="200" t="s">
        <v>372</v>
      </c>
      <c r="E428" s="204">
        <v>-95200</v>
      </c>
      <c r="F428" s="201">
        <v>45717</v>
      </c>
      <c r="G428" s="200" t="s">
        <v>256</v>
      </c>
      <c r="H428" s="200" t="s">
        <v>256</v>
      </c>
      <c r="I428" s="200" t="s">
        <v>777</v>
      </c>
    </row>
    <row r="429" spans="2:9" ht="14.1" hidden="1">
      <c r="B429" s="199">
        <v>45744</v>
      </c>
      <c r="C429" s="202" t="s">
        <v>3913</v>
      </c>
      <c r="D429" s="200" t="s">
        <v>372</v>
      </c>
      <c r="E429" s="204">
        <v>-338424</v>
      </c>
      <c r="F429" s="201">
        <v>45717</v>
      </c>
      <c r="G429" s="200" t="s">
        <v>296</v>
      </c>
      <c r="H429" s="200" t="s">
        <v>1124</v>
      </c>
      <c r="I429" s="200" t="s">
        <v>377</v>
      </c>
    </row>
    <row r="430" spans="2:9" ht="14.1" hidden="1">
      <c r="B430" s="199">
        <v>45744</v>
      </c>
      <c r="C430" s="202" t="s">
        <v>1926</v>
      </c>
      <c r="D430" s="200" t="s">
        <v>372</v>
      </c>
      <c r="E430" s="204">
        <v>-5180</v>
      </c>
      <c r="F430" s="201">
        <v>45717</v>
      </c>
      <c r="G430" s="200" t="s">
        <v>296</v>
      </c>
      <c r="H430" s="200" t="s">
        <v>337</v>
      </c>
      <c r="I430" s="200" t="s">
        <v>326</v>
      </c>
    </row>
    <row r="431" spans="2:9" ht="14.1" hidden="1">
      <c r="B431" s="199">
        <v>45744</v>
      </c>
      <c r="C431" s="202" t="s">
        <v>1927</v>
      </c>
      <c r="D431" s="200" t="s">
        <v>372</v>
      </c>
      <c r="E431" s="204">
        <v>-3108</v>
      </c>
      <c r="F431" s="201">
        <v>45717</v>
      </c>
      <c r="G431" s="200" t="s">
        <v>296</v>
      </c>
      <c r="H431" s="200" t="s">
        <v>337</v>
      </c>
      <c r="I431" s="200" t="s">
        <v>326</v>
      </c>
    </row>
    <row r="432" spans="2:9" ht="14.1" hidden="1">
      <c r="B432" s="199">
        <v>45744</v>
      </c>
      <c r="C432" s="202" t="s">
        <v>3916</v>
      </c>
      <c r="D432" s="200" t="s">
        <v>372</v>
      </c>
      <c r="E432" s="204">
        <v>-1592</v>
      </c>
      <c r="F432" s="201">
        <v>45717</v>
      </c>
      <c r="G432" s="200" t="s">
        <v>256</v>
      </c>
      <c r="H432" s="200" t="s">
        <v>256</v>
      </c>
      <c r="I432" s="200" t="s">
        <v>263</v>
      </c>
    </row>
    <row r="433" spans="2:9" ht="14.1" hidden="1">
      <c r="B433" s="199">
        <v>45744</v>
      </c>
      <c r="C433" s="202" t="s">
        <v>3916</v>
      </c>
      <c r="D433" s="200" t="s">
        <v>372</v>
      </c>
      <c r="E433" s="204">
        <v>-1056</v>
      </c>
      <c r="F433" s="201">
        <v>45717</v>
      </c>
      <c r="G433" s="200" t="s">
        <v>297</v>
      </c>
      <c r="H433" s="200" t="s">
        <v>311</v>
      </c>
      <c r="I433" s="200" t="s">
        <v>350</v>
      </c>
    </row>
    <row r="434" spans="2:9" ht="14.1" hidden="1">
      <c r="B434" s="199">
        <v>45744</v>
      </c>
      <c r="C434" s="202" t="s">
        <v>3916</v>
      </c>
      <c r="D434" s="200" t="s">
        <v>372</v>
      </c>
      <c r="E434" s="204">
        <v>-656</v>
      </c>
      <c r="F434" s="201">
        <v>45717</v>
      </c>
      <c r="G434" s="200" t="s">
        <v>296</v>
      </c>
      <c r="H434" s="200" t="s">
        <v>2994</v>
      </c>
      <c r="I434" s="200" t="s">
        <v>350</v>
      </c>
    </row>
    <row r="435" spans="2:9" ht="14.1" hidden="1">
      <c r="B435" s="199">
        <v>45744</v>
      </c>
      <c r="C435" s="202" t="s">
        <v>3916</v>
      </c>
      <c r="D435" s="200" t="s">
        <v>372</v>
      </c>
      <c r="E435" s="204">
        <v>-173</v>
      </c>
      <c r="F435" s="201">
        <v>45717</v>
      </c>
      <c r="G435" s="200" t="s">
        <v>297</v>
      </c>
      <c r="H435" s="200" t="s">
        <v>1313</v>
      </c>
      <c r="I435" s="200" t="s">
        <v>350</v>
      </c>
    </row>
    <row r="436" spans="2:9" ht="14.1" hidden="1">
      <c r="B436" s="199">
        <v>45744</v>
      </c>
      <c r="C436" s="202" t="s">
        <v>3918</v>
      </c>
      <c r="D436" s="200" t="s">
        <v>372</v>
      </c>
      <c r="E436" s="204">
        <v>-3470</v>
      </c>
      <c r="F436" s="201">
        <v>45717</v>
      </c>
      <c r="G436" s="200" t="s">
        <v>296</v>
      </c>
      <c r="H436" s="200" t="s">
        <v>522</v>
      </c>
      <c r="I436" s="200" t="s">
        <v>488</v>
      </c>
    </row>
    <row r="437" spans="2:9" ht="14.1" hidden="1">
      <c r="B437" s="199">
        <v>45742</v>
      </c>
      <c r="C437" s="202" t="s">
        <v>3785</v>
      </c>
      <c r="D437" s="200" t="s">
        <v>372</v>
      </c>
      <c r="E437" s="204">
        <v>-2620</v>
      </c>
      <c r="F437" s="201">
        <v>45717</v>
      </c>
      <c r="G437" s="200" t="s">
        <v>297</v>
      </c>
      <c r="H437" s="200" t="s">
        <v>311</v>
      </c>
      <c r="I437" s="200" t="s">
        <v>268</v>
      </c>
    </row>
    <row r="438" spans="2:9" ht="14.1" hidden="1">
      <c r="B438" s="199">
        <v>45742</v>
      </c>
      <c r="C438" s="202" t="s">
        <v>2734</v>
      </c>
      <c r="D438" s="200" t="s">
        <v>372</v>
      </c>
      <c r="E438" s="204">
        <v>-1572</v>
      </c>
      <c r="F438" s="201">
        <v>45717</v>
      </c>
      <c r="G438" s="200" t="s">
        <v>297</v>
      </c>
      <c r="H438" s="200" t="s">
        <v>311</v>
      </c>
      <c r="I438" s="200" t="s">
        <v>268</v>
      </c>
    </row>
    <row r="439" spans="2:9" ht="14.1" hidden="1">
      <c r="B439" s="199">
        <v>45744</v>
      </c>
      <c r="C439" s="202" t="s">
        <v>4259</v>
      </c>
      <c r="D439" s="200" t="s">
        <v>372</v>
      </c>
      <c r="E439" s="716">
        <v>-4000</v>
      </c>
      <c r="F439" s="201">
        <v>45717</v>
      </c>
      <c r="G439" s="200" t="s">
        <v>296</v>
      </c>
      <c r="H439" s="200" t="s">
        <v>1980</v>
      </c>
      <c r="I439" s="200" t="s">
        <v>442</v>
      </c>
    </row>
    <row r="440" spans="2:9" ht="14.1" hidden="1">
      <c r="B440" s="199">
        <v>45744</v>
      </c>
      <c r="C440" s="202" t="s">
        <v>4267</v>
      </c>
      <c r="D440" s="200" t="s">
        <v>372</v>
      </c>
      <c r="E440" s="716">
        <v>-14500</v>
      </c>
      <c r="F440" s="201">
        <v>45717</v>
      </c>
      <c r="G440" s="200" t="s">
        <v>296</v>
      </c>
      <c r="H440" s="200" t="s">
        <v>522</v>
      </c>
      <c r="I440" s="200" t="s">
        <v>811</v>
      </c>
    </row>
    <row r="441" spans="2:9" ht="14.1" hidden="1">
      <c r="B441" s="199">
        <v>45744</v>
      </c>
      <c r="C441" s="202" t="s">
        <v>4268</v>
      </c>
      <c r="D441" s="200" t="s">
        <v>372</v>
      </c>
      <c r="E441" s="716">
        <v>-8700</v>
      </c>
      <c r="F441" s="201">
        <v>45717</v>
      </c>
      <c r="G441" s="200" t="s">
        <v>296</v>
      </c>
      <c r="H441" s="200" t="s">
        <v>522</v>
      </c>
      <c r="I441" s="200" t="s">
        <v>811</v>
      </c>
    </row>
    <row r="442" spans="2:9" ht="14.1" hidden="1">
      <c r="B442" s="199">
        <v>45744</v>
      </c>
      <c r="C442" s="202" t="s">
        <v>4267</v>
      </c>
      <c r="D442" s="200" t="s">
        <v>372</v>
      </c>
      <c r="E442" s="716">
        <v>-39400</v>
      </c>
      <c r="F442" s="201">
        <v>45717</v>
      </c>
      <c r="G442" s="200" t="s">
        <v>296</v>
      </c>
      <c r="H442" s="200" t="s">
        <v>1825</v>
      </c>
      <c r="I442" s="200" t="s">
        <v>488</v>
      </c>
    </row>
    <row r="443" spans="2:9" ht="14.1" hidden="1">
      <c r="B443" s="199">
        <v>45744</v>
      </c>
      <c r="C443" s="202" t="s">
        <v>4268</v>
      </c>
      <c r="D443" s="200" t="s">
        <v>372</v>
      </c>
      <c r="E443" s="716">
        <v>-23640</v>
      </c>
      <c r="F443" s="201">
        <v>45717</v>
      </c>
      <c r="G443" s="200" t="s">
        <v>296</v>
      </c>
      <c r="H443" s="200" t="s">
        <v>1825</v>
      </c>
      <c r="I443" s="200" t="s">
        <v>488</v>
      </c>
    </row>
    <row r="444" spans="2:9" ht="14.1" hidden="1">
      <c r="B444" s="199">
        <v>45748</v>
      </c>
      <c r="C444" s="202" t="s">
        <v>4324</v>
      </c>
      <c r="D444" s="200" t="s">
        <v>372</v>
      </c>
      <c r="E444" s="204">
        <v>-13900</v>
      </c>
      <c r="F444" s="201">
        <v>45748</v>
      </c>
      <c r="G444" s="200" t="s">
        <v>297</v>
      </c>
      <c r="H444" s="200" t="s">
        <v>44</v>
      </c>
      <c r="I444" s="200" t="s">
        <v>366</v>
      </c>
    </row>
    <row r="445" spans="2:9" ht="14.1" hidden="1">
      <c r="B445" s="199">
        <v>45748</v>
      </c>
      <c r="C445" s="202" t="s">
        <v>4336</v>
      </c>
      <c r="D445" s="200" t="s">
        <v>372</v>
      </c>
      <c r="E445" s="204">
        <v>-17047</v>
      </c>
      <c r="F445" s="201">
        <v>45748</v>
      </c>
      <c r="G445" s="200" t="s">
        <v>296</v>
      </c>
      <c r="H445" s="200" t="s">
        <v>522</v>
      </c>
      <c r="I445" s="200" t="s">
        <v>446</v>
      </c>
    </row>
    <row r="446" spans="2:9" ht="14.1" hidden="1">
      <c r="B446" s="199">
        <v>45748</v>
      </c>
      <c r="C446" s="202" t="s">
        <v>4336</v>
      </c>
      <c r="D446" s="200" t="s">
        <v>372</v>
      </c>
      <c r="E446" s="204">
        <v>-17047</v>
      </c>
      <c r="F446" s="201">
        <v>45748</v>
      </c>
      <c r="G446" s="200" t="s">
        <v>296</v>
      </c>
      <c r="H446" s="200" t="s">
        <v>44</v>
      </c>
      <c r="I446" s="200" t="s">
        <v>326</v>
      </c>
    </row>
    <row r="447" spans="2:9" ht="14.1" hidden="1">
      <c r="B447" s="199">
        <v>45748</v>
      </c>
      <c r="C447" s="202" t="s">
        <v>4336</v>
      </c>
      <c r="D447" s="200" t="s">
        <v>372</v>
      </c>
      <c r="E447" s="204">
        <v>-17047</v>
      </c>
      <c r="F447" s="201">
        <v>45748</v>
      </c>
      <c r="G447" s="200" t="s">
        <v>296</v>
      </c>
      <c r="H447" s="200" t="s">
        <v>256</v>
      </c>
      <c r="I447" s="200" t="s">
        <v>9</v>
      </c>
    </row>
    <row r="448" spans="2:9" ht="14.1" hidden="1">
      <c r="B448" s="199">
        <v>45750</v>
      </c>
      <c r="C448" s="202" t="s">
        <v>4348</v>
      </c>
      <c r="D448" s="200" t="s">
        <v>372</v>
      </c>
      <c r="E448" s="204">
        <v>-29050</v>
      </c>
      <c r="F448" s="201">
        <v>45748</v>
      </c>
      <c r="G448" s="200" t="s">
        <v>296</v>
      </c>
      <c r="H448" s="200" t="s">
        <v>256</v>
      </c>
      <c r="I448" s="200" t="s">
        <v>263</v>
      </c>
    </row>
    <row r="449" spans="2:9" ht="14.1" hidden="1">
      <c r="B449" s="199">
        <v>45750</v>
      </c>
      <c r="C449" s="202" t="s">
        <v>4353</v>
      </c>
      <c r="D449" s="200" t="s">
        <v>372</v>
      </c>
      <c r="E449" s="204">
        <v>-225500</v>
      </c>
      <c r="F449" s="201">
        <v>45748</v>
      </c>
      <c r="G449" s="200" t="s">
        <v>297</v>
      </c>
      <c r="H449" s="200" t="s">
        <v>1313</v>
      </c>
      <c r="I449" s="200" t="s">
        <v>1066</v>
      </c>
    </row>
    <row r="450" spans="2:9" ht="14.1" hidden="1">
      <c r="B450" s="199">
        <v>45750</v>
      </c>
      <c r="C450" s="202" t="s">
        <v>4355</v>
      </c>
      <c r="D450" s="200" t="s">
        <v>372</v>
      </c>
      <c r="E450" s="204">
        <v>-250800</v>
      </c>
      <c r="F450" s="201">
        <v>45748</v>
      </c>
      <c r="G450" s="200" t="s">
        <v>297</v>
      </c>
      <c r="H450" s="200" t="s">
        <v>256</v>
      </c>
      <c r="I450" s="200" t="s">
        <v>257</v>
      </c>
    </row>
    <row r="451" spans="2:9" ht="14.1" hidden="1">
      <c r="B451" s="199">
        <v>45750</v>
      </c>
      <c r="C451" s="202" t="s">
        <v>4358</v>
      </c>
      <c r="D451" s="200" t="s">
        <v>372</v>
      </c>
      <c r="E451" s="204">
        <v>-194740</v>
      </c>
      <c r="F451" s="201">
        <v>45748</v>
      </c>
      <c r="G451" s="200" t="s">
        <v>256</v>
      </c>
      <c r="H451" s="200" t="s">
        <v>453</v>
      </c>
      <c r="I451" s="200" t="s">
        <v>97</v>
      </c>
    </row>
    <row r="452" spans="2:9" ht="14.1" hidden="1">
      <c r="B452" s="199">
        <v>45750</v>
      </c>
      <c r="C452" s="202" t="s">
        <v>4359</v>
      </c>
      <c r="D452" s="200" t="s">
        <v>372</v>
      </c>
      <c r="E452" s="204">
        <v>-33384</v>
      </c>
      <c r="F452" s="201">
        <v>45748</v>
      </c>
      <c r="G452" s="200" t="s">
        <v>256</v>
      </c>
      <c r="H452" s="200" t="s">
        <v>2994</v>
      </c>
      <c r="I452" s="200" t="s">
        <v>4225</v>
      </c>
    </row>
    <row r="453" spans="2:9" ht="14.1" hidden="1">
      <c r="B453" s="199">
        <v>45750</v>
      </c>
      <c r="C453" s="202" t="s">
        <v>4364</v>
      </c>
      <c r="D453" s="200" t="s">
        <v>372</v>
      </c>
      <c r="E453" s="204">
        <v>-5380</v>
      </c>
      <c r="F453" s="201">
        <v>45748</v>
      </c>
      <c r="G453" s="200" t="s">
        <v>297</v>
      </c>
      <c r="H453" s="200" t="s">
        <v>2994</v>
      </c>
      <c r="I453" s="200" t="s">
        <v>350</v>
      </c>
    </row>
    <row r="454" spans="2:9" ht="14.1" hidden="1">
      <c r="B454" s="199">
        <v>45750</v>
      </c>
      <c r="C454" s="202" t="s">
        <v>4374</v>
      </c>
      <c r="D454" s="200" t="s">
        <v>372</v>
      </c>
      <c r="E454" s="204">
        <v>-16176</v>
      </c>
      <c r="F454" s="201">
        <v>45748</v>
      </c>
      <c r="G454" s="200" t="s">
        <v>296</v>
      </c>
      <c r="H454" s="200" t="s">
        <v>1362</v>
      </c>
      <c r="I454" s="200" t="s">
        <v>342</v>
      </c>
    </row>
    <row r="455" spans="2:9" ht="14.1" hidden="1">
      <c r="B455" s="199">
        <v>45748</v>
      </c>
      <c r="C455" s="202" t="s">
        <v>1926</v>
      </c>
      <c r="D455" s="200" t="s">
        <v>372</v>
      </c>
      <c r="E455" s="204">
        <v>-4430</v>
      </c>
      <c r="F455" s="201">
        <v>45748</v>
      </c>
      <c r="G455" s="200" t="s">
        <v>296</v>
      </c>
      <c r="H455" s="200" t="s">
        <v>9070</v>
      </c>
      <c r="I455" s="200" t="s">
        <v>342</v>
      </c>
    </row>
    <row r="456" spans="2:9" ht="14.1" hidden="1">
      <c r="B456" s="199">
        <v>45748</v>
      </c>
      <c r="C456" s="202" t="s">
        <v>1927</v>
      </c>
      <c r="D456" s="200" t="s">
        <v>372</v>
      </c>
      <c r="E456" s="204">
        <v>-2658</v>
      </c>
      <c r="F456" s="201">
        <v>45748</v>
      </c>
      <c r="G456" s="200" t="s">
        <v>296</v>
      </c>
      <c r="H456" s="200" t="s">
        <v>9070</v>
      </c>
      <c r="I456" s="200" t="s">
        <v>342</v>
      </c>
    </row>
    <row r="457" spans="2:9" ht="14.1" hidden="1">
      <c r="B457" s="199">
        <v>45748</v>
      </c>
      <c r="C457" s="202" t="s">
        <v>4378</v>
      </c>
      <c r="D457" s="200" t="s">
        <v>372</v>
      </c>
      <c r="E457" s="204">
        <v>-50400</v>
      </c>
      <c r="F457" s="201">
        <v>45748</v>
      </c>
      <c r="G457" s="200" t="s">
        <v>296</v>
      </c>
      <c r="H457" s="200" t="s">
        <v>44</v>
      </c>
      <c r="I457" s="200" t="s">
        <v>421</v>
      </c>
    </row>
    <row r="458" spans="2:9" ht="14.1" hidden="1">
      <c r="B458" s="199">
        <v>45750</v>
      </c>
      <c r="C458" s="202" t="s">
        <v>4395</v>
      </c>
      <c r="D458" s="200" t="s">
        <v>372</v>
      </c>
      <c r="E458" s="204">
        <v>-2380</v>
      </c>
      <c r="F458" s="201">
        <v>45748</v>
      </c>
      <c r="G458" s="200" t="s">
        <v>395</v>
      </c>
      <c r="H458" s="200" t="s">
        <v>337</v>
      </c>
      <c r="I458" s="200" t="s">
        <v>326</v>
      </c>
    </row>
    <row r="459" spans="2:9" ht="14.1" hidden="1">
      <c r="B459" s="199">
        <v>45750</v>
      </c>
      <c r="C459" s="202" t="s">
        <v>4396</v>
      </c>
      <c r="D459" s="200" t="s">
        <v>372</v>
      </c>
      <c r="E459" s="204">
        <v>-1428</v>
      </c>
      <c r="F459" s="201">
        <v>45748</v>
      </c>
      <c r="G459" s="200" t="s">
        <v>395</v>
      </c>
      <c r="H459" s="200" t="s">
        <v>337</v>
      </c>
      <c r="I459" s="200" t="s">
        <v>366</v>
      </c>
    </row>
    <row r="460" spans="2:9" ht="14.1" hidden="1">
      <c r="B460" s="746">
        <v>45754</v>
      </c>
      <c r="C460" s="747" t="s">
        <v>371</v>
      </c>
      <c r="D460" s="747" t="s">
        <v>372</v>
      </c>
      <c r="E460" s="748">
        <v>156423.35</v>
      </c>
      <c r="F460" s="749">
        <v>45748</v>
      </c>
      <c r="G460" s="747" t="s">
        <v>256</v>
      </c>
      <c r="H460" s="747"/>
      <c r="I460" s="747"/>
    </row>
    <row r="461" spans="2:9" ht="14.1" hidden="1">
      <c r="B461" s="199">
        <v>45756</v>
      </c>
      <c r="C461" s="202" t="s">
        <v>4509</v>
      </c>
      <c r="D461" s="200" t="s">
        <v>372</v>
      </c>
      <c r="E461" s="204">
        <v>-61658</v>
      </c>
      <c r="F461" s="201">
        <v>45748</v>
      </c>
      <c r="G461" s="200" t="s">
        <v>296</v>
      </c>
      <c r="H461" s="200" t="s">
        <v>522</v>
      </c>
      <c r="I461" s="200" t="s">
        <v>326</v>
      </c>
    </row>
    <row r="462" spans="2:9" ht="14.1" hidden="1">
      <c r="B462" s="199">
        <v>45755</v>
      </c>
      <c r="C462" s="202" t="s">
        <v>4539</v>
      </c>
      <c r="D462" s="200" t="s">
        <v>372</v>
      </c>
      <c r="E462" s="204">
        <v>-6520</v>
      </c>
      <c r="F462" s="201">
        <v>45748</v>
      </c>
      <c r="G462" s="200" t="s">
        <v>296</v>
      </c>
      <c r="H462" s="200" t="s">
        <v>1362</v>
      </c>
      <c r="I462" s="200" t="s">
        <v>375</v>
      </c>
    </row>
    <row r="463" spans="2:9" ht="14.1" hidden="1">
      <c r="B463" s="199">
        <v>45755</v>
      </c>
      <c r="C463" s="202" t="s">
        <v>4542</v>
      </c>
      <c r="D463" s="200" t="s">
        <v>372</v>
      </c>
      <c r="E463" s="204">
        <v>-144325</v>
      </c>
      <c r="F463" s="201">
        <v>45748</v>
      </c>
      <c r="G463" s="200" t="s">
        <v>296</v>
      </c>
      <c r="H463" s="200" t="s">
        <v>807</v>
      </c>
      <c r="I463" s="200" t="s">
        <v>488</v>
      </c>
    </row>
    <row r="464" spans="2:9" ht="14.1" hidden="1">
      <c r="B464" s="199">
        <v>45755</v>
      </c>
      <c r="C464" s="202" t="s">
        <v>4551</v>
      </c>
      <c r="D464" s="200" t="s">
        <v>372</v>
      </c>
      <c r="E464" s="204">
        <v>-35000</v>
      </c>
      <c r="F464" s="201">
        <v>45748</v>
      </c>
      <c r="G464" s="200" t="s">
        <v>296</v>
      </c>
      <c r="H464" s="200" t="s">
        <v>1362</v>
      </c>
      <c r="I464" s="200" t="s">
        <v>342</v>
      </c>
    </row>
    <row r="465" spans="2:9" ht="14.1" hidden="1">
      <c r="B465" s="199">
        <v>45755</v>
      </c>
      <c r="C465" s="202" t="s">
        <v>4555</v>
      </c>
      <c r="D465" s="200" t="s">
        <v>372</v>
      </c>
      <c r="E465" s="204">
        <v>-82500</v>
      </c>
      <c r="F465" s="201">
        <v>45748</v>
      </c>
      <c r="G465" s="200" t="s">
        <v>296</v>
      </c>
      <c r="H465" s="200" t="s">
        <v>453</v>
      </c>
      <c r="I465" s="200" t="s">
        <v>98</v>
      </c>
    </row>
    <row r="466" spans="2:9" ht="14.1" hidden="1">
      <c r="B466" s="199">
        <v>45755</v>
      </c>
      <c r="C466" s="202" t="s">
        <v>4563</v>
      </c>
      <c r="D466" s="200" t="s">
        <v>372</v>
      </c>
      <c r="E466" s="204">
        <v>-12332</v>
      </c>
      <c r="F466" s="201">
        <v>45748</v>
      </c>
      <c r="G466" s="200" t="s">
        <v>296</v>
      </c>
      <c r="H466" s="200" t="s">
        <v>1362</v>
      </c>
      <c r="I466" s="200" t="s">
        <v>342</v>
      </c>
    </row>
    <row r="467" spans="2:9" ht="14.1" hidden="1">
      <c r="B467" s="199">
        <v>45755</v>
      </c>
      <c r="C467" s="202" t="s">
        <v>4565</v>
      </c>
      <c r="D467" s="200" t="s">
        <v>372</v>
      </c>
      <c r="E467" s="204">
        <v>-36000</v>
      </c>
      <c r="F467" s="201">
        <v>45748</v>
      </c>
      <c r="G467" s="200" t="s">
        <v>256</v>
      </c>
      <c r="H467" s="200" t="s">
        <v>256</v>
      </c>
      <c r="I467" s="200" t="s">
        <v>263</v>
      </c>
    </row>
    <row r="468" spans="2:9" ht="14.1" hidden="1">
      <c r="B468" s="199">
        <v>45755</v>
      </c>
      <c r="C468" s="202" t="s">
        <v>4566</v>
      </c>
      <c r="D468" s="200" t="s">
        <v>372</v>
      </c>
      <c r="E468" s="204">
        <v>-5400</v>
      </c>
      <c r="F468" s="201">
        <v>45748</v>
      </c>
      <c r="G468" s="200" t="s">
        <v>256</v>
      </c>
      <c r="H468" s="200" t="s">
        <v>256</v>
      </c>
      <c r="I468" s="200" t="s">
        <v>263</v>
      </c>
    </row>
    <row r="469" spans="2:9" ht="14.1" hidden="1">
      <c r="B469" s="199">
        <v>45757</v>
      </c>
      <c r="C469" s="202" t="s">
        <v>4585</v>
      </c>
      <c r="D469" s="200" t="s">
        <v>372</v>
      </c>
      <c r="E469" s="204">
        <v>-7760</v>
      </c>
      <c r="F469" s="201">
        <v>45748</v>
      </c>
      <c r="G469" s="200" t="s">
        <v>296</v>
      </c>
      <c r="H469" s="200" t="s">
        <v>3360</v>
      </c>
      <c r="I469" s="200" t="s">
        <v>377</v>
      </c>
    </row>
    <row r="470" spans="2:9" ht="14.1" hidden="1">
      <c r="B470" s="199">
        <v>45757</v>
      </c>
      <c r="C470" s="202" t="s">
        <v>4585</v>
      </c>
      <c r="D470" s="200" t="s">
        <v>372</v>
      </c>
      <c r="E470" s="204">
        <v>-7760</v>
      </c>
      <c r="F470" s="201">
        <v>45748</v>
      </c>
      <c r="G470" s="200" t="s">
        <v>296</v>
      </c>
      <c r="H470" s="200" t="s">
        <v>1362</v>
      </c>
      <c r="I470" s="200" t="s">
        <v>377</v>
      </c>
    </row>
    <row r="471" spans="2:9" ht="14.1" hidden="1">
      <c r="B471" s="199">
        <v>45757</v>
      </c>
      <c r="C471" s="202" t="s">
        <v>4589</v>
      </c>
      <c r="D471" s="200" t="s">
        <v>372</v>
      </c>
      <c r="E471" s="204">
        <v>-85738</v>
      </c>
      <c r="F471" s="201">
        <v>45748</v>
      </c>
      <c r="G471" s="200" t="s">
        <v>296</v>
      </c>
      <c r="H471" s="200" t="s">
        <v>1980</v>
      </c>
      <c r="I471" s="200" t="s">
        <v>490</v>
      </c>
    </row>
    <row r="472" spans="2:9" ht="14.1" hidden="1">
      <c r="B472" s="199">
        <v>45757</v>
      </c>
      <c r="C472" s="202" t="s">
        <v>4395</v>
      </c>
      <c r="D472" s="200" t="s">
        <v>372</v>
      </c>
      <c r="E472" s="204">
        <v>-3680</v>
      </c>
      <c r="F472" s="662">
        <v>45748</v>
      </c>
      <c r="G472" s="200" t="s">
        <v>296</v>
      </c>
      <c r="H472" s="200" t="s">
        <v>328</v>
      </c>
      <c r="I472" s="200" t="s">
        <v>268</v>
      </c>
    </row>
    <row r="473" spans="2:9" ht="14.1" hidden="1">
      <c r="B473" s="199">
        <v>45757</v>
      </c>
      <c r="C473" s="202" t="s">
        <v>4396</v>
      </c>
      <c r="D473" s="200" t="s">
        <v>372</v>
      </c>
      <c r="E473" s="204">
        <v>-2208</v>
      </c>
      <c r="F473" s="662">
        <v>45748</v>
      </c>
      <c r="G473" s="200" t="s">
        <v>296</v>
      </c>
      <c r="H473" s="200" t="s">
        <v>328</v>
      </c>
      <c r="I473" s="200" t="s">
        <v>268</v>
      </c>
    </row>
    <row r="474" spans="2:9" ht="14.1" hidden="1">
      <c r="B474" s="199">
        <v>45761</v>
      </c>
      <c r="C474" s="202" t="s">
        <v>4395</v>
      </c>
      <c r="D474" s="200" t="s">
        <v>372</v>
      </c>
      <c r="E474" s="204">
        <v>-2210</v>
      </c>
      <c r="F474" s="201">
        <v>45748</v>
      </c>
      <c r="G474" s="200" t="s">
        <v>395</v>
      </c>
      <c r="H474" s="200" t="s">
        <v>395</v>
      </c>
      <c r="I474" s="200" t="s">
        <v>268</v>
      </c>
    </row>
    <row r="475" spans="2:9" ht="14.1" hidden="1">
      <c r="B475" s="199">
        <v>45761</v>
      </c>
      <c r="C475" s="202" t="s">
        <v>4396</v>
      </c>
      <c r="D475" s="200" t="s">
        <v>372</v>
      </c>
      <c r="E475" s="204">
        <v>-1326</v>
      </c>
      <c r="F475" s="201">
        <v>45748</v>
      </c>
      <c r="G475" s="200" t="s">
        <v>395</v>
      </c>
      <c r="H475" s="200" t="s">
        <v>395</v>
      </c>
      <c r="I475" s="200" t="s">
        <v>268</v>
      </c>
    </row>
    <row r="476" spans="2:9" ht="14.1" hidden="1">
      <c r="B476" s="199">
        <v>45758</v>
      </c>
      <c r="C476" s="202" t="s">
        <v>4680</v>
      </c>
      <c r="D476" s="200" t="s">
        <v>372</v>
      </c>
      <c r="E476" s="204">
        <v>-4166</v>
      </c>
      <c r="F476" s="201">
        <v>45748</v>
      </c>
      <c r="G476" s="200" t="s">
        <v>296</v>
      </c>
      <c r="H476" s="200" t="s">
        <v>522</v>
      </c>
      <c r="I476" s="200" t="s">
        <v>1079</v>
      </c>
    </row>
    <row r="477" spans="2:9" ht="14.1" hidden="1">
      <c r="B477" s="199">
        <v>45758</v>
      </c>
      <c r="C477" s="202" t="s">
        <v>4681</v>
      </c>
      <c r="D477" s="200" t="s">
        <v>372</v>
      </c>
      <c r="E477" s="204">
        <v>-34720</v>
      </c>
      <c r="F477" s="201">
        <v>45748</v>
      </c>
      <c r="G477" s="200" t="s">
        <v>296</v>
      </c>
      <c r="H477" s="200" t="s">
        <v>44</v>
      </c>
      <c r="I477" s="200" t="s">
        <v>1079</v>
      </c>
    </row>
    <row r="478" spans="2:9" ht="14.1" hidden="1">
      <c r="B478" s="199">
        <v>45758</v>
      </c>
      <c r="C478" s="202" t="s">
        <v>4680</v>
      </c>
      <c r="D478" s="200" t="s">
        <v>372</v>
      </c>
      <c r="E478" s="204">
        <v>-8333</v>
      </c>
      <c r="F478" s="201">
        <v>45748</v>
      </c>
      <c r="G478" s="200" t="s">
        <v>296</v>
      </c>
      <c r="H478" s="200" t="s">
        <v>44</v>
      </c>
      <c r="I478" s="200" t="s">
        <v>1079</v>
      </c>
    </row>
    <row r="479" spans="2:9" ht="14.1" hidden="1">
      <c r="B479" s="199">
        <v>45758</v>
      </c>
      <c r="C479" s="202" t="s">
        <v>4683</v>
      </c>
      <c r="D479" s="200" t="s">
        <v>372</v>
      </c>
      <c r="E479" s="204">
        <v>-43500</v>
      </c>
      <c r="F479" s="201">
        <v>45748</v>
      </c>
      <c r="G479" s="200" t="s">
        <v>296</v>
      </c>
      <c r="H479" s="200" t="s">
        <v>522</v>
      </c>
      <c r="I479" s="200" t="s">
        <v>811</v>
      </c>
    </row>
    <row r="480" spans="2:9" ht="14.1" hidden="1">
      <c r="B480" s="199">
        <v>45758</v>
      </c>
      <c r="C480" s="202" t="s">
        <v>4684</v>
      </c>
      <c r="D480" s="200" t="s">
        <v>372</v>
      </c>
      <c r="E480" s="204">
        <v>-26100</v>
      </c>
      <c r="F480" s="201">
        <v>45748</v>
      </c>
      <c r="G480" s="200" t="s">
        <v>296</v>
      </c>
      <c r="H480" s="200" t="s">
        <v>522</v>
      </c>
      <c r="I480" s="200" t="s">
        <v>811</v>
      </c>
    </row>
    <row r="481" spans="2:9" ht="14.1" hidden="1">
      <c r="B481" s="199">
        <v>45758</v>
      </c>
      <c r="C481" s="202" t="s">
        <v>1926</v>
      </c>
      <c r="D481" s="200" t="s">
        <v>372</v>
      </c>
      <c r="E481" s="204">
        <v>-6810</v>
      </c>
      <c r="F481" s="201">
        <v>45748</v>
      </c>
      <c r="G481" s="200" t="s">
        <v>296</v>
      </c>
      <c r="H481" s="200" t="s">
        <v>2994</v>
      </c>
      <c r="I481" s="200" t="s">
        <v>268</v>
      </c>
    </row>
    <row r="482" spans="2:9" ht="14.1" hidden="1">
      <c r="B482" s="199">
        <v>45758</v>
      </c>
      <c r="C482" s="202" t="s">
        <v>1927</v>
      </c>
      <c r="D482" s="200" t="s">
        <v>372</v>
      </c>
      <c r="E482" s="204">
        <v>-4086</v>
      </c>
      <c r="F482" s="201">
        <v>45748</v>
      </c>
      <c r="G482" s="200" t="s">
        <v>296</v>
      </c>
      <c r="H482" s="200" t="s">
        <v>2994</v>
      </c>
      <c r="I482" s="200" t="s">
        <v>268</v>
      </c>
    </row>
    <row r="483" spans="2:9" ht="14.1" hidden="1">
      <c r="B483" s="199">
        <v>45758</v>
      </c>
      <c r="C483" s="202" t="s">
        <v>4706</v>
      </c>
      <c r="D483" s="200" t="s">
        <v>372</v>
      </c>
      <c r="E483" s="204">
        <v>-5832</v>
      </c>
      <c r="F483" s="201">
        <v>45748</v>
      </c>
      <c r="G483" s="200" t="s">
        <v>296</v>
      </c>
      <c r="H483" s="200" t="s">
        <v>415</v>
      </c>
      <c r="I483" s="200" t="s">
        <v>377</v>
      </c>
    </row>
    <row r="484" spans="2:9" ht="14.1" hidden="1">
      <c r="B484" s="199">
        <v>45758</v>
      </c>
      <c r="C484" s="202" t="s">
        <v>4709</v>
      </c>
      <c r="D484" s="200" t="s">
        <v>372</v>
      </c>
      <c r="E484" s="204">
        <v>-289659</v>
      </c>
      <c r="F484" s="201">
        <v>45748</v>
      </c>
      <c r="G484" s="200" t="s">
        <v>296</v>
      </c>
      <c r="H484" s="200" t="s">
        <v>1362</v>
      </c>
      <c r="I484" s="200" t="s">
        <v>377</v>
      </c>
    </row>
    <row r="485" spans="2:9" ht="14.1" hidden="1">
      <c r="B485" s="199">
        <v>45758</v>
      </c>
      <c r="C485" s="202" t="s">
        <v>4711</v>
      </c>
      <c r="D485" s="200" t="s">
        <v>372</v>
      </c>
      <c r="E485" s="204">
        <v>-170829</v>
      </c>
      <c r="F485" s="201">
        <v>45748</v>
      </c>
      <c r="G485" s="200" t="s">
        <v>296</v>
      </c>
      <c r="H485" s="200" t="s">
        <v>3360</v>
      </c>
      <c r="I485" s="200" t="s">
        <v>377</v>
      </c>
    </row>
    <row r="486" spans="2:9" ht="14.1" hidden="1">
      <c r="B486" s="199">
        <v>45758</v>
      </c>
      <c r="C486" s="202" t="s">
        <v>4713</v>
      </c>
      <c r="D486" s="200" t="s">
        <v>372</v>
      </c>
      <c r="E486" s="204">
        <v>-102600</v>
      </c>
      <c r="F486" s="662">
        <v>45748</v>
      </c>
      <c r="G486" s="200" t="s">
        <v>256</v>
      </c>
      <c r="H486" s="200" t="s">
        <v>107</v>
      </c>
      <c r="I486" s="200" t="s">
        <v>777</v>
      </c>
    </row>
    <row r="487" spans="2:9" ht="14.1" hidden="1">
      <c r="B487" s="199">
        <v>45758</v>
      </c>
      <c r="C487" s="202" t="s">
        <v>4719</v>
      </c>
      <c r="D487" s="200" t="s">
        <v>372</v>
      </c>
      <c r="E487" s="204">
        <v>-583625</v>
      </c>
      <c r="F487" s="662">
        <v>45748</v>
      </c>
      <c r="G487" s="200" t="s">
        <v>296</v>
      </c>
      <c r="H487" s="200" t="s">
        <v>1980</v>
      </c>
      <c r="I487" s="200" t="s">
        <v>429</v>
      </c>
    </row>
    <row r="488" spans="2:9" ht="14.1" hidden="1">
      <c r="B488" s="199">
        <v>45758</v>
      </c>
      <c r="C488" s="202" t="s">
        <v>4724</v>
      </c>
      <c r="D488" s="200" t="s">
        <v>372</v>
      </c>
      <c r="E488" s="204">
        <v>-152</v>
      </c>
      <c r="F488" s="662">
        <v>45748</v>
      </c>
      <c r="G488" s="200" t="s">
        <v>296</v>
      </c>
      <c r="H488" s="200" t="s">
        <v>2994</v>
      </c>
      <c r="I488" s="200" t="s">
        <v>350</v>
      </c>
    </row>
    <row r="489" spans="2:9" ht="14.1" hidden="1">
      <c r="B489" s="199">
        <v>45758</v>
      </c>
      <c r="C489" s="202" t="s">
        <v>4724</v>
      </c>
      <c r="D489" s="200" t="s">
        <v>372</v>
      </c>
      <c r="E489" s="204">
        <v>-470</v>
      </c>
      <c r="F489" s="662">
        <v>45748</v>
      </c>
      <c r="G489" s="200" t="s">
        <v>296</v>
      </c>
      <c r="H489" s="200" t="s">
        <v>328</v>
      </c>
      <c r="I489" s="200" t="s">
        <v>350</v>
      </c>
    </row>
    <row r="490" spans="2:9" ht="14.1" hidden="1">
      <c r="B490" s="199">
        <v>45758</v>
      </c>
      <c r="C490" s="202" t="s">
        <v>4726</v>
      </c>
      <c r="D490" s="200" t="s">
        <v>372</v>
      </c>
      <c r="E490" s="204">
        <v>-1295</v>
      </c>
      <c r="F490" s="662">
        <v>45748</v>
      </c>
      <c r="G490" s="200" t="s">
        <v>296</v>
      </c>
      <c r="H490" s="200" t="s">
        <v>328</v>
      </c>
      <c r="I490" s="200" t="s">
        <v>350</v>
      </c>
    </row>
    <row r="491" spans="2:9" ht="14.1" hidden="1">
      <c r="B491" s="199">
        <v>45758</v>
      </c>
      <c r="C491" s="202" t="s">
        <v>4728</v>
      </c>
      <c r="D491" s="200" t="s">
        <v>372</v>
      </c>
      <c r="E491" s="204">
        <v>-3209</v>
      </c>
      <c r="F491" s="662">
        <v>45748</v>
      </c>
      <c r="G491" s="200" t="s">
        <v>296</v>
      </c>
      <c r="H491" s="200" t="s">
        <v>44</v>
      </c>
      <c r="I491" s="200" t="s">
        <v>421</v>
      </c>
    </row>
    <row r="492" spans="2:9" ht="14.1" hidden="1">
      <c r="B492" s="199">
        <v>45758</v>
      </c>
      <c r="C492" s="202" t="s">
        <v>4730</v>
      </c>
      <c r="D492" s="200" t="s">
        <v>372</v>
      </c>
      <c r="E492" s="204">
        <v>-3209</v>
      </c>
      <c r="F492" s="662">
        <v>45748</v>
      </c>
      <c r="G492" s="200" t="s">
        <v>296</v>
      </c>
      <c r="H492" s="200" t="s">
        <v>44</v>
      </c>
      <c r="I492" s="200" t="s">
        <v>421</v>
      </c>
    </row>
    <row r="493" spans="2:9" ht="14.1" hidden="1">
      <c r="B493" s="199">
        <v>45762</v>
      </c>
      <c r="C493" s="202" t="s">
        <v>4744</v>
      </c>
      <c r="D493" s="200" t="s">
        <v>372</v>
      </c>
      <c r="E493" s="204">
        <v>-3571535</v>
      </c>
      <c r="F493" s="662">
        <v>45748</v>
      </c>
      <c r="G493" s="200" t="s">
        <v>296</v>
      </c>
      <c r="H493" s="200" t="s">
        <v>522</v>
      </c>
      <c r="I493" s="200" t="s">
        <v>1651</v>
      </c>
    </row>
    <row r="494" spans="2:9" ht="14.1" hidden="1">
      <c r="B494" s="199">
        <v>45762</v>
      </c>
      <c r="C494" s="202" t="s">
        <v>4746</v>
      </c>
      <c r="D494" s="200" t="s">
        <v>372</v>
      </c>
      <c r="E494" s="204">
        <v>-24000</v>
      </c>
      <c r="F494" s="662">
        <v>45748</v>
      </c>
      <c r="G494" s="200" t="s">
        <v>296</v>
      </c>
      <c r="H494" s="200" t="s">
        <v>522</v>
      </c>
      <c r="I494" s="200" t="s">
        <v>442</v>
      </c>
    </row>
    <row r="495" spans="2:9" ht="14.1" hidden="1">
      <c r="B495" s="199">
        <v>45762</v>
      </c>
      <c r="C495" s="202" t="s">
        <v>4748</v>
      </c>
      <c r="D495" s="200" t="s">
        <v>372</v>
      </c>
      <c r="E495" s="204">
        <v>-126000</v>
      </c>
      <c r="F495" s="662">
        <v>45748</v>
      </c>
      <c r="G495" s="200" t="s">
        <v>256</v>
      </c>
      <c r="H495" s="200" t="s">
        <v>256</v>
      </c>
      <c r="I495" s="200" t="s">
        <v>257</v>
      </c>
    </row>
    <row r="496" spans="2:9" ht="14.1" hidden="1">
      <c r="B496" s="199">
        <v>45762</v>
      </c>
      <c r="C496" s="202" t="s">
        <v>4754</v>
      </c>
      <c r="D496" s="200" t="s">
        <v>372</v>
      </c>
      <c r="E496" s="204">
        <v>-39600</v>
      </c>
      <c r="F496" s="662">
        <v>45748</v>
      </c>
      <c r="G496" s="200" t="s">
        <v>296</v>
      </c>
      <c r="H496" s="200" t="s">
        <v>1311</v>
      </c>
      <c r="I496" s="200" t="s">
        <v>375</v>
      </c>
    </row>
    <row r="497" spans="2:9" ht="14.1" hidden="1">
      <c r="B497" s="199">
        <v>45762</v>
      </c>
      <c r="C497" s="202" t="s">
        <v>4756</v>
      </c>
      <c r="D497" s="200" t="s">
        <v>372</v>
      </c>
      <c r="E497" s="204">
        <v>-3900</v>
      </c>
      <c r="F497" s="662">
        <v>45748</v>
      </c>
      <c r="G497" s="200" t="s">
        <v>296</v>
      </c>
      <c r="H497" s="200" t="s">
        <v>1311</v>
      </c>
      <c r="I497" s="200" t="s">
        <v>375</v>
      </c>
    </row>
    <row r="498" spans="2:9" ht="14.1" hidden="1">
      <c r="B498" s="199">
        <v>45762</v>
      </c>
      <c r="C498" s="202" t="s">
        <v>4760</v>
      </c>
      <c r="D498" s="200" t="s">
        <v>372</v>
      </c>
      <c r="E498" s="204">
        <v>-19250</v>
      </c>
      <c r="F498" s="662">
        <v>45748</v>
      </c>
      <c r="G498" s="200" t="s">
        <v>296</v>
      </c>
      <c r="H498" s="200" t="s">
        <v>1362</v>
      </c>
      <c r="I498" s="200" t="s">
        <v>342</v>
      </c>
    </row>
    <row r="499" spans="2:9" ht="14.1" hidden="1">
      <c r="B499" s="199">
        <v>45762</v>
      </c>
      <c r="C499" s="202" t="s">
        <v>4760</v>
      </c>
      <c r="D499" s="200" t="s">
        <v>372</v>
      </c>
      <c r="E499" s="204">
        <v>-9800</v>
      </c>
      <c r="F499" s="662">
        <v>45748</v>
      </c>
      <c r="G499" s="200" t="s">
        <v>296</v>
      </c>
      <c r="H499" s="200" t="s">
        <v>1362</v>
      </c>
      <c r="I499" s="200" t="s">
        <v>342</v>
      </c>
    </row>
    <row r="500" spans="2:9" ht="14.1" hidden="1">
      <c r="B500" s="199">
        <v>45762</v>
      </c>
      <c r="C500" s="202" t="s">
        <v>4762</v>
      </c>
      <c r="D500" s="200" t="s">
        <v>372</v>
      </c>
      <c r="E500" s="204">
        <v>-12332</v>
      </c>
      <c r="F500" s="662">
        <v>45748</v>
      </c>
      <c r="G500" s="200" t="s">
        <v>296</v>
      </c>
      <c r="H500" s="200" t="s">
        <v>1362</v>
      </c>
      <c r="I500" s="200" t="s">
        <v>342</v>
      </c>
    </row>
    <row r="501" spans="2:9" ht="14.1" hidden="1">
      <c r="B501" s="199">
        <v>45762</v>
      </c>
      <c r="C501" s="202" t="s">
        <v>4765</v>
      </c>
      <c r="D501" s="200" t="s">
        <v>372</v>
      </c>
      <c r="E501" s="204">
        <v>-37375</v>
      </c>
      <c r="F501" s="662">
        <v>45748</v>
      </c>
      <c r="G501" s="200" t="s">
        <v>296</v>
      </c>
      <c r="H501" s="200" t="s">
        <v>415</v>
      </c>
      <c r="I501" s="200" t="s">
        <v>377</v>
      </c>
    </row>
    <row r="502" spans="2:9" ht="14.1" hidden="1">
      <c r="B502" s="199">
        <v>45762</v>
      </c>
      <c r="C502" s="202" t="s">
        <v>4766</v>
      </c>
      <c r="D502" s="200" t="s">
        <v>372</v>
      </c>
      <c r="E502" s="204">
        <v>-4485</v>
      </c>
      <c r="F502" s="662">
        <v>45748</v>
      </c>
      <c r="G502" s="200" t="s">
        <v>296</v>
      </c>
      <c r="H502" s="200" t="s">
        <v>415</v>
      </c>
      <c r="I502" s="200" t="s">
        <v>377</v>
      </c>
    </row>
    <row r="503" spans="2:9" ht="14.1" hidden="1">
      <c r="B503" s="199">
        <v>45762</v>
      </c>
      <c r="C503" s="202" t="s">
        <v>4768</v>
      </c>
      <c r="D503" s="200" t="s">
        <v>372</v>
      </c>
      <c r="E503" s="204">
        <v>-61235</v>
      </c>
      <c r="F503" s="662">
        <v>45748</v>
      </c>
      <c r="G503" s="200" t="s">
        <v>296</v>
      </c>
      <c r="H503" s="200" t="s">
        <v>522</v>
      </c>
      <c r="I503" s="200" t="s">
        <v>326</v>
      </c>
    </row>
    <row r="504" spans="2:9" ht="14.1" hidden="1">
      <c r="B504" s="199">
        <v>45762</v>
      </c>
      <c r="C504" s="202" t="s">
        <v>1926</v>
      </c>
      <c r="D504" s="200" t="s">
        <v>372</v>
      </c>
      <c r="E504" s="204">
        <v>-6860</v>
      </c>
      <c r="F504" s="662">
        <v>45748</v>
      </c>
      <c r="G504" s="200" t="s">
        <v>296</v>
      </c>
      <c r="H504" s="200" t="s">
        <v>1578</v>
      </c>
      <c r="I504" s="200" t="s">
        <v>268</v>
      </c>
    </row>
    <row r="505" spans="2:9" ht="14.1" hidden="1">
      <c r="B505" s="199">
        <v>45762</v>
      </c>
      <c r="C505" s="202" t="s">
        <v>1927</v>
      </c>
      <c r="D505" s="200" t="s">
        <v>372</v>
      </c>
      <c r="E505" s="204">
        <v>-4116</v>
      </c>
      <c r="F505" s="662">
        <v>45748</v>
      </c>
      <c r="G505" s="200" t="s">
        <v>296</v>
      </c>
      <c r="H505" s="200" t="s">
        <v>1578</v>
      </c>
      <c r="I505" s="200" t="s">
        <v>268</v>
      </c>
    </row>
    <row r="506" spans="2:9" ht="14.1" hidden="1">
      <c r="B506" s="199">
        <v>45762</v>
      </c>
      <c r="C506" s="202" t="s">
        <v>4773</v>
      </c>
      <c r="D506" s="200" t="s">
        <v>372</v>
      </c>
      <c r="E506" s="204">
        <v>-567000</v>
      </c>
      <c r="F506" s="201">
        <v>45748</v>
      </c>
      <c r="G506" s="200" t="s">
        <v>297</v>
      </c>
      <c r="H506" s="200" t="s">
        <v>3892</v>
      </c>
      <c r="I506" s="200" t="s">
        <v>342</v>
      </c>
    </row>
    <row r="507" spans="2:9" ht="14.1" hidden="1">
      <c r="B507" s="199">
        <v>45763</v>
      </c>
      <c r="C507" s="202" t="s">
        <v>4815</v>
      </c>
      <c r="D507" s="200" t="s">
        <v>372</v>
      </c>
      <c r="E507" s="204">
        <v>-45720</v>
      </c>
      <c r="F507" s="201">
        <v>45748</v>
      </c>
      <c r="G507" s="200" t="s">
        <v>296</v>
      </c>
      <c r="H507" s="200" t="s">
        <v>1825</v>
      </c>
      <c r="I507" s="200" t="s">
        <v>490</v>
      </c>
    </row>
    <row r="508" spans="2:9" ht="14.1" hidden="1">
      <c r="B508" s="199">
        <v>45763</v>
      </c>
      <c r="C508" s="202" t="s">
        <v>4817</v>
      </c>
      <c r="D508" s="200" t="s">
        <v>372</v>
      </c>
      <c r="E508" s="204">
        <v>-328800</v>
      </c>
      <c r="F508" s="201">
        <v>45748</v>
      </c>
      <c r="G508" s="200" t="s">
        <v>296</v>
      </c>
      <c r="H508" s="200" t="s">
        <v>522</v>
      </c>
      <c r="I508" s="200" t="s">
        <v>488</v>
      </c>
    </row>
    <row r="509" spans="2:9" ht="14.1" hidden="1">
      <c r="B509" s="199">
        <v>45763</v>
      </c>
      <c r="C509" s="202" t="s">
        <v>4819</v>
      </c>
      <c r="D509" s="200" t="s">
        <v>372</v>
      </c>
      <c r="E509" s="204">
        <v>-270200</v>
      </c>
      <c r="F509" s="201">
        <v>45748</v>
      </c>
      <c r="G509" s="200" t="s">
        <v>296</v>
      </c>
      <c r="H509" s="200" t="s">
        <v>44</v>
      </c>
      <c r="I509" s="200" t="s">
        <v>488</v>
      </c>
    </row>
    <row r="510" spans="2:9" ht="14.1" hidden="1">
      <c r="B510" s="199">
        <v>45763</v>
      </c>
      <c r="C510" s="202" t="s">
        <v>4821</v>
      </c>
      <c r="D510" s="200" t="s">
        <v>372</v>
      </c>
      <c r="E510" s="204">
        <v>-350000</v>
      </c>
      <c r="F510" s="201">
        <v>45748</v>
      </c>
      <c r="G510" s="200" t="s">
        <v>296</v>
      </c>
      <c r="H510" s="200" t="s">
        <v>1980</v>
      </c>
      <c r="I510" s="200" t="s">
        <v>1079</v>
      </c>
    </row>
    <row r="511" spans="2:9" ht="14.1" hidden="1">
      <c r="B511" s="199">
        <v>45763</v>
      </c>
      <c r="C511" s="202" t="s">
        <v>4822</v>
      </c>
      <c r="D511" s="200" t="s">
        <v>372</v>
      </c>
      <c r="E511" s="204">
        <v>-210000</v>
      </c>
      <c r="F511" s="201">
        <v>45748</v>
      </c>
      <c r="G511" s="200" t="s">
        <v>296</v>
      </c>
      <c r="H511" s="200" t="s">
        <v>1980</v>
      </c>
      <c r="I511" s="200" t="s">
        <v>1079</v>
      </c>
    </row>
    <row r="512" spans="2:9" ht="14.1" hidden="1">
      <c r="B512" s="199">
        <v>45763</v>
      </c>
      <c r="C512" s="202" t="s">
        <v>4824</v>
      </c>
      <c r="D512" s="200" t="s">
        <v>372</v>
      </c>
      <c r="E512" s="204">
        <v>-29000</v>
      </c>
      <c r="F512" s="201">
        <v>45748</v>
      </c>
      <c r="G512" s="200" t="s">
        <v>296</v>
      </c>
      <c r="H512" s="200" t="s">
        <v>807</v>
      </c>
      <c r="I512" s="200" t="s">
        <v>488</v>
      </c>
    </row>
    <row r="513" spans="2:9" ht="14.1" hidden="1">
      <c r="B513" s="199">
        <v>45763</v>
      </c>
      <c r="C513" s="202" t="s">
        <v>4825</v>
      </c>
      <c r="D513" s="200" t="s">
        <v>372</v>
      </c>
      <c r="E513" s="204">
        <v>-17400</v>
      </c>
      <c r="F513" s="201">
        <v>45748</v>
      </c>
      <c r="G513" s="200" t="s">
        <v>296</v>
      </c>
      <c r="H513" s="200" t="s">
        <v>807</v>
      </c>
      <c r="I513" s="200" t="s">
        <v>488</v>
      </c>
    </row>
    <row r="514" spans="2:9" ht="14.1" hidden="1">
      <c r="B514" s="199">
        <v>45763</v>
      </c>
      <c r="C514" s="202" t="s">
        <v>4827</v>
      </c>
      <c r="D514" s="200" t="s">
        <v>372</v>
      </c>
      <c r="E514" s="204">
        <v>-10800</v>
      </c>
      <c r="F514" s="201">
        <v>45748</v>
      </c>
      <c r="G514" s="200" t="s">
        <v>296</v>
      </c>
      <c r="H514" s="200" t="s">
        <v>1825</v>
      </c>
      <c r="I514" s="200" t="s">
        <v>488</v>
      </c>
    </row>
    <row r="515" spans="2:9" ht="14.1" hidden="1">
      <c r="B515" s="199">
        <v>45763</v>
      </c>
      <c r="C515" s="202" t="s">
        <v>4828</v>
      </c>
      <c r="D515" s="200" t="s">
        <v>372</v>
      </c>
      <c r="E515" s="204">
        <v>-6480</v>
      </c>
      <c r="F515" s="201">
        <v>45748</v>
      </c>
      <c r="G515" s="200" t="s">
        <v>296</v>
      </c>
      <c r="H515" s="200" t="s">
        <v>1825</v>
      </c>
      <c r="I515" s="200" t="s">
        <v>488</v>
      </c>
    </row>
    <row r="516" spans="2:9" ht="14.1" hidden="1">
      <c r="B516" s="199">
        <v>45763</v>
      </c>
      <c r="C516" s="202" t="s">
        <v>4831</v>
      </c>
      <c r="D516" s="200" t="s">
        <v>372</v>
      </c>
      <c r="E516" s="204">
        <v>-264000</v>
      </c>
      <c r="F516" s="201">
        <v>45748</v>
      </c>
      <c r="G516" s="200" t="s">
        <v>296</v>
      </c>
      <c r="H516" s="200" t="s">
        <v>1980</v>
      </c>
      <c r="I516" s="200" t="s">
        <v>322</v>
      </c>
    </row>
    <row r="517" spans="2:9" ht="14.1" hidden="1">
      <c r="B517" s="199">
        <v>45763</v>
      </c>
      <c r="C517" s="202" t="s">
        <v>4831</v>
      </c>
      <c r="D517" s="200" t="s">
        <v>372</v>
      </c>
      <c r="E517" s="204">
        <v>-264000</v>
      </c>
      <c r="F517" s="201">
        <v>45748</v>
      </c>
      <c r="G517" s="200" t="s">
        <v>296</v>
      </c>
      <c r="H517" s="200" t="s">
        <v>807</v>
      </c>
      <c r="I517" s="200" t="s">
        <v>322</v>
      </c>
    </row>
    <row r="518" spans="2:9" ht="14.1" hidden="1">
      <c r="B518" s="199">
        <v>45763</v>
      </c>
      <c r="C518" s="202" t="s">
        <v>4834</v>
      </c>
      <c r="D518" s="200" t="s">
        <v>372</v>
      </c>
      <c r="E518" s="204">
        <v>-212500</v>
      </c>
      <c r="F518" s="201">
        <v>45748</v>
      </c>
      <c r="G518" s="200" t="s">
        <v>297</v>
      </c>
      <c r="H518" s="200" t="s">
        <v>69</v>
      </c>
      <c r="I518" s="200" t="s">
        <v>375</v>
      </c>
    </row>
    <row r="519" spans="2:9" ht="14.1" hidden="1">
      <c r="B519" s="199">
        <v>45763</v>
      </c>
      <c r="C519" s="202" t="s">
        <v>4834</v>
      </c>
      <c r="D519" s="200" t="s">
        <v>372</v>
      </c>
      <c r="E519" s="204">
        <v>-91000</v>
      </c>
      <c r="F519" s="201">
        <v>45748</v>
      </c>
      <c r="G519" s="200" t="s">
        <v>296</v>
      </c>
      <c r="H519" s="200" t="s">
        <v>328</v>
      </c>
      <c r="I519" s="200" t="s">
        <v>375</v>
      </c>
    </row>
    <row r="520" spans="2:9" ht="14.1" hidden="1">
      <c r="B520" s="199">
        <v>45763</v>
      </c>
      <c r="C520" s="202" t="s">
        <v>4834</v>
      </c>
      <c r="D520" s="200" t="s">
        <v>372</v>
      </c>
      <c r="E520" s="204">
        <v>-300000</v>
      </c>
      <c r="F520" s="201">
        <v>45748</v>
      </c>
      <c r="G520" s="200" t="s">
        <v>296</v>
      </c>
      <c r="H520" s="200" t="s">
        <v>1124</v>
      </c>
      <c r="I520" s="200" t="s">
        <v>375</v>
      </c>
    </row>
    <row r="521" spans="2:9" ht="14.1" hidden="1">
      <c r="B521" s="199">
        <v>45763</v>
      </c>
      <c r="C521" s="202" t="s">
        <v>4834</v>
      </c>
      <c r="D521" s="200" t="s">
        <v>372</v>
      </c>
      <c r="E521" s="204">
        <v>-45750</v>
      </c>
      <c r="F521" s="201">
        <v>45748</v>
      </c>
      <c r="G521" s="200" t="s">
        <v>296</v>
      </c>
      <c r="H521" s="200" t="s">
        <v>328</v>
      </c>
      <c r="I521" s="200" t="s">
        <v>839</v>
      </c>
    </row>
    <row r="522" spans="2:9" ht="14.1" hidden="1">
      <c r="B522" s="199">
        <v>45763</v>
      </c>
      <c r="C522" s="202" t="s">
        <v>4834</v>
      </c>
      <c r="D522" s="200" t="s">
        <v>372</v>
      </c>
      <c r="E522" s="204">
        <v>-41665.5</v>
      </c>
      <c r="F522" s="201">
        <v>45748</v>
      </c>
      <c r="G522" s="200" t="s">
        <v>296</v>
      </c>
      <c r="H522" s="200" t="s">
        <v>411</v>
      </c>
      <c r="I522" s="200" t="s">
        <v>839</v>
      </c>
    </row>
    <row r="523" spans="2:9" ht="14.1" hidden="1">
      <c r="B523" s="199">
        <v>45763</v>
      </c>
      <c r="C523" s="202" t="s">
        <v>4834</v>
      </c>
      <c r="D523" s="200" t="s">
        <v>372</v>
      </c>
      <c r="E523" s="204">
        <v>-66600</v>
      </c>
      <c r="F523" s="201">
        <v>45748</v>
      </c>
      <c r="G523" s="200" t="s">
        <v>296</v>
      </c>
      <c r="H523" s="200" t="s">
        <v>328</v>
      </c>
      <c r="I523" s="200" t="s">
        <v>375</v>
      </c>
    </row>
    <row r="524" spans="2:9" ht="14.1" hidden="1">
      <c r="B524" s="199">
        <v>45763</v>
      </c>
      <c r="C524" s="202" t="s">
        <v>4834</v>
      </c>
      <c r="D524" s="200" t="s">
        <v>372</v>
      </c>
      <c r="E524" s="204">
        <v>-55750</v>
      </c>
      <c r="F524" s="201">
        <v>45748</v>
      </c>
      <c r="G524" s="200" t="s">
        <v>297</v>
      </c>
      <c r="H524" s="200" t="s">
        <v>1313</v>
      </c>
      <c r="I524" s="200" t="s">
        <v>839</v>
      </c>
    </row>
    <row r="525" spans="2:9" ht="14.1" hidden="1">
      <c r="B525" s="199">
        <v>45763</v>
      </c>
      <c r="C525" s="202" t="s">
        <v>4834</v>
      </c>
      <c r="D525" s="200" t="s">
        <v>372</v>
      </c>
      <c r="E525" s="204">
        <v>-134125</v>
      </c>
      <c r="F525" s="201">
        <v>45748</v>
      </c>
      <c r="G525" s="200" t="s">
        <v>297</v>
      </c>
      <c r="H525" s="200" t="s">
        <v>1578</v>
      </c>
      <c r="I525" s="200" t="s">
        <v>839</v>
      </c>
    </row>
    <row r="526" spans="2:9" ht="14.1" hidden="1">
      <c r="B526" s="199">
        <v>45769</v>
      </c>
      <c r="C526" s="202" t="s">
        <v>5168</v>
      </c>
      <c r="D526" s="200" t="s">
        <v>372</v>
      </c>
      <c r="E526" s="204">
        <v>-5600</v>
      </c>
      <c r="F526" s="201">
        <v>45748</v>
      </c>
      <c r="G526" s="200" t="s">
        <v>296</v>
      </c>
      <c r="H526" s="200" t="s">
        <v>44</v>
      </c>
      <c r="I526" s="200" t="s">
        <v>326</v>
      </c>
    </row>
    <row r="527" spans="2:9" ht="14.1" hidden="1">
      <c r="B527" s="199">
        <v>45770</v>
      </c>
      <c r="C527" s="202" t="s">
        <v>5170</v>
      </c>
      <c r="D527" s="200" t="s">
        <v>372</v>
      </c>
      <c r="E527" s="204">
        <v>-3087521</v>
      </c>
      <c r="F527" s="201">
        <v>45748</v>
      </c>
      <c r="G527" s="200" t="s">
        <v>296</v>
      </c>
      <c r="H527" s="200" t="s">
        <v>522</v>
      </c>
      <c r="I527" s="200" t="s">
        <v>848</v>
      </c>
    </row>
    <row r="528" spans="2:9" ht="14.1" hidden="1">
      <c r="B528" s="199">
        <v>45770</v>
      </c>
      <c r="C528" s="202" t="s">
        <v>5175</v>
      </c>
      <c r="D528" s="200" t="s">
        <v>372</v>
      </c>
      <c r="E528" s="204">
        <v>-12332</v>
      </c>
      <c r="F528" s="201">
        <v>45748</v>
      </c>
      <c r="G528" s="200" t="s">
        <v>296</v>
      </c>
      <c r="H528" s="200" t="s">
        <v>1362</v>
      </c>
      <c r="I528" s="200" t="s">
        <v>342</v>
      </c>
    </row>
    <row r="529" spans="2:9" ht="14.1" hidden="1">
      <c r="B529" s="199">
        <v>45769</v>
      </c>
      <c r="C529" s="202" t="s">
        <v>5191</v>
      </c>
      <c r="D529" s="200" t="s">
        <v>372</v>
      </c>
      <c r="E529" s="204">
        <v>-51450</v>
      </c>
      <c r="F529" s="201">
        <v>45748</v>
      </c>
      <c r="G529" s="200" t="s">
        <v>296</v>
      </c>
      <c r="H529" s="200" t="s">
        <v>415</v>
      </c>
      <c r="I529" s="200" t="s">
        <v>837</v>
      </c>
    </row>
    <row r="530" spans="2:9" ht="14.1" hidden="1">
      <c r="B530" s="199">
        <v>45769</v>
      </c>
      <c r="C530" s="202" t="s">
        <v>5199</v>
      </c>
      <c r="D530" s="200" t="s">
        <v>372</v>
      </c>
      <c r="E530" s="204">
        <v>-58993</v>
      </c>
      <c r="F530" s="201">
        <v>45748</v>
      </c>
      <c r="G530" s="200" t="s">
        <v>296</v>
      </c>
      <c r="H530" s="200" t="s">
        <v>1980</v>
      </c>
      <c r="I530" s="200" t="s">
        <v>322</v>
      </c>
    </row>
    <row r="531" spans="2:9" ht="14.1" hidden="1">
      <c r="B531" s="199">
        <v>45769</v>
      </c>
      <c r="C531" s="202" t="s">
        <v>5200</v>
      </c>
      <c r="D531" s="200" t="s">
        <v>372</v>
      </c>
      <c r="E531" s="204">
        <v>-14158</v>
      </c>
      <c r="F531" s="201">
        <v>45748</v>
      </c>
      <c r="G531" s="200" t="s">
        <v>296</v>
      </c>
      <c r="H531" s="200" t="s">
        <v>1980</v>
      </c>
      <c r="I531" s="200" t="s">
        <v>322</v>
      </c>
    </row>
    <row r="532" spans="2:9" ht="14.1" hidden="1">
      <c r="B532" s="199">
        <v>45769</v>
      </c>
      <c r="C532" s="202" t="s">
        <v>5199</v>
      </c>
      <c r="D532" s="200" t="s">
        <v>372</v>
      </c>
      <c r="E532" s="204">
        <v>-223</v>
      </c>
      <c r="F532" s="201">
        <v>45748</v>
      </c>
      <c r="G532" s="200" t="s">
        <v>296</v>
      </c>
      <c r="H532" s="200" t="s">
        <v>1825</v>
      </c>
      <c r="I532" s="200" t="s">
        <v>322</v>
      </c>
    </row>
    <row r="533" spans="2:9" ht="14.1" hidden="1">
      <c r="B533" s="199">
        <v>45769</v>
      </c>
      <c r="C533" s="202" t="s">
        <v>5200</v>
      </c>
      <c r="D533" s="200" t="s">
        <v>372</v>
      </c>
      <c r="E533" s="204">
        <v>-53</v>
      </c>
      <c r="F533" s="201">
        <v>45748</v>
      </c>
      <c r="G533" s="200" t="s">
        <v>296</v>
      </c>
      <c r="H533" s="200" t="s">
        <v>1825</v>
      </c>
      <c r="I533" s="200" t="s">
        <v>322</v>
      </c>
    </row>
    <row r="534" spans="2:9" ht="14.1" hidden="1">
      <c r="B534" s="199">
        <v>45769</v>
      </c>
      <c r="C534" s="202" t="s">
        <v>5199</v>
      </c>
      <c r="D534" s="200" t="s">
        <v>372</v>
      </c>
      <c r="E534" s="204">
        <v>-223</v>
      </c>
      <c r="F534" s="201">
        <v>45748</v>
      </c>
      <c r="G534" s="200" t="s">
        <v>296</v>
      </c>
      <c r="H534" s="200" t="s">
        <v>522</v>
      </c>
      <c r="I534" s="200" t="s">
        <v>322</v>
      </c>
    </row>
    <row r="535" spans="2:9" ht="14.1" hidden="1">
      <c r="B535" s="199">
        <v>45769</v>
      </c>
      <c r="C535" s="202" t="s">
        <v>5200</v>
      </c>
      <c r="D535" s="200" t="s">
        <v>372</v>
      </c>
      <c r="E535" s="204">
        <v>-53</v>
      </c>
      <c r="F535" s="201">
        <v>45748</v>
      </c>
      <c r="G535" s="200" t="s">
        <v>296</v>
      </c>
      <c r="H535" s="200" t="s">
        <v>522</v>
      </c>
      <c r="I535" s="200" t="s">
        <v>322</v>
      </c>
    </row>
    <row r="536" spans="2:9" ht="14.1" hidden="1">
      <c r="B536" s="199">
        <v>45769</v>
      </c>
      <c r="C536" s="202" t="s">
        <v>5202</v>
      </c>
      <c r="D536" s="200" t="s">
        <v>372</v>
      </c>
      <c r="E536" s="204">
        <v>-2382</v>
      </c>
      <c r="F536" s="201">
        <v>45748</v>
      </c>
      <c r="G536" s="200" t="s">
        <v>296</v>
      </c>
      <c r="H536" s="200" t="s">
        <v>71</v>
      </c>
      <c r="I536" s="200" t="s">
        <v>350</v>
      </c>
    </row>
    <row r="537" spans="2:9" ht="14.1" hidden="1">
      <c r="B537" s="199">
        <v>45769</v>
      </c>
      <c r="C537" s="202" t="s">
        <v>5203</v>
      </c>
      <c r="D537" s="200" t="s">
        <v>372</v>
      </c>
      <c r="E537" s="204">
        <v>-572</v>
      </c>
      <c r="F537" s="201">
        <v>45748</v>
      </c>
      <c r="G537" s="200" t="s">
        <v>296</v>
      </c>
      <c r="H537" s="200" t="s">
        <v>71</v>
      </c>
      <c r="I537" s="200" t="s">
        <v>350</v>
      </c>
    </row>
    <row r="538" spans="2:9" ht="14.1" hidden="1">
      <c r="B538" s="199">
        <v>45769</v>
      </c>
      <c r="C538" s="202" t="s">
        <v>5205</v>
      </c>
      <c r="D538" s="200" t="s">
        <v>372</v>
      </c>
      <c r="E538" s="204">
        <v>-30104</v>
      </c>
      <c r="F538" s="201">
        <v>45748</v>
      </c>
      <c r="G538" s="200" t="s">
        <v>296</v>
      </c>
      <c r="H538" s="200" t="s">
        <v>522</v>
      </c>
      <c r="I538" s="200" t="s">
        <v>326</v>
      </c>
    </row>
    <row r="539" spans="2:9" ht="14.1" hidden="1">
      <c r="B539" s="199">
        <v>45771</v>
      </c>
      <c r="C539" s="202" t="s">
        <v>5207</v>
      </c>
      <c r="D539" s="200" t="s">
        <v>372</v>
      </c>
      <c r="E539" s="204">
        <v>-7859</v>
      </c>
      <c r="F539" s="201">
        <v>45748</v>
      </c>
      <c r="G539" s="200" t="s">
        <v>296</v>
      </c>
      <c r="H539" s="200" t="s">
        <v>1980</v>
      </c>
      <c r="I539" s="200" t="s">
        <v>322</v>
      </c>
    </row>
    <row r="540" spans="2:9" ht="14.1" hidden="1">
      <c r="B540" s="199">
        <v>45769</v>
      </c>
      <c r="C540" s="202" t="s">
        <v>5213</v>
      </c>
      <c r="D540" s="200" t="s">
        <v>372</v>
      </c>
      <c r="E540" s="204">
        <v>-19500</v>
      </c>
      <c r="F540" s="201">
        <v>45748</v>
      </c>
      <c r="G540" s="200" t="s">
        <v>296</v>
      </c>
      <c r="H540" s="200" t="s">
        <v>1980</v>
      </c>
      <c r="I540" s="200" t="s">
        <v>490</v>
      </c>
    </row>
    <row r="541" spans="2:9" ht="14.1" hidden="1">
      <c r="B541" s="199">
        <v>45769</v>
      </c>
      <c r="C541" s="202" t="s">
        <v>5214</v>
      </c>
      <c r="D541" s="200" t="s">
        <v>372</v>
      </c>
      <c r="E541" s="204">
        <v>-11700</v>
      </c>
      <c r="F541" s="201">
        <v>45748</v>
      </c>
      <c r="G541" s="200" t="s">
        <v>296</v>
      </c>
      <c r="H541" s="200" t="s">
        <v>1980</v>
      </c>
      <c r="I541" s="200" t="s">
        <v>490</v>
      </c>
    </row>
    <row r="542" spans="2:9" ht="14.1" hidden="1">
      <c r="B542" s="199">
        <v>45769</v>
      </c>
      <c r="C542" s="202" t="s">
        <v>5216</v>
      </c>
      <c r="D542" s="200" t="s">
        <v>372</v>
      </c>
      <c r="E542" s="204">
        <v>-25000</v>
      </c>
      <c r="F542" s="201">
        <v>45748</v>
      </c>
      <c r="G542" s="200" t="s">
        <v>296</v>
      </c>
      <c r="H542" s="200" t="s">
        <v>1980</v>
      </c>
      <c r="I542" s="200" t="s">
        <v>1079</v>
      </c>
    </row>
    <row r="543" spans="2:9" ht="14.1" hidden="1">
      <c r="B543" s="199">
        <v>45769</v>
      </c>
      <c r="C543" s="202" t="s">
        <v>5217</v>
      </c>
      <c r="D543" s="200" t="s">
        <v>372</v>
      </c>
      <c r="E543" s="204">
        <v>-15000</v>
      </c>
      <c r="F543" s="201">
        <v>45748</v>
      </c>
      <c r="G543" s="200" t="s">
        <v>296</v>
      </c>
      <c r="H543" s="200" t="s">
        <v>1980</v>
      </c>
      <c r="I543" s="200" t="s">
        <v>1079</v>
      </c>
    </row>
    <row r="544" spans="2:9" ht="14.1" hidden="1">
      <c r="B544" s="199">
        <v>45769</v>
      </c>
      <c r="C544" s="202" t="s">
        <v>5219</v>
      </c>
      <c r="D544" s="200" t="s">
        <v>372</v>
      </c>
      <c r="E544" s="204">
        <v>-5800</v>
      </c>
      <c r="F544" s="201">
        <v>45748</v>
      </c>
      <c r="G544" s="200" t="s">
        <v>296</v>
      </c>
      <c r="H544" s="200" t="s">
        <v>522</v>
      </c>
      <c r="I544" s="200" t="s">
        <v>811</v>
      </c>
    </row>
    <row r="545" spans="2:9" ht="14.1" hidden="1">
      <c r="B545" s="199">
        <v>45769</v>
      </c>
      <c r="C545" s="202" t="s">
        <v>5220</v>
      </c>
      <c r="D545" s="200" t="s">
        <v>372</v>
      </c>
      <c r="E545" s="204">
        <v>-3480</v>
      </c>
      <c r="F545" s="201">
        <v>45748</v>
      </c>
      <c r="G545" s="200" t="s">
        <v>296</v>
      </c>
      <c r="H545" s="200" t="s">
        <v>522</v>
      </c>
      <c r="I545" s="200" t="s">
        <v>811</v>
      </c>
    </row>
    <row r="546" spans="2:9" ht="14.1" hidden="1">
      <c r="B546" s="199">
        <v>45769</v>
      </c>
      <c r="C546" s="202" t="s">
        <v>5222</v>
      </c>
      <c r="D546" s="200" t="s">
        <v>372</v>
      </c>
      <c r="E546" s="204">
        <v>-5200</v>
      </c>
      <c r="F546" s="201">
        <v>45748</v>
      </c>
      <c r="G546" s="200" t="s">
        <v>296</v>
      </c>
      <c r="H546" s="200" t="s">
        <v>807</v>
      </c>
      <c r="I546" s="200" t="s">
        <v>811</v>
      </c>
    </row>
    <row r="547" spans="2:9" ht="14.1" hidden="1">
      <c r="B547" s="199">
        <v>45769</v>
      </c>
      <c r="C547" s="202" t="s">
        <v>5223</v>
      </c>
      <c r="D547" s="200" t="s">
        <v>372</v>
      </c>
      <c r="E547" s="204">
        <v>-3120</v>
      </c>
      <c r="F547" s="201">
        <v>45748</v>
      </c>
      <c r="G547" s="200" t="s">
        <v>296</v>
      </c>
      <c r="H547" s="200" t="s">
        <v>807</v>
      </c>
      <c r="I547" s="200" t="s">
        <v>811</v>
      </c>
    </row>
    <row r="548" spans="2:9" ht="14.1" hidden="1">
      <c r="B548" s="199">
        <v>45769</v>
      </c>
      <c r="C548" s="202" t="s">
        <v>5224</v>
      </c>
      <c r="D548" s="200" t="s">
        <v>372</v>
      </c>
      <c r="E548" s="204">
        <v>-37198</v>
      </c>
      <c r="F548" s="201">
        <v>45748</v>
      </c>
      <c r="G548" s="200" t="s">
        <v>296</v>
      </c>
      <c r="H548" s="200" t="s">
        <v>1362</v>
      </c>
      <c r="I548" s="200" t="s">
        <v>342</v>
      </c>
    </row>
    <row r="549" spans="2:9" ht="14.1" hidden="1">
      <c r="B549" s="199">
        <v>45769</v>
      </c>
      <c r="C549" s="202" t="s">
        <v>5224</v>
      </c>
      <c r="D549" s="200" t="s">
        <v>372</v>
      </c>
      <c r="E549" s="204">
        <v>-13230</v>
      </c>
      <c r="F549" s="201">
        <v>45748</v>
      </c>
      <c r="G549" s="200" t="s">
        <v>296</v>
      </c>
      <c r="H549" s="200" t="s">
        <v>1362</v>
      </c>
      <c r="I549" s="200" t="s">
        <v>342</v>
      </c>
    </row>
    <row r="550" spans="2:9" ht="14.1" hidden="1">
      <c r="B550" s="199">
        <v>45769</v>
      </c>
      <c r="C550" s="202" t="s">
        <v>5226</v>
      </c>
      <c r="D550" s="200" t="s">
        <v>372</v>
      </c>
      <c r="E550" s="204">
        <v>-389706</v>
      </c>
      <c r="F550" s="201">
        <v>45748</v>
      </c>
      <c r="G550" s="200" t="s">
        <v>296</v>
      </c>
      <c r="H550" s="200" t="s">
        <v>1825</v>
      </c>
      <c r="I550" s="200" t="s">
        <v>811</v>
      </c>
    </row>
    <row r="551" spans="2:9" ht="14.1" hidden="1">
      <c r="B551" s="199">
        <v>45769</v>
      </c>
      <c r="C551" s="202" t="s">
        <v>5227</v>
      </c>
      <c r="D551" s="200" t="s">
        <v>372</v>
      </c>
      <c r="E551" s="204">
        <v>-93529</v>
      </c>
      <c r="F551" s="201">
        <v>45748</v>
      </c>
      <c r="G551" s="200" t="s">
        <v>296</v>
      </c>
      <c r="H551" s="200" t="s">
        <v>1825</v>
      </c>
      <c r="I551" s="200" t="s">
        <v>811</v>
      </c>
    </row>
    <row r="552" spans="2:9" ht="14.1" hidden="1">
      <c r="B552" s="199">
        <v>45769</v>
      </c>
      <c r="C552" s="202" t="s">
        <v>9071</v>
      </c>
      <c r="D552" s="200" t="s">
        <v>372</v>
      </c>
      <c r="E552" s="204">
        <v>-42000</v>
      </c>
      <c r="F552" s="201">
        <v>45748</v>
      </c>
      <c r="G552" s="200" t="s">
        <v>296</v>
      </c>
      <c r="H552" s="200" t="s">
        <v>1825</v>
      </c>
      <c r="I552" s="200" t="s">
        <v>442</v>
      </c>
    </row>
    <row r="553" spans="2:9" ht="14.1" hidden="1">
      <c r="B553" s="199">
        <v>45769</v>
      </c>
      <c r="C553" s="202" t="s">
        <v>5230</v>
      </c>
      <c r="D553" s="200" t="s">
        <v>372</v>
      </c>
      <c r="E553" s="204">
        <v>-25200</v>
      </c>
      <c r="F553" s="201">
        <v>45748</v>
      </c>
      <c r="G553" s="200" t="s">
        <v>296</v>
      </c>
      <c r="H553" s="200" t="s">
        <v>1825</v>
      </c>
      <c r="I553" s="200" t="s">
        <v>442</v>
      </c>
    </row>
    <row r="554" spans="2:9" ht="14.1" hidden="1">
      <c r="B554" s="199">
        <v>45769</v>
      </c>
      <c r="C554" s="202" t="s">
        <v>5232</v>
      </c>
      <c r="D554" s="200" t="s">
        <v>372</v>
      </c>
      <c r="E554" s="204">
        <v>-84872</v>
      </c>
      <c r="F554" s="201">
        <v>45748</v>
      </c>
      <c r="G554" s="200" t="s">
        <v>296</v>
      </c>
      <c r="H554" s="200" t="s">
        <v>522</v>
      </c>
      <c r="I554" s="200" t="s">
        <v>326</v>
      </c>
    </row>
    <row r="555" spans="2:9" ht="14.1" hidden="1">
      <c r="B555" s="199">
        <v>45769</v>
      </c>
      <c r="C555" s="202" t="s">
        <v>5234</v>
      </c>
      <c r="D555" s="200" t="s">
        <v>372</v>
      </c>
      <c r="E555" s="204">
        <v>-75000</v>
      </c>
      <c r="F555" s="201">
        <v>45748</v>
      </c>
      <c r="G555" s="200" t="s">
        <v>296</v>
      </c>
      <c r="H555" s="200" t="s">
        <v>807</v>
      </c>
      <c r="I555" s="200" t="s">
        <v>1079</v>
      </c>
    </row>
    <row r="556" spans="2:9" ht="14.1" hidden="1">
      <c r="B556" s="199">
        <v>45769</v>
      </c>
      <c r="C556" s="202" t="s">
        <v>5235</v>
      </c>
      <c r="D556" s="200" t="s">
        <v>372</v>
      </c>
      <c r="E556" s="204">
        <v>-45000</v>
      </c>
      <c r="F556" s="201">
        <v>45748</v>
      </c>
      <c r="G556" s="200" t="s">
        <v>296</v>
      </c>
      <c r="H556" s="200" t="s">
        <v>807</v>
      </c>
      <c r="I556" s="200" t="s">
        <v>1079</v>
      </c>
    </row>
    <row r="557" spans="2:9" ht="14.1" hidden="1">
      <c r="B557" s="199">
        <v>45769</v>
      </c>
      <c r="C557" s="202" t="s">
        <v>5234</v>
      </c>
      <c r="D557" s="200" t="s">
        <v>372</v>
      </c>
      <c r="E557" s="204">
        <v>-75000</v>
      </c>
      <c r="F557" s="201">
        <v>45748</v>
      </c>
      <c r="G557" s="200" t="s">
        <v>296</v>
      </c>
      <c r="H557" s="200" t="s">
        <v>1825</v>
      </c>
      <c r="I557" s="200" t="s">
        <v>1079</v>
      </c>
    </row>
    <row r="558" spans="2:9" ht="14.1" hidden="1">
      <c r="B558" s="199">
        <v>45769</v>
      </c>
      <c r="C558" s="202" t="s">
        <v>5235</v>
      </c>
      <c r="D558" s="200" t="s">
        <v>372</v>
      </c>
      <c r="E558" s="204">
        <v>-45000</v>
      </c>
      <c r="F558" s="201">
        <v>45748</v>
      </c>
      <c r="G558" s="200" t="s">
        <v>296</v>
      </c>
      <c r="H558" s="200" t="s">
        <v>1825</v>
      </c>
      <c r="I558" s="200" t="s">
        <v>1079</v>
      </c>
    </row>
    <row r="559" spans="2:9" ht="14.1" hidden="1">
      <c r="B559" s="199">
        <v>45769</v>
      </c>
      <c r="C559" s="202" t="s">
        <v>5240</v>
      </c>
      <c r="D559" s="200" t="s">
        <v>372</v>
      </c>
      <c r="E559" s="204">
        <v>-16754</v>
      </c>
      <c r="F559" s="201">
        <v>45748</v>
      </c>
      <c r="G559" s="200" t="s">
        <v>296</v>
      </c>
      <c r="H559" s="200" t="s">
        <v>1980</v>
      </c>
      <c r="I559" s="200" t="s">
        <v>322</v>
      </c>
    </row>
    <row r="560" spans="2:9" ht="14.1" hidden="1">
      <c r="B560" s="199">
        <v>45769</v>
      </c>
      <c r="C560" s="202" t="s">
        <v>5241</v>
      </c>
      <c r="D560" s="200" t="s">
        <v>372</v>
      </c>
      <c r="E560" s="204">
        <v>-4021</v>
      </c>
      <c r="F560" s="201">
        <v>45748</v>
      </c>
      <c r="G560" s="200" t="s">
        <v>296</v>
      </c>
      <c r="H560" s="200" t="s">
        <v>1980</v>
      </c>
      <c r="I560" s="200" t="s">
        <v>322</v>
      </c>
    </row>
    <row r="561" spans="2:9" ht="14.1" hidden="1">
      <c r="B561" s="199">
        <v>45769</v>
      </c>
      <c r="C561" s="202" t="s">
        <v>5240</v>
      </c>
      <c r="D561" s="200" t="s">
        <v>372</v>
      </c>
      <c r="E561" s="204">
        <v>-16754</v>
      </c>
      <c r="F561" s="201">
        <v>45748</v>
      </c>
      <c r="G561" s="200" t="s">
        <v>296</v>
      </c>
      <c r="H561" s="200" t="s">
        <v>1983</v>
      </c>
      <c r="I561" s="200" t="s">
        <v>322</v>
      </c>
    </row>
    <row r="562" spans="2:9" ht="14.1" hidden="1">
      <c r="B562" s="199">
        <v>45769</v>
      </c>
      <c r="C562" s="202" t="s">
        <v>5241</v>
      </c>
      <c r="D562" s="200" t="s">
        <v>372</v>
      </c>
      <c r="E562" s="204">
        <v>-4021</v>
      </c>
      <c r="F562" s="201">
        <v>45748</v>
      </c>
      <c r="G562" s="200" t="s">
        <v>296</v>
      </c>
      <c r="H562" s="200" t="s">
        <v>1983</v>
      </c>
      <c r="I562" s="200" t="s">
        <v>322</v>
      </c>
    </row>
    <row r="563" spans="2:9" ht="14.1" hidden="1">
      <c r="B563" s="199">
        <v>45769</v>
      </c>
      <c r="C563" s="202" t="s">
        <v>5244</v>
      </c>
      <c r="D563" s="200" t="s">
        <v>372</v>
      </c>
      <c r="E563" s="204">
        <v>-7363486</v>
      </c>
      <c r="F563" s="201">
        <v>45748</v>
      </c>
      <c r="G563" s="200" t="s">
        <v>296</v>
      </c>
      <c r="H563" s="200" t="s">
        <v>44</v>
      </c>
      <c r="I563" s="200" t="s">
        <v>1651</v>
      </c>
    </row>
    <row r="564" spans="2:9" ht="14.1" hidden="1">
      <c r="B564" s="199">
        <v>45769</v>
      </c>
      <c r="C564" s="202" t="s">
        <v>5247</v>
      </c>
      <c r="D564" s="200" t="s">
        <v>372</v>
      </c>
      <c r="E564" s="204">
        <v>-13208</v>
      </c>
      <c r="F564" s="201">
        <v>45748</v>
      </c>
      <c r="G564" s="200" t="s">
        <v>296</v>
      </c>
      <c r="H564" s="200" t="s">
        <v>1980</v>
      </c>
      <c r="I564" s="200" t="s">
        <v>326</v>
      </c>
    </row>
    <row r="565" spans="2:9" ht="14.1" hidden="1">
      <c r="B565" s="199">
        <v>45769</v>
      </c>
      <c r="C565" s="202" t="s">
        <v>5247</v>
      </c>
      <c r="D565" s="200" t="s">
        <v>372</v>
      </c>
      <c r="E565" s="204">
        <v>-13208</v>
      </c>
      <c r="F565" s="201">
        <v>45748</v>
      </c>
      <c r="G565" s="200" t="s">
        <v>296</v>
      </c>
      <c r="H565" s="200" t="s">
        <v>1983</v>
      </c>
      <c r="I565" s="200" t="s">
        <v>326</v>
      </c>
    </row>
    <row r="566" spans="2:9" ht="14.1" hidden="1">
      <c r="B566" s="199">
        <v>45771</v>
      </c>
      <c r="C566" s="202" t="s">
        <v>4395</v>
      </c>
      <c r="D566" s="200" t="s">
        <v>372</v>
      </c>
      <c r="E566" s="204">
        <v>-1130</v>
      </c>
      <c r="F566" s="201">
        <v>45748</v>
      </c>
      <c r="G566" s="200" t="s">
        <v>296</v>
      </c>
      <c r="H566" s="200" t="s">
        <v>1311</v>
      </c>
      <c r="I566" s="200" t="s">
        <v>268</v>
      </c>
    </row>
    <row r="567" spans="2:9" ht="14.1" hidden="1">
      <c r="B567" s="199">
        <v>45771</v>
      </c>
      <c r="C567" s="202" t="s">
        <v>4396</v>
      </c>
      <c r="D567" s="200" t="s">
        <v>372</v>
      </c>
      <c r="E567" s="204">
        <v>-678</v>
      </c>
      <c r="F567" s="201">
        <v>45748</v>
      </c>
      <c r="G567" s="200" t="s">
        <v>296</v>
      </c>
      <c r="H567" s="200" t="s">
        <v>1311</v>
      </c>
      <c r="I567" s="200" t="s">
        <v>268</v>
      </c>
    </row>
    <row r="568" spans="2:9" ht="14.1" hidden="1">
      <c r="B568" s="199">
        <v>45772</v>
      </c>
      <c r="C568" s="202" t="s">
        <v>5355</v>
      </c>
      <c r="D568" s="200" t="s">
        <v>372</v>
      </c>
      <c r="E568" s="204">
        <v>-16321</v>
      </c>
      <c r="F568" s="201">
        <v>45748</v>
      </c>
      <c r="G568" s="200" t="s">
        <v>296</v>
      </c>
      <c r="H568" s="200" t="s">
        <v>1980</v>
      </c>
      <c r="I568" s="200" t="s">
        <v>326</v>
      </c>
    </row>
    <row r="569" spans="2:9" ht="14.1" hidden="1">
      <c r="B569" s="199">
        <v>45772</v>
      </c>
      <c r="C569" s="202" t="s">
        <v>5379</v>
      </c>
      <c r="D569" s="200" t="s">
        <v>372</v>
      </c>
      <c r="E569" s="204">
        <v>-12000</v>
      </c>
      <c r="F569" s="201">
        <v>45748</v>
      </c>
      <c r="G569" s="200" t="s">
        <v>296</v>
      </c>
      <c r="H569" s="200" t="s">
        <v>522</v>
      </c>
      <c r="I569" s="200" t="s">
        <v>488</v>
      </c>
    </row>
    <row r="570" spans="2:9" ht="14.1" hidden="1">
      <c r="B570" s="199">
        <v>45772</v>
      </c>
      <c r="C570" s="202" t="s">
        <v>5380</v>
      </c>
      <c r="D570" s="200" t="s">
        <v>372</v>
      </c>
      <c r="E570" s="204">
        <v>-1800</v>
      </c>
      <c r="F570" s="201">
        <v>45748</v>
      </c>
      <c r="G570" s="200" t="s">
        <v>296</v>
      </c>
      <c r="H570" s="200" t="s">
        <v>522</v>
      </c>
      <c r="I570" s="200" t="s">
        <v>488</v>
      </c>
    </row>
    <row r="571" spans="2:9" ht="14.1" hidden="1">
      <c r="B571" s="199">
        <v>45776</v>
      </c>
      <c r="C571" s="202" t="s">
        <v>5390</v>
      </c>
      <c r="D571" s="200" t="s">
        <v>372</v>
      </c>
      <c r="E571" s="204">
        <v>-42250</v>
      </c>
      <c r="F571" s="201">
        <v>45748</v>
      </c>
      <c r="G571" s="200" t="s">
        <v>297</v>
      </c>
      <c r="H571" s="200" t="s">
        <v>71</v>
      </c>
      <c r="I571" s="200" t="s">
        <v>5389</v>
      </c>
    </row>
    <row r="572" spans="2:9" ht="14.1" hidden="1">
      <c r="B572" s="199">
        <v>45776</v>
      </c>
      <c r="C572" s="202" t="s">
        <v>5391</v>
      </c>
      <c r="D572" s="200" t="s">
        <v>372</v>
      </c>
      <c r="E572" s="204">
        <v>-5070</v>
      </c>
      <c r="F572" s="201">
        <v>45748</v>
      </c>
      <c r="G572" s="200" t="s">
        <v>297</v>
      </c>
      <c r="H572" s="200" t="s">
        <v>71</v>
      </c>
      <c r="I572" s="200" t="s">
        <v>5389</v>
      </c>
    </row>
    <row r="573" spans="2:9" ht="14.1" hidden="1">
      <c r="B573" s="199">
        <v>45776</v>
      </c>
      <c r="C573" s="202" t="s">
        <v>5390</v>
      </c>
      <c r="D573" s="200" t="s">
        <v>372</v>
      </c>
      <c r="E573" s="204">
        <v>-34650</v>
      </c>
      <c r="F573" s="201">
        <v>45748</v>
      </c>
      <c r="G573" s="200" t="s">
        <v>297</v>
      </c>
      <c r="H573" s="200" t="s">
        <v>71</v>
      </c>
      <c r="I573" s="200" t="s">
        <v>5389</v>
      </c>
    </row>
    <row r="574" spans="2:9" ht="14.1" hidden="1">
      <c r="B574" s="199">
        <v>45776</v>
      </c>
      <c r="C574" s="202" t="s">
        <v>5391</v>
      </c>
      <c r="D574" s="200" t="s">
        <v>372</v>
      </c>
      <c r="E574" s="204">
        <v>-4158</v>
      </c>
      <c r="F574" s="201">
        <v>45748</v>
      </c>
      <c r="G574" s="200" t="s">
        <v>297</v>
      </c>
      <c r="H574" s="200" t="s">
        <v>71</v>
      </c>
      <c r="I574" s="200" t="s">
        <v>5389</v>
      </c>
    </row>
    <row r="575" spans="2:9" ht="14.1" hidden="1">
      <c r="B575" s="199">
        <v>45776</v>
      </c>
      <c r="C575" s="202" t="s">
        <v>5395</v>
      </c>
      <c r="D575" s="200" t="s">
        <v>372</v>
      </c>
      <c r="E575" s="204">
        <v>-5904</v>
      </c>
      <c r="F575" s="201">
        <v>45748</v>
      </c>
      <c r="G575" s="200" t="s">
        <v>296</v>
      </c>
      <c r="H575" s="200" t="s">
        <v>1311</v>
      </c>
      <c r="I575" s="200" t="s">
        <v>5384</v>
      </c>
    </row>
    <row r="576" spans="2:9" ht="14.1" hidden="1">
      <c r="B576" s="199">
        <v>45776</v>
      </c>
      <c r="C576" s="202" t="s">
        <v>5396</v>
      </c>
      <c r="D576" s="200" t="s">
        <v>372</v>
      </c>
      <c r="E576" s="204">
        <v>-1417</v>
      </c>
      <c r="F576" s="201">
        <v>45748</v>
      </c>
      <c r="G576" s="200" t="s">
        <v>296</v>
      </c>
      <c r="H576" s="200" t="s">
        <v>1311</v>
      </c>
      <c r="I576" s="200" t="s">
        <v>5384</v>
      </c>
    </row>
    <row r="577" spans="2:9" ht="14.1" hidden="1">
      <c r="B577" s="199">
        <v>45776</v>
      </c>
      <c r="C577" s="202" t="s">
        <v>5398</v>
      </c>
      <c r="D577" s="200" t="s">
        <v>372</v>
      </c>
      <c r="E577" s="204">
        <v>-968</v>
      </c>
      <c r="F577" s="201">
        <v>45748</v>
      </c>
      <c r="G577" s="200" t="s">
        <v>296</v>
      </c>
      <c r="H577" s="200" t="s">
        <v>1311</v>
      </c>
      <c r="I577" s="200" t="s">
        <v>5384</v>
      </c>
    </row>
    <row r="578" spans="2:9" ht="14.1" hidden="1">
      <c r="B578" s="199">
        <v>45776</v>
      </c>
      <c r="C578" s="202" t="s">
        <v>5399</v>
      </c>
      <c r="D578" s="200" t="s">
        <v>372</v>
      </c>
      <c r="E578" s="204">
        <v>-232</v>
      </c>
      <c r="F578" s="201">
        <v>45748</v>
      </c>
      <c r="G578" s="200" t="s">
        <v>296</v>
      </c>
      <c r="H578" s="200" t="s">
        <v>1311</v>
      </c>
      <c r="I578" s="200" t="s">
        <v>5384</v>
      </c>
    </row>
    <row r="579" spans="2:9" ht="14.1" hidden="1">
      <c r="B579" s="199">
        <v>45776</v>
      </c>
      <c r="C579" s="202" t="s">
        <v>5401</v>
      </c>
      <c r="D579" s="200" t="s">
        <v>372</v>
      </c>
      <c r="E579" s="204">
        <v>-50281</v>
      </c>
      <c r="F579" s="201">
        <v>45748</v>
      </c>
      <c r="G579" s="200" t="s">
        <v>297</v>
      </c>
      <c r="H579" s="200" t="s">
        <v>71</v>
      </c>
      <c r="I579" s="200" t="s">
        <v>5384</v>
      </c>
    </row>
    <row r="580" spans="2:9" ht="14.1" hidden="1">
      <c r="B580" s="199">
        <v>45776</v>
      </c>
      <c r="C580" s="202" t="s">
        <v>5402</v>
      </c>
      <c r="D580" s="200" t="s">
        <v>372</v>
      </c>
      <c r="E580" s="204">
        <v>-12067</v>
      </c>
      <c r="F580" s="201">
        <v>45748</v>
      </c>
      <c r="G580" s="200" t="s">
        <v>297</v>
      </c>
      <c r="H580" s="200" t="s">
        <v>71</v>
      </c>
      <c r="I580" s="200" t="s">
        <v>5384</v>
      </c>
    </row>
    <row r="581" spans="2:9" ht="14.1" hidden="1">
      <c r="B581" s="199">
        <v>45776</v>
      </c>
      <c r="C581" s="202" t="s">
        <v>5406</v>
      </c>
      <c r="D581" s="200" t="s">
        <v>372</v>
      </c>
      <c r="E581" s="204">
        <v>-16600</v>
      </c>
      <c r="F581" s="201">
        <v>45748</v>
      </c>
      <c r="G581" s="200" t="s">
        <v>296</v>
      </c>
      <c r="H581" s="200" t="s">
        <v>1362</v>
      </c>
      <c r="I581" s="200" t="s">
        <v>5384</v>
      </c>
    </row>
    <row r="582" spans="2:9" ht="14.1" hidden="1">
      <c r="B582" s="199">
        <v>38471</v>
      </c>
      <c r="C582" s="202" t="s">
        <v>5408</v>
      </c>
      <c r="D582" s="200" t="s">
        <v>372</v>
      </c>
      <c r="E582" s="204">
        <v>-72176</v>
      </c>
      <c r="F582" s="201">
        <v>45748</v>
      </c>
      <c r="G582" s="200" t="s">
        <v>296</v>
      </c>
      <c r="H582" s="200" t="s">
        <v>522</v>
      </c>
      <c r="I582" s="200" t="s">
        <v>326</v>
      </c>
    </row>
    <row r="583" spans="2:9" ht="14.1" hidden="1">
      <c r="B583" s="199">
        <v>45777</v>
      </c>
      <c r="C583" s="202" t="s">
        <v>5429</v>
      </c>
      <c r="D583" s="200" t="s">
        <v>372</v>
      </c>
      <c r="E583" s="204">
        <v>-91200</v>
      </c>
      <c r="F583" s="201">
        <v>45748</v>
      </c>
      <c r="G583" s="200" t="s">
        <v>256</v>
      </c>
      <c r="H583" s="200" t="s">
        <v>256</v>
      </c>
      <c r="I583" s="200" t="s">
        <v>9</v>
      </c>
    </row>
    <row r="584" spans="2:9" ht="14.1" hidden="1">
      <c r="B584" s="199">
        <v>45777</v>
      </c>
      <c r="C584" s="202" t="s">
        <v>4395</v>
      </c>
      <c r="D584" s="200" t="s">
        <v>372</v>
      </c>
      <c r="E584" s="204">
        <v>-1480</v>
      </c>
      <c r="F584" s="201">
        <v>45748</v>
      </c>
      <c r="G584" s="200" t="s">
        <v>296</v>
      </c>
      <c r="H584" s="200" t="s">
        <v>1980</v>
      </c>
      <c r="I584" s="200" t="s">
        <v>326</v>
      </c>
    </row>
    <row r="585" spans="2:9" ht="14.1" hidden="1">
      <c r="B585" s="199">
        <v>45777</v>
      </c>
      <c r="C585" s="202" t="s">
        <v>5595</v>
      </c>
      <c r="D585" s="200" t="s">
        <v>372</v>
      </c>
      <c r="E585" s="204">
        <v>-888</v>
      </c>
      <c r="F585" s="201">
        <v>45748</v>
      </c>
      <c r="G585" s="200" t="s">
        <v>296</v>
      </c>
      <c r="H585" s="200" t="s">
        <v>1980</v>
      </c>
      <c r="I585" s="200" t="s">
        <v>326</v>
      </c>
    </row>
    <row r="586" spans="2:9" ht="14.1" hidden="1">
      <c r="B586" s="199">
        <v>45776</v>
      </c>
      <c r="C586" s="202" t="s">
        <v>5608</v>
      </c>
      <c r="D586" s="200" t="s">
        <v>372</v>
      </c>
      <c r="E586" s="204">
        <v>-27000</v>
      </c>
      <c r="F586" s="201">
        <v>45748</v>
      </c>
      <c r="G586" s="200" t="s">
        <v>296</v>
      </c>
      <c r="H586" s="200" t="s">
        <v>807</v>
      </c>
      <c r="I586" s="200" t="s">
        <v>811</v>
      </c>
    </row>
    <row r="587" spans="2:9" ht="14.1" hidden="1">
      <c r="B587" s="199">
        <v>45776</v>
      </c>
      <c r="C587" s="202" t="s">
        <v>5609</v>
      </c>
      <c r="D587" s="200" t="s">
        <v>372</v>
      </c>
      <c r="E587" s="204">
        <v>-16200</v>
      </c>
      <c r="F587" s="201">
        <v>45748</v>
      </c>
      <c r="G587" s="200" t="s">
        <v>296</v>
      </c>
      <c r="H587" s="200" t="s">
        <v>807</v>
      </c>
      <c r="I587" s="200" t="s">
        <v>811</v>
      </c>
    </row>
    <row r="588" spans="2:9" ht="14.1" hidden="1">
      <c r="B588" s="199">
        <v>45776</v>
      </c>
      <c r="C588" s="202" t="s">
        <v>5611</v>
      </c>
      <c r="D588" s="200" t="s">
        <v>372</v>
      </c>
      <c r="E588" s="204">
        <v>-48650</v>
      </c>
      <c r="F588" s="201">
        <v>45748</v>
      </c>
      <c r="G588" s="200" t="s">
        <v>296</v>
      </c>
      <c r="H588" s="200" t="s">
        <v>1825</v>
      </c>
      <c r="I588" s="200" t="s">
        <v>811</v>
      </c>
    </row>
    <row r="589" spans="2:9" ht="14.1" hidden="1">
      <c r="B589" s="199">
        <v>45776</v>
      </c>
      <c r="C589" s="202" t="s">
        <v>5612</v>
      </c>
      <c r="D589" s="200" t="s">
        <v>372</v>
      </c>
      <c r="E589" s="204">
        <v>-21190</v>
      </c>
      <c r="F589" s="201">
        <v>45748</v>
      </c>
      <c r="G589" s="200" t="s">
        <v>296</v>
      </c>
      <c r="H589" s="200" t="s">
        <v>1825</v>
      </c>
      <c r="I589" s="200" t="s">
        <v>811</v>
      </c>
    </row>
    <row r="590" spans="2:9" ht="14.1" hidden="1">
      <c r="B590" s="199">
        <v>45776</v>
      </c>
      <c r="C590" s="202" t="s">
        <v>3622</v>
      </c>
      <c r="D590" s="200" t="s">
        <v>372</v>
      </c>
      <c r="E590" s="204">
        <v>-3440</v>
      </c>
      <c r="F590" s="201">
        <v>45748</v>
      </c>
      <c r="G590" s="200" t="s">
        <v>296</v>
      </c>
      <c r="H590" s="200" t="s">
        <v>522</v>
      </c>
      <c r="I590" s="200" t="s">
        <v>326</v>
      </c>
    </row>
    <row r="591" spans="2:9" ht="14.1" hidden="1">
      <c r="B591" s="199">
        <v>45776</v>
      </c>
      <c r="C591" s="202" t="s">
        <v>3295</v>
      </c>
      <c r="D591" s="200" t="s">
        <v>372</v>
      </c>
      <c r="E591" s="204">
        <v>-2064</v>
      </c>
      <c r="F591" s="201">
        <v>45748</v>
      </c>
      <c r="G591" s="200" t="s">
        <v>296</v>
      </c>
      <c r="H591" s="200" t="s">
        <v>522</v>
      </c>
      <c r="I591" s="200" t="s">
        <v>326</v>
      </c>
    </row>
    <row r="592" spans="2:9" ht="14.1" hidden="1">
      <c r="B592" s="199">
        <v>45785</v>
      </c>
      <c r="C592" s="202" t="s">
        <v>5707</v>
      </c>
      <c r="D592" s="200" t="s">
        <v>372</v>
      </c>
      <c r="E592" s="204">
        <v>-476000</v>
      </c>
      <c r="F592" s="201">
        <v>45778</v>
      </c>
      <c r="G592" s="200" t="s">
        <v>296</v>
      </c>
      <c r="H592" s="200" t="s">
        <v>1825</v>
      </c>
      <c r="I592" s="200" t="s">
        <v>488</v>
      </c>
    </row>
    <row r="593" spans="2:9" ht="14.1" hidden="1">
      <c r="B593" s="199">
        <v>45785</v>
      </c>
      <c r="C593" s="202" t="s">
        <v>5708</v>
      </c>
      <c r="D593" s="200" t="s">
        <v>372</v>
      </c>
      <c r="E593" s="204">
        <v>-142800</v>
      </c>
      <c r="F593" s="201">
        <v>45778</v>
      </c>
      <c r="G593" s="200" t="s">
        <v>296</v>
      </c>
      <c r="H593" s="200" t="s">
        <v>1825</v>
      </c>
      <c r="I593" s="200" t="s">
        <v>488</v>
      </c>
    </row>
    <row r="594" spans="2:9" ht="14.1" hidden="1">
      <c r="B594" s="199">
        <v>45785</v>
      </c>
      <c r="C594" s="202" t="s">
        <v>5710</v>
      </c>
      <c r="D594" s="200" t="s">
        <v>372</v>
      </c>
      <c r="E594" s="204">
        <v>-11340</v>
      </c>
      <c r="F594" s="201">
        <v>45778</v>
      </c>
      <c r="G594" s="200" t="s">
        <v>256</v>
      </c>
      <c r="H594" s="200" t="s">
        <v>256</v>
      </c>
      <c r="I594" s="200" t="s">
        <v>267</v>
      </c>
    </row>
    <row r="595" spans="2:9" ht="14.1" hidden="1">
      <c r="B595" s="199">
        <v>45785</v>
      </c>
      <c r="C595" s="202" t="s">
        <v>5711</v>
      </c>
      <c r="D595" s="200" t="s">
        <v>372</v>
      </c>
      <c r="E595" s="204">
        <v>-3402</v>
      </c>
      <c r="F595" s="201">
        <v>45778</v>
      </c>
      <c r="G595" s="200" t="s">
        <v>256</v>
      </c>
      <c r="H595" s="200" t="s">
        <v>256</v>
      </c>
      <c r="I595" s="200" t="s">
        <v>267</v>
      </c>
    </row>
    <row r="596" spans="2:9" ht="14.1" hidden="1">
      <c r="B596" s="199">
        <v>45785</v>
      </c>
      <c r="C596" s="202" t="s">
        <v>5715</v>
      </c>
      <c r="D596" s="200" t="s">
        <v>372</v>
      </c>
      <c r="E596" s="204">
        <v>-18450</v>
      </c>
      <c r="F596" s="201">
        <v>45778</v>
      </c>
      <c r="G596" s="200" t="s">
        <v>296</v>
      </c>
      <c r="H596" s="200" t="s">
        <v>807</v>
      </c>
      <c r="I596" s="200" t="s">
        <v>811</v>
      </c>
    </row>
    <row r="597" spans="2:9" ht="14.1" hidden="1">
      <c r="B597" s="199">
        <v>45785</v>
      </c>
      <c r="C597" s="202" t="s">
        <v>5716</v>
      </c>
      <c r="D597" s="200" t="s">
        <v>372</v>
      </c>
      <c r="E597" s="204">
        <v>-11070</v>
      </c>
      <c r="F597" s="201">
        <v>45778</v>
      </c>
      <c r="G597" s="200" t="s">
        <v>296</v>
      </c>
      <c r="H597" s="200" t="s">
        <v>807</v>
      </c>
      <c r="I597" s="200" t="s">
        <v>811</v>
      </c>
    </row>
    <row r="598" spans="2:9" ht="14.1" hidden="1">
      <c r="B598" s="199">
        <v>45783</v>
      </c>
      <c r="C598" s="202" t="s">
        <v>5724</v>
      </c>
      <c r="D598" s="200" t="s">
        <v>372</v>
      </c>
      <c r="E598" s="204">
        <v>-81606</v>
      </c>
      <c r="F598" s="201">
        <v>45778</v>
      </c>
      <c r="G598" s="200" t="s">
        <v>296</v>
      </c>
      <c r="H598" s="200" t="s">
        <v>9072</v>
      </c>
      <c r="I598" s="200" t="s">
        <v>326</v>
      </c>
    </row>
    <row r="599" spans="2:9" ht="14.1" hidden="1">
      <c r="B599" s="199">
        <v>45783</v>
      </c>
      <c r="C599" s="202" t="s">
        <v>5728</v>
      </c>
      <c r="D599" s="200" t="s">
        <v>372</v>
      </c>
      <c r="E599" s="204">
        <v>-10866</v>
      </c>
      <c r="F599" s="201">
        <v>45778</v>
      </c>
      <c r="G599" s="200" t="s">
        <v>296</v>
      </c>
      <c r="H599" s="200" t="s">
        <v>522</v>
      </c>
      <c r="I599" s="200" t="s">
        <v>366</v>
      </c>
    </row>
    <row r="600" spans="2:9" ht="14.1" hidden="1">
      <c r="B600" s="199">
        <v>45783</v>
      </c>
      <c r="C600" s="202" t="s">
        <v>5729</v>
      </c>
      <c r="D600" s="200" t="s">
        <v>372</v>
      </c>
      <c r="E600" s="204">
        <v>-2608</v>
      </c>
      <c r="F600" s="201">
        <v>45778</v>
      </c>
      <c r="G600" s="200" t="s">
        <v>296</v>
      </c>
      <c r="H600" s="200" t="s">
        <v>522</v>
      </c>
      <c r="I600" s="200" t="s">
        <v>366</v>
      </c>
    </row>
    <row r="601" spans="2:9" ht="14.1" hidden="1">
      <c r="B601" s="199">
        <v>45783</v>
      </c>
      <c r="C601" s="202" t="s">
        <v>5731</v>
      </c>
      <c r="D601" s="200" t="s">
        <v>372</v>
      </c>
      <c r="E601" s="204">
        <v>-9580</v>
      </c>
      <c r="F601" s="201">
        <v>45778</v>
      </c>
      <c r="G601" s="200" t="s">
        <v>296</v>
      </c>
      <c r="H601" s="200" t="s">
        <v>1825</v>
      </c>
      <c r="I601" s="200" t="s">
        <v>490</v>
      </c>
    </row>
    <row r="602" spans="2:9" ht="14.1" hidden="1">
      <c r="B602" s="199">
        <v>45783</v>
      </c>
      <c r="C602" s="202" t="s">
        <v>5732</v>
      </c>
      <c r="D602" s="200" t="s">
        <v>372</v>
      </c>
      <c r="E602" s="204">
        <v>-2299</v>
      </c>
      <c r="F602" s="201">
        <v>45778</v>
      </c>
      <c r="G602" s="200" t="s">
        <v>296</v>
      </c>
      <c r="H602" s="200" t="s">
        <v>1825</v>
      </c>
      <c r="I602" s="200" t="s">
        <v>490</v>
      </c>
    </row>
    <row r="603" spans="2:9" ht="14.1" hidden="1">
      <c r="B603" s="199">
        <v>45783</v>
      </c>
      <c r="C603" s="202" t="s">
        <v>5731</v>
      </c>
      <c r="D603" s="200" t="s">
        <v>372</v>
      </c>
      <c r="E603" s="204">
        <v>-5445</v>
      </c>
      <c r="F603" s="201">
        <v>45778</v>
      </c>
      <c r="G603" s="200" t="s">
        <v>296</v>
      </c>
      <c r="H603" s="200" t="s">
        <v>1825</v>
      </c>
      <c r="I603" s="200" t="s">
        <v>429</v>
      </c>
    </row>
    <row r="604" spans="2:9" ht="14.1" hidden="1">
      <c r="B604" s="199">
        <v>45783</v>
      </c>
      <c r="C604" s="202" t="s">
        <v>5732</v>
      </c>
      <c r="D604" s="200" t="s">
        <v>372</v>
      </c>
      <c r="E604" s="204">
        <v>-1307</v>
      </c>
      <c r="F604" s="201">
        <v>45778</v>
      </c>
      <c r="G604" s="200" t="s">
        <v>296</v>
      </c>
      <c r="H604" s="200" t="s">
        <v>1825</v>
      </c>
      <c r="I604" s="200" t="s">
        <v>429</v>
      </c>
    </row>
    <row r="605" spans="2:9" ht="14.1" hidden="1">
      <c r="B605" s="199">
        <v>45783</v>
      </c>
      <c r="C605" s="202" t="s">
        <v>5731</v>
      </c>
      <c r="D605" s="200" t="s">
        <v>372</v>
      </c>
      <c r="E605" s="204">
        <v>-5672</v>
      </c>
      <c r="F605" s="201">
        <v>45778</v>
      </c>
      <c r="G605" s="200" t="s">
        <v>296</v>
      </c>
      <c r="H605" s="200" t="s">
        <v>1825</v>
      </c>
      <c r="I605" s="200" t="s">
        <v>429</v>
      </c>
    </row>
    <row r="606" spans="2:9" ht="14.1" hidden="1">
      <c r="B606" s="199">
        <v>45783</v>
      </c>
      <c r="C606" s="202" t="s">
        <v>5732</v>
      </c>
      <c r="D606" s="200" t="s">
        <v>372</v>
      </c>
      <c r="E606" s="204">
        <v>-1361</v>
      </c>
      <c r="F606" s="201">
        <v>45778</v>
      </c>
      <c r="G606" s="200" t="s">
        <v>296</v>
      </c>
      <c r="H606" s="200" t="s">
        <v>1825</v>
      </c>
      <c r="I606" s="200" t="s">
        <v>429</v>
      </c>
    </row>
    <row r="607" spans="2:9" ht="14.1" hidden="1">
      <c r="B607" s="199">
        <v>45783</v>
      </c>
      <c r="C607" s="202" t="s">
        <v>5731</v>
      </c>
      <c r="D607" s="200" t="s">
        <v>372</v>
      </c>
      <c r="E607" s="204">
        <v>-17143</v>
      </c>
      <c r="F607" s="201">
        <v>45778</v>
      </c>
      <c r="G607" s="200" t="s">
        <v>296</v>
      </c>
      <c r="H607" s="200" t="s">
        <v>1825</v>
      </c>
      <c r="I607" s="200" t="s">
        <v>322</v>
      </c>
    </row>
    <row r="608" spans="2:9" ht="14.1" hidden="1">
      <c r="B608" s="199">
        <v>45783</v>
      </c>
      <c r="C608" s="202" t="s">
        <v>5732</v>
      </c>
      <c r="D608" s="200" t="s">
        <v>372</v>
      </c>
      <c r="E608" s="204">
        <v>-4114</v>
      </c>
      <c r="F608" s="201">
        <v>45778</v>
      </c>
      <c r="G608" s="200" t="s">
        <v>296</v>
      </c>
      <c r="H608" s="200" t="s">
        <v>1825</v>
      </c>
      <c r="I608" s="200" t="s">
        <v>322</v>
      </c>
    </row>
    <row r="609" spans="2:9" ht="14.1" hidden="1">
      <c r="B609" s="199">
        <v>45783</v>
      </c>
      <c r="C609" s="202" t="s">
        <v>5734</v>
      </c>
      <c r="D609" s="200" t="s">
        <v>372</v>
      </c>
      <c r="E609" s="204">
        <v>-13687</v>
      </c>
      <c r="F609" s="201">
        <v>45778</v>
      </c>
      <c r="G609" s="200" t="s">
        <v>297</v>
      </c>
      <c r="H609" s="200" t="s">
        <v>1313</v>
      </c>
      <c r="I609" s="200" t="s">
        <v>5384</v>
      </c>
    </row>
    <row r="610" spans="2:9" ht="14.1" hidden="1">
      <c r="B610" s="199">
        <v>45783</v>
      </c>
      <c r="C610" s="202" t="s">
        <v>5735</v>
      </c>
      <c r="D610" s="200" t="s">
        <v>372</v>
      </c>
      <c r="E610" s="204">
        <v>-3285</v>
      </c>
      <c r="F610" s="201">
        <v>45778</v>
      </c>
      <c r="G610" s="200" t="s">
        <v>297</v>
      </c>
      <c r="H610" s="200" t="s">
        <v>1313</v>
      </c>
      <c r="I610" s="200" t="s">
        <v>5384</v>
      </c>
    </row>
    <row r="611" spans="2:9" ht="14.1" hidden="1">
      <c r="B611" s="199">
        <v>45783</v>
      </c>
      <c r="C611" s="202" t="s">
        <v>5737</v>
      </c>
      <c r="D611" s="200" t="s">
        <v>372</v>
      </c>
      <c r="E611" s="204">
        <v>-3298</v>
      </c>
      <c r="F611" s="201">
        <v>45778</v>
      </c>
      <c r="G611" s="200" t="s">
        <v>297</v>
      </c>
      <c r="H611" s="200" t="s">
        <v>3892</v>
      </c>
      <c r="I611" s="200" t="s">
        <v>5384</v>
      </c>
    </row>
    <row r="612" spans="2:9" ht="14.1" hidden="1">
      <c r="B612" s="199">
        <v>45783</v>
      </c>
      <c r="C612" s="202" t="s">
        <v>5738</v>
      </c>
      <c r="D612" s="200" t="s">
        <v>372</v>
      </c>
      <c r="E612" s="204">
        <v>-792</v>
      </c>
      <c r="F612" s="201">
        <v>45778</v>
      </c>
      <c r="G612" s="200" t="s">
        <v>297</v>
      </c>
      <c r="H612" s="200" t="s">
        <v>3892</v>
      </c>
      <c r="I612" s="200" t="s">
        <v>5384</v>
      </c>
    </row>
    <row r="613" spans="2:9" ht="14.1" hidden="1">
      <c r="B613" s="199">
        <v>45783</v>
      </c>
      <c r="C613" s="202" t="s">
        <v>5741</v>
      </c>
      <c r="D613" s="200" t="s">
        <v>372</v>
      </c>
      <c r="E613" s="204">
        <v>-88235</v>
      </c>
      <c r="F613" s="201">
        <v>45778</v>
      </c>
      <c r="G613" s="200" t="s">
        <v>296</v>
      </c>
      <c r="H613" s="200" t="s">
        <v>1825</v>
      </c>
      <c r="I613" s="200" t="s">
        <v>322</v>
      </c>
    </row>
    <row r="614" spans="2:9" ht="14.1" hidden="1">
      <c r="B614" s="199">
        <v>45783</v>
      </c>
      <c r="C614" s="202" t="s">
        <v>5742</v>
      </c>
      <c r="D614" s="200" t="s">
        <v>372</v>
      </c>
      <c r="E614" s="204">
        <v>-21176</v>
      </c>
      <c r="F614" s="201">
        <v>45778</v>
      </c>
      <c r="G614" s="200" t="s">
        <v>296</v>
      </c>
      <c r="H614" s="200" t="s">
        <v>1825</v>
      </c>
      <c r="I614" s="200" t="s">
        <v>322</v>
      </c>
    </row>
    <row r="615" spans="2:9" ht="14.1" hidden="1">
      <c r="B615" s="199">
        <v>45783</v>
      </c>
      <c r="C615" s="202" t="s">
        <v>5750</v>
      </c>
      <c r="D615" s="200" t="s">
        <v>372</v>
      </c>
      <c r="E615" s="204">
        <v>-67620</v>
      </c>
      <c r="F615" s="201">
        <v>45778</v>
      </c>
      <c r="G615" s="200" t="s">
        <v>296</v>
      </c>
      <c r="H615" s="200" t="s">
        <v>9072</v>
      </c>
      <c r="I615" s="200" t="s">
        <v>366</v>
      </c>
    </row>
    <row r="616" spans="2:9" ht="14.1" hidden="1">
      <c r="B616" s="199">
        <v>45783</v>
      </c>
      <c r="C616" s="202" t="s">
        <v>5752</v>
      </c>
      <c r="D616" s="200" t="s">
        <v>372</v>
      </c>
      <c r="E616" s="204">
        <v>-67620</v>
      </c>
      <c r="F616" s="201">
        <v>45778</v>
      </c>
      <c r="G616" s="200" t="s">
        <v>296</v>
      </c>
      <c r="H616" s="200" t="s">
        <v>44</v>
      </c>
      <c r="I616" s="200" t="s">
        <v>366</v>
      </c>
    </row>
    <row r="617" spans="2:9" ht="14.1" hidden="1">
      <c r="B617" s="199">
        <v>45783</v>
      </c>
      <c r="C617" s="202" t="s">
        <v>5761</v>
      </c>
      <c r="D617" s="200" t="s">
        <v>372</v>
      </c>
      <c r="E617" s="204">
        <v>-825000</v>
      </c>
      <c r="F617" s="201">
        <v>45778</v>
      </c>
      <c r="G617" s="200" t="s">
        <v>296</v>
      </c>
      <c r="H617" s="200" t="s">
        <v>57</v>
      </c>
      <c r="I617" s="200" t="s">
        <v>98</v>
      </c>
    </row>
    <row r="618" spans="2:9" ht="14.1" hidden="1">
      <c r="B618" s="199">
        <v>45783</v>
      </c>
      <c r="C618" s="202" t="s">
        <v>5765</v>
      </c>
      <c r="D618" s="200" t="s">
        <v>372</v>
      </c>
      <c r="E618" s="204">
        <v>-45780</v>
      </c>
      <c r="F618" s="201">
        <v>45778</v>
      </c>
      <c r="G618" s="200" t="s">
        <v>296</v>
      </c>
      <c r="H618" s="200" t="s">
        <v>1735</v>
      </c>
      <c r="I618" s="200" t="s">
        <v>342</v>
      </c>
    </row>
    <row r="619" spans="2:9" ht="14.1" hidden="1">
      <c r="B619" s="199">
        <v>45783</v>
      </c>
      <c r="C619" s="202" t="s">
        <v>5770</v>
      </c>
      <c r="D619" s="200" t="s">
        <v>372</v>
      </c>
      <c r="E619" s="204">
        <v>-38500</v>
      </c>
      <c r="F619" s="201">
        <v>45778</v>
      </c>
      <c r="G619" s="200" t="s">
        <v>296</v>
      </c>
      <c r="H619" s="200" t="s">
        <v>1362</v>
      </c>
      <c r="I619" s="200" t="s">
        <v>342</v>
      </c>
    </row>
    <row r="620" spans="2:9" ht="14.1" hidden="1">
      <c r="B620" s="199">
        <v>45783</v>
      </c>
      <c r="C620" s="202" t="s">
        <v>5770</v>
      </c>
      <c r="D620" s="200" t="s">
        <v>372</v>
      </c>
      <c r="E620" s="204">
        <v>-13230</v>
      </c>
      <c r="F620" s="201">
        <v>45778</v>
      </c>
      <c r="G620" s="200" t="s">
        <v>296</v>
      </c>
      <c r="H620" s="200" t="s">
        <v>1362</v>
      </c>
      <c r="I620" s="200" t="s">
        <v>342</v>
      </c>
    </row>
    <row r="621" spans="2:9" ht="14.1" hidden="1">
      <c r="B621" s="199">
        <v>45784</v>
      </c>
      <c r="C621" s="202" t="s">
        <v>5774</v>
      </c>
      <c r="D621" s="200" t="s">
        <v>372</v>
      </c>
      <c r="E621" s="204">
        <v>-291500</v>
      </c>
      <c r="F621" s="201">
        <v>45778</v>
      </c>
      <c r="G621" s="200" t="s">
        <v>296</v>
      </c>
      <c r="H621" s="200" t="s">
        <v>3360</v>
      </c>
      <c r="I621" s="200" t="s">
        <v>1066</v>
      </c>
    </row>
    <row r="622" spans="2:9" ht="14.1" hidden="1">
      <c r="B622" s="199">
        <v>45784</v>
      </c>
      <c r="C622" s="202" t="s">
        <v>5778</v>
      </c>
      <c r="D622" s="200" t="s">
        <v>372</v>
      </c>
      <c r="E622" s="204">
        <v>-147600</v>
      </c>
      <c r="F622" s="201">
        <v>45778</v>
      </c>
      <c r="G622" s="200" t="s">
        <v>296</v>
      </c>
      <c r="H622" s="200" t="s">
        <v>2994</v>
      </c>
      <c r="I622" s="200" t="s">
        <v>1066</v>
      </c>
    </row>
    <row r="623" spans="2:9" ht="14.1" hidden="1">
      <c r="B623" s="199">
        <v>45784</v>
      </c>
      <c r="C623" s="202" t="s">
        <v>5782</v>
      </c>
      <c r="D623" s="200" t="s">
        <v>372</v>
      </c>
      <c r="E623" s="204">
        <v>-80000</v>
      </c>
      <c r="F623" s="662">
        <v>45778</v>
      </c>
      <c r="G623" s="200" t="s">
        <v>256</v>
      </c>
      <c r="H623" s="200" t="s">
        <v>107</v>
      </c>
      <c r="I623" s="200" t="s">
        <v>777</v>
      </c>
    </row>
    <row r="624" spans="2:9" ht="14.1" hidden="1">
      <c r="B624" s="199">
        <v>45784</v>
      </c>
      <c r="C624" s="202" t="s">
        <v>5783</v>
      </c>
      <c r="D624" s="200" t="s">
        <v>372</v>
      </c>
      <c r="E624" s="204">
        <v>-12000</v>
      </c>
      <c r="F624" s="662">
        <v>45778</v>
      </c>
      <c r="G624" s="200" t="s">
        <v>256</v>
      </c>
      <c r="H624" s="200" t="s">
        <v>107</v>
      </c>
      <c r="I624" s="200" t="s">
        <v>777</v>
      </c>
    </row>
    <row r="625" spans="2:9" ht="14.1" hidden="1">
      <c r="B625" s="199">
        <v>45784</v>
      </c>
      <c r="C625" s="202" t="s">
        <v>5785</v>
      </c>
      <c r="D625" s="200" t="s">
        <v>372</v>
      </c>
      <c r="E625" s="204">
        <v>-20994</v>
      </c>
      <c r="F625" s="662">
        <v>45778</v>
      </c>
      <c r="G625" s="200" t="s">
        <v>296</v>
      </c>
      <c r="H625" s="200" t="s">
        <v>1980</v>
      </c>
      <c r="I625" s="200" t="s">
        <v>326</v>
      </c>
    </row>
    <row r="626" spans="2:9" ht="14.1" hidden="1">
      <c r="B626" s="199">
        <v>45784</v>
      </c>
      <c r="C626" s="202" t="s">
        <v>5785</v>
      </c>
      <c r="D626" s="200" t="s">
        <v>372</v>
      </c>
      <c r="E626" s="204">
        <v>-20994</v>
      </c>
      <c r="F626" s="662">
        <v>45778</v>
      </c>
      <c r="G626" s="200" t="s">
        <v>296</v>
      </c>
      <c r="H626" s="200" t="s">
        <v>1983</v>
      </c>
      <c r="I626" s="200" t="s">
        <v>326</v>
      </c>
    </row>
    <row r="627" spans="2:9" ht="14.1" hidden="1">
      <c r="B627" s="199">
        <v>45785</v>
      </c>
      <c r="C627" s="202" t="s">
        <v>1926</v>
      </c>
      <c r="D627" s="200" t="s">
        <v>372</v>
      </c>
      <c r="E627" s="204">
        <v>-7600</v>
      </c>
      <c r="F627" s="662">
        <v>45778</v>
      </c>
      <c r="G627" s="200" t="s">
        <v>296</v>
      </c>
      <c r="H627" s="200" t="s">
        <v>522</v>
      </c>
      <c r="I627" s="200" t="s">
        <v>326</v>
      </c>
    </row>
    <row r="628" spans="2:9" ht="14.1" hidden="1">
      <c r="B628" s="199">
        <v>45785</v>
      </c>
      <c r="C628" s="202" t="s">
        <v>5788</v>
      </c>
      <c r="D628" s="200" t="s">
        <v>372</v>
      </c>
      <c r="E628" s="204">
        <v>-4560</v>
      </c>
      <c r="F628" s="662">
        <v>45778</v>
      </c>
      <c r="G628" s="200" t="s">
        <v>296</v>
      </c>
      <c r="H628" s="200" t="s">
        <v>522</v>
      </c>
      <c r="I628" s="200" t="s">
        <v>326</v>
      </c>
    </row>
    <row r="629" spans="2:9" ht="14.1" hidden="1">
      <c r="B629" s="199">
        <v>45785</v>
      </c>
      <c r="C629" s="202" t="s">
        <v>5791</v>
      </c>
      <c r="D629" s="200" t="s">
        <v>372</v>
      </c>
      <c r="E629" s="204">
        <v>-3833</v>
      </c>
      <c r="F629" s="662">
        <v>45778</v>
      </c>
      <c r="G629" s="200" t="s">
        <v>296</v>
      </c>
      <c r="H629" s="200" t="s">
        <v>1825</v>
      </c>
      <c r="I629" s="200" t="s">
        <v>322</v>
      </c>
    </row>
    <row r="630" spans="2:9" ht="14.1" hidden="1">
      <c r="B630" s="199">
        <v>45786</v>
      </c>
      <c r="C630" s="202" t="s">
        <v>5963</v>
      </c>
      <c r="D630" s="200" t="s">
        <v>372</v>
      </c>
      <c r="E630" s="204">
        <v>-37358</v>
      </c>
      <c r="F630" s="201">
        <v>45778</v>
      </c>
      <c r="G630" s="200" t="s">
        <v>296</v>
      </c>
      <c r="H630" s="200" t="s">
        <v>1735</v>
      </c>
      <c r="I630" s="200" t="s">
        <v>839</v>
      </c>
    </row>
    <row r="631" spans="2:9" ht="14.1" hidden="1">
      <c r="B631" s="199">
        <v>45786</v>
      </c>
      <c r="C631" s="202" t="s">
        <v>6020</v>
      </c>
      <c r="D631" s="200" t="s">
        <v>372</v>
      </c>
      <c r="E631" s="204">
        <v>-4800</v>
      </c>
      <c r="F631" s="201">
        <v>45778</v>
      </c>
      <c r="G631" s="200" t="s">
        <v>296</v>
      </c>
      <c r="H631" s="200" t="s">
        <v>3360</v>
      </c>
      <c r="I631" s="200" t="s">
        <v>5384</v>
      </c>
    </row>
    <row r="632" spans="2:9" ht="14.1" hidden="1">
      <c r="B632" s="199">
        <v>45789</v>
      </c>
      <c r="C632" s="202" t="s">
        <v>6042</v>
      </c>
      <c r="D632" s="200" t="s">
        <v>372</v>
      </c>
      <c r="E632" s="204">
        <v>-194740</v>
      </c>
      <c r="F632" s="201">
        <v>45778</v>
      </c>
      <c r="G632" s="200" t="s">
        <v>256</v>
      </c>
      <c r="H632" s="200" t="s">
        <v>256</v>
      </c>
      <c r="I632" s="200" t="s">
        <v>257</v>
      </c>
    </row>
    <row r="633" spans="2:9" ht="14.1" hidden="1">
      <c r="B633" s="199">
        <v>45789</v>
      </c>
      <c r="C633" s="202" t="s">
        <v>6043</v>
      </c>
      <c r="D633" s="200" t="s">
        <v>372</v>
      </c>
      <c r="E633" s="204">
        <v>-33384</v>
      </c>
      <c r="F633" s="201">
        <v>45778</v>
      </c>
      <c r="G633" s="200" t="s">
        <v>256</v>
      </c>
      <c r="H633" s="200" t="s">
        <v>256</v>
      </c>
      <c r="I633" s="200" t="s">
        <v>257</v>
      </c>
    </row>
    <row r="634" spans="2:9" ht="14.1" hidden="1">
      <c r="B634" s="199">
        <v>45789</v>
      </c>
      <c r="C634" s="202" t="s">
        <v>6046</v>
      </c>
      <c r="D634" s="200" t="s">
        <v>372</v>
      </c>
      <c r="E634" s="204">
        <v>-352000</v>
      </c>
      <c r="F634" s="201">
        <v>45778</v>
      </c>
      <c r="G634" s="200" t="s">
        <v>296</v>
      </c>
      <c r="H634" s="200" t="s">
        <v>57</v>
      </c>
      <c r="I634" s="200" t="s">
        <v>96</v>
      </c>
    </row>
    <row r="635" spans="2:9" ht="14.1" hidden="1">
      <c r="B635" s="199">
        <v>45789</v>
      </c>
      <c r="C635" s="202" t="s">
        <v>6049</v>
      </c>
      <c r="D635" s="200" t="s">
        <v>372</v>
      </c>
      <c r="E635" s="204">
        <v>-11700</v>
      </c>
      <c r="F635" s="201">
        <v>45778</v>
      </c>
      <c r="G635" s="200" t="s">
        <v>296</v>
      </c>
      <c r="H635" s="200" t="s">
        <v>1980</v>
      </c>
      <c r="I635" s="200" t="s">
        <v>811</v>
      </c>
    </row>
    <row r="636" spans="2:9" ht="14.1" hidden="1">
      <c r="B636" s="199">
        <v>45789</v>
      </c>
      <c r="C636" s="202" t="s">
        <v>6051</v>
      </c>
      <c r="D636" s="200" t="s">
        <v>372</v>
      </c>
      <c r="E636" s="204">
        <v>-2160</v>
      </c>
      <c r="F636" s="201">
        <v>45778</v>
      </c>
      <c r="G636" s="200" t="s">
        <v>296</v>
      </c>
      <c r="H636" s="200" t="s">
        <v>1362</v>
      </c>
      <c r="I636" s="200" t="s">
        <v>5376</v>
      </c>
    </row>
    <row r="637" spans="2:9" ht="14.1" hidden="1">
      <c r="B637" s="199">
        <v>45789</v>
      </c>
      <c r="C637" s="202" t="s">
        <v>6051</v>
      </c>
      <c r="D637" s="200" t="s">
        <v>372</v>
      </c>
      <c r="E637" s="204">
        <v>-2160</v>
      </c>
      <c r="F637" s="201">
        <v>45778</v>
      </c>
      <c r="G637" s="200" t="s">
        <v>296</v>
      </c>
      <c r="H637" s="200" t="s">
        <v>1362</v>
      </c>
      <c r="I637" s="200" t="s">
        <v>5376</v>
      </c>
    </row>
    <row r="638" spans="2:9" ht="14.1" hidden="1">
      <c r="B638" s="199">
        <v>45789</v>
      </c>
      <c r="C638" s="202" t="s">
        <v>6053</v>
      </c>
      <c r="D638" s="200" t="s">
        <v>372</v>
      </c>
      <c r="E638" s="204">
        <v>-1440</v>
      </c>
      <c r="F638" s="201">
        <v>45778</v>
      </c>
      <c r="G638" s="200" t="s">
        <v>296</v>
      </c>
      <c r="H638" s="200" t="s">
        <v>1362</v>
      </c>
      <c r="I638" s="200" t="s">
        <v>342</v>
      </c>
    </row>
    <row r="639" spans="2:9" ht="14.1" hidden="1">
      <c r="B639" s="199">
        <v>45789</v>
      </c>
      <c r="C639" s="202" t="s">
        <v>6056</v>
      </c>
      <c r="D639" s="200" t="s">
        <v>372</v>
      </c>
      <c r="E639" s="204">
        <v>-8870</v>
      </c>
      <c r="F639" s="201">
        <v>45778</v>
      </c>
      <c r="G639" s="200" t="s">
        <v>296</v>
      </c>
      <c r="H639" s="200" t="s">
        <v>522</v>
      </c>
      <c r="I639" s="200" t="s">
        <v>326</v>
      </c>
    </row>
    <row r="640" spans="2:9" ht="14.1" hidden="1">
      <c r="B640" s="199">
        <v>45789</v>
      </c>
      <c r="C640" s="202" t="s">
        <v>6058</v>
      </c>
      <c r="D640" s="200" t="s">
        <v>372</v>
      </c>
      <c r="E640" s="204">
        <v>-199500</v>
      </c>
      <c r="F640" s="201">
        <v>45778</v>
      </c>
      <c r="G640" s="200" t="s">
        <v>256</v>
      </c>
      <c r="H640" s="200" t="s">
        <v>256</v>
      </c>
      <c r="I640" s="200" t="s">
        <v>9</v>
      </c>
    </row>
    <row r="641" spans="2:9" ht="14.1" hidden="1">
      <c r="B641" s="199">
        <v>45790</v>
      </c>
      <c r="C641" s="202" t="s">
        <v>6062</v>
      </c>
      <c r="D641" s="200" t="s">
        <v>372</v>
      </c>
      <c r="E641" s="204">
        <v>-6840</v>
      </c>
      <c r="F641" s="201">
        <v>45778</v>
      </c>
      <c r="G641" s="200" t="s">
        <v>296</v>
      </c>
      <c r="H641" s="200" t="s">
        <v>57</v>
      </c>
      <c r="I641" s="200" t="s">
        <v>105</v>
      </c>
    </row>
    <row r="642" spans="2:9" ht="14.1" hidden="1">
      <c r="B642" s="199">
        <v>45791</v>
      </c>
      <c r="C642" s="202" t="s">
        <v>6082</v>
      </c>
      <c r="D642" s="200" t="s">
        <v>372</v>
      </c>
      <c r="E642" s="204">
        <v>-352000</v>
      </c>
      <c r="F642" s="201">
        <v>45778</v>
      </c>
      <c r="G642" s="200" t="s">
        <v>296</v>
      </c>
      <c r="H642" s="200" t="s">
        <v>57</v>
      </c>
      <c r="I642" s="200" t="s">
        <v>96</v>
      </c>
    </row>
    <row r="643" spans="2:9" ht="14.1" hidden="1">
      <c r="B643" s="199">
        <v>45792</v>
      </c>
      <c r="C643" s="202" t="s">
        <v>6087</v>
      </c>
      <c r="D643" s="200" t="s">
        <v>372</v>
      </c>
      <c r="E643" s="204">
        <v>-21560</v>
      </c>
      <c r="F643" s="201">
        <v>45778</v>
      </c>
      <c r="G643" s="200" t="s">
        <v>296</v>
      </c>
      <c r="H643" s="200" t="s">
        <v>1362</v>
      </c>
      <c r="I643" s="200" t="s">
        <v>342</v>
      </c>
    </row>
    <row r="644" spans="2:9" ht="14.1" hidden="1">
      <c r="B644" s="199">
        <v>45792</v>
      </c>
      <c r="C644" s="202" t="s">
        <v>6089</v>
      </c>
      <c r="D644" s="200" t="s">
        <v>372</v>
      </c>
      <c r="E644" s="204">
        <v>-46550</v>
      </c>
      <c r="F644" s="201">
        <v>45778</v>
      </c>
      <c r="G644" s="200" t="s">
        <v>296</v>
      </c>
      <c r="H644" s="200" t="s">
        <v>2418</v>
      </c>
      <c r="I644" s="200" t="s">
        <v>379</v>
      </c>
    </row>
    <row r="645" spans="2:9" ht="14.1" hidden="1">
      <c r="B645" s="199">
        <v>45792</v>
      </c>
      <c r="C645" s="202" t="s">
        <v>6090</v>
      </c>
      <c r="D645" s="200" t="s">
        <v>372</v>
      </c>
      <c r="E645" s="204">
        <v>-7980</v>
      </c>
      <c r="F645" s="201">
        <v>45778</v>
      </c>
      <c r="G645" s="200" t="s">
        <v>296</v>
      </c>
      <c r="H645" s="200" t="s">
        <v>2418</v>
      </c>
      <c r="I645" s="200" t="s">
        <v>379</v>
      </c>
    </row>
    <row r="646" spans="2:9" ht="14.1" hidden="1">
      <c r="B646" s="199">
        <v>45792</v>
      </c>
      <c r="C646" s="202" t="s">
        <v>6089</v>
      </c>
      <c r="D646" s="200" t="s">
        <v>372</v>
      </c>
      <c r="E646" s="204">
        <v>-14700</v>
      </c>
      <c r="F646" s="201">
        <v>45778</v>
      </c>
      <c r="G646" s="200" t="s">
        <v>297</v>
      </c>
      <c r="H646" s="200" t="s">
        <v>5404</v>
      </c>
      <c r="I646" s="200" t="s">
        <v>379</v>
      </c>
    </row>
    <row r="647" spans="2:9" ht="14.1" hidden="1">
      <c r="B647" s="199">
        <v>45792</v>
      </c>
      <c r="C647" s="202" t="s">
        <v>6090</v>
      </c>
      <c r="D647" s="200" t="s">
        <v>372</v>
      </c>
      <c r="E647" s="204">
        <v>-2520</v>
      </c>
      <c r="F647" s="201">
        <v>45778</v>
      </c>
      <c r="G647" s="200" t="s">
        <v>297</v>
      </c>
      <c r="H647" s="200" t="s">
        <v>5404</v>
      </c>
      <c r="I647" s="200" t="s">
        <v>379</v>
      </c>
    </row>
    <row r="648" spans="2:9" ht="14.1" hidden="1">
      <c r="B648" s="199">
        <v>45792</v>
      </c>
      <c r="C648" s="202" t="s">
        <v>6089</v>
      </c>
      <c r="D648" s="200" t="s">
        <v>372</v>
      </c>
      <c r="E648" s="204">
        <v>-14700</v>
      </c>
      <c r="F648" s="201">
        <v>45778</v>
      </c>
      <c r="G648" s="200" t="s">
        <v>297</v>
      </c>
      <c r="H648" s="200" t="s">
        <v>71</v>
      </c>
      <c r="I648" s="200" t="s">
        <v>379</v>
      </c>
    </row>
    <row r="649" spans="2:9" ht="14.1" hidden="1">
      <c r="B649" s="199">
        <v>45792</v>
      </c>
      <c r="C649" s="202" t="s">
        <v>6090</v>
      </c>
      <c r="D649" s="200" t="s">
        <v>372</v>
      </c>
      <c r="E649" s="204">
        <v>-2520</v>
      </c>
      <c r="F649" s="201">
        <v>45778</v>
      </c>
      <c r="G649" s="200" t="s">
        <v>297</v>
      </c>
      <c r="H649" s="200" t="s">
        <v>71</v>
      </c>
      <c r="I649" s="200" t="s">
        <v>379</v>
      </c>
    </row>
    <row r="650" spans="2:9" ht="14.1" hidden="1">
      <c r="B650" s="199">
        <v>45792</v>
      </c>
      <c r="C650" s="202" t="s">
        <v>6089</v>
      </c>
      <c r="D650" s="200" t="s">
        <v>372</v>
      </c>
      <c r="E650" s="204">
        <v>-9800</v>
      </c>
      <c r="F650" s="201">
        <v>45778</v>
      </c>
      <c r="G650" s="200" t="s">
        <v>296</v>
      </c>
      <c r="H650" s="200" t="s">
        <v>5424</v>
      </c>
      <c r="I650" s="200" t="s">
        <v>379</v>
      </c>
    </row>
    <row r="651" spans="2:9" ht="14.1" hidden="1">
      <c r="B651" s="199">
        <v>45792</v>
      </c>
      <c r="C651" s="202" t="s">
        <v>6090</v>
      </c>
      <c r="D651" s="200" t="s">
        <v>372</v>
      </c>
      <c r="E651" s="204">
        <v>-680</v>
      </c>
      <c r="F651" s="201">
        <v>45778</v>
      </c>
      <c r="G651" s="200" t="s">
        <v>296</v>
      </c>
      <c r="H651" s="200" t="s">
        <v>5424</v>
      </c>
      <c r="I651" s="200" t="s">
        <v>379</v>
      </c>
    </row>
    <row r="652" spans="2:9" ht="14.1" hidden="1">
      <c r="B652" s="199">
        <v>45792</v>
      </c>
      <c r="C652" s="202" t="s">
        <v>6089</v>
      </c>
      <c r="D652" s="200" t="s">
        <v>372</v>
      </c>
      <c r="E652" s="204">
        <v>-2450</v>
      </c>
      <c r="F652" s="201">
        <v>45778</v>
      </c>
      <c r="G652" s="200" t="s">
        <v>296</v>
      </c>
      <c r="H652" s="200" t="s">
        <v>5422</v>
      </c>
      <c r="I652" s="200" t="s">
        <v>379</v>
      </c>
    </row>
    <row r="653" spans="2:9" ht="14.1" hidden="1">
      <c r="B653" s="199">
        <v>45792</v>
      </c>
      <c r="C653" s="202" t="s">
        <v>6090</v>
      </c>
      <c r="D653" s="200" t="s">
        <v>372</v>
      </c>
      <c r="E653" s="204">
        <v>-420</v>
      </c>
      <c r="F653" s="201">
        <v>45778</v>
      </c>
      <c r="G653" s="200" t="s">
        <v>296</v>
      </c>
      <c r="H653" s="200" t="s">
        <v>5422</v>
      </c>
      <c r="I653" s="200" t="s">
        <v>379</v>
      </c>
    </row>
    <row r="654" spans="2:9" ht="14.1" hidden="1">
      <c r="B654" s="199">
        <v>45792</v>
      </c>
      <c r="C654" s="202" t="s">
        <v>6089</v>
      </c>
      <c r="D654" s="200" t="s">
        <v>372</v>
      </c>
      <c r="E654" s="204">
        <v>-9800</v>
      </c>
      <c r="F654" s="201">
        <v>45778</v>
      </c>
      <c r="G654" s="200" t="s">
        <v>395</v>
      </c>
      <c r="H654" s="200" t="s">
        <v>509</v>
      </c>
      <c r="I654" s="200" t="s">
        <v>379</v>
      </c>
    </row>
    <row r="655" spans="2:9" ht="14.1" hidden="1">
      <c r="B655" s="199">
        <v>45792</v>
      </c>
      <c r="C655" s="202" t="s">
        <v>6090</v>
      </c>
      <c r="D655" s="200" t="s">
        <v>372</v>
      </c>
      <c r="E655" s="204">
        <v>-1680</v>
      </c>
      <c r="F655" s="201">
        <v>45778</v>
      </c>
      <c r="G655" s="200" t="s">
        <v>395</v>
      </c>
      <c r="H655" s="200" t="s">
        <v>509</v>
      </c>
      <c r="I655" s="200" t="s">
        <v>379</v>
      </c>
    </row>
    <row r="656" spans="2:9" ht="14.1" hidden="1">
      <c r="B656" s="199">
        <v>45792</v>
      </c>
      <c r="C656" s="202" t="s">
        <v>6089</v>
      </c>
      <c r="D656" s="200" t="s">
        <v>372</v>
      </c>
      <c r="E656" s="204">
        <v>-24500</v>
      </c>
      <c r="F656" s="201">
        <v>45778</v>
      </c>
      <c r="G656" s="200" t="s">
        <v>256</v>
      </c>
      <c r="H656" s="200" t="s">
        <v>256</v>
      </c>
      <c r="I656" s="200" t="s">
        <v>257</v>
      </c>
    </row>
    <row r="657" spans="2:9" ht="14.1" hidden="1">
      <c r="B657" s="199">
        <v>45792</v>
      </c>
      <c r="C657" s="202" t="s">
        <v>6090</v>
      </c>
      <c r="D657" s="200" t="s">
        <v>372</v>
      </c>
      <c r="E657" s="204">
        <v>-4200</v>
      </c>
      <c r="F657" s="201">
        <v>45778</v>
      </c>
      <c r="G657" s="200" t="s">
        <v>256</v>
      </c>
      <c r="H657" s="200" t="s">
        <v>256</v>
      </c>
      <c r="I657" s="200" t="s">
        <v>257</v>
      </c>
    </row>
    <row r="658" spans="2:9" ht="14.1" hidden="1">
      <c r="B658" s="199">
        <v>45792</v>
      </c>
      <c r="C658" s="202" t="s">
        <v>4395</v>
      </c>
      <c r="D658" s="200" t="s">
        <v>372</v>
      </c>
      <c r="E658" s="204">
        <v>-3084</v>
      </c>
      <c r="F658" s="201">
        <v>45778</v>
      </c>
      <c r="G658" s="200" t="s">
        <v>296</v>
      </c>
      <c r="H658" s="200" t="s">
        <v>522</v>
      </c>
      <c r="I658" s="200" t="s">
        <v>326</v>
      </c>
    </row>
    <row r="659" spans="2:9" ht="14.1" hidden="1">
      <c r="B659" s="199">
        <v>45792</v>
      </c>
      <c r="C659" s="202" t="s">
        <v>4396</v>
      </c>
      <c r="D659" s="200" t="s">
        <v>372</v>
      </c>
      <c r="E659" s="204">
        <v>-5140</v>
      </c>
      <c r="F659" s="201">
        <v>45778</v>
      </c>
      <c r="G659" s="200" t="s">
        <v>296</v>
      </c>
      <c r="H659" s="200" t="s">
        <v>522</v>
      </c>
      <c r="I659" s="200" t="s">
        <v>326</v>
      </c>
    </row>
    <row r="660" spans="2:9" ht="14.1" hidden="1">
      <c r="B660" s="199">
        <v>45793</v>
      </c>
      <c r="C660" s="202" t="s">
        <v>6314</v>
      </c>
      <c r="D660" s="200" t="s">
        <v>372</v>
      </c>
      <c r="E660" s="204">
        <v>-1617</v>
      </c>
      <c r="F660" s="201">
        <v>45778</v>
      </c>
      <c r="G660" s="200" t="s">
        <v>296</v>
      </c>
      <c r="H660" s="200" t="s">
        <v>44</v>
      </c>
      <c r="I660" s="200" t="s">
        <v>366</v>
      </c>
    </row>
    <row r="661" spans="2:9" ht="14.1" hidden="1">
      <c r="B661" s="199">
        <v>45793</v>
      </c>
      <c r="C661" s="202" t="s">
        <v>6317</v>
      </c>
      <c r="D661" s="200" t="s">
        <v>372</v>
      </c>
      <c r="E661" s="204">
        <v>-537</v>
      </c>
      <c r="F661" s="201">
        <v>45778</v>
      </c>
      <c r="G661" s="200" t="s">
        <v>296</v>
      </c>
      <c r="H661" s="200" t="s">
        <v>44</v>
      </c>
      <c r="I661" s="200" t="s">
        <v>366</v>
      </c>
    </row>
    <row r="662" spans="2:9" ht="14.1" hidden="1">
      <c r="B662" s="199">
        <v>45793</v>
      </c>
      <c r="C662" s="202" t="s">
        <v>6321</v>
      </c>
      <c r="D662" s="200" t="s">
        <v>372</v>
      </c>
      <c r="E662" s="204">
        <v>-17200</v>
      </c>
      <c r="F662" s="201">
        <v>45778</v>
      </c>
      <c r="G662" s="200" t="s">
        <v>297</v>
      </c>
      <c r="H662" s="200" t="s">
        <v>71</v>
      </c>
      <c r="I662" s="200" t="s">
        <v>5384</v>
      </c>
    </row>
    <row r="663" spans="2:9" ht="14.1" hidden="1">
      <c r="B663" s="199">
        <v>45793</v>
      </c>
      <c r="C663" s="202" t="s">
        <v>6322</v>
      </c>
      <c r="D663" s="200" t="s">
        <v>372</v>
      </c>
      <c r="E663" s="204">
        <v>-2580</v>
      </c>
      <c r="F663" s="201">
        <v>45778</v>
      </c>
      <c r="G663" s="200" t="s">
        <v>297</v>
      </c>
      <c r="H663" s="200" t="s">
        <v>71</v>
      </c>
      <c r="I663" s="200" t="s">
        <v>5384</v>
      </c>
    </row>
    <row r="664" spans="2:9" ht="14.1" hidden="1">
      <c r="B664" s="199">
        <v>45793</v>
      </c>
      <c r="C664" s="202" t="s">
        <v>6325</v>
      </c>
      <c r="D664" s="200" t="s">
        <v>372</v>
      </c>
      <c r="E664" s="204">
        <v>-523107</v>
      </c>
      <c r="F664" s="201">
        <v>45778</v>
      </c>
      <c r="G664" s="200" t="s">
        <v>297</v>
      </c>
      <c r="H664" s="200" t="s">
        <v>3892</v>
      </c>
      <c r="I664" s="200" t="s">
        <v>5389</v>
      </c>
    </row>
    <row r="665" spans="2:9" ht="14.1" hidden="1">
      <c r="B665" s="199">
        <v>45796</v>
      </c>
      <c r="C665" s="202" t="s">
        <v>6327</v>
      </c>
      <c r="D665" s="200" t="s">
        <v>372</v>
      </c>
      <c r="E665" s="204">
        <v>-5885</v>
      </c>
      <c r="F665" s="201">
        <v>45778</v>
      </c>
      <c r="G665" s="200" t="s">
        <v>296</v>
      </c>
      <c r="H665" s="200" t="s">
        <v>522</v>
      </c>
      <c r="I665" s="200" t="s">
        <v>366</v>
      </c>
    </row>
    <row r="666" spans="2:9" ht="14.1" hidden="1">
      <c r="B666" s="199">
        <v>45796</v>
      </c>
      <c r="C666" s="202" t="s">
        <v>6329</v>
      </c>
      <c r="D666" s="200" t="s">
        <v>372</v>
      </c>
      <c r="E666" s="204">
        <v>-37784</v>
      </c>
      <c r="F666" s="201">
        <v>45778</v>
      </c>
      <c r="G666" s="200" t="s">
        <v>297</v>
      </c>
      <c r="H666" s="200" t="s">
        <v>71</v>
      </c>
      <c r="I666" s="200" t="s">
        <v>5384</v>
      </c>
    </row>
    <row r="667" spans="2:9" ht="14.1" hidden="1">
      <c r="B667" s="199">
        <v>45796</v>
      </c>
      <c r="C667" s="202" t="s">
        <v>6330</v>
      </c>
      <c r="D667" s="200" t="s">
        <v>372</v>
      </c>
      <c r="E667" s="204">
        <v>-9068</v>
      </c>
      <c r="F667" s="201">
        <v>45778</v>
      </c>
      <c r="G667" s="200" t="s">
        <v>297</v>
      </c>
      <c r="H667" s="200" t="s">
        <v>71</v>
      </c>
      <c r="I667" s="200" t="s">
        <v>5384</v>
      </c>
    </row>
    <row r="668" spans="2:9" ht="14.1" hidden="1">
      <c r="B668" s="199">
        <v>45796</v>
      </c>
      <c r="C668" s="202" t="s">
        <v>6329</v>
      </c>
      <c r="D668" s="200" t="s">
        <v>372</v>
      </c>
      <c r="E668" s="204">
        <v>-434</v>
      </c>
      <c r="F668" s="201">
        <v>45778</v>
      </c>
      <c r="G668" s="200" t="s">
        <v>297</v>
      </c>
      <c r="H668" s="200" t="s">
        <v>71</v>
      </c>
      <c r="I668" s="200" t="s">
        <v>5376</v>
      </c>
    </row>
    <row r="669" spans="2:9" ht="14.1" hidden="1">
      <c r="B669" s="199">
        <v>45796</v>
      </c>
      <c r="C669" s="202" t="s">
        <v>6330</v>
      </c>
      <c r="D669" s="200" t="s">
        <v>372</v>
      </c>
      <c r="E669" s="204">
        <v>-104</v>
      </c>
      <c r="F669" s="201">
        <v>45778</v>
      </c>
      <c r="G669" s="200" t="s">
        <v>297</v>
      </c>
      <c r="H669" s="200" t="s">
        <v>71</v>
      </c>
      <c r="I669" s="200" t="s">
        <v>5376</v>
      </c>
    </row>
    <row r="670" spans="2:9" ht="14.1" hidden="1">
      <c r="B670" s="199">
        <v>45796</v>
      </c>
      <c r="C670" s="202" t="s">
        <v>6332</v>
      </c>
      <c r="D670" s="200" t="s">
        <v>372</v>
      </c>
      <c r="E670" s="204">
        <v>-88386</v>
      </c>
      <c r="F670" s="201">
        <v>45778</v>
      </c>
      <c r="G670" s="200" t="s">
        <v>296</v>
      </c>
      <c r="H670" s="200" t="s">
        <v>3360</v>
      </c>
      <c r="I670" s="200" t="s">
        <v>5389</v>
      </c>
    </row>
    <row r="671" spans="2:9" ht="14.1" hidden="1">
      <c r="B671" s="199">
        <v>45796</v>
      </c>
      <c r="C671" s="202" t="s">
        <v>6338</v>
      </c>
      <c r="D671" s="200" t="s">
        <v>372</v>
      </c>
      <c r="E671" s="204">
        <v>-2800</v>
      </c>
      <c r="F671" s="201">
        <v>45778</v>
      </c>
      <c r="G671" s="200" t="s">
        <v>256</v>
      </c>
      <c r="H671" s="200" t="s">
        <v>256</v>
      </c>
      <c r="I671" s="200" t="s">
        <v>267</v>
      </c>
    </row>
    <row r="672" spans="2:9" ht="14.1" hidden="1">
      <c r="B672" s="199">
        <v>45796</v>
      </c>
      <c r="C672" s="202" t="s">
        <v>6339</v>
      </c>
      <c r="D672" s="200" t="s">
        <v>372</v>
      </c>
      <c r="E672" s="204">
        <v>-480</v>
      </c>
      <c r="F672" s="201">
        <v>45778</v>
      </c>
      <c r="G672" s="200" t="s">
        <v>256</v>
      </c>
      <c r="H672" s="200" t="s">
        <v>256</v>
      </c>
      <c r="I672" s="200" t="s">
        <v>267</v>
      </c>
    </row>
    <row r="673" spans="2:9" ht="14.1" hidden="1">
      <c r="B673" s="199">
        <v>45796</v>
      </c>
      <c r="C673" s="202" t="s">
        <v>6341</v>
      </c>
      <c r="D673" s="200" t="s">
        <v>372</v>
      </c>
      <c r="E673" s="204">
        <v>-5600</v>
      </c>
      <c r="F673" s="201">
        <v>45778</v>
      </c>
      <c r="G673" s="200" t="s">
        <v>256</v>
      </c>
      <c r="H673" s="200" t="s">
        <v>107</v>
      </c>
      <c r="I673" s="200" t="s">
        <v>275</v>
      </c>
    </row>
    <row r="674" spans="2:9" ht="14.1" hidden="1">
      <c r="B674" s="199">
        <v>45796</v>
      </c>
      <c r="C674" s="202" t="s">
        <v>6342</v>
      </c>
      <c r="D674" s="200" t="s">
        <v>372</v>
      </c>
      <c r="E674" s="204">
        <v>-960</v>
      </c>
      <c r="F674" s="201">
        <v>45778</v>
      </c>
      <c r="G674" s="200" t="s">
        <v>256</v>
      </c>
      <c r="H674" s="200" t="s">
        <v>107</v>
      </c>
      <c r="I674" s="200" t="s">
        <v>275</v>
      </c>
    </row>
    <row r="675" spans="2:9" ht="14.1" hidden="1">
      <c r="B675" s="199">
        <v>45796</v>
      </c>
      <c r="C675" s="202" t="s">
        <v>6345</v>
      </c>
      <c r="D675" s="200" t="s">
        <v>372</v>
      </c>
      <c r="E675" s="204">
        <v>-7200</v>
      </c>
      <c r="F675" s="201">
        <v>45778</v>
      </c>
      <c r="G675" s="200" t="s">
        <v>296</v>
      </c>
      <c r="H675" s="200" t="s">
        <v>807</v>
      </c>
      <c r="I675" s="200" t="s">
        <v>488</v>
      </c>
    </row>
    <row r="676" spans="2:9" ht="14.1" hidden="1">
      <c r="B676" s="199">
        <v>45796</v>
      </c>
      <c r="C676" s="202" t="s">
        <v>6355</v>
      </c>
      <c r="D676" s="200" t="s">
        <v>372</v>
      </c>
      <c r="E676" s="204">
        <v>-12000</v>
      </c>
      <c r="F676" s="201">
        <v>45778</v>
      </c>
      <c r="G676" s="200" t="s">
        <v>296</v>
      </c>
      <c r="H676" s="200" t="s">
        <v>1825</v>
      </c>
      <c r="I676" s="200" t="s">
        <v>322</v>
      </c>
    </row>
    <row r="677" spans="2:9" ht="14.1" hidden="1">
      <c r="B677" s="199">
        <v>45796</v>
      </c>
      <c r="C677" s="202" t="s">
        <v>6356</v>
      </c>
      <c r="D677" s="200" t="s">
        <v>372</v>
      </c>
      <c r="E677" s="204">
        <v>-1200</v>
      </c>
      <c r="F677" s="201">
        <v>45778</v>
      </c>
      <c r="G677" s="200" t="s">
        <v>296</v>
      </c>
      <c r="H677" s="200" t="s">
        <v>1825</v>
      </c>
      <c r="I677" s="200" t="s">
        <v>322</v>
      </c>
    </row>
    <row r="678" spans="2:9" ht="14.1" hidden="1">
      <c r="B678" s="199">
        <v>45797</v>
      </c>
      <c r="C678" s="202" t="s">
        <v>6508</v>
      </c>
      <c r="D678" s="200" t="s">
        <v>372</v>
      </c>
      <c r="E678" s="204">
        <v>-605000</v>
      </c>
      <c r="F678" s="201">
        <v>45778</v>
      </c>
      <c r="G678" s="200" t="s">
        <v>296</v>
      </c>
      <c r="H678" s="200" t="s">
        <v>522</v>
      </c>
      <c r="I678" s="200" t="s">
        <v>322</v>
      </c>
    </row>
    <row r="679" spans="2:9" ht="14.1" hidden="1">
      <c r="B679" s="199">
        <v>45797</v>
      </c>
      <c r="C679" s="202" t="s">
        <v>6510</v>
      </c>
      <c r="D679" s="200" t="s">
        <v>372</v>
      </c>
      <c r="E679" s="204">
        <v>-605000</v>
      </c>
      <c r="F679" s="201">
        <v>45778</v>
      </c>
      <c r="G679" s="200" t="s">
        <v>296</v>
      </c>
      <c r="H679" s="200" t="s">
        <v>44</v>
      </c>
      <c r="I679" s="200" t="s">
        <v>322</v>
      </c>
    </row>
    <row r="680" spans="2:9" ht="14.1" hidden="1">
      <c r="B680" s="199">
        <v>45797</v>
      </c>
      <c r="C680" s="202" t="s">
        <v>6056</v>
      </c>
      <c r="D680" s="200" t="s">
        <v>372</v>
      </c>
      <c r="E680" s="204">
        <v>-72902</v>
      </c>
      <c r="F680" s="201">
        <v>45778</v>
      </c>
      <c r="G680" s="200" t="s">
        <v>296</v>
      </c>
      <c r="H680" s="200" t="s">
        <v>522</v>
      </c>
      <c r="I680" s="200" t="s">
        <v>326</v>
      </c>
    </row>
    <row r="681" spans="2:9" ht="14.1" hidden="1">
      <c r="B681" s="199">
        <v>45797</v>
      </c>
      <c r="C681" s="202" t="s">
        <v>6514</v>
      </c>
      <c r="D681" s="200" t="s">
        <v>372</v>
      </c>
      <c r="E681" s="204">
        <v>-454300</v>
      </c>
      <c r="F681" s="201">
        <v>45778</v>
      </c>
      <c r="G681" s="200" t="s">
        <v>297</v>
      </c>
      <c r="H681" s="200" t="s">
        <v>3892</v>
      </c>
      <c r="I681" s="200" t="s">
        <v>342</v>
      </c>
    </row>
    <row r="682" spans="2:9" ht="14.1" hidden="1">
      <c r="B682" s="199">
        <v>45797</v>
      </c>
      <c r="C682" s="202" t="s">
        <v>6516</v>
      </c>
      <c r="D682" s="200" t="s">
        <v>372</v>
      </c>
      <c r="E682" s="204">
        <v>-9067</v>
      </c>
      <c r="F682" s="201">
        <v>45778</v>
      </c>
      <c r="G682" s="200" t="s">
        <v>297</v>
      </c>
      <c r="H682" s="200" t="s">
        <v>3892</v>
      </c>
      <c r="I682" s="200" t="s">
        <v>346</v>
      </c>
    </row>
    <row r="683" spans="2:9" ht="14.1" hidden="1">
      <c r="B683" s="199">
        <v>45797</v>
      </c>
      <c r="C683" s="202" t="s">
        <v>6518</v>
      </c>
      <c r="D683" s="200" t="s">
        <v>372</v>
      </c>
      <c r="E683" s="204">
        <v>-87500</v>
      </c>
      <c r="F683" s="201">
        <v>45778</v>
      </c>
      <c r="G683" s="200" t="s">
        <v>296</v>
      </c>
      <c r="H683" s="200" t="s">
        <v>415</v>
      </c>
      <c r="I683" s="200" t="s">
        <v>379</v>
      </c>
    </row>
    <row r="684" spans="2:9" ht="14.1" hidden="1">
      <c r="B684" s="199">
        <v>45797</v>
      </c>
      <c r="C684" s="202" t="s">
        <v>1926</v>
      </c>
      <c r="D684" s="200" t="s">
        <v>372</v>
      </c>
      <c r="E684" s="204">
        <v>-4950</v>
      </c>
      <c r="F684" s="201">
        <v>45778</v>
      </c>
      <c r="G684" s="200" t="s">
        <v>297</v>
      </c>
      <c r="H684" s="200" t="s">
        <v>71</v>
      </c>
      <c r="I684" s="200" t="s">
        <v>268</v>
      </c>
    </row>
    <row r="685" spans="2:9" ht="14.1" hidden="1">
      <c r="B685" s="199">
        <v>45797</v>
      </c>
      <c r="C685" s="202" t="s">
        <v>1927</v>
      </c>
      <c r="D685" s="200" t="s">
        <v>372</v>
      </c>
      <c r="E685" s="204">
        <v>-2970</v>
      </c>
      <c r="F685" s="201">
        <v>45778</v>
      </c>
      <c r="G685" s="200" t="s">
        <v>297</v>
      </c>
      <c r="H685" s="200" t="s">
        <v>71</v>
      </c>
      <c r="I685" s="200" t="s">
        <v>268</v>
      </c>
    </row>
    <row r="686" spans="2:9" ht="14.1" hidden="1">
      <c r="B686" s="199">
        <v>45799</v>
      </c>
      <c r="C686" s="202" t="s">
        <v>6521</v>
      </c>
      <c r="D686" s="200" t="s">
        <v>372</v>
      </c>
      <c r="E686" s="204">
        <v>-16000</v>
      </c>
      <c r="F686" s="201">
        <v>45778</v>
      </c>
      <c r="G686" s="200" t="s">
        <v>296</v>
      </c>
      <c r="H686" s="200" t="s">
        <v>57</v>
      </c>
      <c r="I686" s="200" t="s">
        <v>105</v>
      </c>
    </row>
    <row r="687" spans="2:9" ht="14.1" hidden="1">
      <c r="B687" s="199">
        <v>45799</v>
      </c>
      <c r="C687" s="202" t="s">
        <v>6522</v>
      </c>
      <c r="D687" s="200" t="s">
        <v>372</v>
      </c>
      <c r="E687" s="204">
        <v>-2400</v>
      </c>
      <c r="F687" s="201">
        <v>45778</v>
      </c>
      <c r="G687" s="200" t="s">
        <v>296</v>
      </c>
      <c r="H687" s="200" t="s">
        <v>57</v>
      </c>
      <c r="I687" s="200" t="s">
        <v>105</v>
      </c>
    </row>
    <row r="688" spans="2:9" ht="14.1" hidden="1">
      <c r="B688" s="199">
        <v>45799</v>
      </c>
      <c r="C688" s="202" t="s">
        <v>6527</v>
      </c>
      <c r="D688" s="200" t="s">
        <v>372</v>
      </c>
      <c r="E688" s="204">
        <v>-136712</v>
      </c>
      <c r="F688" s="201">
        <v>45778</v>
      </c>
      <c r="G688" s="200" t="s">
        <v>296</v>
      </c>
      <c r="H688" s="200" t="s">
        <v>522</v>
      </c>
      <c r="I688" s="200" t="s">
        <v>366</v>
      </c>
    </row>
    <row r="689" spans="2:9" ht="14.1" hidden="1">
      <c r="B689" s="199">
        <v>45799</v>
      </c>
      <c r="C689" s="202" t="s">
        <v>6528</v>
      </c>
      <c r="D689" s="200" t="s">
        <v>372</v>
      </c>
      <c r="E689" s="204">
        <v>-32811</v>
      </c>
      <c r="F689" s="201">
        <v>45778</v>
      </c>
      <c r="G689" s="200" t="s">
        <v>296</v>
      </c>
      <c r="H689" s="200" t="s">
        <v>522</v>
      </c>
      <c r="I689" s="200" t="s">
        <v>366</v>
      </c>
    </row>
    <row r="690" spans="2:9" ht="14.1" hidden="1">
      <c r="B690" s="199">
        <v>45799</v>
      </c>
      <c r="C690" s="202" t="s">
        <v>6530</v>
      </c>
      <c r="D690" s="200" t="s">
        <v>372</v>
      </c>
      <c r="E690" s="204">
        <v>-4845</v>
      </c>
      <c r="F690" s="201">
        <v>45778</v>
      </c>
      <c r="G690" s="200" t="s">
        <v>296</v>
      </c>
      <c r="H690" s="200" t="s">
        <v>44</v>
      </c>
      <c r="I690" s="200" t="s">
        <v>366</v>
      </c>
    </row>
    <row r="691" spans="2:9" ht="14.1" hidden="1">
      <c r="B691" s="199">
        <v>45799</v>
      </c>
      <c r="C691" s="202" t="s">
        <v>6531</v>
      </c>
      <c r="D691" s="200" t="s">
        <v>372</v>
      </c>
      <c r="E691" s="204">
        <v>-1163</v>
      </c>
      <c r="F691" s="201">
        <v>45778</v>
      </c>
      <c r="G691" s="200" t="s">
        <v>296</v>
      </c>
      <c r="H691" s="200" t="s">
        <v>44</v>
      </c>
      <c r="I691" s="200" t="s">
        <v>366</v>
      </c>
    </row>
    <row r="692" spans="2:9" ht="14.1" hidden="1">
      <c r="B692" s="199">
        <v>45799</v>
      </c>
      <c r="C692" s="202" t="s">
        <v>6533</v>
      </c>
      <c r="D692" s="200" t="s">
        <v>372</v>
      </c>
      <c r="E692" s="204">
        <v>-4639</v>
      </c>
      <c r="F692" s="201">
        <v>45778</v>
      </c>
      <c r="G692" s="200" t="s">
        <v>296</v>
      </c>
      <c r="H692" s="200" t="s">
        <v>1825</v>
      </c>
      <c r="I692" s="200" t="s">
        <v>322</v>
      </c>
    </row>
    <row r="693" spans="2:9" ht="14.1" hidden="1">
      <c r="B693" s="199">
        <v>45799</v>
      </c>
      <c r="C693" s="202" t="s">
        <v>6534</v>
      </c>
      <c r="D693" s="200" t="s">
        <v>372</v>
      </c>
      <c r="E693" s="204">
        <v>-1113</v>
      </c>
      <c r="F693" s="201">
        <v>45778</v>
      </c>
      <c r="G693" s="200" t="s">
        <v>296</v>
      </c>
      <c r="H693" s="200" t="s">
        <v>1825</v>
      </c>
      <c r="I693" s="200" t="s">
        <v>322</v>
      </c>
    </row>
    <row r="694" spans="2:9" ht="14.1" hidden="1">
      <c r="B694" s="199">
        <v>45799</v>
      </c>
      <c r="C694" s="202" t="s">
        <v>6536</v>
      </c>
      <c r="D694" s="200" t="s">
        <v>372</v>
      </c>
      <c r="E694" s="204">
        <v>-33404</v>
      </c>
      <c r="F694" s="201">
        <v>45778</v>
      </c>
      <c r="G694" s="200" t="s">
        <v>296</v>
      </c>
      <c r="H694" s="200" t="s">
        <v>522</v>
      </c>
      <c r="I694" s="200" t="s">
        <v>366</v>
      </c>
    </row>
    <row r="695" spans="2:9" ht="14.1" hidden="1">
      <c r="B695" s="199">
        <v>45799</v>
      </c>
      <c r="C695" s="202" t="s">
        <v>6537</v>
      </c>
      <c r="D695" s="200" t="s">
        <v>372</v>
      </c>
      <c r="E695" s="204">
        <v>-8017</v>
      </c>
      <c r="F695" s="201">
        <v>45778</v>
      </c>
      <c r="G695" s="200" t="s">
        <v>296</v>
      </c>
      <c r="H695" s="200" t="s">
        <v>522</v>
      </c>
      <c r="I695" s="200" t="s">
        <v>366</v>
      </c>
    </row>
    <row r="696" spans="2:9" ht="14.1" hidden="1">
      <c r="B696" s="199">
        <v>45799</v>
      </c>
      <c r="C696" s="202" t="s">
        <v>6539</v>
      </c>
      <c r="D696" s="200" t="s">
        <v>372</v>
      </c>
      <c r="E696" s="204">
        <v>-683</v>
      </c>
      <c r="F696" s="201">
        <v>45778</v>
      </c>
      <c r="G696" s="200" t="s">
        <v>296</v>
      </c>
      <c r="H696" s="200" t="s">
        <v>522</v>
      </c>
      <c r="I696" s="200" t="s">
        <v>366</v>
      </c>
    </row>
    <row r="697" spans="2:9" ht="14.1" hidden="1">
      <c r="B697" s="199">
        <v>45799</v>
      </c>
      <c r="C697" s="202" t="s">
        <v>6540</v>
      </c>
      <c r="D697" s="200" t="s">
        <v>372</v>
      </c>
      <c r="E697" s="204">
        <v>-164</v>
      </c>
      <c r="F697" s="201">
        <v>45778</v>
      </c>
      <c r="G697" s="200" t="s">
        <v>296</v>
      </c>
      <c r="H697" s="200" t="s">
        <v>522</v>
      </c>
      <c r="I697" s="200" t="s">
        <v>366</v>
      </c>
    </row>
    <row r="698" spans="2:9" ht="14.1" hidden="1">
      <c r="B698" s="199">
        <v>45799</v>
      </c>
      <c r="C698" s="202" t="s">
        <v>6542</v>
      </c>
      <c r="D698" s="200" t="s">
        <v>372</v>
      </c>
      <c r="E698" s="204">
        <v>-8619</v>
      </c>
      <c r="F698" s="201">
        <v>45778</v>
      </c>
      <c r="G698" s="200" t="s">
        <v>297</v>
      </c>
      <c r="H698" s="200" t="s">
        <v>71</v>
      </c>
      <c r="I698" s="200" t="s">
        <v>5384</v>
      </c>
    </row>
    <row r="699" spans="2:9" ht="14.1" hidden="1">
      <c r="B699" s="199">
        <v>45799</v>
      </c>
      <c r="C699" s="202" t="s">
        <v>6543</v>
      </c>
      <c r="D699" s="200" t="s">
        <v>372</v>
      </c>
      <c r="E699" s="204">
        <v>-2069</v>
      </c>
      <c r="F699" s="201">
        <v>45778</v>
      </c>
      <c r="G699" s="200" t="s">
        <v>297</v>
      </c>
      <c r="H699" s="200" t="s">
        <v>71</v>
      </c>
      <c r="I699" s="200" t="s">
        <v>5384</v>
      </c>
    </row>
    <row r="700" spans="2:9" ht="14.1" hidden="1">
      <c r="B700" s="199">
        <v>45799</v>
      </c>
      <c r="C700" s="202" t="s">
        <v>6545</v>
      </c>
      <c r="D700" s="200" t="s">
        <v>372</v>
      </c>
      <c r="E700" s="204">
        <v>-877441</v>
      </c>
      <c r="F700" s="201">
        <v>45778</v>
      </c>
      <c r="G700" s="200" t="s">
        <v>296</v>
      </c>
      <c r="H700" s="200" t="s">
        <v>522</v>
      </c>
      <c r="I700" s="200" t="s">
        <v>322</v>
      </c>
    </row>
    <row r="701" spans="2:9" ht="14.1" hidden="1">
      <c r="B701" s="199">
        <v>45799</v>
      </c>
      <c r="C701" s="202" t="s">
        <v>6548</v>
      </c>
      <c r="D701" s="200" t="s">
        <v>372</v>
      </c>
      <c r="E701" s="204">
        <v>-7733</v>
      </c>
      <c r="F701" s="201">
        <v>45778</v>
      </c>
      <c r="G701" s="200" t="s">
        <v>296</v>
      </c>
      <c r="H701" s="200" t="s">
        <v>3360</v>
      </c>
      <c r="I701" s="200" t="s">
        <v>346</v>
      </c>
    </row>
    <row r="702" spans="2:9" ht="14.1" hidden="1">
      <c r="B702" s="199">
        <v>45799</v>
      </c>
      <c r="C702" s="202" t="s">
        <v>6550</v>
      </c>
      <c r="D702" s="200" t="s">
        <v>372</v>
      </c>
      <c r="E702" s="204">
        <v>-16147</v>
      </c>
      <c r="F702" s="201">
        <v>45778</v>
      </c>
      <c r="G702" s="200" t="s">
        <v>296</v>
      </c>
      <c r="H702" s="200" t="s">
        <v>522</v>
      </c>
      <c r="I702" s="200" t="s">
        <v>366</v>
      </c>
    </row>
    <row r="703" spans="2:9" ht="14.1" hidden="1">
      <c r="B703" s="199">
        <v>45799</v>
      </c>
      <c r="C703" s="202" t="s">
        <v>6550</v>
      </c>
      <c r="D703" s="200" t="s">
        <v>372</v>
      </c>
      <c r="E703" s="204">
        <v>-16147</v>
      </c>
      <c r="F703" s="201">
        <v>45778</v>
      </c>
      <c r="G703" s="200" t="s">
        <v>296</v>
      </c>
      <c r="H703" s="200" t="s">
        <v>807</v>
      </c>
      <c r="I703" s="200" t="s">
        <v>366</v>
      </c>
    </row>
    <row r="704" spans="2:9" ht="14.1" hidden="1">
      <c r="B704" s="199">
        <v>45799</v>
      </c>
      <c r="C704" s="202" t="s">
        <v>6550</v>
      </c>
      <c r="D704" s="200" t="s">
        <v>372</v>
      </c>
      <c r="E704" s="204">
        <v>-16147</v>
      </c>
      <c r="F704" s="201">
        <v>45778</v>
      </c>
      <c r="G704" s="200" t="s">
        <v>296</v>
      </c>
      <c r="H704" s="200" t="s">
        <v>1825</v>
      </c>
      <c r="I704" s="200" t="s">
        <v>366</v>
      </c>
    </row>
    <row r="705" spans="2:9" ht="14.1" hidden="1">
      <c r="B705" s="199">
        <v>45799</v>
      </c>
      <c r="C705" s="202" t="s">
        <v>6550</v>
      </c>
      <c r="D705" s="200" t="s">
        <v>372</v>
      </c>
      <c r="E705" s="204">
        <v>-16147</v>
      </c>
      <c r="F705" s="201">
        <v>45778</v>
      </c>
      <c r="G705" s="200" t="s">
        <v>296</v>
      </c>
      <c r="H705" s="200" t="s">
        <v>1980</v>
      </c>
      <c r="I705" s="200" t="s">
        <v>366</v>
      </c>
    </row>
    <row r="706" spans="2:9" ht="14.1" hidden="1">
      <c r="B706" s="199">
        <v>45799</v>
      </c>
      <c r="C706" s="202" t="s">
        <v>6550</v>
      </c>
      <c r="D706" s="200" t="s">
        <v>372</v>
      </c>
      <c r="E706" s="204">
        <v>-16147</v>
      </c>
      <c r="F706" s="201">
        <v>45778</v>
      </c>
      <c r="G706" s="200" t="s">
        <v>296</v>
      </c>
      <c r="H706" s="200" t="s">
        <v>1983</v>
      </c>
      <c r="I706" s="200" t="s">
        <v>366</v>
      </c>
    </row>
    <row r="707" spans="2:9" ht="14.1" hidden="1">
      <c r="B707" s="199">
        <v>45799</v>
      </c>
      <c r="C707" s="202" t="s">
        <v>6554</v>
      </c>
      <c r="D707" s="200" t="s">
        <v>372</v>
      </c>
      <c r="E707" s="204">
        <v>-22940</v>
      </c>
      <c r="F707" s="201">
        <v>45778</v>
      </c>
      <c r="G707" s="200" t="s">
        <v>296</v>
      </c>
      <c r="H707" s="200" t="s">
        <v>1980</v>
      </c>
      <c r="I707" s="200" t="s">
        <v>326</v>
      </c>
    </row>
    <row r="708" spans="2:9" ht="14.1" hidden="1">
      <c r="B708" s="199">
        <v>45799</v>
      </c>
      <c r="C708" s="202" t="s">
        <v>6554</v>
      </c>
      <c r="D708" s="200" t="s">
        <v>372</v>
      </c>
      <c r="E708" s="204">
        <v>-22940</v>
      </c>
      <c r="F708" s="201">
        <v>45778</v>
      </c>
      <c r="G708" s="200" t="s">
        <v>296</v>
      </c>
      <c r="H708" s="200" t="s">
        <v>1983</v>
      </c>
      <c r="I708" s="200" t="s">
        <v>326</v>
      </c>
    </row>
    <row r="709" spans="2:9" ht="14.1" hidden="1">
      <c r="B709" s="199">
        <v>45799</v>
      </c>
      <c r="C709" s="202" t="s">
        <v>6556</v>
      </c>
      <c r="D709" s="200" t="s">
        <v>372</v>
      </c>
      <c r="E709" s="204">
        <v>-8260</v>
      </c>
      <c r="F709" s="201">
        <v>45778</v>
      </c>
      <c r="G709" s="200" t="s">
        <v>296</v>
      </c>
      <c r="H709" s="200" t="s">
        <v>1362</v>
      </c>
      <c r="I709" s="200" t="s">
        <v>342</v>
      </c>
    </row>
    <row r="710" spans="2:9" ht="14.1" hidden="1">
      <c r="B710" s="199">
        <v>45799</v>
      </c>
      <c r="C710" s="202" t="s">
        <v>6589</v>
      </c>
      <c r="D710" s="200" t="s">
        <v>372</v>
      </c>
      <c r="E710" s="204">
        <v>-7980</v>
      </c>
      <c r="F710" s="201">
        <v>45778</v>
      </c>
      <c r="G710" s="200" t="s">
        <v>256</v>
      </c>
      <c r="H710" s="200" t="s">
        <v>256</v>
      </c>
      <c r="I710" s="200" t="s">
        <v>267</v>
      </c>
    </row>
    <row r="711" spans="2:9" ht="14.1" hidden="1">
      <c r="B711" s="199">
        <v>45799</v>
      </c>
      <c r="C711" s="202" t="s">
        <v>4395</v>
      </c>
      <c r="D711" s="200" t="s">
        <v>372</v>
      </c>
      <c r="E711" s="204">
        <v>-990</v>
      </c>
      <c r="F711" s="201">
        <v>45778</v>
      </c>
      <c r="G711" s="200" t="s">
        <v>296</v>
      </c>
      <c r="H711" s="200" t="s">
        <v>875</v>
      </c>
      <c r="I711" s="200" t="s">
        <v>268</v>
      </c>
    </row>
    <row r="712" spans="2:9" ht="14.1" hidden="1">
      <c r="B712" s="199">
        <v>45799</v>
      </c>
      <c r="C712" s="202" t="s">
        <v>4396</v>
      </c>
      <c r="D712" s="200" t="s">
        <v>372</v>
      </c>
      <c r="E712" s="204">
        <v>-594</v>
      </c>
      <c r="F712" s="201">
        <v>45778</v>
      </c>
      <c r="G712" s="200" t="s">
        <v>296</v>
      </c>
      <c r="H712" s="200" t="s">
        <v>875</v>
      </c>
      <c r="I712" s="200" t="s">
        <v>268</v>
      </c>
    </row>
    <row r="713" spans="2:9" ht="14.1" hidden="1">
      <c r="B713" s="199">
        <v>45800</v>
      </c>
      <c r="C713" s="202" t="s">
        <v>6645</v>
      </c>
      <c r="D713" s="200" t="s">
        <v>372</v>
      </c>
      <c r="E713" s="204">
        <v>-126056</v>
      </c>
      <c r="F713" s="662">
        <v>45778</v>
      </c>
      <c r="G713" s="200" t="s">
        <v>296</v>
      </c>
      <c r="H713" s="200" t="s">
        <v>1980</v>
      </c>
      <c r="I713" s="200" t="s">
        <v>322</v>
      </c>
    </row>
    <row r="714" spans="2:9" ht="14.1" hidden="1">
      <c r="B714" s="199">
        <v>45800</v>
      </c>
      <c r="C714" s="202" t="s">
        <v>9073</v>
      </c>
      <c r="D714" s="200" t="s">
        <v>372</v>
      </c>
      <c r="E714" s="204">
        <v>-230783</v>
      </c>
      <c r="F714" s="662">
        <v>45778</v>
      </c>
      <c r="G714" s="200" t="s">
        <v>296</v>
      </c>
      <c r="H714" s="200" t="s">
        <v>5466</v>
      </c>
      <c r="I714" s="200" t="s">
        <v>5376</v>
      </c>
    </row>
    <row r="715" spans="2:9" ht="14.1" hidden="1">
      <c r="B715" s="199">
        <v>45800</v>
      </c>
      <c r="C715" s="202" t="s">
        <v>6652</v>
      </c>
      <c r="D715" s="200" t="s">
        <v>372</v>
      </c>
      <c r="E715" s="204">
        <v>-9000</v>
      </c>
      <c r="F715" s="662">
        <v>45778</v>
      </c>
      <c r="G715" s="200" t="s">
        <v>296</v>
      </c>
      <c r="H715" s="200" t="s">
        <v>57</v>
      </c>
      <c r="I715" s="200" t="s">
        <v>97</v>
      </c>
    </row>
    <row r="716" spans="2:9" ht="14.1" hidden="1">
      <c r="B716" s="199">
        <v>45800</v>
      </c>
      <c r="C716" s="202" t="s">
        <v>6655</v>
      </c>
      <c r="D716" s="200" t="s">
        <v>372</v>
      </c>
      <c r="E716" s="204">
        <v>-3200</v>
      </c>
      <c r="F716" s="662">
        <v>45778</v>
      </c>
      <c r="G716" s="200" t="s">
        <v>297</v>
      </c>
      <c r="H716" s="200" t="s">
        <v>71</v>
      </c>
      <c r="I716" s="200" t="s">
        <v>379</v>
      </c>
    </row>
    <row r="717" spans="2:9" ht="14.1" hidden="1">
      <c r="B717" s="199">
        <v>45800</v>
      </c>
      <c r="C717" s="202" t="s">
        <v>6657</v>
      </c>
      <c r="D717" s="200" t="s">
        <v>372</v>
      </c>
      <c r="E717" s="204">
        <v>-42350</v>
      </c>
      <c r="F717" s="662">
        <v>45778</v>
      </c>
      <c r="G717" s="200" t="s">
        <v>297</v>
      </c>
      <c r="H717" s="200" t="s">
        <v>3892</v>
      </c>
      <c r="I717" s="200" t="s">
        <v>342</v>
      </c>
    </row>
    <row r="718" spans="2:9" ht="14.1" hidden="1">
      <c r="B718" s="199">
        <v>45803</v>
      </c>
      <c r="C718" s="202" t="s">
        <v>5408</v>
      </c>
      <c r="D718" s="200" t="s">
        <v>372</v>
      </c>
      <c r="E718" s="204">
        <v>-72176</v>
      </c>
      <c r="F718" s="662">
        <v>45778</v>
      </c>
      <c r="G718" s="200" t="s">
        <v>296</v>
      </c>
      <c r="H718" s="200" t="s">
        <v>522</v>
      </c>
      <c r="I718" s="200" t="s">
        <v>326</v>
      </c>
    </row>
    <row r="719" spans="2:9" ht="14.1" hidden="1">
      <c r="B719" s="199">
        <v>45804</v>
      </c>
      <c r="C719" s="202" t="s">
        <v>6675</v>
      </c>
      <c r="D719" s="200" t="s">
        <v>372</v>
      </c>
      <c r="E719" s="204">
        <v>-131243</v>
      </c>
      <c r="F719" s="662">
        <v>45778</v>
      </c>
      <c r="G719" s="200" t="s">
        <v>256</v>
      </c>
      <c r="H719" s="200" t="s">
        <v>256</v>
      </c>
      <c r="I719" s="200" t="s">
        <v>267</v>
      </c>
    </row>
    <row r="720" spans="2:9" ht="14.1" hidden="1">
      <c r="B720" s="199">
        <v>45804</v>
      </c>
      <c r="C720" s="202" t="s">
        <v>6675</v>
      </c>
      <c r="D720" s="200" t="s">
        <v>372</v>
      </c>
      <c r="E720" s="204">
        <v>-56026</v>
      </c>
      <c r="F720" s="662">
        <v>45778</v>
      </c>
      <c r="G720" s="200" t="s">
        <v>256</v>
      </c>
      <c r="H720" s="200" t="s">
        <v>256</v>
      </c>
      <c r="I720" s="200" t="s">
        <v>267</v>
      </c>
    </row>
    <row r="721" spans="2:9" ht="14.1" hidden="1">
      <c r="B721" s="199">
        <v>45804</v>
      </c>
      <c r="C721" s="202" t="s">
        <v>6677</v>
      </c>
      <c r="D721" s="200" t="s">
        <v>372</v>
      </c>
      <c r="E721" s="204">
        <v>-39900</v>
      </c>
      <c r="F721" s="662">
        <v>45778</v>
      </c>
      <c r="G721" s="200" t="s">
        <v>256</v>
      </c>
      <c r="H721" s="200" t="s">
        <v>256</v>
      </c>
      <c r="I721" s="200" t="s">
        <v>267</v>
      </c>
    </row>
    <row r="722" spans="2:9" ht="14.1" hidden="1">
      <c r="B722" s="199">
        <v>45804</v>
      </c>
      <c r="C722" s="202" t="s">
        <v>6679</v>
      </c>
      <c r="D722" s="200" t="s">
        <v>372</v>
      </c>
      <c r="E722" s="204">
        <v>-30310</v>
      </c>
      <c r="F722" s="662">
        <v>45778</v>
      </c>
      <c r="G722" s="200" t="s">
        <v>296</v>
      </c>
      <c r="H722" s="200" t="s">
        <v>1980</v>
      </c>
      <c r="I722" s="200" t="s">
        <v>322</v>
      </c>
    </row>
    <row r="723" spans="2:9" ht="14.1" hidden="1">
      <c r="B723" s="199">
        <v>45804</v>
      </c>
      <c r="C723" s="202" t="s">
        <v>6679</v>
      </c>
      <c r="D723" s="200" t="s">
        <v>372</v>
      </c>
      <c r="E723" s="204">
        <v>-17528</v>
      </c>
      <c r="F723" s="662">
        <v>45778</v>
      </c>
      <c r="G723" s="200" t="s">
        <v>296</v>
      </c>
      <c r="H723" s="200" t="s">
        <v>1980</v>
      </c>
      <c r="I723" s="200" t="s">
        <v>322</v>
      </c>
    </row>
    <row r="724" spans="2:9" ht="14.1" hidden="1">
      <c r="B724" s="199">
        <v>45804</v>
      </c>
      <c r="C724" s="202" t="s">
        <v>6679</v>
      </c>
      <c r="D724" s="200" t="s">
        <v>372</v>
      </c>
      <c r="E724" s="204">
        <v>-30310</v>
      </c>
      <c r="F724" s="662">
        <v>45778</v>
      </c>
      <c r="G724" s="200" t="s">
        <v>296</v>
      </c>
      <c r="H724" s="200" t="s">
        <v>1983</v>
      </c>
      <c r="I724" s="200" t="s">
        <v>322</v>
      </c>
    </row>
    <row r="725" spans="2:9" ht="14.1" hidden="1">
      <c r="B725" s="199">
        <v>45804</v>
      </c>
      <c r="C725" s="202" t="s">
        <v>6679</v>
      </c>
      <c r="D725" s="200" t="s">
        <v>372</v>
      </c>
      <c r="E725" s="204">
        <v>-17528</v>
      </c>
      <c r="F725" s="662">
        <v>45778</v>
      </c>
      <c r="G725" s="200" t="s">
        <v>296</v>
      </c>
      <c r="H725" s="200" t="s">
        <v>1983</v>
      </c>
      <c r="I725" s="200" t="s">
        <v>322</v>
      </c>
    </row>
    <row r="726" spans="2:9" ht="14.1" hidden="1">
      <c r="B726" s="199">
        <v>45804</v>
      </c>
      <c r="C726" s="202" t="s">
        <v>6681</v>
      </c>
      <c r="D726" s="200" t="s">
        <v>372</v>
      </c>
      <c r="E726" s="204">
        <v>-2850</v>
      </c>
      <c r="F726" s="662">
        <v>45778</v>
      </c>
      <c r="G726" s="200" t="s">
        <v>296</v>
      </c>
      <c r="H726" s="200" t="s">
        <v>1980</v>
      </c>
      <c r="I726" s="200" t="s">
        <v>322</v>
      </c>
    </row>
    <row r="727" spans="2:9" ht="14.1" hidden="1">
      <c r="B727" s="199">
        <v>45804</v>
      </c>
      <c r="C727" s="202" t="s">
        <v>6681</v>
      </c>
      <c r="D727" s="200" t="s">
        <v>372</v>
      </c>
      <c r="E727" s="204">
        <v>-31350</v>
      </c>
      <c r="F727" s="662">
        <v>45778</v>
      </c>
      <c r="G727" s="200" t="s">
        <v>296</v>
      </c>
      <c r="H727" s="200" t="s">
        <v>1980</v>
      </c>
      <c r="I727" s="200" t="s">
        <v>322</v>
      </c>
    </row>
    <row r="728" spans="2:9" ht="14.1" hidden="1">
      <c r="B728" s="199">
        <v>45804</v>
      </c>
      <c r="C728" s="202" t="s">
        <v>6681</v>
      </c>
      <c r="D728" s="200" t="s">
        <v>372</v>
      </c>
      <c r="E728" s="204">
        <v>-2850</v>
      </c>
      <c r="F728" s="662">
        <v>45778</v>
      </c>
      <c r="G728" s="200" t="s">
        <v>296</v>
      </c>
      <c r="H728" s="200" t="s">
        <v>1983</v>
      </c>
      <c r="I728" s="200" t="s">
        <v>322</v>
      </c>
    </row>
    <row r="729" spans="2:9" ht="14.1" hidden="1">
      <c r="B729" s="199">
        <v>45804</v>
      </c>
      <c r="C729" s="202" t="s">
        <v>6681</v>
      </c>
      <c r="D729" s="200" t="s">
        <v>372</v>
      </c>
      <c r="E729" s="204">
        <v>-31350</v>
      </c>
      <c r="F729" s="662">
        <v>45778</v>
      </c>
      <c r="G729" s="200" t="s">
        <v>296</v>
      </c>
      <c r="H729" s="200" t="s">
        <v>1983</v>
      </c>
      <c r="I729" s="200" t="s">
        <v>322</v>
      </c>
    </row>
    <row r="730" spans="2:9" ht="14.1" hidden="1">
      <c r="B730" s="199">
        <v>45804</v>
      </c>
      <c r="C730" s="202" t="s">
        <v>6683</v>
      </c>
      <c r="D730" s="200" t="s">
        <v>372</v>
      </c>
      <c r="E730" s="204">
        <v>-476000</v>
      </c>
      <c r="F730" s="662">
        <v>45778</v>
      </c>
      <c r="G730" s="200" t="s">
        <v>296</v>
      </c>
      <c r="H730" s="200" t="s">
        <v>807</v>
      </c>
      <c r="I730" s="200" t="s">
        <v>488</v>
      </c>
    </row>
    <row r="731" spans="2:9" ht="14.1" hidden="1">
      <c r="B731" s="199">
        <v>45804</v>
      </c>
      <c r="C731" s="202" t="s">
        <v>6684</v>
      </c>
      <c r="D731" s="200" t="s">
        <v>372</v>
      </c>
      <c r="E731" s="204">
        <v>-142800</v>
      </c>
      <c r="F731" s="662">
        <v>45778</v>
      </c>
      <c r="G731" s="200" t="s">
        <v>296</v>
      </c>
      <c r="H731" s="200" t="s">
        <v>807</v>
      </c>
      <c r="I731" s="200" t="s">
        <v>488</v>
      </c>
    </row>
    <row r="732" spans="2:9" ht="14.1" hidden="1">
      <c r="B732" s="199">
        <v>45804</v>
      </c>
      <c r="C732" s="202" t="s">
        <v>6686</v>
      </c>
      <c r="D732" s="200" t="s">
        <v>372</v>
      </c>
      <c r="E732" s="204">
        <v>-125311</v>
      </c>
      <c r="F732" s="662">
        <v>45778</v>
      </c>
      <c r="G732" s="200" t="s">
        <v>296</v>
      </c>
      <c r="H732" s="200" t="s">
        <v>9072</v>
      </c>
      <c r="I732" s="200" t="s">
        <v>326</v>
      </c>
    </row>
    <row r="733" spans="2:9" ht="14.1" hidden="1">
      <c r="B733" s="199">
        <v>45804</v>
      </c>
      <c r="C733" s="202" t="s">
        <v>6688</v>
      </c>
      <c r="D733" s="200" t="s">
        <v>372</v>
      </c>
      <c r="E733" s="204">
        <v>-4200</v>
      </c>
      <c r="F733" s="662">
        <v>45778</v>
      </c>
      <c r="G733" s="200" t="s">
        <v>296</v>
      </c>
      <c r="H733" s="200" t="s">
        <v>1980</v>
      </c>
      <c r="I733" s="200" t="s">
        <v>326</v>
      </c>
    </row>
    <row r="734" spans="2:9" ht="14.1" hidden="1">
      <c r="B734" s="199">
        <v>45804</v>
      </c>
      <c r="C734" s="202" t="s">
        <v>6688</v>
      </c>
      <c r="D734" s="200" t="s">
        <v>372</v>
      </c>
      <c r="E734" s="204">
        <v>-4200</v>
      </c>
      <c r="F734" s="662">
        <v>45778</v>
      </c>
      <c r="G734" s="200" t="s">
        <v>296</v>
      </c>
      <c r="H734" s="200" t="s">
        <v>1983</v>
      </c>
      <c r="I734" s="200" t="s">
        <v>326</v>
      </c>
    </row>
    <row r="735" spans="2:9" ht="14.1" hidden="1">
      <c r="B735" s="199">
        <v>45804</v>
      </c>
      <c r="C735" s="202" t="s">
        <v>6692</v>
      </c>
      <c r="D735" s="200" t="s">
        <v>372</v>
      </c>
      <c r="E735" s="204">
        <v>-3886</v>
      </c>
      <c r="F735" s="662">
        <v>45778</v>
      </c>
      <c r="G735" s="200" t="s">
        <v>256</v>
      </c>
      <c r="H735" s="200" t="s">
        <v>256</v>
      </c>
      <c r="I735" s="200" t="s">
        <v>263</v>
      </c>
    </row>
    <row r="736" spans="2:9" ht="14.1" hidden="1">
      <c r="B736" s="199">
        <v>45804</v>
      </c>
      <c r="C736" s="202" t="s">
        <v>6695</v>
      </c>
      <c r="D736" s="200" t="s">
        <v>372</v>
      </c>
      <c r="E736" s="204">
        <v>-51890</v>
      </c>
      <c r="F736" s="662">
        <v>45778</v>
      </c>
      <c r="G736" s="200" t="s">
        <v>297</v>
      </c>
      <c r="H736" s="200" t="s">
        <v>3892</v>
      </c>
      <c r="I736" s="200" t="s">
        <v>342</v>
      </c>
    </row>
    <row r="737" spans="2:9" ht="14.1" hidden="1">
      <c r="B737" s="199">
        <v>45804</v>
      </c>
      <c r="C737" s="202" t="s">
        <v>6695</v>
      </c>
      <c r="D737" s="200" t="s">
        <v>372</v>
      </c>
      <c r="E737" s="204">
        <v>-20180</v>
      </c>
      <c r="F737" s="662">
        <v>45778</v>
      </c>
      <c r="G737" s="200" t="s">
        <v>296</v>
      </c>
      <c r="H737" s="200" t="s">
        <v>3360</v>
      </c>
      <c r="I737" s="200" t="s">
        <v>342</v>
      </c>
    </row>
    <row r="738" spans="2:9" ht="14.1" hidden="1">
      <c r="B738" s="199">
        <v>45804</v>
      </c>
      <c r="C738" s="202" t="s">
        <v>6699</v>
      </c>
      <c r="D738" s="200" t="s">
        <v>372</v>
      </c>
      <c r="E738" s="204">
        <v>-94000</v>
      </c>
      <c r="F738" s="662">
        <v>45778</v>
      </c>
      <c r="G738" s="200" t="s">
        <v>296</v>
      </c>
      <c r="H738" s="200" t="s">
        <v>9072</v>
      </c>
      <c r="I738" s="200" t="s">
        <v>488</v>
      </c>
    </row>
    <row r="739" spans="2:9" ht="14.1" hidden="1">
      <c r="B739" s="199">
        <v>45804</v>
      </c>
      <c r="C739" s="202" t="s">
        <v>6700</v>
      </c>
      <c r="D739" s="200" t="s">
        <v>372</v>
      </c>
      <c r="E739" s="204">
        <v>-28200</v>
      </c>
      <c r="F739" s="662">
        <v>45778</v>
      </c>
      <c r="G739" s="200" t="s">
        <v>296</v>
      </c>
      <c r="H739" s="200" t="s">
        <v>9072</v>
      </c>
      <c r="I739" s="200" t="s">
        <v>488</v>
      </c>
    </row>
    <row r="740" spans="2:9" ht="14.1" hidden="1">
      <c r="B740" s="199">
        <v>45804</v>
      </c>
      <c r="C740" s="202" t="s">
        <v>6699</v>
      </c>
      <c r="D740" s="200" t="s">
        <v>372</v>
      </c>
      <c r="E740" s="204">
        <v>-161360</v>
      </c>
      <c r="F740" s="662">
        <v>45778</v>
      </c>
      <c r="G740" s="200" t="s">
        <v>296</v>
      </c>
      <c r="H740" s="200" t="s">
        <v>9072</v>
      </c>
      <c r="I740" s="200" t="s">
        <v>488</v>
      </c>
    </row>
    <row r="741" spans="2:9" ht="14.1" hidden="1">
      <c r="B741" s="199">
        <v>45804</v>
      </c>
      <c r="C741" s="202" t="s">
        <v>6700</v>
      </c>
      <c r="D741" s="200" t="s">
        <v>372</v>
      </c>
      <c r="E741" s="204">
        <v>-48408</v>
      </c>
      <c r="F741" s="662">
        <v>45778</v>
      </c>
      <c r="G741" s="200" t="s">
        <v>296</v>
      </c>
      <c r="H741" s="200" t="s">
        <v>9072</v>
      </c>
      <c r="I741" s="200" t="s">
        <v>488</v>
      </c>
    </row>
    <row r="742" spans="2:9" ht="14.1" hidden="1">
      <c r="B742" s="199">
        <v>45804</v>
      </c>
      <c r="C742" s="202" t="s">
        <v>6699</v>
      </c>
      <c r="D742" s="200" t="s">
        <v>372</v>
      </c>
      <c r="E742" s="204">
        <v>-79000</v>
      </c>
      <c r="F742" s="662">
        <v>45778</v>
      </c>
      <c r="G742" s="200" t="s">
        <v>296</v>
      </c>
      <c r="H742" s="200" t="s">
        <v>44</v>
      </c>
      <c r="I742" s="200" t="s">
        <v>488</v>
      </c>
    </row>
    <row r="743" spans="2:9" ht="14.1" hidden="1">
      <c r="B743" s="199">
        <v>45804</v>
      </c>
      <c r="C743" s="202" t="s">
        <v>6700</v>
      </c>
      <c r="D743" s="200" t="s">
        <v>372</v>
      </c>
      <c r="E743" s="204">
        <v>-23700</v>
      </c>
      <c r="F743" s="662">
        <v>45778</v>
      </c>
      <c r="G743" s="200" t="s">
        <v>296</v>
      </c>
      <c r="H743" s="200" t="s">
        <v>44</v>
      </c>
      <c r="I743" s="200" t="s">
        <v>488</v>
      </c>
    </row>
    <row r="744" spans="2:9" ht="14.1" hidden="1">
      <c r="B744" s="199">
        <v>45804</v>
      </c>
      <c r="C744" s="202" t="s">
        <v>6705</v>
      </c>
      <c r="D744" s="200" t="s">
        <v>372</v>
      </c>
      <c r="E744" s="204">
        <v>-20580</v>
      </c>
      <c r="F744" s="662">
        <v>45778</v>
      </c>
      <c r="G744" s="200" t="s">
        <v>256</v>
      </c>
      <c r="H744" s="200" t="s">
        <v>256</v>
      </c>
      <c r="I744" s="200" t="s">
        <v>269</v>
      </c>
    </row>
    <row r="745" spans="2:9" ht="14.1" hidden="1">
      <c r="B745" s="199">
        <v>45805</v>
      </c>
      <c r="C745" s="202" t="s">
        <v>1926</v>
      </c>
      <c r="D745" s="200" t="s">
        <v>372</v>
      </c>
      <c r="E745" s="204">
        <v>-7560</v>
      </c>
      <c r="F745" s="662">
        <v>45778</v>
      </c>
      <c r="G745" s="200" t="s">
        <v>296</v>
      </c>
      <c r="H745" s="200" t="s">
        <v>522</v>
      </c>
      <c r="I745" s="200" t="s">
        <v>326</v>
      </c>
    </row>
    <row r="746" spans="2:9" ht="14.1" hidden="1">
      <c r="B746" s="199">
        <v>45805</v>
      </c>
      <c r="C746" s="202" t="s">
        <v>1927</v>
      </c>
      <c r="D746" s="200" t="s">
        <v>372</v>
      </c>
      <c r="E746" s="204">
        <v>-4536</v>
      </c>
      <c r="F746" s="662">
        <v>45778</v>
      </c>
      <c r="G746" s="200" t="s">
        <v>296</v>
      </c>
      <c r="H746" s="200" t="s">
        <v>522</v>
      </c>
      <c r="I746" s="200" t="s">
        <v>326</v>
      </c>
    </row>
    <row r="747" spans="2:9" ht="14.1" hidden="1">
      <c r="B747" s="199">
        <v>45803</v>
      </c>
      <c r="C747" s="202" t="s">
        <v>6724</v>
      </c>
      <c r="D747" s="200" t="s">
        <v>372</v>
      </c>
      <c r="E747" s="204">
        <v>-35680</v>
      </c>
      <c r="F747" s="662">
        <v>45778</v>
      </c>
      <c r="G747" s="200" t="s">
        <v>296</v>
      </c>
      <c r="H747" s="200" t="s">
        <v>522</v>
      </c>
      <c r="I747" s="200" t="s">
        <v>366</v>
      </c>
    </row>
    <row r="748" spans="2:9" ht="14.1" hidden="1">
      <c r="B748" s="199">
        <v>45803</v>
      </c>
      <c r="C748" s="202" t="s">
        <v>6725</v>
      </c>
      <c r="D748" s="200" t="s">
        <v>372</v>
      </c>
      <c r="E748" s="204">
        <v>-7136</v>
      </c>
      <c r="F748" s="662">
        <v>45778</v>
      </c>
      <c r="G748" s="200" t="s">
        <v>296</v>
      </c>
      <c r="H748" s="200" t="s">
        <v>522</v>
      </c>
      <c r="I748" s="200" t="s">
        <v>366</v>
      </c>
    </row>
    <row r="749" spans="2:9" ht="14.1" hidden="1">
      <c r="B749" s="199">
        <v>45803</v>
      </c>
      <c r="C749" s="202" t="s">
        <v>6727</v>
      </c>
      <c r="D749" s="200" t="s">
        <v>372</v>
      </c>
      <c r="E749" s="204">
        <v>-242000</v>
      </c>
      <c r="F749" s="662">
        <v>45778</v>
      </c>
      <c r="G749" s="200" t="s">
        <v>296</v>
      </c>
      <c r="H749" s="200" t="s">
        <v>522</v>
      </c>
      <c r="I749" s="200" t="s">
        <v>1066</v>
      </c>
    </row>
    <row r="750" spans="2:9" ht="14.1" hidden="1">
      <c r="B750" s="199">
        <v>45806</v>
      </c>
      <c r="C750" s="202" t="s">
        <v>6912</v>
      </c>
      <c r="D750" s="200" t="s">
        <v>372</v>
      </c>
      <c r="E750" s="204">
        <v>-16321</v>
      </c>
      <c r="F750" s="662">
        <v>45778</v>
      </c>
      <c r="G750" s="200" t="s">
        <v>296</v>
      </c>
      <c r="H750" s="200" t="s">
        <v>1980</v>
      </c>
      <c r="I750" s="200" t="s">
        <v>326</v>
      </c>
    </row>
    <row r="751" spans="2:9" ht="14.1" hidden="1">
      <c r="B751" s="199">
        <v>45806</v>
      </c>
      <c r="C751" s="202" t="s">
        <v>6914</v>
      </c>
      <c r="D751" s="200" t="s">
        <v>372</v>
      </c>
      <c r="E751" s="204">
        <v>-14508</v>
      </c>
      <c r="F751" s="662">
        <v>45778</v>
      </c>
      <c r="G751" s="200" t="s">
        <v>296</v>
      </c>
      <c r="H751" s="200" t="s">
        <v>1980</v>
      </c>
      <c r="I751" s="200" t="s">
        <v>326</v>
      </c>
    </row>
    <row r="752" spans="2:9" ht="14.1" hidden="1">
      <c r="B752" s="199">
        <v>45806</v>
      </c>
      <c r="C752" s="202" t="s">
        <v>6920</v>
      </c>
      <c r="D752" s="200" t="s">
        <v>372</v>
      </c>
      <c r="E752" s="204">
        <v>-198000</v>
      </c>
      <c r="F752" s="662">
        <v>45778</v>
      </c>
      <c r="G752" s="200" t="s">
        <v>296</v>
      </c>
      <c r="H752" s="200" t="s">
        <v>1735</v>
      </c>
      <c r="I752" s="200" t="s">
        <v>1066</v>
      </c>
    </row>
    <row r="753" spans="2:9" ht="14.1" hidden="1">
      <c r="B753" s="199">
        <v>45806</v>
      </c>
      <c r="C753" s="202" t="s">
        <v>6923</v>
      </c>
      <c r="D753" s="200" t="s">
        <v>372</v>
      </c>
      <c r="E753" s="204">
        <v>-20923</v>
      </c>
      <c r="F753" s="662">
        <v>45778</v>
      </c>
      <c r="G753" s="200" t="s">
        <v>296</v>
      </c>
      <c r="H753" s="200" t="s">
        <v>5466</v>
      </c>
      <c r="I753" s="200" t="s">
        <v>379</v>
      </c>
    </row>
    <row r="754" spans="2:9" ht="14.1" hidden="1">
      <c r="B754" s="199">
        <v>45806</v>
      </c>
      <c r="C754" s="202" t="s">
        <v>6927</v>
      </c>
      <c r="D754" s="200" t="s">
        <v>372</v>
      </c>
      <c r="E754" s="204">
        <v>-32000</v>
      </c>
      <c r="F754" s="662">
        <v>45778</v>
      </c>
      <c r="G754" s="200" t="s">
        <v>296</v>
      </c>
      <c r="H754" s="200" t="s">
        <v>5466</v>
      </c>
      <c r="I754" s="200" t="s">
        <v>379</v>
      </c>
    </row>
    <row r="755" spans="2:9" ht="14.1" hidden="1">
      <c r="B755" s="199">
        <v>45806</v>
      </c>
      <c r="C755" s="202" t="s">
        <v>6929</v>
      </c>
      <c r="D755" s="200" t="s">
        <v>372</v>
      </c>
      <c r="E755" s="204">
        <v>-5000</v>
      </c>
      <c r="F755" s="662">
        <v>45778</v>
      </c>
      <c r="G755" s="200" t="s">
        <v>296</v>
      </c>
      <c r="H755" s="200" t="s">
        <v>5466</v>
      </c>
      <c r="I755" s="200" t="s">
        <v>346</v>
      </c>
    </row>
    <row r="756" spans="2:9" ht="14.1" hidden="1">
      <c r="B756" s="199">
        <v>45806</v>
      </c>
      <c r="C756" s="202" t="s">
        <v>6923</v>
      </c>
      <c r="D756" s="200" t="s">
        <v>372</v>
      </c>
      <c r="E756" s="204">
        <v>-9000</v>
      </c>
      <c r="F756" s="662">
        <v>45778</v>
      </c>
      <c r="G756" s="200" t="s">
        <v>296</v>
      </c>
      <c r="H756" s="200" t="s">
        <v>5466</v>
      </c>
      <c r="I756" s="200" t="s">
        <v>379</v>
      </c>
    </row>
    <row r="757" spans="2:9" ht="14.1" hidden="1">
      <c r="B757" s="199">
        <v>45806</v>
      </c>
      <c r="C757" s="202" t="s">
        <v>6932</v>
      </c>
      <c r="D757" s="200" t="s">
        <v>372</v>
      </c>
      <c r="E757" s="204">
        <v>-15000</v>
      </c>
      <c r="F757" s="662">
        <v>45778</v>
      </c>
      <c r="G757" s="200" t="s">
        <v>296</v>
      </c>
      <c r="H757" s="200" t="s">
        <v>57</v>
      </c>
      <c r="I757" s="200" t="s">
        <v>97</v>
      </c>
    </row>
    <row r="758" spans="2:9" ht="14.1" hidden="1">
      <c r="B758" s="199">
        <v>45806</v>
      </c>
      <c r="C758" s="202" t="s">
        <v>6934</v>
      </c>
      <c r="D758" s="200" t="s">
        <v>372</v>
      </c>
      <c r="E758" s="204">
        <v>-16250</v>
      </c>
      <c r="F758" s="662">
        <v>45778</v>
      </c>
      <c r="G758" s="200" t="s">
        <v>296</v>
      </c>
      <c r="H758" s="200" t="s">
        <v>44</v>
      </c>
      <c r="I758" s="200" t="s">
        <v>811</v>
      </c>
    </row>
    <row r="759" spans="2:9" ht="14.1" hidden="1">
      <c r="B759" s="199">
        <v>45806</v>
      </c>
      <c r="C759" s="202" t="s">
        <v>6936</v>
      </c>
      <c r="D759" s="200" t="s">
        <v>372</v>
      </c>
      <c r="E759" s="204">
        <v>-19750</v>
      </c>
      <c r="F759" s="662">
        <v>45778</v>
      </c>
      <c r="G759" s="200" t="s">
        <v>296</v>
      </c>
      <c r="H759" s="200" t="s">
        <v>44</v>
      </c>
      <c r="I759" s="200" t="s">
        <v>811</v>
      </c>
    </row>
    <row r="760" spans="2:9" ht="14.1" hidden="1">
      <c r="B760" s="199">
        <v>45806</v>
      </c>
      <c r="C760" s="202" t="s">
        <v>4395</v>
      </c>
      <c r="D760" s="200" t="s">
        <v>372</v>
      </c>
      <c r="E760" s="204">
        <v>-1200</v>
      </c>
      <c r="F760" s="201">
        <v>45778</v>
      </c>
      <c r="G760" s="200" t="s">
        <v>297</v>
      </c>
      <c r="H760" s="200" t="s">
        <v>71</v>
      </c>
      <c r="I760" s="200" t="s">
        <v>268</v>
      </c>
    </row>
    <row r="761" spans="2:9" ht="14.1" hidden="1">
      <c r="B761" s="199">
        <v>45806</v>
      </c>
      <c r="C761" s="202" t="s">
        <v>4396</v>
      </c>
      <c r="D761" s="200" t="s">
        <v>372</v>
      </c>
      <c r="E761" s="204">
        <v>-720</v>
      </c>
      <c r="F761" s="201">
        <v>45778</v>
      </c>
      <c r="G761" s="200" t="s">
        <v>297</v>
      </c>
      <c r="H761" s="200" t="s">
        <v>71</v>
      </c>
      <c r="I761" s="200" t="s">
        <v>268</v>
      </c>
    </row>
    <row r="762" spans="2:9" ht="14.1">
      <c r="B762" s="199">
        <v>45809</v>
      </c>
      <c r="C762" s="202" t="s">
        <v>6355</v>
      </c>
      <c r="D762" s="200" t="s">
        <v>372</v>
      </c>
      <c r="E762" s="204">
        <v>-7200</v>
      </c>
      <c r="F762" s="201">
        <v>45809</v>
      </c>
      <c r="G762" s="200" t="s">
        <v>297</v>
      </c>
      <c r="H762" s="200" t="s">
        <v>71</v>
      </c>
      <c r="I762" s="200" t="s">
        <v>379</v>
      </c>
    </row>
    <row r="763" spans="2:9" ht="14.1">
      <c r="B763" s="199">
        <v>45809</v>
      </c>
      <c r="C763" s="202" t="s">
        <v>6356</v>
      </c>
      <c r="D763" s="200" t="s">
        <v>372</v>
      </c>
      <c r="E763" s="204">
        <v>-720</v>
      </c>
      <c r="F763" s="201">
        <v>45809</v>
      </c>
      <c r="G763" s="200" t="s">
        <v>297</v>
      </c>
      <c r="H763" s="200" t="s">
        <v>71</v>
      </c>
      <c r="I763" s="200" t="s">
        <v>379</v>
      </c>
    </row>
    <row r="764" spans="2:9" ht="14.1">
      <c r="B764" s="199">
        <v>45811</v>
      </c>
      <c r="C764" s="202" t="s">
        <v>5408</v>
      </c>
      <c r="D764" s="200" t="s">
        <v>372</v>
      </c>
      <c r="E764" s="204">
        <v>-60570</v>
      </c>
      <c r="F764" s="201">
        <v>45809</v>
      </c>
      <c r="G764" s="200" t="s">
        <v>296</v>
      </c>
      <c r="H764" s="200" t="s">
        <v>522</v>
      </c>
      <c r="I764" s="200" t="s">
        <v>326</v>
      </c>
    </row>
    <row r="765" spans="2:9" ht="14.1">
      <c r="B765" s="199">
        <v>45811</v>
      </c>
      <c r="C765" s="202" t="s">
        <v>7122</v>
      </c>
      <c r="D765" s="200" t="s">
        <v>372</v>
      </c>
      <c r="E765" s="204">
        <v>-23497</v>
      </c>
      <c r="F765" s="201">
        <v>45809</v>
      </c>
      <c r="G765" s="200" t="s">
        <v>296</v>
      </c>
      <c r="H765" s="200" t="s">
        <v>1980</v>
      </c>
      <c r="I765" s="200" t="s">
        <v>326</v>
      </c>
    </row>
    <row r="766" spans="2:9" ht="14.1">
      <c r="B766" s="199">
        <v>45811</v>
      </c>
      <c r="C766" s="202" t="s">
        <v>7122</v>
      </c>
      <c r="D766" s="200" t="s">
        <v>372</v>
      </c>
      <c r="E766" s="204">
        <v>-23497</v>
      </c>
      <c r="F766" s="201">
        <v>45809</v>
      </c>
      <c r="G766" s="200" t="s">
        <v>296</v>
      </c>
      <c r="H766" s="200" t="s">
        <v>1983</v>
      </c>
      <c r="I766" s="200" t="s">
        <v>326</v>
      </c>
    </row>
    <row r="767" spans="2:9" ht="14.1">
      <c r="B767" s="199">
        <v>45811</v>
      </c>
      <c r="C767" s="202" t="s">
        <v>7127</v>
      </c>
      <c r="D767" s="200" t="s">
        <v>372</v>
      </c>
      <c r="E767" s="204">
        <v>-12605</v>
      </c>
      <c r="F767" s="201">
        <v>45809</v>
      </c>
      <c r="G767" s="200" t="s">
        <v>256</v>
      </c>
      <c r="H767" s="200" t="s">
        <v>256</v>
      </c>
      <c r="I767" s="200" t="s">
        <v>9</v>
      </c>
    </row>
    <row r="768" spans="2:9" ht="14.1">
      <c r="B768" s="199">
        <v>45811</v>
      </c>
      <c r="C768" s="202" t="s">
        <v>7129</v>
      </c>
      <c r="D768" s="200" t="s">
        <v>372</v>
      </c>
      <c r="E768" s="204">
        <v>-32400</v>
      </c>
      <c r="F768" s="201">
        <v>45809</v>
      </c>
      <c r="G768" s="200" t="s">
        <v>296</v>
      </c>
      <c r="H768" s="200" t="s">
        <v>522</v>
      </c>
      <c r="I768" s="200" t="s">
        <v>421</v>
      </c>
    </row>
    <row r="769" spans="2:9" ht="14.1">
      <c r="B769" s="199">
        <v>45811</v>
      </c>
      <c r="C769" s="202" t="s">
        <v>7130</v>
      </c>
      <c r="D769" s="200" t="s">
        <v>372</v>
      </c>
      <c r="E769" s="204">
        <v>-9720</v>
      </c>
      <c r="F769" s="201">
        <v>45809</v>
      </c>
      <c r="G769" s="200" t="s">
        <v>296</v>
      </c>
      <c r="H769" s="200" t="s">
        <v>522</v>
      </c>
      <c r="I769" s="200" t="s">
        <v>421</v>
      </c>
    </row>
    <row r="770" spans="2:9" ht="14.1">
      <c r="B770" s="199">
        <v>45811</v>
      </c>
      <c r="C770" s="202" t="s">
        <v>7129</v>
      </c>
      <c r="D770" s="200" t="s">
        <v>372</v>
      </c>
      <c r="E770" s="204">
        <v>-32400</v>
      </c>
      <c r="F770" s="201">
        <v>45809</v>
      </c>
      <c r="G770" s="200" t="s">
        <v>296</v>
      </c>
      <c r="H770" s="200" t="s">
        <v>44</v>
      </c>
      <c r="I770" s="200" t="s">
        <v>421</v>
      </c>
    </row>
    <row r="771" spans="2:9" ht="14.1">
      <c r="B771" s="199">
        <v>45811</v>
      </c>
      <c r="C771" s="202" t="s">
        <v>7130</v>
      </c>
      <c r="D771" s="200" t="s">
        <v>372</v>
      </c>
      <c r="E771" s="204">
        <v>-9720</v>
      </c>
      <c r="F771" s="201">
        <v>45809</v>
      </c>
      <c r="G771" s="200" t="s">
        <v>296</v>
      </c>
      <c r="H771" s="200" t="s">
        <v>44</v>
      </c>
      <c r="I771" s="200" t="s">
        <v>421</v>
      </c>
    </row>
    <row r="772" spans="2:9" ht="14.1">
      <c r="B772" s="199">
        <v>45812</v>
      </c>
      <c r="C772" s="202" t="s">
        <v>7148</v>
      </c>
      <c r="D772" s="200" t="s">
        <v>372</v>
      </c>
      <c r="E772" s="204">
        <v>-658243</v>
      </c>
      <c r="F772" s="201">
        <v>45809</v>
      </c>
      <c r="G772" s="200" t="s">
        <v>296</v>
      </c>
      <c r="H772" s="200" t="s">
        <v>44</v>
      </c>
      <c r="I772" s="200" t="s">
        <v>421</v>
      </c>
    </row>
    <row r="773" spans="2:9" ht="14.1">
      <c r="B773" s="199">
        <v>45812</v>
      </c>
      <c r="C773" s="202" t="s">
        <v>7150</v>
      </c>
      <c r="D773" s="200" t="s">
        <v>372</v>
      </c>
      <c r="E773" s="204">
        <v>-389706</v>
      </c>
      <c r="F773" s="201">
        <v>45809</v>
      </c>
      <c r="G773" s="200" t="s">
        <v>296</v>
      </c>
      <c r="H773" s="200" t="s">
        <v>807</v>
      </c>
      <c r="I773" s="200" t="s">
        <v>811</v>
      </c>
    </row>
    <row r="774" spans="2:9" ht="14.1">
      <c r="B774" s="199">
        <v>45812</v>
      </c>
      <c r="C774" s="202" t="s">
        <v>7151</v>
      </c>
      <c r="D774" s="200" t="s">
        <v>372</v>
      </c>
      <c r="E774" s="204">
        <v>-93529</v>
      </c>
      <c r="F774" s="201">
        <v>45809</v>
      </c>
      <c r="G774" s="200" t="s">
        <v>296</v>
      </c>
      <c r="H774" s="200" t="s">
        <v>807</v>
      </c>
      <c r="I774" s="200" t="s">
        <v>811</v>
      </c>
    </row>
    <row r="775" spans="2:9" ht="14.1">
      <c r="B775" s="199">
        <v>45812</v>
      </c>
      <c r="C775" s="202" t="s">
        <v>7150</v>
      </c>
      <c r="D775" s="200" t="s">
        <v>372</v>
      </c>
      <c r="E775" s="204">
        <v>-42000</v>
      </c>
      <c r="F775" s="201">
        <v>45809</v>
      </c>
      <c r="G775" s="200" t="s">
        <v>296</v>
      </c>
      <c r="H775" s="200" t="s">
        <v>807</v>
      </c>
      <c r="I775" s="200" t="s">
        <v>811</v>
      </c>
    </row>
    <row r="776" spans="2:9" ht="14.1">
      <c r="B776" s="199">
        <v>45812</v>
      </c>
      <c r="C776" s="202" t="s">
        <v>7151</v>
      </c>
      <c r="D776" s="200" t="s">
        <v>372</v>
      </c>
      <c r="E776" s="204">
        <v>-25200</v>
      </c>
      <c r="F776" s="201">
        <v>45809</v>
      </c>
      <c r="G776" s="200" t="s">
        <v>296</v>
      </c>
      <c r="H776" s="200" t="s">
        <v>807</v>
      </c>
      <c r="I776" s="200" t="s">
        <v>811</v>
      </c>
    </row>
    <row r="777" spans="2:9" ht="14.1">
      <c r="B777" s="199">
        <v>45812</v>
      </c>
      <c r="C777" s="202" t="s">
        <v>7153</v>
      </c>
      <c r="D777" s="200" t="s">
        <v>372</v>
      </c>
      <c r="E777" s="204">
        <v>-275000</v>
      </c>
      <c r="F777" s="201">
        <v>45809</v>
      </c>
      <c r="G777" s="200" t="s">
        <v>256</v>
      </c>
      <c r="H777" s="200" t="s">
        <v>256</v>
      </c>
      <c r="I777" s="200" t="s">
        <v>258</v>
      </c>
    </row>
    <row r="778" spans="2:9" ht="14.1">
      <c r="B778" s="199">
        <v>45812</v>
      </c>
      <c r="C778" s="202" t="s">
        <v>7154</v>
      </c>
      <c r="D778" s="200" t="s">
        <v>372</v>
      </c>
      <c r="E778" s="204">
        <v>-15000</v>
      </c>
      <c r="F778" s="201">
        <v>45809</v>
      </c>
      <c r="G778" s="200" t="s">
        <v>256</v>
      </c>
      <c r="H778" s="200" t="s">
        <v>256</v>
      </c>
      <c r="I778" s="200" t="s">
        <v>258</v>
      </c>
    </row>
    <row r="779" spans="2:9" ht="14.1">
      <c r="B779" s="199">
        <v>45812</v>
      </c>
      <c r="C779" s="202" t="s">
        <v>7157</v>
      </c>
      <c r="D779" s="200" t="s">
        <v>372</v>
      </c>
      <c r="E779" s="204">
        <v>-80000</v>
      </c>
      <c r="F779" s="201">
        <v>45809</v>
      </c>
      <c r="G779" s="200" t="s">
        <v>256</v>
      </c>
      <c r="H779" s="200" t="s">
        <v>107</v>
      </c>
      <c r="I779" s="200" t="s">
        <v>777</v>
      </c>
    </row>
    <row r="780" spans="2:9" ht="14.1">
      <c r="B780" s="199">
        <v>45812</v>
      </c>
      <c r="C780" s="202" t="s">
        <v>7158</v>
      </c>
      <c r="D780" s="200" t="s">
        <v>372</v>
      </c>
      <c r="E780" s="204">
        <v>-12000</v>
      </c>
      <c r="F780" s="201">
        <v>45809</v>
      </c>
      <c r="G780" s="200" t="s">
        <v>256</v>
      </c>
      <c r="H780" s="200" t="s">
        <v>107</v>
      </c>
      <c r="I780" s="200" t="s">
        <v>777</v>
      </c>
    </row>
    <row r="781" spans="2:9" ht="14.1">
      <c r="B781" s="199">
        <v>45812</v>
      </c>
      <c r="C781" s="202" t="s">
        <v>6699</v>
      </c>
      <c r="D781" s="200" t="s">
        <v>372</v>
      </c>
      <c r="E781" s="204">
        <v>-70740</v>
      </c>
      <c r="F781" s="201">
        <v>45809</v>
      </c>
      <c r="G781" s="200" t="s">
        <v>296</v>
      </c>
      <c r="H781" s="200" t="s">
        <v>522</v>
      </c>
      <c r="I781" s="200" t="s">
        <v>366</v>
      </c>
    </row>
    <row r="782" spans="2:9" ht="14.1">
      <c r="B782" s="199">
        <v>45812</v>
      </c>
      <c r="C782" s="202" t="s">
        <v>6700</v>
      </c>
      <c r="D782" s="200" t="s">
        <v>372</v>
      </c>
      <c r="E782" s="204">
        <v>-21222</v>
      </c>
      <c r="F782" s="201">
        <v>45809</v>
      </c>
      <c r="G782" s="200" t="s">
        <v>296</v>
      </c>
      <c r="H782" s="200" t="s">
        <v>522</v>
      </c>
      <c r="I782" s="200" t="s">
        <v>366</v>
      </c>
    </row>
    <row r="783" spans="2:9" ht="14.1">
      <c r="B783" s="199">
        <v>45812</v>
      </c>
      <c r="C783" s="202" t="s">
        <v>7163</v>
      </c>
      <c r="D783" s="200" t="s">
        <v>372</v>
      </c>
      <c r="E783" s="204">
        <v>-12500</v>
      </c>
      <c r="F783" s="201">
        <v>45809</v>
      </c>
      <c r="G783" s="200" t="s">
        <v>296</v>
      </c>
      <c r="H783" s="200" t="s">
        <v>415</v>
      </c>
      <c r="I783" s="200" t="s">
        <v>346</v>
      </c>
    </row>
    <row r="784" spans="2:9" ht="14.1">
      <c r="B784" s="199">
        <v>45812</v>
      </c>
      <c r="C784" s="202" t="s">
        <v>7164</v>
      </c>
      <c r="D784" s="200" t="s">
        <v>372</v>
      </c>
      <c r="E784" s="204">
        <v>-7500</v>
      </c>
      <c r="F784" s="201">
        <v>45809</v>
      </c>
      <c r="G784" s="200" t="s">
        <v>296</v>
      </c>
      <c r="H784" s="200" t="s">
        <v>415</v>
      </c>
      <c r="I784" s="200" t="s">
        <v>346</v>
      </c>
    </row>
    <row r="785" spans="2:9" ht="14.1">
      <c r="B785" s="199">
        <v>45813</v>
      </c>
      <c r="C785" s="202" t="s">
        <v>7169</v>
      </c>
      <c r="D785" s="200" t="s">
        <v>372</v>
      </c>
      <c r="E785" s="204">
        <v>-304700</v>
      </c>
      <c r="F785" s="201">
        <v>45809</v>
      </c>
      <c r="G785" s="200" t="s">
        <v>296</v>
      </c>
      <c r="H785" s="200" t="s">
        <v>522</v>
      </c>
      <c r="I785" s="200" t="s">
        <v>366</v>
      </c>
    </row>
    <row r="786" spans="2:9" ht="14.1">
      <c r="B786" s="199">
        <v>45813</v>
      </c>
      <c r="C786" s="202" t="s">
        <v>7169</v>
      </c>
      <c r="D786" s="200" t="s">
        <v>372</v>
      </c>
      <c r="E786" s="204">
        <v>-304700</v>
      </c>
      <c r="F786" s="201">
        <v>45809</v>
      </c>
      <c r="G786" s="200" t="s">
        <v>296</v>
      </c>
      <c r="H786" s="200" t="s">
        <v>1980</v>
      </c>
      <c r="I786" s="200" t="s">
        <v>366</v>
      </c>
    </row>
    <row r="787" spans="2:9" ht="14.1">
      <c r="B787" s="199">
        <v>45813</v>
      </c>
      <c r="C787" s="202" t="s">
        <v>7169</v>
      </c>
      <c r="D787" s="200" t="s">
        <v>372</v>
      </c>
      <c r="E787" s="204">
        <v>-304700</v>
      </c>
      <c r="F787" s="201">
        <v>45809</v>
      </c>
      <c r="G787" s="200" t="s">
        <v>296</v>
      </c>
      <c r="H787" s="200" t="s">
        <v>44</v>
      </c>
      <c r="I787" s="200" t="s">
        <v>366</v>
      </c>
    </row>
    <row r="788" spans="2:9" ht="14.1">
      <c r="B788" s="199">
        <v>45811</v>
      </c>
      <c r="C788" s="202" t="s">
        <v>4395</v>
      </c>
      <c r="D788" s="200" t="s">
        <v>372</v>
      </c>
      <c r="E788" s="204">
        <v>-1120</v>
      </c>
      <c r="F788" s="201">
        <v>45809</v>
      </c>
      <c r="G788" s="200" t="s">
        <v>256</v>
      </c>
      <c r="H788" s="200" t="s">
        <v>256</v>
      </c>
      <c r="I788" s="200" t="s">
        <v>268</v>
      </c>
    </row>
    <row r="789" spans="2:9" ht="14.1">
      <c r="B789" s="199">
        <v>45811</v>
      </c>
      <c r="C789" s="202" t="s">
        <v>4396</v>
      </c>
      <c r="D789" s="200" t="s">
        <v>372</v>
      </c>
      <c r="E789" s="204">
        <v>-672</v>
      </c>
      <c r="F789" s="201">
        <v>45809</v>
      </c>
      <c r="G789" s="200" t="s">
        <v>256</v>
      </c>
      <c r="H789" s="200" t="s">
        <v>256</v>
      </c>
      <c r="I789" s="200" t="s">
        <v>268</v>
      </c>
    </row>
    <row r="790" spans="2:9" ht="14.1">
      <c r="B790" s="199">
        <v>45814</v>
      </c>
      <c r="C790" s="202" t="s">
        <v>1926</v>
      </c>
      <c r="D790" s="200" t="s">
        <v>372</v>
      </c>
      <c r="E790" s="204">
        <v>-10560</v>
      </c>
      <c r="F790" s="201">
        <v>45809</v>
      </c>
      <c r="G790" s="200" t="s">
        <v>296</v>
      </c>
      <c r="H790" s="200" t="s">
        <v>522</v>
      </c>
      <c r="I790" s="200" t="s">
        <v>326</v>
      </c>
    </row>
    <row r="791" spans="2:9" ht="14.1">
      <c r="B791" s="199">
        <v>45814</v>
      </c>
      <c r="C791" s="202" t="s">
        <v>1927</v>
      </c>
      <c r="D791" s="200" t="s">
        <v>372</v>
      </c>
      <c r="E791" s="204">
        <v>-6336</v>
      </c>
      <c r="F791" s="201">
        <v>45809</v>
      </c>
      <c r="G791" s="200" t="s">
        <v>296</v>
      </c>
      <c r="H791" s="200" t="s">
        <v>522</v>
      </c>
      <c r="I791" s="200" t="s">
        <v>326</v>
      </c>
    </row>
    <row r="792" spans="2:9" ht="14.1">
      <c r="B792" s="199">
        <v>45814</v>
      </c>
      <c r="C792" s="202" t="s">
        <v>7266</v>
      </c>
      <c r="D792" s="200" t="s">
        <v>372</v>
      </c>
      <c r="E792" s="204">
        <v>-16752</v>
      </c>
      <c r="F792" s="201">
        <v>45809</v>
      </c>
      <c r="G792" s="200" t="s">
        <v>296</v>
      </c>
      <c r="H792" s="200" t="s">
        <v>1825</v>
      </c>
      <c r="I792" s="200" t="s">
        <v>488</v>
      </c>
    </row>
    <row r="793" spans="2:9" ht="14.1">
      <c r="B793" s="199">
        <v>45814</v>
      </c>
      <c r="C793" s="202" t="s">
        <v>7267</v>
      </c>
      <c r="D793" s="200" t="s">
        <v>372</v>
      </c>
      <c r="E793" s="204">
        <v>-4021</v>
      </c>
      <c r="F793" s="201">
        <v>45809</v>
      </c>
      <c r="G793" s="200" t="s">
        <v>296</v>
      </c>
      <c r="H793" s="200" t="s">
        <v>1825</v>
      </c>
      <c r="I793" s="200" t="s">
        <v>488</v>
      </c>
    </row>
    <row r="794" spans="2:9" ht="14.1">
      <c r="B794" s="199">
        <v>45814</v>
      </c>
      <c r="C794" s="202" t="s">
        <v>7269</v>
      </c>
      <c r="D794" s="200" t="s">
        <v>372</v>
      </c>
      <c r="E794" s="204">
        <v>-176</v>
      </c>
      <c r="F794" s="201">
        <v>45809</v>
      </c>
      <c r="G794" s="200" t="s">
        <v>296</v>
      </c>
      <c r="H794" s="200" t="s">
        <v>807</v>
      </c>
      <c r="I794" s="200" t="s">
        <v>488</v>
      </c>
    </row>
    <row r="795" spans="2:9" ht="14.1">
      <c r="B795" s="199">
        <v>45814</v>
      </c>
      <c r="C795" s="202" t="s">
        <v>7270</v>
      </c>
      <c r="D795" s="200" t="s">
        <v>372</v>
      </c>
      <c r="E795" s="204">
        <v>-42</v>
      </c>
      <c r="F795" s="201">
        <v>45809</v>
      </c>
      <c r="G795" s="200" t="s">
        <v>296</v>
      </c>
      <c r="H795" s="200" t="s">
        <v>807</v>
      </c>
      <c r="I795" s="200" t="s">
        <v>488</v>
      </c>
    </row>
    <row r="796" spans="2:9" ht="14.1">
      <c r="B796" s="199">
        <v>45814</v>
      </c>
      <c r="C796" s="202" t="s">
        <v>7272</v>
      </c>
      <c r="D796" s="200" t="s">
        <v>372</v>
      </c>
      <c r="E796" s="204">
        <v>-17101</v>
      </c>
      <c r="F796" s="201">
        <v>45809</v>
      </c>
      <c r="G796" s="200" t="s">
        <v>296</v>
      </c>
      <c r="H796" s="200" t="s">
        <v>1980</v>
      </c>
      <c r="I796" s="200" t="s">
        <v>488</v>
      </c>
    </row>
    <row r="797" spans="2:9" ht="14.1">
      <c r="B797" s="199">
        <v>45814</v>
      </c>
      <c r="C797" s="202" t="s">
        <v>7273</v>
      </c>
      <c r="D797" s="200" t="s">
        <v>372</v>
      </c>
      <c r="E797" s="204">
        <v>-4104</v>
      </c>
      <c r="F797" s="201">
        <v>45809</v>
      </c>
      <c r="G797" s="200" t="s">
        <v>296</v>
      </c>
      <c r="H797" s="200" t="s">
        <v>1980</v>
      </c>
      <c r="I797" s="200" t="s">
        <v>488</v>
      </c>
    </row>
    <row r="798" spans="2:9" ht="14.1">
      <c r="B798" s="199">
        <v>45814</v>
      </c>
      <c r="C798" s="202" t="s">
        <v>7275</v>
      </c>
      <c r="D798" s="200" t="s">
        <v>372</v>
      </c>
      <c r="E798" s="204">
        <v>-14468</v>
      </c>
      <c r="F798" s="201">
        <v>45809</v>
      </c>
      <c r="G798" s="200" t="s">
        <v>296</v>
      </c>
      <c r="H798" s="200" t="s">
        <v>807</v>
      </c>
      <c r="I798" s="200" t="s">
        <v>488</v>
      </c>
    </row>
    <row r="799" spans="2:9" ht="14.1">
      <c r="B799" s="199">
        <v>45814</v>
      </c>
      <c r="C799" s="202" t="s">
        <v>7276</v>
      </c>
      <c r="D799" s="200" t="s">
        <v>372</v>
      </c>
      <c r="E799" s="204">
        <v>-3472</v>
      </c>
      <c r="F799" s="201">
        <v>45809</v>
      </c>
      <c r="G799" s="200" t="s">
        <v>296</v>
      </c>
      <c r="H799" s="200" t="s">
        <v>807</v>
      </c>
      <c r="I799" s="200" t="s">
        <v>488</v>
      </c>
    </row>
    <row r="800" spans="2:9" ht="14.1">
      <c r="B800" s="199">
        <v>45814</v>
      </c>
      <c r="C800" s="202" t="s">
        <v>7278</v>
      </c>
      <c r="D800" s="200" t="s">
        <v>372</v>
      </c>
      <c r="E800" s="204">
        <v>-24623</v>
      </c>
      <c r="F800" s="201">
        <v>45809</v>
      </c>
      <c r="G800" s="200" t="s">
        <v>296</v>
      </c>
      <c r="H800" s="200" t="s">
        <v>807</v>
      </c>
      <c r="I800" s="200" t="s">
        <v>488</v>
      </c>
    </row>
    <row r="801" spans="2:9" ht="14.1">
      <c r="B801" s="199">
        <v>45814</v>
      </c>
      <c r="C801" s="202" t="s">
        <v>7279</v>
      </c>
      <c r="D801" s="200" t="s">
        <v>372</v>
      </c>
      <c r="E801" s="204">
        <v>-5909</v>
      </c>
      <c r="F801" s="201">
        <v>45809</v>
      </c>
      <c r="G801" s="200" t="s">
        <v>296</v>
      </c>
      <c r="H801" s="200" t="s">
        <v>807</v>
      </c>
      <c r="I801" s="200" t="s">
        <v>488</v>
      </c>
    </row>
    <row r="802" spans="2:9" ht="14.1">
      <c r="B802" s="199">
        <v>45814</v>
      </c>
      <c r="C802" s="202" t="s">
        <v>7281</v>
      </c>
      <c r="D802" s="200" t="s">
        <v>372</v>
      </c>
      <c r="E802" s="204">
        <v>-971</v>
      </c>
      <c r="F802" s="201">
        <v>45809</v>
      </c>
      <c r="G802" s="200" t="s">
        <v>297</v>
      </c>
      <c r="H802" s="200" t="s">
        <v>1313</v>
      </c>
      <c r="I802" s="200" t="s">
        <v>5384</v>
      </c>
    </row>
    <row r="803" spans="2:9" ht="14.1">
      <c r="B803" s="199">
        <v>45814</v>
      </c>
      <c r="C803" s="202" t="s">
        <v>7282</v>
      </c>
      <c r="D803" s="200" t="s">
        <v>372</v>
      </c>
      <c r="E803" s="204">
        <v>-233</v>
      </c>
      <c r="F803" s="201">
        <v>45809</v>
      </c>
      <c r="G803" s="200" t="s">
        <v>297</v>
      </c>
      <c r="H803" s="200" t="s">
        <v>1313</v>
      </c>
      <c r="I803" s="200" t="s">
        <v>5384</v>
      </c>
    </row>
    <row r="804" spans="2:9" ht="14.1">
      <c r="B804" s="199">
        <v>45814</v>
      </c>
      <c r="C804" s="202" t="s">
        <v>7284</v>
      </c>
      <c r="D804" s="200" t="s">
        <v>372</v>
      </c>
      <c r="E804" s="204">
        <v>-1513</v>
      </c>
      <c r="F804" s="201">
        <v>45809</v>
      </c>
      <c r="G804" s="200" t="s">
        <v>256</v>
      </c>
      <c r="H804" s="200" t="s">
        <v>256</v>
      </c>
      <c r="I804" s="200" t="s">
        <v>263</v>
      </c>
    </row>
    <row r="805" spans="2:9" ht="14.1">
      <c r="B805" s="199">
        <v>45814</v>
      </c>
      <c r="C805" s="202" t="s">
        <v>7285</v>
      </c>
      <c r="D805" s="200" t="s">
        <v>372</v>
      </c>
      <c r="E805" s="204">
        <v>-363</v>
      </c>
      <c r="F805" s="201">
        <v>45809</v>
      </c>
      <c r="G805" s="200" t="s">
        <v>256</v>
      </c>
      <c r="H805" s="200" t="s">
        <v>256</v>
      </c>
      <c r="I805" s="200" t="s">
        <v>263</v>
      </c>
    </row>
    <row r="806" spans="2:9" ht="14.1">
      <c r="B806" s="199">
        <v>45814</v>
      </c>
      <c r="C806" s="202" t="s">
        <v>7287</v>
      </c>
      <c r="D806" s="200" t="s">
        <v>372</v>
      </c>
      <c r="E806" s="204">
        <v>-4220</v>
      </c>
      <c r="F806" s="201">
        <v>45809</v>
      </c>
      <c r="G806" s="200" t="s">
        <v>296</v>
      </c>
      <c r="H806" s="200" t="s">
        <v>1980</v>
      </c>
      <c r="I806" s="200" t="s">
        <v>488</v>
      </c>
    </row>
    <row r="807" spans="2:9" ht="14.1">
      <c r="B807" s="199">
        <v>45814</v>
      </c>
      <c r="C807" s="202" t="s">
        <v>7288</v>
      </c>
      <c r="D807" s="200" t="s">
        <v>372</v>
      </c>
      <c r="E807" s="204">
        <v>-1013</v>
      </c>
      <c r="F807" s="201">
        <v>45809</v>
      </c>
      <c r="G807" s="200" t="s">
        <v>296</v>
      </c>
      <c r="H807" s="200" t="s">
        <v>1980</v>
      </c>
      <c r="I807" s="200" t="s">
        <v>488</v>
      </c>
    </row>
    <row r="808" spans="2:9" ht="14.1">
      <c r="B808" s="199">
        <v>45814</v>
      </c>
      <c r="C808" s="202" t="s">
        <v>7290</v>
      </c>
      <c r="D808" s="200" t="s">
        <v>372</v>
      </c>
      <c r="E808" s="204">
        <v>-683</v>
      </c>
      <c r="F808" s="201">
        <v>45809</v>
      </c>
      <c r="G808" s="200" t="s">
        <v>297</v>
      </c>
      <c r="H808" s="200" t="s">
        <v>71</v>
      </c>
      <c r="I808" s="200" t="s">
        <v>5384</v>
      </c>
    </row>
    <row r="809" spans="2:9" ht="14.1">
      <c r="B809" s="199">
        <v>45814</v>
      </c>
      <c r="C809" s="202" t="s">
        <v>7291</v>
      </c>
      <c r="D809" s="200" t="s">
        <v>372</v>
      </c>
      <c r="E809" s="204">
        <v>-164</v>
      </c>
      <c r="F809" s="201">
        <v>45809</v>
      </c>
      <c r="G809" s="200" t="s">
        <v>297</v>
      </c>
      <c r="H809" s="200" t="s">
        <v>71</v>
      </c>
      <c r="I809" s="200" t="s">
        <v>5384</v>
      </c>
    </row>
    <row r="810" spans="2:9" ht="14.1">
      <c r="B810" s="199">
        <v>45814</v>
      </c>
      <c r="C810" s="202" t="s">
        <v>7293</v>
      </c>
      <c r="D810" s="200" t="s">
        <v>372</v>
      </c>
      <c r="E810" s="204">
        <v>-5466</v>
      </c>
      <c r="F810" s="201">
        <v>45809</v>
      </c>
      <c r="G810" s="200" t="s">
        <v>297</v>
      </c>
      <c r="H810" s="200" t="s">
        <v>71</v>
      </c>
      <c r="I810" s="200" t="s">
        <v>5384</v>
      </c>
    </row>
    <row r="811" spans="2:9" ht="14.1">
      <c r="B811" s="199">
        <v>45814</v>
      </c>
      <c r="C811" s="202" t="s">
        <v>7294</v>
      </c>
      <c r="D811" s="200" t="s">
        <v>372</v>
      </c>
      <c r="E811" s="204">
        <v>-1312</v>
      </c>
      <c r="F811" s="201">
        <v>45809</v>
      </c>
      <c r="G811" s="200" t="s">
        <v>297</v>
      </c>
      <c r="H811" s="200" t="s">
        <v>71</v>
      </c>
      <c r="I811" s="200" t="s">
        <v>5384</v>
      </c>
    </row>
    <row r="812" spans="2:9" ht="14.1">
      <c r="B812" s="199">
        <v>45814</v>
      </c>
      <c r="C812" s="202" t="s">
        <v>7296</v>
      </c>
      <c r="D812" s="200" t="s">
        <v>372</v>
      </c>
      <c r="E812" s="204">
        <v>-8287</v>
      </c>
      <c r="F812" s="201">
        <v>45809</v>
      </c>
      <c r="G812" s="200" t="s">
        <v>297</v>
      </c>
      <c r="H812" s="200" t="s">
        <v>71</v>
      </c>
      <c r="I812" s="200" t="s">
        <v>5384</v>
      </c>
    </row>
    <row r="813" spans="2:9" ht="14.1">
      <c r="B813" s="199">
        <v>45814</v>
      </c>
      <c r="C813" s="202" t="s">
        <v>7297</v>
      </c>
      <c r="D813" s="200" t="s">
        <v>372</v>
      </c>
      <c r="E813" s="204">
        <v>-1989</v>
      </c>
      <c r="F813" s="201">
        <v>45809</v>
      </c>
      <c r="G813" s="200" t="s">
        <v>297</v>
      </c>
      <c r="H813" s="200" t="s">
        <v>71</v>
      </c>
      <c r="I813" s="200" t="s">
        <v>5384</v>
      </c>
    </row>
    <row r="814" spans="2:9" ht="14.1">
      <c r="B814" s="199">
        <v>45814</v>
      </c>
      <c r="C814" s="202" t="s">
        <v>7300</v>
      </c>
      <c r="D814" s="200" t="s">
        <v>372</v>
      </c>
      <c r="E814" s="204">
        <v>-249452.2</v>
      </c>
      <c r="F814" s="201">
        <v>45809</v>
      </c>
      <c r="G814" s="200" t="s">
        <v>296</v>
      </c>
      <c r="H814" s="200" t="s">
        <v>1825</v>
      </c>
      <c r="I814" s="200" t="s">
        <v>848</v>
      </c>
    </row>
    <row r="815" spans="2:9" ht="14.1">
      <c r="B815" s="199">
        <v>45814</v>
      </c>
      <c r="C815" s="202" t="s">
        <v>7300</v>
      </c>
      <c r="D815" s="200" t="s">
        <v>372</v>
      </c>
      <c r="E815" s="204">
        <v>-249452.2</v>
      </c>
      <c r="F815" s="201">
        <v>45809</v>
      </c>
      <c r="G815" s="200" t="s">
        <v>296</v>
      </c>
      <c r="H815" s="200" t="s">
        <v>522</v>
      </c>
      <c r="I815" s="200" t="s">
        <v>848</v>
      </c>
    </row>
    <row r="816" spans="2:9" ht="14.1">
      <c r="B816" s="199">
        <v>45814</v>
      </c>
      <c r="C816" s="202" t="s">
        <v>7300</v>
      </c>
      <c r="D816" s="200" t="s">
        <v>372</v>
      </c>
      <c r="E816" s="204">
        <v>-249452.2</v>
      </c>
      <c r="F816" s="201">
        <v>45809</v>
      </c>
      <c r="G816" s="200" t="s">
        <v>296</v>
      </c>
      <c r="H816" s="200" t="s">
        <v>807</v>
      </c>
      <c r="I816" s="200" t="s">
        <v>848</v>
      </c>
    </row>
    <row r="817" spans="2:9" ht="14.1">
      <c r="B817" s="199">
        <v>45814</v>
      </c>
      <c r="C817" s="202" t="s">
        <v>7300</v>
      </c>
      <c r="D817" s="200" t="s">
        <v>372</v>
      </c>
      <c r="E817" s="204">
        <v>-249452.2</v>
      </c>
      <c r="F817" s="201">
        <v>45809</v>
      </c>
      <c r="G817" s="200" t="s">
        <v>296</v>
      </c>
      <c r="H817" s="200" t="s">
        <v>1980</v>
      </c>
      <c r="I817" s="200" t="s">
        <v>848</v>
      </c>
    </row>
    <row r="818" spans="2:9" ht="14.1">
      <c r="B818" s="199">
        <v>45814</v>
      </c>
      <c r="C818" s="202" t="s">
        <v>7300</v>
      </c>
      <c r="D818" s="200" t="s">
        <v>372</v>
      </c>
      <c r="E818" s="204">
        <v>-249452.2</v>
      </c>
      <c r="F818" s="201">
        <v>45809</v>
      </c>
      <c r="G818" s="200" t="s">
        <v>296</v>
      </c>
      <c r="H818" s="200" t="s">
        <v>1983</v>
      </c>
      <c r="I818" s="200" t="s">
        <v>848</v>
      </c>
    </row>
    <row r="819" spans="2:9" ht="14.1">
      <c r="B819" s="199">
        <v>45814</v>
      </c>
      <c r="C819" s="202" t="s">
        <v>7302</v>
      </c>
      <c r="D819" s="200" t="s">
        <v>372</v>
      </c>
      <c r="E819" s="204">
        <v>-487500</v>
      </c>
      <c r="F819" s="201">
        <v>45809</v>
      </c>
      <c r="G819" s="200" t="s">
        <v>297</v>
      </c>
      <c r="H819" s="200" t="s">
        <v>69</v>
      </c>
      <c r="I819" s="200" t="s">
        <v>5376</v>
      </c>
    </row>
    <row r="820" spans="2:9" ht="14.1">
      <c r="B820" s="199">
        <v>45817</v>
      </c>
      <c r="C820" s="202" t="s">
        <v>6699</v>
      </c>
      <c r="D820" s="200" t="s">
        <v>372</v>
      </c>
      <c r="E820" s="204">
        <v>-37000</v>
      </c>
      <c r="F820" s="201">
        <v>45809</v>
      </c>
      <c r="G820" s="200" t="s">
        <v>297</v>
      </c>
      <c r="H820" s="200" t="s">
        <v>71</v>
      </c>
      <c r="I820" s="200" t="s">
        <v>342</v>
      </c>
    </row>
    <row r="821" spans="2:9" ht="14.1">
      <c r="B821" s="199">
        <v>45817</v>
      </c>
      <c r="C821" s="202" t="s">
        <v>6700</v>
      </c>
      <c r="D821" s="200" t="s">
        <v>372</v>
      </c>
      <c r="E821" s="204">
        <v>-11100</v>
      </c>
      <c r="F821" s="201">
        <v>45809</v>
      </c>
      <c r="G821" s="200" t="s">
        <v>297</v>
      </c>
      <c r="H821" s="200" t="s">
        <v>71</v>
      </c>
      <c r="I821" s="200" t="s">
        <v>342</v>
      </c>
    </row>
    <row r="822" spans="2:9" ht="14.1">
      <c r="B822" s="199">
        <v>45817</v>
      </c>
      <c r="C822" s="202" t="s">
        <v>7312</v>
      </c>
      <c r="D822" s="200" t="s">
        <v>372</v>
      </c>
      <c r="E822" s="204">
        <v>-22480</v>
      </c>
      <c r="F822" s="201">
        <v>45809</v>
      </c>
      <c r="G822" s="200" t="s">
        <v>256</v>
      </c>
      <c r="H822" s="200" t="s">
        <v>256</v>
      </c>
      <c r="I822" s="200" t="s">
        <v>267</v>
      </c>
    </row>
    <row r="823" spans="2:9" ht="14.1">
      <c r="B823" s="199">
        <v>45817</v>
      </c>
      <c r="C823" s="202" t="s">
        <v>7313</v>
      </c>
      <c r="D823" s="200" t="s">
        <v>372</v>
      </c>
      <c r="E823" s="204">
        <v>-6744</v>
      </c>
      <c r="F823" s="201">
        <v>45809</v>
      </c>
      <c r="G823" s="200" t="s">
        <v>256</v>
      </c>
      <c r="H823" s="200" t="s">
        <v>256</v>
      </c>
      <c r="I823" s="200" t="s">
        <v>267</v>
      </c>
    </row>
    <row r="824" spans="2:9" ht="14.1">
      <c r="B824" s="199">
        <v>45817</v>
      </c>
      <c r="C824" s="202" t="s">
        <v>7315</v>
      </c>
      <c r="D824" s="200" t="s">
        <v>372</v>
      </c>
      <c r="E824" s="204">
        <v>-299560</v>
      </c>
      <c r="F824" s="201">
        <v>45809</v>
      </c>
      <c r="G824" s="200" t="s">
        <v>296</v>
      </c>
      <c r="H824" s="200" t="s">
        <v>5466</v>
      </c>
      <c r="I824" s="200" t="s">
        <v>5389</v>
      </c>
    </row>
    <row r="825" spans="2:9" ht="14.1">
      <c r="B825" s="199">
        <v>45818</v>
      </c>
      <c r="C825" s="202" t="s">
        <v>7318</v>
      </c>
      <c r="D825" s="200" t="s">
        <v>372</v>
      </c>
      <c r="E825" s="204">
        <v>-8000</v>
      </c>
      <c r="F825" s="201">
        <v>45809</v>
      </c>
      <c r="G825" s="200" t="s">
        <v>296</v>
      </c>
      <c r="H825" s="200" t="s">
        <v>5466</v>
      </c>
      <c r="I825" s="200" t="s">
        <v>346</v>
      </c>
    </row>
    <row r="826" spans="2:9" ht="14.1">
      <c r="B826" s="199">
        <v>45818</v>
      </c>
      <c r="C826" s="202" t="s">
        <v>7324</v>
      </c>
      <c r="D826" s="200" t="s">
        <v>372</v>
      </c>
      <c r="E826" s="204">
        <v>-45699</v>
      </c>
      <c r="F826" s="201">
        <v>45809</v>
      </c>
      <c r="G826" s="200" t="s">
        <v>296</v>
      </c>
      <c r="H826" s="200" t="s">
        <v>522</v>
      </c>
      <c r="I826" s="200" t="s">
        <v>326</v>
      </c>
    </row>
    <row r="827" spans="2:9" ht="14.1">
      <c r="B827" s="199">
        <v>45818</v>
      </c>
      <c r="C827" s="202" t="s">
        <v>7354</v>
      </c>
      <c r="D827" s="200" t="s">
        <v>372</v>
      </c>
      <c r="E827" s="204">
        <v>-44000</v>
      </c>
      <c r="F827" s="201">
        <v>45809</v>
      </c>
      <c r="G827" s="200" t="s">
        <v>296</v>
      </c>
      <c r="H827" s="200" t="s">
        <v>522</v>
      </c>
      <c r="I827" s="200" t="s">
        <v>429</v>
      </c>
    </row>
    <row r="828" spans="2:9" ht="14.1">
      <c r="B828" s="199">
        <v>45818</v>
      </c>
      <c r="C828" s="202" t="s">
        <v>7355</v>
      </c>
      <c r="D828" s="200" t="s">
        <v>372</v>
      </c>
      <c r="E828" s="204">
        <v>-6600</v>
      </c>
      <c r="F828" s="201">
        <v>45809</v>
      </c>
      <c r="G828" s="200" t="s">
        <v>296</v>
      </c>
      <c r="H828" s="200" t="s">
        <v>522</v>
      </c>
      <c r="I828" s="200" t="s">
        <v>429</v>
      </c>
    </row>
    <row r="829" spans="2:9" ht="14.1">
      <c r="B829" s="199">
        <v>45818</v>
      </c>
      <c r="C829" s="202" t="s">
        <v>7354</v>
      </c>
      <c r="D829" s="200" t="s">
        <v>372</v>
      </c>
      <c r="E829" s="204">
        <v>-17805</v>
      </c>
      <c r="F829" s="201">
        <v>45809</v>
      </c>
      <c r="G829" s="200" t="s">
        <v>296</v>
      </c>
      <c r="H829" s="200" t="s">
        <v>807</v>
      </c>
      <c r="I829" s="200" t="s">
        <v>429</v>
      </c>
    </row>
    <row r="830" spans="2:9" ht="14.1">
      <c r="B830" s="199">
        <v>45818</v>
      </c>
      <c r="C830" s="202" t="s">
        <v>7355</v>
      </c>
      <c r="D830" s="200" t="s">
        <v>372</v>
      </c>
      <c r="E830" s="204">
        <v>-2671</v>
      </c>
      <c r="F830" s="201">
        <v>45809</v>
      </c>
      <c r="G830" s="200" t="s">
        <v>296</v>
      </c>
      <c r="H830" s="200" t="s">
        <v>807</v>
      </c>
      <c r="I830" s="200" t="s">
        <v>429</v>
      </c>
    </row>
    <row r="831" spans="2:9" ht="14.1">
      <c r="B831" s="199">
        <v>45818</v>
      </c>
      <c r="C831" s="202" t="s">
        <v>9074</v>
      </c>
      <c r="D831" s="200" t="s">
        <v>372</v>
      </c>
      <c r="E831" s="204">
        <v>-151848</v>
      </c>
      <c r="F831" s="201">
        <v>45809</v>
      </c>
      <c r="G831" s="200" t="s">
        <v>296</v>
      </c>
      <c r="H831" s="200" t="s">
        <v>57</v>
      </c>
      <c r="I831" s="200" t="s">
        <v>95</v>
      </c>
    </row>
    <row r="832" spans="2:9" ht="14.1">
      <c r="B832" s="199">
        <v>45818</v>
      </c>
      <c r="C832" s="202" t="s">
        <v>9074</v>
      </c>
      <c r="D832" s="200" t="s">
        <v>372</v>
      </c>
      <c r="E832" s="204">
        <v>-53147</v>
      </c>
      <c r="F832" s="201">
        <v>45809</v>
      </c>
      <c r="G832" s="200" t="s">
        <v>296</v>
      </c>
      <c r="H832" s="200" t="s">
        <v>57</v>
      </c>
      <c r="I832" s="200" t="s">
        <v>95</v>
      </c>
    </row>
    <row r="833" spans="2:9" ht="14.1">
      <c r="B833" s="199">
        <v>45818</v>
      </c>
      <c r="C833" s="202" t="s">
        <v>9074</v>
      </c>
      <c r="D833" s="200" t="s">
        <v>372</v>
      </c>
      <c r="E833" s="204">
        <v>-79088</v>
      </c>
      <c r="F833" s="201">
        <v>45809</v>
      </c>
      <c r="G833" s="200" t="s">
        <v>296</v>
      </c>
      <c r="H833" s="200" t="s">
        <v>44</v>
      </c>
      <c r="I833" s="200" t="s">
        <v>4312</v>
      </c>
    </row>
    <row r="834" spans="2:9" ht="14.1">
      <c r="B834" s="199">
        <v>45818</v>
      </c>
      <c r="C834" s="202" t="s">
        <v>9074</v>
      </c>
      <c r="D834" s="200" t="s">
        <v>372</v>
      </c>
      <c r="E834" s="204">
        <v>-40572</v>
      </c>
      <c r="F834" s="201">
        <v>45809</v>
      </c>
      <c r="G834" s="200" t="s">
        <v>296</v>
      </c>
      <c r="H834" s="200" t="s">
        <v>57</v>
      </c>
      <c r="I834" s="200" t="s">
        <v>95</v>
      </c>
    </row>
    <row r="835" spans="2:9" ht="14.1">
      <c r="B835" s="199">
        <v>45818</v>
      </c>
      <c r="C835" s="202" t="s">
        <v>9074</v>
      </c>
      <c r="D835" s="200" t="s">
        <v>372</v>
      </c>
      <c r="E835" s="204">
        <v>-129085</v>
      </c>
      <c r="F835" s="201">
        <v>45809</v>
      </c>
      <c r="G835" s="200" t="s">
        <v>296</v>
      </c>
      <c r="H835" s="200" t="s">
        <v>57</v>
      </c>
      <c r="I835" s="200" t="s">
        <v>95</v>
      </c>
    </row>
    <row r="836" spans="2:9" ht="14.1">
      <c r="B836" s="199">
        <v>45818</v>
      </c>
      <c r="C836" s="202" t="s">
        <v>9074</v>
      </c>
      <c r="D836" s="200" t="s">
        <v>372</v>
      </c>
      <c r="E836" s="204">
        <v>-179085</v>
      </c>
      <c r="F836" s="201">
        <v>45809</v>
      </c>
      <c r="G836" s="200" t="s">
        <v>296</v>
      </c>
      <c r="H836" s="200" t="s">
        <v>57</v>
      </c>
      <c r="I836" s="200" t="s">
        <v>95</v>
      </c>
    </row>
    <row r="837" spans="2:9" ht="14.1">
      <c r="B837" s="199">
        <v>45818</v>
      </c>
      <c r="C837" s="202" t="s">
        <v>9074</v>
      </c>
      <c r="D837" s="200" t="s">
        <v>372</v>
      </c>
      <c r="E837" s="204">
        <v>-599483</v>
      </c>
      <c r="F837" s="201">
        <v>45809</v>
      </c>
      <c r="G837" s="200" t="s">
        <v>296</v>
      </c>
      <c r="H837" s="200" t="s">
        <v>57</v>
      </c>
      <c r="I837" s="200" t="s">
        <v>95</v>
      </c>
    </row>
    <row r="838" spans="2:9" ht="14.1">
      <c r="B838" s="199">
        <v>45818</v>
      </c>
      <c r="C838" s="202" t="s">
        <v>7365</v>
      </c>
      <c r="D838" s="200" t="s">
        <v>372</v>
      </c>
      <c r="E838" s="204">
        <v>-46389</v>
      </c>
      <c r="F838" s="201">
        <v>45809</v>
      </c>
      <c r="G838" s="200" t="s">
        <v>256</v>
      </c>
      <c r="H838" s="200" t="s">
        <v>256</v>
      </c>
      <c r="I838" s="200" t="s">
        <v>267</v>
      </c>
    </row>
    <row r="839" spans="2:9" ht="14.1">
      <c r="B839" s="199">
        <v>45818</v>
      </c>
      <c r="C839" s="202" t="s">
        <v>7368</v>
      </c>
      <c r="D839" s="200" t="s">
        <v>372</v>
      </c>
      <c r="E839" s="204">
        <v>-34103</v>
      </c>
      <c r="F839" s="201">
        <v>45809</v>
      </c>
      <c r="G839" s="200" t="s">
        <v>296</v>
      </c>
      <c r="H839" s="200" t="s">
        <v>1980</v>
      </c>
      <c r="I839" s="200" t="s">
        <v>322</v>
      </c>
    </row>
    <row r="840" spans="2:9" ht="14.1">
      <c r="B840" s="199">
        <v>45818</v>
      </c>
      <c r="C840" s="202" t="s">
        <v>7370</v>
      </c>
      <c r="D840" s="200" t="s">
        <v>372</v>
      </c>
      <c r="E840" s="204">
        <v>-10504</v>
      </c>
      <c r="F840" s="201">
        <v>45809</v>
      </c>
      <c r="G840" s="200" t="s">
        <v>297</v>
      </c>
      <c r="H840" s="200" t="s">
        <v>3848</v>
      </c>
      <c r="I840" s="200" t="s">
        <v>5376</v>
      </c>
    </row>
    <row r="841" spans="2:9" ht="14.1">
      <c r="B841" s="199">
        <v>45818</v>
      </c>
      <c r="C841" s="202" t="s">
        <v>7372</v>
      </c>
      <c r="D841" s="200" t="s">
        <v>372</v>
      </c>
      <c r="E841" s="204">
        <v>-10504</v>
      </c>
      <c r="F841" s="201">
        <v>45809</v>
      </c>
      <c r="G841" s="200" t="s">
        <v>297</v>
      </c>
      <c r="H841" s="200" t="s">
        <v>71</v>
      </c>
      <c r="I841" s="200" t="s">
        <v>5376</v>
      </c>
    </row>
    <row r="842" spans="2:9" ht="14.1">
      <c r="B842" s="199">
        <v>45818</v>
      </c>
      <c r="C842" s="202" t="s">
        <v>7374</v>
      </c>
      <c r="D842" s="200" t="s">
        <v>372</v>
      </c>
      <c r="E842" s="204">
        <v>-10504</v>
      </c>
      <c r="F842" s="201">
        <v>45809</v>
      </c>
      <c r="G842" s="200" t="s">
        <v>297</v>
      </c>
      <c r="H842" s="200" t="s">
        <v>5404</v>
      </c>
      <c r="I842" s="200" t="s">
        <v>5376</v>
      </c>
    </row>
    <row r="843" spans="2:9" ht="14.1">
      <c r="B843" s="199">
        <v>45819</v>
      </c>
      <c r="C843" s="202" t="s">
        <v>7376</v>
      </c>
      <c r="D843" s="200" t="s">
        <v>372</v>
      </c>
      <c r="E843" s="204">
        <v>-352000</v>
      </c>
      <c r="F843" s="201">
        <v>45809</v>
      </c>
      <c r="G843" s="200" t="s">
        <v>297</v>
      </c>
      <c r="H843" s="200" t="s">
        <v>3892</v>
      </c>
      <c r="I843" s="200" t="s">
        <v>342</v>
      </c>
    </row>
    <row r="844" spans="2:9" ht="14.1">
      <c r="B844" s="199">
        <v>45820</v>
      </c>
      <c r="C844" s="202" t="s">
        <v>7378</v>
      </c>
      <c r="D844" s="200" t="s">
        <v>372</v>
      </c>
      <c r="E844" s="204">
        <v>-241870</v>
      </c>
      <c r="F844" s="201">
        <v>45809</v>
      </c>
      <c r="G844" s="200" t="s">
        <v>296</v>
      </c>
      <c r="H844" s="200" t="s">
        <v>1980</v>
      </c>
      <c r="I844" s="200" t="s">
        <v>488</v>
      </c>
    </row>
    <row r="845" spans="2:9" ht="14.1">
      <c r="B845" s="199">
        <v>45820</v>
      </c>
      <c r="C845" s="202" t="s">
        <v>7378</v>
      </c>
      <c r="D845" s="200" t="s">
        <v>372</v>
      </c>
      <c r="E845" s="204">
        <v>-12200</v>
      </c>
      <c r="F845" s="201">
        <v>45809</v>
      </c>
      <c r="G845" s="200" t="s">
        <v>296</v>
      </c>
      <c r="H845" s="200" t="s">
        <v>1980</v>
      </c>
      <c r="I845" s="200" t="s">
        <v>490</v>
      </c>
    </row>
    <row r="846" spans="2:9" ht="14.1">
      <c r="B846" s="199">
        <v>45820</v>
      </c>
      <c r="C846" s="202" t="s">
        <v>7378</v>
      </c>
      <c r="D846" s="200" t="s">
        <v>372</v>
      </c>
      <c r="E846" s="204">
        <v>-5625</v>
      </c>
      <c r="F846" s="201">
        <v>45809</v>
      </c>
      <c r="G846" s="200" t="s">
        <v>296</v>
      </c>
      <c r="H846" s="200" t="s">
        <v>1980</v>
      </c>
      <c r="I846" s="200" t="s">
        <v>429</v>
      </c>
    </row>
    <row r="847" spans="2:9" ht="14.1">
      <c r="B847" s="199">
        <v>45820</v>
      </c>
      <c r="C847" s="202" t="s">
        <v>7380</v>
      </c>
      <c r="D847" s="200" t="s">
        <v>372</v>
      </c>
      <c r="E847" s="204">
        <v>-11100</v>
      </c>
      <c r="F847" s="201">
        <v>45809</v>
      </c>
      <c r="G847" s="200" t="s">
        <v>296</v>
      </c>
      <c r="H847" s="200" t="s">
        <v>1980</v>
      </c>
      <c r="I847" s="200" t="s">
        <v>322</v>
      </c>
    </row>
    <row r="848" spans="2:9" ht="14.1">
      <c r="B848" s="199">
        <v>45820</v>
      </c>
      <c r="C848" s="202" t="s">
        <v>7380</v>
      </c>
      <c r="D848" s="200" t="s">
        <v>372</v>
      </c>
      <c r="E848" s="204">
        <v>-241998</v>
      </c>
      <c r="F848" s="201">
        <v>45809</v>
      </c>
      <c r="G848" s="200" t="s">
        <v>296</v>
      </c>
      <c r="H848" s="200" t="s">
        <v>1983</v>
      </c>
      <c r="I848" s="200" t="s">
        <v>488</v>
      </c>
    </row>
    <row r="849" spans="2:9" ht="14.1">
      <c r="B849" s="199">
        <v>45820</v>
      </c>
      <c r="C849" s="202" t="s">
        <v>7380</v>
      </c>
      <c r="D849" s="200" t="s">
        <v>372</v>
      </c>
      <c r="E849" s="204">
        <v>-11100</v>
      </c>
      <c r="F849" s="201">
        <v>45809</v>
      </c>
      <c r="G849" s="200" t="s">
        <v>296</v>
      </c>
      <c r="H849" s="200" t="s">
        <v>1983</v>
      </c>
      <c r="I849" s="200" t="s">
        <v>322</v>
      </c>
    </row>
    <row r="850" spans="2:9" ht="14.1">
      <c r="B850" s="199">
        <v>45820</v>
      </c>
      <c r="C850" s="202" t="s">
        <v>7380</v>
      </c>
      <c r="D850" s="200" t="s">
        <v>372</v>
      </c>
      <c r="E850" s="204">
        <v>-12200</v>
      </c>
      <c r="F850" s="201">
        <v>45809</v>
      </c>
      <c r="G850" s="200" t="s">
        <v>296</v>
      </c>
      <c r="H850" s="200" t="s">
        <v>1983</v>
      </c>
      <c r="I850" s="200" t="s">
        <v>490</v>
      </c>
    </row>
    <row r="851" spans="2:9" ht="14.1">
      <c r="B851" s="199">
        <v>45820</v>
      </c>
      <c r="C851" s="202" t="s">
        <v>7380</v>
      </c>
      <c r="D851" s="200" t="s">
        <v>372</v>
      </c>
      <c r="E851" s="204">
        <v>-5625</v>
      </c>
      <c r="F851" s="201">
        <v>45809</v>
      </c>
      <c r="G851" s="200" t="s">
        <v>296</v>
      </c>
      <c r="H851" s="200" t="s">
        <v>1983</v>
      </c>
      <c r="I851" s="200" t="s">
        <v>429</v>
      </c>
    </row>
    <row r="852" spans="2:9" ht="14.1">
      <c r="B852" s="199">
        <v>45820</v>
      </c>
      <c r="C852" s="202" t="s">
        <v>7380</v>
      </c>
      <c r="D852" s="200" t="s">
        <v>372</v>
      </c>
      <c r="E852" s="204">
        <v>-5000</v>
      </c>
      <c r="F852" s="201">
        <v>45809</v>
      </c>
      <c r="G852" s="200" t="s">
        <v>296</v>
      </c>
      <c r="H852" s="200" t="s">
        <v>1983</v>
      </c>
      <c r="I852" s="200" t="s">
        <v>322</v>
      </c>
    </row>
    <row r="853" spans="2:9" ht="14.1">
      <c r="B853" s="199">
        <v>45820</v>
      </c>
      <c r="C853" s="202" t="s">
        <v>7383</v>
      </c>
      <c r="D853" s="200" t="s">
        <v>372</v>
      </c>
      <c r="E853" s="204">
        <v>-33080</v>
      </c>
      <c r="F853" s="201">
        <v>45809</v>
      </c>
      <c r="G853" s="200" t="s">
        <v>297</v>
      </c>
      <c r="H853" s="200" t="s">
        <v>3892</v>
      </c>
      <c r="I853" s="200" t="s">
        <v>342</v>
      </c>
    </row>
    <row r="854" spans="2:9" ht="14.1">
      <c r="B854" s="199">
        <v>45820</v>
      </c>
      <c r="C854" s="202" t="s">
        <v>7391</v>
      </c>
      <c r="D854" s="200" t="s">
        <v>372</v>
      </c>
      <c r="E854" s="204">
        <v>-52000</v>
      </c>
      <c r="F854" s="201">
        <v>45809</v>
      </c>
      <c r="G854" s="200" t="s">
        <v>256</v>
      </c>
      <c r="H854" s="200" t="s">
        <v>256</v>
      </c>
      <c r="I854" s="200" t="s">
        <v>267</v>
      </c>
    </row>
    <row r="855" spans="2:9" ht="14.1">
      <c r="B855" s="199">
        <v>45820</v>
      </c>
      <c r="C855" s="202" t="s">
        <v>7392</v>
      </c>
      <c r="D855" s="200" t="s">
        <v>372</v>
      </c>
      <c r="E855" s="204">
        <v>-12480</v>
      </c>
      <c r="F855" s="201">
        <v>45809</v>
      </c>
      <c r="G855" s="200" t="s">
        <v>256</v>
      </c>
      <c r="H855" s="200" t="s">
        <v>256</v>
      </c>
      <c r="I855" s="200" t="s">
        <v>267</v>
      </c>
    </row>
    <row r="856" spans="2:9" ht="14.1">
      <c r="B856" s="199">
        <v>45820</v>
      </c>
      <c r="C856" s="202" t="s">
        <v>7396</v>
      </c>
      <c r="D856" s="200" t="s">
        <v>372</v>
      </c>
      <c r="E856" s="204">
        <v>-10626</v>
      </c>
      <c r="F856" s="201">
        <v>45809</v>
      </c>
      <c r="G856" s="200" t="s">
        <v>297</v>
      </c>
      <c r="H856" s="200" t="s">
        <v>1313</v>
      </c>
      <c r="I856" s="200" t="s">
        <v>5384</v>
      </c>
    </row>
    <row r="857" spans="2:9" ht="14.1">
      <c r="B857" s="199">
        <v>45820</v>
      </c>
      <c r="C857" s="202" t="s">
        <v>7397</v>
      </c>
      <c r="D857" s="200" t="s">
        <v>372</v>
      </c>
      <c r="E857" s="204">
        <v>-2550</v>
      </c>
      <c r="F857" s="201">
        <v>45809</v>
      </c>
      <c r="G857" s="200" t="s">
        <v>297</v>
      </c>
      <c r="H857" s="200" t="s">
        <v>1313</v>
      </c>
      <c r="I857" s="200" t="s">
        <v>5384</v>
      </c>
    </row>
    <row r="858" spans="2:9" ht="14.1">
      <c r="B858" s="199">
        <v>45820</v>
      </c>
      <c r="C858" s="202" t="s">
        <v>7399</v>
      </c>
      <c r="D858" s="200" t="s">
        <v>372</v>
      </c>
      <c r="E858" s="204">
        <v>-1165</v>
      </c>
      <c r="F858" s="201">
        <v>45809</v>
      </c>
      <c r="G858" s="200" t="s">
        <v>296</v>
      </c>
      <c r="H858" s="200" t="s">
        <v>1980</v>
      </c>
      <c r="I858" s="200" t="s">
        <v>488</v>
      </c>
    </row>
    <row r="859" spans="2:9" ht="14.1">
      <c r="B859" s="199">
        <v>45820</v>
      </c>
      <c r="C859" s="202" t="s">
        <v>7400</v>
      </c>
      <c r="D859" s="200" t="s">
        <v>372</v>
      </c>
      <c r="E859" s="204">
        <v>-280</v>
      </c>
      <c r="F859" s="201">
        <v>45809</v>
      </c>
      <c r="G859" s="200" t="s">
        <v>296</v>
      </c>
      <c r="H859" s="200" t="s">
        <v>1980</v>
      </c>
      <c r="I859" s="200" t="s">
        <v>488</v>
      </c>
    </row>
    <row r="860" spans="2:9" ht="14.1">
      <c r="B860" s="199">
        <v>45820</v>
      </c>
      <c r="C860" s="202" t="s">
        <v>7402</v>
      </c>
      <c r="D860" s="200" t="s">
        <v>372</v>
      </c>
      <c r="E860" s="204">
        <v>-1165</v>
      </c>
      <c r="F860" s="201">
        <v>45809</v>
      </c>
      <c r="G860" s="200" t="s">
        <v>296</v>
      </c>
      <c r="H860" s="200" t="s">
        <v>1983</v>
      </c>
      <c r="I860" s="200" t="s">
        <v>488</v>
      </c>
    </row>
    <row r="861" spans="2:9" ht="14.1">
      <c r="B861" s="199">
        <v>45820</v>
      </c>
      <c r="C861" s="202" t="s">
        <v>7403</v>
      </c>
      <c r="D861" s="200" t="s">
        <v>372</v>
      </c>
      <c r="E861" s="204">
        <v>-280</v>
      </c>
      <c r="F861" s="201">
        <v>45809</v>
      </c>
      <c r="G861" s="200" t="s">
        <v>296</v>
      </c>
      <c r="H861" s="200" t="s">
        <v>1983</v>
      </c>
      <c r="I861" s="200" t="s">
        <v>488</v>
      </c>
    </row>
    <row r="862" spans="2:9" ht="14.1">
      <c r="B862" s="199">
        <v>45820</v>
      </c>
      <c r="C862" s="202" t="s">
        <v>7405</v>
      </c>
      <c r="D862" s="200" t="s">
        <v>372</v>
      </c>
      <c r="E862" s="204">
        <v>-2201</v>
      </c>
      <c r="F862" s="201">
        <v>45809</v>
      </c>
      <c r="G862" s="200" t="s">
        <v>296</v>
      </c>
      <c r="H862" s="200" t="s">
        <v>2418</v>
      </c>
      <c r="I862" s="200" t="s">
        <v>5384</v>
      </c>
    </row>
    <row r="863" spans="2:9" ht="14.1">
      <c r="B863" s="199">
        <v>45820</v>
      </c>
      <c r="C863" s="202" t="s">
        <v>7406</v>
      </c>
      <c r="D863" s="200" t="s">
        <v>372</v>
      </c>
      <c r="E863" s="204">
        <v>-528</v>
      </c>
      <c r="F863" s="201">
        <v>45809</v>
      </c>
      <c r="G863" s="200" t="s">
        <v>296</v>
      </c>
      <c r="H863" s="200" t="s">
        <v>2418</v>
      </c>
      <c r="I863" s="200" t="s">
        <v>5384</v>
      </c>
    </row>
    <row r="864" spans="2:9" ht="14.1">
      <c r="B864" s="199">
        <v>45820</v>
      </c>
      <c r="C864" s="202" t="s">
        <v>7408</v>
      </c>
      <c r="D864" s="200" t="s">
        <v>372</v>
      </c>
      <c r="E864" s="204">
        <v>-739</v>
      </c>
      <c r="F864" s="201">
        <v>45809</v>
      </c>
      <c r="G864" s="200" t="s">
        <v>296</v>
      </c>
      <c r="H864" s="200" t="s">
        <v>2418</v>
      </c>
      <c r="I864" s="200" t="s">
        <v>5384</v>
      </c>
    </row>
    <row r="865" spans="2:9" ht="14.1">
      <c r="B865" s="199">
        <v>45820</v>
      </c>
      <c r="C865" s="202" t="s">
        <v>7409</v>
      </c>
      <c r="D865" s="200" t="s">
        <v>372</v>
      </c>
      <c r="E865" s="204">
        <v>-177</v>
      </c>
      <c r="F865" s="201">
        <v>45809</v>
      </c>
      <c r="G865" s="200" t="s">
        <v>296</v>
      </c>
      <c r="H865" s="200" t="s">
        <v>2418</v>
      </c>
      <c r="I865" s="200" t="s">
        <v>5384</v>
      </c>
    </row>
    <row r="866" spans="2:9" ht="14.1">
      <c r="B866" s="199">
        <v>45820</v>
      </c>
      <c r="C866" s="202" t="s">
        <v>7411</v>
      </c>
      <c r="D866" s="200" t="s">
        <v>372</v>
      </c>
      <c r="E866" s="204">
        <v>-29578</v>
      </c>
      <c r="F866" s="201">
        <v>45809</v>
      </c>
      <c r="G866" s="200" t="s">
        <v>296</v>
      </c>
      <c r="H866" s="200" t="s">
        <v>1983</v>
      </c>
      <c r="I866" s="200" t="s">
        <v>322</v>
      </c>
    </row>
    <row r="867" spans="2:9" ht="14.1">
      <c r="B867" s="199">
        <v>45820</v>
      </c>
      <c r="C867" s="202" t="s">
        <v>7413</v>
      </c>
      <c r="D867" s="200" t="s">
        <v>372</v>
      </c>
      <c r="E867" s="204">
        <v>-78000</v>
      </c>
      <c r="F867" s="201">
        <v>45809</v>
      </c>
      <c r="G867" s="200" t="s">
        <v>296</v>
      </c>
      <c r="H867" s="200" t="s">
        <v>1980</v>
      </c>
      <c r="I867" s="200" t="s">
        <v>811</v>
      </c>
    </row>
    <row r="868" spans="2:9" ht="14.1">
      <c r="B868" s="199">
        <v>45820</v>
      </c>
      <c r="C868" s="202" t="s">
        <v>7414</v>
      </c>
      <c r="D868" s="200" t="s">
        <v>372</v>
      </c>
      <c r="E868" s="204">
        <v>-46800</v>
      </c>
      <c r="F868" s="201">
        <v>45809</v>
      </c>
      <c r="G868" s="200" t="s">
        <v>296</v>
      </c>
      <c r="H868" s="200" t="s">
        <v>1980</v>
      </c>
      <c r="I868" s="200" t="s">
        <v>811</v>
      </c>
    </row>
    <row r="869" spans="2:9" ht="14.1">
      <c r="B869" s="199">
        <v>45820</v>
      </c>
      <c r="C869" s="202" t="s">
        <v>7425</v>
      </c>
      <c r="D869" s="200" t="s">
        <v>372</v>
      </c>
      <c r="E869" s="204">
        <v>-50000</v>
      </c>
      <c r="F869" s="201">
        <v>45809</v>
      </c>
      <c r="G869" s="200" t="s">
        <v>256</v>
      </c>
      <c r="H869" s="200" t="s">
        <v>256</v>
      </c>
      <c r="I869" s="200" t="s">
        <v>9</v>
      </c>
    </row>
    <row r="870" spans="2:9" ht="14.1">
      <c r="B870" s="199">
        <v>45820</v>
      </c>
      <c r="C870" s="202" t="s">
        <v>7426</v>
      </c>
      <c r="D870" s="200" t="s">
        <v>372</v>
      </c>
      <c r="E870" s="204">
        <v>-7500</v>
      </c>
      <c r="F870" s="201">
        <v>45809</v>
      </c>
      <c r="G870" s="200" t="s">
        <v>256</v>
      </c>
      <c r="H870" s="200" t="s">
        <v>256</v>
      </c>
      <c r="I870" s="200" t="s">
        <v>9</v>
      </c>
    </row>
    <row r="871" spans="2:9" ht="14.1">
      <c r="B871" s="199">
        <v>45820</v>
      </c>
      <c r="C871" s="202" t="s">
        <v>4395</v>
      </c>
      <c r="D871" s="200" t="s">
        <v>372</v>
      </c>
      <c r="E871" s="204">
        <v>-1210</v>
      </c>
      <c r="F871" s="201">
        <v>45809</v>
      </c>
      <c r="G871" s="200" t="s">
        <v>256</v>
      </c>
      <c r="H871" s="200" t="s">
        <v>256</v>
      </c>
      <c r="I871" s="200" t="s">
        <v>268</v>
      </c>
    </row>
    <row r="872" spans="2:9" ht="14.1">
      <c r="B872" s="199">
        <v>45820</v>
      </c>
      <c r="C872" s="202" t="s">
        <v>4396</v>
      </c>
      <c r="D872" s="200" t="s">
        <v>372</v>
      </c>
      <c r="E872" s="204">
        <v>-726</v>
      </c>
      <c r="F872" s="201">
        <v>45809</v>
      </c>
      <c r="G872" s="200" t="s">
        <v>256</v>
      </c>
      <c r="H872" s="200" t="s">
        <v>256</v>
      </c>
      <c r="I872" s="200" t="s">
        <v>268</v>
      </c>
    </row>
    <row r="873" spans="2:9" ht="14.1">
      <c r="B873" s="199">
        <v>45821</v>
      </c>
      <c r="C873" s="202" t="s">
        <v>7643</v>
      </c>
      <c r="D873" s="200" t="s">
        <v>372</v>
      </c>
      <c r="E873" s="204">
        <v>-184800</v>
      </c>
      <c r="F873" s="201">
        <v>45809</v>
      </c>
      <c r="G873" s="200" t="s">
        <v>256</v>
      </c>
      <c r="H873" s="200" t="s">
        <v>256</v>
      </c>
      <c r="I873" s="200" t="s">
        <v>258</v>
      </c>
    </row>
    <row r="874" spans="2:9" ht="14.1">
      <c r="B874" s="199">
        <v>45821</v>
      </c>
      <c r="C874" s="202" t="s">
        <v>7649</v>
      </c>
      <c r="D874" s="200" t="s">
        <v>372</v>
      </c>
      <c r="E874" s="204">
        <v>-45337</v>
      </c>
      <c r="F874" s="201">
        <v>45809</v>
      </c>
      <c r="G874" s="200" t="s">
        <v>296</v>
      </c>
      <c r="H874" s="200" t="s">
        <v>5466</v>
      </c>
      <c r="I874" s="200" t="s">
        <v>342</v>
      </c>
    </row>
    <row r="875" spans="2:9" ht="14.1">
      <c r="B875" s="199">
        <v>45821</v>
      </c>
      <c r="C875" s="202" t="s">
        <v>7651</v>
      </c>
      <c r="D875" s="200" t="s">
        <v>372</v>
      </c>
      <c r="E875" s="204">
        <v>-3000</v>
      </c>
      <c r="F875" s="201">
        <v>45809</v>
      </c>
      <c r="G875" s="200" t="s">
        <v>297</v>
      </c>
      <c r="H875" s="200" t="s">
        <v>71</v>
      </c>
      <c r="I875" s="200" t="s">
        <v>379</v>
      </c>
    </row>
    <row r="876" spans="2:9" ht="14.1">
      <c r="B876" s="199">
        <v>45821</v>
      </c>
      <c r="C876" s="202" t="s">
        <v>7797</v>
      </c>
      <c r="D876" s="200" t="s">
        <v>372</v>
      </c>
      <c r="E876" s="204">
        <v>-43092</v>
      </c>
      <c r="F876" s="201">
        <v>45809</v>
      </c>
      <c r="G876" s="200" t="s">
        <v>296</v>
      </c>
      <c r="H876" s="200" t="s">
        <v>2418</v>
      </c>
      <c r="I876" s="200" t="s">
        <v>839</v>
      </c>
    </row>
    <row r="877" spans="2:9" ht="14.1">
      <c r="B877" s="199">
        <v>45827</v>
      </c>
      <c r="C877" s="202" t="s">
        <v>7804</v>
      </c>
      <c r="D877" s="200" t="s">
        <v>372</v>
      </c>
      <c r="E877" s="204">
        <v>-316800</v>
      </c>
      <c r="F877" s="201">
        <v>45809</v>
      </c>
      <c r="G877" s="200" t="s">
        <v>296</v>
      </c>
      <c r="H877" s="200" t="s">
        <v>57</v>
      </c>
      <c r="I877" s="200" t="s">
        <v>96</v>
      </c>
    </row>
    <row r="878" spans="2:9" ht="14.1">
      <c r="B878" s="199">
        <v>45827</v>
      </c>
      <c r="C878" s="202" t="s">
        <v>7804</v>
      </c>
      <c r="D878" s="200" t="s">
        <v>372</v>
      </c>
      <c r="E878" s="204">
        <v>-316800</v>
      </c>
      <c r="F878" s="201">
        <v>45809</v>
      </c>
      <c r="G878" s="200" t="s">
        <v>296</v>
      </c>
      <c r="H878" s="200" t="s">
        <v>57</v>
      </c>
      <c r="I878" s="200" t="s">
        <v>96</v>
      </c>
    </row>
    <row r="879" spans="2:9" ht="14.1">
      <c r="B879" s="199">
        <v>45827</v>
      </c>
      <c r="C879" s="202" t="s">
        <v>7804</v>
      </c>
      <c r="D879" s="200" t="s">
        <v>372</v>
      </c>
      <c r="E879" s="204">
        <v>-176000</v>
      </c>
      <c r="F879" s="201">
        <v>45809</v>
      </c>
      <c r="G879" s="200" t="s">
        <v>296</v>
      </c>
      <c r="H879" s="200" t="s">
        <v>57</v>
      </c>
      <c r="I879" s="200" t="s">
        <v>96</v>
      </c>
    </row>
    <row r="880" spans="2:9" ht="14.1">
      <c r="B880" s="199">
        <v>45825</v>
      </c>
      <c r="C880" s="202" t="s">
        <v>7832</v>
      </c>
      <c r="D880" s="200" t="s">
        <v>372</v>
      </c>
      <c r="E880" s="204">
        <v>-4160</v>
      </c>
      <c r="F880" s="201">
        <v>45809</v>
      </c>
      <c r="G880" s="200" t="s">
        <v>296</v>
      </c>
      <c r="H880" s="200" t="s">
        <v>1362</v>
      </c>
      <c r="I880" s="200" t="s">
        <v>342</v>
      </c>
    </row>
    <row r="881" spans="2:9" ht="14.1">
      <c r="B881" s="199">
        <v>45825</v>
      </c>
      <c r="C881" s="202" t="s">
        <v>7832</v>
      </c>
      <c r="D881" s="200" t="s">
        <v>372</v>
      </c>
      <c r="E881" s="204">
        <v>-4160</v>
      </c>
      <c r="F881" s="201">
        <v>45809</v>
      </c>
      <c r="G881" s="200" t="s">
        <v>296</v>
      </c>
      <c r="H881" s="200" t="s">
        <v>1362</v>
      </c>
      <c r="I881" s="200" t="s">
        <v>342</v>
      </c>
    </row>
    <row r="882" spans="2:9" ht="14.1">
      <c r="B882" s="199">
        <v>45825</v>
      </c>
      <c r="C882" s="202" t="s">
        <v>7834</v>
      </c>
      <c r="D882" s="200" t="s">
        <v>372</v>
      </c>
      <c r="E882" s="204">
        <v>-7254</v>
      </c>
      <c r="F882" s="201">
        <v>45809</v>
      </c>
      <c r="G882" s="200" t="s">
        <v>296</v>
      </c>
      <c r="H882" s="200" t="s">
        <v>5466</v>
      </c>
      <c r="I882" s="200" t="s">
        <v>346</v>
      </c>
    </row>
    <row r="883" spans="2:9" ht="14.1">
      <c r="B883" s="199">
        <v>45825</v>
      </c>
      <c r="C883" s="202" t="s">
        <v>7837</v>
      </c>
      <c r="D883" s="200" t="s">
        <v>372</v>
      </c>
      <c r="E883" s="204">
        <v>-52148</v>
      </c>
      <c r="F883" s="201">
        <v>45809</v>
      </c>
      <c r="G883" s="200" t="s">
        <v>256</v>
      </c>
      <c r="H883" s="200" t="s">
        <v>256</v>
      </c>
      <c r="I883" s="200" t="s">
        <v>267</v>
      </c>
    </row>
    <row r="884" spans="2:9" ht="14.1">
      <c r="B884" s="199">
        <v>45825</v>
      </c>
      <c r="C884" s="202" t="s">
        <v>7838</v>
      </c>
      <c r="D884" s="200" t="s">
        <v>372</v>
      </c>
      <c r="E884" s="204">
        <v>-12515</v>
      </c>
      <c r="F884" s="201">
        <v>45809</v>
      </c>
      <c r="G884" s="200" t="s">
        <v>256</v>
      </c>
      <c r="H884" s="200" t="s">
        <v>256</v>
      </c>
      <c r="I884" s="200" t="s">
        <v>267</v>
      </c>
    </row>
    <row r="885" spans="2:9" ht="14.1">
      <c r="B885" s="199">
        <v>45825</v>
      </c>
      <c r="C885" s="202" t="s">
        <v>7837</v>
      </c>
      <c r="D885" s="200" t="s">
        <v>372</v>
      </c>
      <c r="E885" s="204">
        <v>-33650</v>
      </c>
      <c r="F885" s="201">
        <v>45809</v>
      </c>
      <c r="G885" s="200" t="s">
        <v>256</v>
      </c>
      <c r="H885" s="200" t="s">
        <v>256</v>
      </c>
      <c r="I885" s="200" t="s">
        <v>267</v>
      </c>
    </row>
    <row r="886" spans="2:9" ht="14.1">
      <c r="B886" s="199">
        <v>45825</v>
      </c>
      <c r="C886" s="202" t="s">
        <v>7838</v>
      </c>
      <c r="D886" s="200" t="s">
        <v>372</v>
      </c>
      <c r="E886" s="204">
        <v>-8076</v>
      </c>
      <c r="F886" s="201">
        <v>45809</v>
      </c>
      <c r="G886" s="200" t="s">
        <v>256</v>
      </c>
      <c r="H886" s="200" t="s">
        <v>256</v>
      </c>
      <c r="I886" s="200" t="s">
        <v>267</v>
      </c>
    </row>
    <row r="887" spans="2:9" ht="14.1">
      <c r="B887" s="199">
        <v>45825</v>
      </c>
      <c r="C887" s="202" t="s">
        <v>7842</v>
      </c>
      <c r="D887" s="200" t="s">
        <v>372</v>
      </c>
      <c r="E887" s="204">
        <v>-681</v>
      </c>
      <c r="F887" s="201">
        <v>45809</v>
      </c>
      <c r="G887" s="200" t="s">
        <v>297</v>
      </c>
      <c r="H887" s="200" t="s">
        <v>71</v>
      </c>
      <c r="I887" s="200" t="s">
        <v>5384</v>
      </c>
    </row>
    <row r="888" spans="2:9" ht="14.1">
      <c r="B888" s="199">
        <v>45825</v>
      </c>
      <c r="C888" s="202" t="s">
        <v>7844</v>
      </c>
      <c r="D888" s="200" t="s">
        <v>372</v>
      </c>
      <c r="E888" s="204">
        <v>-5092</v>
      </c>
      <c r="F888" s="201">
        <v>45809</v>
      </c>
      <c r="G888" s="200" t="s">
        <v>296</v>
      </c>
      <c r="H888" s="200" t="s">
        <v>69</v>
      </c>
      <c r="I888" s="200" t="s">
        <v>5384</v>
      </c>
    </row>
    <row r="889" spans="2:9" ht="14.1">
      <c r="B889" s="199">
        <v>45825</v>
      </c>
      <c r="C889" s="202" t="s">
        <v>7846</v>
      </c>
      <c r="D889" s="200" t="s">
        <v>372</v>
      </c>
      <c r="E889" s="204">
        <v>-6661</v>
      </c>
      <c r="F889" s="201">
        <v>45809</v>
      </c>
      <c r="G889" s="200" t="s">
        <v>296</v>
      </c>
      <c r="H889" s="200" t="s">
        <v>69</v>
      </c>
      <c r="I889" s="200" t="s">
        <v>5384</v>
      </c>
    </row>
    <row r="890" spans="2:9" ht="14.1">
      <c r="B890" s="199">
        <v>45825</v>
      </c>
      <c r="C890" s="202" t="s">
        <v>7849</v>
      </c>
      <c r="D890" s="200" t="s">
        <v>372</v>
      </c>
      <c r="E890" s="204">
        <v>-153253</v>
      </c>
      <c r="F890" s="201">
        <v>45809</v>
      </c>
      <c r="G890" s="200" t="s">
        <v>296</v>
      </c>
      <c r="H890" s="200" t="s">
        <v>57</v>
      </c>
      <c r="I890" s="200" t="s">
        <v>98</v>
      </c>
    </row>
    <row r="891" spans="2:9" ht="14.1">
      <c r="B891" s="199">
        <v>45825</v>
      </c>
      <c r="C891" s="202" t="s">
        <v>7852</v>
      </c>
      <c r="D891" s="200" t="s">
        <v>372</v>
      </c>
      <c r="E891" s="204">
        <v>-5200</v>
      </c>
      <c r="F891" s="201">
        <v>45809</v>
      </c>
      <c r="G891" s="200" t="s">
        <v>296</v>
      </c>
      <c r="H891" s="200" t="s">
        <v>807</v>
      </c>
      <c r="I891" s="200" t="s">
        <v>370</v>
      </c>
    </row>
    <row r="892" spans="2:9" ht="14.1">
      <c r="B892" s="199">
        <v>45825</v>
      </c>
      <c r="C892" s="202" t="s">
        <v>7853</v>
      </c>
      <c r="D892" s="200" t="s">
        <v>372</v>
      </c>
      <c r="E892" s="204">
        <v>-780</v>
      </c>
      <c r="F892" s="201">
        <v>45809</v>
      </c>
      <c r="G892" s="200" t="s">
        <v>296</v>
      </c>
      <c r="H892" s="200" t="s">
        <v>807</v>
      </c>
      <c r="I892" s="200" t="s">
        <v>370</v>
      </c>
    </row>
    <row r="893" spans="2:9" ht="14.1">
      <c r="B893" s="199">
        <v>45825</v>
      </c>
      <c r="C893" s="202" t="s">
        <v>7852</v>
      </c>
      <c r="D893" s="200" t="s">
        <v>372</v>
      </c>
      <c r="E893" s="204">
        <v>-5200</v>
      </c>
      <c r="F893" s="201">
        <v>45809</v>
      </c>
      <c r="G893" s="200" t="s">
        <v>296</v>
      </c>
      <c r="H893" s="200" t="s">
        <v>1825</v>
      </c>
      <c r="I893" s="200" t="s">
        <v>370</v>
      </c>
    </row>
    <row r="894" spans="2:9" ht="14.1">
      <c r="B894" s="199">
        <v>45825</v>
      </c>
      <c r="C894" s="202" t="s">
        <v>7853</v>
      </c>
      <c r="D894" s="200" t="s">
        <v>372</v>
      </c>
      <c r="E894" s="204">
        <v>-780</v>
      </c>
      <c r="F894" s="201">
        <v>45809</v>
      </c>
      <c r="G894" s="200" t="s">
        <v>296</v>
      </c>
      <c r="H894" s="200" t="s">
        <v>1825</v>
      </c>
      <c r="I894" s="200" t="s">
        <v>370</v>
      </c>
    </row>
    <row r="895" spans="2:9" ht="14.1">
      <c r="B895" s="199">
        <v>45825</v>
      </c>
      <c r="C895" s="202" t="s">
        <v>6089</v>
      </c>
      <c r="D895" s="200" t="s">
        <v>372</v>
      </c>
      <c r="E895" s="204">
        <v>-51450</v>
      </c>
      <c r="F895" s="201">
        <v>45809</v>
      </c>
      <c r="G895" s="200" t="s">
        <v>296</v>
      </c>
      <c r="H895" s="200" t="s">
        <v>2418</v>
      </c>
      <c r="I895" s="200" t="s">
        <v>379</v>
      </c>
    </row>
    <row r="896" spans="2:9" ht="14.1">
      <c r="B896" s="199">
        <v>45825</v>
      </c>
      <c r="C896" s="202" t="s">
        <v>6090</v>
      </c>
      <c r="D896" s="200" t="s">
        <v>372</v>
      </c>
      <c r="E896" s="204">
        <v>-8820</v>
      </c>
      <c r="F896" s="201">
        <v>45809</v>
      </c>
      <c r="G896" s="200" t="s">
        <v>296</v>
      </c>
      <c r="H896" s="200" t="s">
        <v>2418</v>
      </c>
      <c r="I896" s="200" t="s">
        <v>379</v>
      </c>
    </row>
    <row r="897" spans="2:9" ht="14.1">
      <c r="B897" s="199">
        <v>45825</v>
      </c>
      <c r="C897" s="202" t="s">
        <v>6089</v>
      </c>
      <c r="D897" s="200" t="s">
        <v>372</v>
      </c>
      <c r="E897" s="204">
        <v>-15925</v>
      </c>
      <c r="F897" s="201">
        <v>45809</v>
      </c>
      <c r="G897" s="200" t="s">
        <v>297</v>
      </c>
      <c r="H897" s="200" t="s">
        <v>3848</v>
      </c>
      <c r="I897" s="200" t="s">
        <v>379</v>
      </c>
    </row>
    <row r="898" spans="2:9" ht="14.1">
      <c r="B898" s="199">
        <v>45825</v>
      </c>
      <c r="C898" s="202" t="s">
        <v>6090</v>
      </c>
      <c r="D898" s="200" t="s">
        <v>372</v>
      </c>
      <c r="E898" s="204">
        <v>-2730</v>
      </c>
      <c r="F898" s="201">
        <v>45809</v>
      </c>
      <c r="G898" s="200" t="s">
        <v>297</v>
      </c>
      <c r="H898" s="200" t="s">
        <v>3848</v>
      </c>
      <c r="I898" s="200" t="s">
        <v>379</v>
      </c>
    </row>
    <row r="899" spans="2:9" ht="14.1">
      <c r="B899" s="199">
        <v>45825</v>
      </c>
      <c r="C899" s="202" t="s">
        <v>6089</v>
      </c>
      <c r="D899" s="200" t="s">
        <v>372</v>
      </c>
      <c r="E899" s="204">
        <v>-29400</v>
      </c>
      <c r="F899" s="201">
        <v>45809</v>
      </c>
      <c r="G899" s="200" t="s">
        <v>296</v>
      </c>
      <c r="H899" s="200" t="s">
        <v>3849</v>
      </c>
      <c r="I899" s="200" t="s">
        <v>379</v>
      </c>
    </row>
    <row r="900" spans="2:9" ht="14.1">
      <c r="B900" s="199">
        <v>45825</v>
      </c>
      <c r="C900" s="202" t="s">
        <v>6090</v>
      </c>
      <c r="D900" s="200" t="s">
        <v>372</v>
      </c>
      <c r="E900" s="204">
        <v>-5040</v>
      </c>
      <c r="F900" s="201">
        <v>45809</v>
      </c>
      <c r="G900" s="200" t="s">
        <v>296</v>
      </c>
      <c r="H900" s="200" t="s">
        <v>3849</v>
      </c>
      <c r="I900" s="200" t="s">
        <v>379</v>
      </c>
    </row>
    <row r="901" spans="2:9" ht="14.1">
      <c r="B901" s="199">
        <v>45825</v>
      </c>
      <c r="C901" s="202" t="s">
        <v>6089</v>
      </c>
      <c r="D901" s="200" t="s">
        <v>372</v>
      </c>
      <c r="E901" s="204">
        <v>-8575</v>
      </c>
      <c r="F901" s="201">
        <v>45809</v>
      </c>
      <c r="G901" s="200" t="s">
        <v>296</v>
      </c>
      <c r="H901" s="200" t="s">
        <v>5424</v>
      </c>
      <c r="I901" s="200" t="s">
        <v>379</v>
      </c>
    </row>
    <row r="902" spans="2:9" ht="14.1">
      <c r="B902" s="199">
        <v>45825</v>
      </c>
      <c r="C902" s="202" t="s">
        <v>6090</v>
      </c>
      <c r="D902" s="200" t="s">
        <v>372</v>
      </c>
      <c r="E902" s="204">
        <v>-1470</v>
      </c>
      <c r="F902" s="201">
        <v>45809</v>
      </c>
      <c r="G902" s="200" t="s">
        <v>296</v>
      </c>
      <c r="H902" s="200" t="s">
        <v>5424</v>
      </c>
      <c r="I902" s="200" t="s">
        <v>379</v>
      </c>
    </row>
    <row r="903" spans="2:9" ht="14.1">
      <c r="B903" s="199">
        <v>45825</v>
      </c>
      <c r="C903" s="202" t="s">
        <v>6089</v>
      </c>
      <c r="D903" s="200" t="s">
        <v>372</v>
      </c>
      <c r="E903" s="204">
        <v>-3675</v>
      </c>
      <c r="F903" s="201">
        <v>45809</v>
      </c>
      <c r="G903" s="200" t="s">
        <v>296</v>
      </c>
      <c r="H903" s="200" t="s">
        <v>5422</v>
      </c>
      <c r="I903" s="200" t="s">
        <v>379</v>
      </c>
    </row>
    <row r="904" spans="2:9" ht="14.1">
      <c r="B904" s="199">
        <v>45825</v>
      </c>
      <c r="C904" s="202" t="s">
        <v>6090</v>
      </c>
      <c r="D904" s="200" t="s">
        <v>372</v>
      </c>
      <c r="E904" s="204">
        <v>-630</v>
      </c>
      <c r="F904" s="201">
        <v>45809</v>
      </c>
      <c r="G904" s="200" t="s">
        <v>296</v>
      </c>
      <c r="H904" s="200" t="s">
        <v>5422</v>
      </c>
      <c r="I904" s="200" t="s">
        <v>379</v>
      </c>
    </row>
    <row r="905" spans="2:9" ht="14.1">
      <c r="B905" s="199">
        <v>45825</v>
      </c>
      <c r="C905" s="202" t="s">
        <v>6089</v>
      </c>
      <c r="D905" s="200" t="s">
        <v>372</v>
      </c>
      <c r="E905" s="204">
        <v>-13475</v>
      </c>
      <c r="F905" s="201">
        <v>45809</v>
      </c>
      <c r="G905" s="200" t="s">
        <v>256</v>
      </c>
      <c r="H905" s="200" t="s">
        <v>256</v>
      </c>
      <c r="I905" s="200" t="s">
        <v>257</v>
      </c>
    </row>
    <row r="906" spans="2:9" ht="14.1">
      <c r="B906" s="199">
        <v>45825</v>
      </c>
      <c r="C906" s="202" t="s">
        <v>6090</v>
      </c>
      <c r="D906" s="200" t="s">
        <v>372</v>
      </c>
      <c r="E906" s="204">
        <v>-2310</v>
      </c>
      <c r="F906" s="201">
        <v>45809</v>
      </c>
      <c r="G906" s="200" t="s">
        <v>256</v>
      </c>
      <c r="H906" s="200" t="s">
        <v>256</v>
      </c>
      <c r="I906" s="200" t="s">
        <v>257</v>
      </c>
    </row>
    <row r="907" spans="2:9" ht="14.1">
      <c r="B907" s="199">
        <v>45825</v>
      </c>
      <c r="C907" s="202" t="s">
        <v>7856</v>
      </c>
      <c r="D907" s="200" t="s">
        <v>372</v>
      </c>
      <c r="E907" s="204">
        <v>-316800</v>
      </c>
      <c r="F907" s="201">
        <v>45809</v>
      </c>
      <c r="G907" s="200" t="s">
        <v>296</v>
      </c>
      <c r="H907" s="200" t="s">
        <v>57</v>
      </c>
      <c r="I907" s="200" t="s">
        <v>96</v>
      </c>
    </row>
    <row r="908" spans="2:9" ht="14.1">
      <c r="B908" s="199">
        <v>45825</v>
      </c>
      <c r="C908" s="202" t="s">
        <v>7858</v>
      </c>
      <c r="D908" s="200" t="s">
        <v>372</v>
      </c>
      <c r="E908" s="204">
        <v>-43705</v>
      </c>
      <c r="F908" s="201">
        <v>45809</v>
      </c>
      <c r="G908" s="200" t="s">
        <v>296</v>
      </c>
      <c r="H908" s="200" t="s">
        <v>807</v>
      </c>
      <c r="I908" s="200" t="s">
        <v>326</v>
      </c>
    </row>
    <row r="909" spans="2:9" ht="14.1">
      <c r="B909" s="199">
        <v>45825</v>
      </c>
      <c r="C909" s="202" t="s">
        <v>7858</v>
      </c>
      <c r="D909" s="200" t="s">
        <v>372</v>
      </c>
      <c r="E909" s="204">
        <v>-43705</v>
      </c>
      <c r="F909" s="201">
        <v>45809</v>
      </c>
      <c r="G909" s="200" t="s">
        <v>296</v>
      </c>
      <c r="H909" s="200" t="s">
        <v>1825</v>
      </c>
      <c r="I909" s="200" t="s">
        <v>326</v>
      </c>
    </row>
    <row r="910" spans="2:9" ht="14.1">
      <c r="B910" s="199">
        <v>45825</v>
      </c>
      <c r="C910" s="202" t="s">
        <v>7860</v>
      </c>
      <c r="D910" s="200" t="s">
        <v>372</v>
      </c>
      <c r="E910" s="204">
        <v>-39706</v>
      </c>
      <c r="F910" s="201">
        <v>45809</v>
      </c>
      <c r="G910" s="200" t="s">
        <v>296</v>
      </c>
      <c r="H910" s="200" t="s">
        <v>1825</v>
      </c>
      <c r="I910" s="200" t="s">
        <v>490</v>
      </c>
    </row>
    <row r="911" spans="2:9" ht="14.1">
      <c r="B911" s="199">
        <v>45825</v>
      </c>
      <c r="C911" s="202" t="s">
        <v>5168</v>
      </c>
      <c r="D911" s="200" t="s">
        <v>372</v>
      </c>
      <c r="E911" s="204">
        <v>-4480</v>
      </c>
      <c r="F911" s="201">
        <v>45809</v>
      </c>
      <c r="G911" s="200" t="s">
        <v>296</v>
      </c>
      <c r="H911" s="200" t="s">
        <v>44</v>
      </c>
      <c r="I911" s="200" t="s">
        <v>326</v>
      </c>
    </row>
    <row r="912" spans="2:9" ht="14.1">
      <c r="B912" s="199">
        <v>45825</v>
      </c>
      <c r="C912" s="202" t="s">
        <v>5168</v>
      </c>
      <c r="D912" s="200" t="s">
        <v>372</v>
      </c>
      <c r="E912" s="204">
        <v>-3860</v>
      </c>
      <c r="F912" s="201">
        <v>45809</v>
      </c>
      <c r="G912" s="200" t="s">
        <v>296</v>
      </c>
      <c r="H912" s="200" t="s">
        <v>1980</v>
      </c>
      <c r="I912" s="200" t="s">
        <v>326</v>
      </c>
    </row>
    <row r="913" spans="2:9" ht="14.1">
      <c r="B913" s="199">
        <v>45825</v>
      </c>
      <c r="C913" s="202" t="s">
        <v>5168</v>
      </c>
      <c r="D913" s="200" t="s">
        <v>372</v>
      </c>
      <c r="E913" s="204">
        <v>-3860</v>
      </c>
      <c r="F913" s="201">
        <v>45809</v>
      </c>
      <c r="G913" s="200" t="s">
        <v>296</v>
      </c>
      <c r="H913" s="200" t="s">
        <v>1983</v>
      </c>
      <c r="I913" s="200" t="s">
        <v>326</v>
      </c>
    </row>
    <row r="914" spans="2:9" ht="14.1">
      <c r="B914" s="199">
        <v>45825</v>
      </c>
      <c r="C914" s="202" t="s">
        <v>7864</v>
      </c>
      <c r="D914" s="200" t="s">
        <v>372</v>
      </c>
      <c r="E914" s="204">
        <v>-29741</v>
      </c>
      <c r="F914" s="201">
        <v>45809</v>
      </c>
      <c r="G914" s="200" t="s">
        <v>296</v>
      </c>
      <c r="H914" s="200" t="s">
        <v>522</v>
      </c>
      <c r="I914" s="200" t="s">
        <v>326</v>
      </c>
    </row>
    <row r="915" spans="2:9" ht="14.1">
      <c r="B915" s="199">
        <v>45825</v>
      </c>
      <c r="C915" s="202" t="s">
        <v>7866</v>
      </c>
      <c r="D915" s="200" t="s">
        <v>372</v>
      </c>
      <c r="E915" s="204">
        <v>-5803</v>
      </c>
      <c r="F915" s="201">
        <v>45809</v>
      </c>
      <c r="G915" s="200" t="s">
        <v>296</v>
      </c>
      <c r="H915" s="200" t="s">
        <v>57</v>
      </c>
      <c r="I915" s="200" t="s">
        <v>97</v>
      </c>
    </row>
    <row r="916" spans="2:9" ht="14.1">
      <c r="B916" s="199">
        <v>45825</v>
      </c>
      <c r="C916" s="202" t="s">
        <v>7868</v>
      </c>
      <c r="D916" s="200" t="s">
        <v>372</v>
      </c>
      <c r="E916" s="204">
        <v>-62402</v>
      </c>
      <c r="F916" s="201">
        <v>45809</v>
      </c>
      <c r="G916" s="200" t="s">
        <v>296</v>
      </c>
      <c r="H916" s="200" t="s">
        <v>1311</v>
      </c>
      <c r="I916" s="200" t="s">
        <v>5376</v>
      </c>
    </row>
    <row r="917" spans="2:9" ht="14.1">
      <c r="B917" s="199">
        <v>45825</v>
      </c>
      <c r="C917" s="202" t="s">
        <v>7869</v>
      </c>
      <c r="D917" s="200" t="s">
        <v>372</v>
      </c>
      <c r="E917" s="204">
        <v>-40800</v>
      </c>
      <c r="F917" s="201">
        <v>45809</v>
      </c>
      <c r="G917" s="200" t="s">
        <v>296</v>
      </c>
      <c r="H917" s="200" t="s">
        <v>44</v>
      </c>
      <c r="I917" s="200" t="s">
        <v>421</v>
      </c>
    </row>
    <row r="918" spans="2:9" ht="14.1">
      <c r="B918" s="199">
        <v>45825</v>
      </c>
      <c r="C918" s="202" t="s">
        <v>7870</v>
      </c>
      <c r="D918" s="200" t="s">
        <v>372</v>
      </c>
      <c r="E918" s="204">
        <v>-12240</v>
      </c>
      <c r="F918" s="201">
        <v>45809</v>
      </c>
      <c r="G918" s="200" t="s">
        <v>296</v>
      </c>
      <c r="H918" s="200" t="s">
        <v>44</v>
      </c>
      <c r="I918" s="200" t="s">
        <v>421</v>
      </c>
    </row>
    <row r="919" spans="2:9" ht="14.1">
      <c r="B919" s="199">
        <v>45826</v>
      </c>
      <c r="C919" s="202" t="s">
        <v>7881</v>
      </c>
      <c r="D919" s="200" t="s">
        <v>372</v>
      </c>
      <c r="E919" s="204">
        <v>-28363</v>
      </c>
      <c r="F919" s="201">
        <v>45809</v>
      </c>
      <c r="G919" s="200" t="s">
        <v>296</v>
      </c>
      <c r="H919" s="200" t="s">
        <v>1980</v>
      </c>
      <c r="I919" s="200" t="s">
        <v>326</v>
      </c>
    </row>
    <row r="920" spans="2:9" ht="14.1">
      <c r="B920" s="199">
        <v>45826</v>
      </c>
      <c r="C920" s="202" t="s">
        <v>7881</v>
      </c>
      <c r="D920" s="200" t="s">
        <v>372</v>
      </c>
      <c r="E920" s="204">
        <v>-28363</v>
      </c>
      <c r="F920" s="201">
        <v>45809</v>
      </c>
      <c r="G920" s="200" t="s">
        <v>296</v>
      </c>
      <c r="H920" s="200" t="s">
        <v>1983</v>
      </c>
      <c r="I920" s="200" t="s">
        <v>326</v>
      </c>
    </row>
    <row r="921" spans="2:9" ht="14.1">
      <c r="B921" s="199">
        <v>45826</v>
      </c>
      <c r="C921" s="202" t="s">
        <v>7883</v>
      </c>
      <c r="D921" s="200" t="s">
        <v>372</v>
      </c>
      <c r="E921" s="204">
        <v>-40500</v>
      </c>
      <c r="F921" s="201">
        <v>45809</v>
      </c>
      <c r="G921" s="200" t="s">
        <v>296</v>
      </c>
      <c r="H921" s="200" t="s">
        <v>807</v>
      </c>
      <c r="I921" s="200" t="s">
        <v>811</v>
      </c>
    </row>
    <row r="922" spans="2:9" ht="14.1">
      <c r="B922" s="199">
        <v>45826</v>
      </c>
      <c r="C922" s="202" t="s">
        <v>7884</v>
      </c>
      <c r="D922" s="200" t="s">
        <v>372</v>
      </c>
      <c r="E922" s="204">
        <v>-24300</v>
      </c>
      <c r="F922" s="201">
        <v>45809</v>
      </c>
      <c r="G922" s="200" t="s">
        <v>296</v>
      </c>
      <c r="H922" s="200" t="s">
        <v>807</v>
      </c>
      <c r="I922" s="200" t="s">
        <v>811</v>
      </c>
    </row>
    <row r="923" spans="2:9" ht="14.1">
      <c r="B923" s="199">
        <v>45826</v>
      </c>
      <c r="C923" s="202" t="s">
        <v>7886</v>
      </c>
      <c r="D923" s="200" t="s">
        <v>372</v>
      </c>
      <c r="E923" s="204">
        <v>-19500</v>
      </c>
      <c r="F923" s="201">
        <v>45809</v>
      </c>
      <c r="G923" s="200" t="s">
        <v>296</v>
      </c>
      <c r="H923" s="200" t="s">
        <v>1980</v>
      </c>
      <c r="I923" s="200" t="s">
        <v>811</v>
      </c>
    </row>
    <row r="924" spans="2:9" ht="14.1">
      <c r="B924" s="199">
        <v>45826</v>
      </c>
      <c r="C924" s="202" t="s">
        <v>7887</v>
      </c>
      <c r="D924" s="200" t="s">
        <v>372</v>
      </c>
      <c r="E924" s="204">
        <v>-11700</v>
      </c>
      <c r="F924" s="201">
        <v>45809</v>
      </c>
      <c r="G924" s="200" t="s">
        <v>296</v>
      </c>
      <c r="H924" s="200" t="s">
        <v>1980</v>
      </c>
      <c r="I924" s="200" t="s">
        <v>811</v>
      </c>
    </row>
    <row r="925" spans="2:9" ht="14.1">
      <c r="B925" s="199">
        <v>45826</v>
      </c>
      <c r="C925" s="202" t="s">
        <v>7425</v>
      </c>
      <c r="D925" s="200" t="s">
        <v>372</v>
      </c>
      <c r="E925" s="204">
        <v>-24000</v>
      </c>
      <c r="F925" s="201">
        <v>45809</v>
      </c>
      <c r="G925" s="200" t="s">
        <v>256</v>
      </c>
      <c r="H925" s="200" t="s">
        <v>256</v>
      </c>
      <c r="I925" s="200" t="s">
        <v>116</v>
      </c>
    </row>
    <row r="926" spans="2:9" ht="14.1">
      <c r="B926" s="199">
        <v>45826</v>
      </c>
      <c r="C926" s="202" t="s">
        <v>7888</v>
      </c>
      <c r="D926" s="200" t="s">
        <v>372</v>
      </c>
      <c r="E926" s="204">
        <v>-3600</v>
      </c>
      <c r="F926" s="201">
        <v>45809</v>
      </c>
      <c r="G926" s="200" t="s">
        <v>256</v>
      </c>
      <c r="H926" s="200" t="s">
        <v>256</v>
      </c>
      <c r="I926" s="200" t="s">
        <v>116</v>
      </c>
    </row>
    <row r="927" spans="2:9" ht="14.1">
      <c r="B927" s="199">
        <v>45826</v>
      </c>
      <c r="C927" s="202" t="s">
        <v>7892</v>
      </c>
      <c r="D927" s="200" t="s">
        <v>372</v>
      </c>
      <c r="E927" s="204">
        <v>-18487</v>
      </c>
      <c r="F927" s="201">
        <v>45809</v>
      </c>
      <c r="G927" s="200" t="s">
        <v>296</v>
      </c>
      <c r="H927" s="200" t="s">
        <v>522</v>
      </c>
      <c r="I927" s="200" t="s">
        <v>488</v>
      </c>
    </row>
    <row r="928" spans="2:9" ht="14.1">
      <c r="B928" s="199">
        <v>45826</v>
      </c>
      <c r="C928" s="202" t="s">
        <v>7916</v>
      </c>
      <c r="D928" s="200" t="s">
        <v>372</v>
      </c>
      <c r="E928" s="204">
        <v>-2850</v>
      </c>
      <c r="F928" s="201">
        <v>45809</v>
      </c>
      <c r="G928" s="200" t="s">
        <v>296</v>
      </c>
      <c r="H928" s="200" t="s">
        <v>2418</v>
      </c>
      <c r="I928" s="200" t="s">
        <v>268</v>
      </c>
    </row>
    <row r="929" spans="2:9" ht="14.1">
      <c r="B929" s="199">
        <v>45826</v>
      </c>
      <c r="C929" s="202" t="s">
        <v>1927</v>
      </c>
      <c r="D929" s="200" t="s">
        <v>372</v>
      </c>
      <c r="E929" s="204">
        <v>-4750</v>
      </c>
      <c r="F929" s="201">
        <v>45809</v>
      </c>
      <c r="G929" s="200" t="s">
        <v>296</v>
      </c>
      <c r="H929" s="200" t="s">
        <v>2418</v>
      </c>
      <c r="I929" s="200" t="s">
        <v>268</v>
      </c>
    </row>
    <row r="930" spans="2:9" ht="14.1">
      <c r="B930" s="199">
        <v>45826</v>
      </c>
      <c r="C930" s="202" t="s">
        <v>7917</v>
      </c>
      <c r="D930" s="200" t="s">
        <v>372</v>
      </c>
      <c r="E930" s="204">
        <v>-113535</v>
      </c>
      <c r="F930" s="201">
        <v>45809</v>
      </c>
      <c r="G930" s="200" t="s">
        <v>296</v>
      </c>
      <c r="H930" s="200" t="s">
        <v>522</v>
      </c>
      <c r="I930" s="200" t="s">
        <v>366</v>
      </c>
    </row>
    <row r="931" spans="2:9" ht="14.1">
      <c r="B931" s="199">
        <v>45826</v>
      </c>
      <c r="C931" s="202" t="s">
        <v>7917</v>
      </c>
      <c r="D931" s="200" t="s">
        <v>372</v>
      </c>
      <c r="E931" s="204">
        <v>-113535</v>
      </c>
      <c r="F931" s="201">
        <v>45809</v>
      </c>
      <c r="G931" s="200" t="s">
        <v>296</v>
      </c>
      <c r="H931" s="200" t="s">
        <v>44</v>
      </c>
      <c r="I931" s="200" t="s">
        <v>366</v>
      </c>
    </row>
    <row r="932" spans="2:9" ht="14.1">
      <c r="B932" s="199">
        <v>45826</v>
      </c>
      <c r="C932" s="202" t="s">
        <v>7917</v>
      </c>
      <c r="D932" s="200" t="s">
        <v>372</v>
      </c>
      <c r="E932" s="204">
        <v>-113535</v>
      </c>
      <c r="F932" s="201">
        <v>45809</v>
      </c>
      <c r="G932" s="200" t="s">
        <v>296</v>
      </c>
      <c r="H932" s="200" t="s">
        <v>1980</v>
      </c>
      <c r="I932" s="200" t="s">
        <v>366</v>
      </c>
    </row>
    <row r="933" spans="2:9" ht="14.1">
      <c r="B933" s="199">
        <v>45826</v>
      </c>
      <c r="C933" s="202" t="s">
        <v>7920</v>
      </c>
      <c r="D933" s="200" t="s">
        <v>372</v>
      </c>
      <c r="E933" s="204">
        <v>-32000</v>
      </c>
      <c r="F933" s="201">
        <v>45809</v>
      </c>
      <c r="G933" s="200" t="s">
        <v>256</v>
      </c>
      <c r="H933" s="200" t="s">
        <v>256</v>
      </c>
      <c r="I933" s="200" t="s">
        <v>9</v>
      </c>
    </row>
    <row r="934" spans="2:9" ht="14.1">
      <c r="B934" s="199">
        <v>45826</v>
      </c>
      <c r="C934" s="202" t="s">
        <v>7921</v>
      </c>
      <c r="D934" s="200" t="s">
        <v>372</v>
      </c>
      <c r="E934" s="204">
        <v>-4800</v>
      </c>
      <c r="F934" s="201">
        <v>45809</v>
      </c>
      <c r="G934" s="200" t="s">
        <v>256</v>
      </c>
      <c r="H934" s="200" t="s">
        <v>256</v>
      </c>
      <c r="I934" s="200" t="s">
        <v>9</v>
      </c>
    </row>
    <row r="935" spans="2:9" ht="14.1">
      <c r="B935" s="199">
        <v>45826</v>
      </c>
      <c r="C935" s="202" t="s">
        <v>7923</v>
      </c>
      <c r="D935" s="200" t="s">
        <v>372</v>
      </c>
      <c r="E935" s="204">
        <v>-8000</v>
      </c>
      <c r="F935" s="201">
        <v>45809</v>
      </c>
      <c r="G935" s="200" t="s">
        <v>296</v>
      </c>
      <c r="H935" s="200" t="s">
        <v>57</v>
      </c>
      <c r="I935" s="200" t="s">
        <v>97</v>
      </c>
    </row>
    <row r="936" spans="2:9" ht="14.1">
      <c r="B936" s="199">
        <v>45827</v>
      </c>
      <c r="C936" s="202" t="s">
        <v>4395</v>
      </c>
      <c r="D936" s="200" t="s">
        <v>372</v>
      </c>
      <c r="E936" s="204">
        <v>-2890</v>
      </c>
      <c r="F936" s="201">
        <v>45809</v>
      </c>
      <c r="G936" s="200" t="s">
        <v>297</v>
      </c>
      <c r="H936" s="200" t="s">
        <v>71</v>
      </c>
      <c r="I936" s="200" t="s">
        <v>268</v>
      </c>
    </row>
    <row r="937" spans="2:9" ht="14.1">
      <c r="B937" s="199">
        <v>45827</v>
      </c>
      <c r="C937" s="202" t="s">
        <v>4396</v>
      </c>
      <c r="D937" s="200" t="s">
        <v>372</v>
      </c>
      <c r="E937" s="204">
        <v>-1734</v>
      </c>
      <c r="F937" s="201">
        <v>45809</v>
      </c>
      <c r="G937" s="200" t="s">
        <v>297</v>
      </c>
      <c r="H937" s="200" t="s">
        <v>71</v>
      </c>
      <c r="I937" s="200" t="s">
        <v>268</v>
      </c>
    </row>
    <row r="938" spans="2:9" ht="14.1">
      <c r="B938" s="199">
        <v>45828</v>
      </c>
      <c r="C938" s="202" t="s">
        <v>8152</v>
      </c>
      <c r="D938" s="200" t="s">
        <v>372</v>
      </c>
      <c r="E938" s="204">
        <v>-19850</v>
      </c>
      <c r="F938" s="201">
        <v>45809</v>
      </c>
      <c r="G938" s="200" t="s">
        <v>296</v>
      </c>
      <c r="H938" s="200" t="s">
        <v>1825</v>
      </c>
      <c r="I938" s="200" t="s">
        <v>811</v>
      </c>
    </row>
    <row r="939" spans="2:9" ht="14.1">
      <c r="B939" s="199">
        <v>45828</v>
      </c>
      <c r="C939" s="202" t="s">
        <v>8153</v>
      </c>
      <c r="D939" s="200" t="s">
        <v>372</v>
      </c>
      <c r="E939" s="204">
        <v>-11910</v>
      </c>
      <c r="F939" s="201">
        <v>45809</v>
      </c>
      <c r="G939" s="200" t="s">
        <v>296</v>
      </c>
      <c r="H939" s="200" t="s">
        <v>1825</v>
      </c>
      <c r="I939" s="200" t="s">
        <v>811</v>
      </c>
    </row>
    <row r="940" spans="2:9" ht="14.1">
      <c r="B940" s="199">
        <v>45827</v>
      </c>
      <c r="C940" s="202" t="s">
        <v>8156</v>
      </c>
      <c r="D940" s="200" t="s">
        <v>372</v>
      </c>
      <c r="E940" s="204">
        <v>-4158</v>
      </c>
      <c r="F940" s="201">
        <v>45809</v>
      </c>
      <c r="G940" s="200" t="s">
        <v>256</v>
      </c>
      <c r="H940" s="200" t="s">
        <v>291</v>
      </c>
      <c r="I940" s="200" t="s">
        <v>267</v>
      </c>
    </row>
    <row r="941" spans="2:9" ht="14.1">
      <c r="B941" s="199">
        <v>45832</v>
      </c>
      <c r="C941" s="202" t="s">
        <v>8225</v>
      </c>
      <c r="D941" s="200" t="s">
        <v>372</v>
      </c>
      <c r="E941" s="204">
        <v>-84000</v>
      </c>
      <c r="F941" s="201">
        <v>45809</v>
      </c>
      <c r="G941" s="200" t="s">
        <v>296</v>
      </c>
      <c r="H941" s="200" t="s">
        <v>57</v>
      </c>
      <c r="I941" s="200" t="s">
        <v>100</v>
      </c>
    </row>
    <row r="942" spans="2:9" ht="14.1">
      <c r="B942" s="199">
        <v>45832</v>
      </c>
      <c r="C942" s="202" t="s">
        <v>8227</v>
      </c>
      <c r="D942" s="200" t="s">
        <v>372</v>
      </c>
      <c r="E942" s="204">
        <v>-123137</v>
      </c>
      <c r="F942" s="201">
        <v>45809</v>
      </c>
      <c r="G942" s="200" t="s">
        <v>297</v>
      </c>
      <c r="H942" s="200" t="s">
        <v>69</v>
      </c>
      <c r="I942" s="200" t="s">
        <v>5376</v>
      </c>
    </row>
    <row r="943" spans="2:9" ht="14.1">
      <c r="B943" s="199">
        <v>45832</v>
      </c>
      <c r="C943" s="202" t="s">
        <v>8236</v>
      </c>
      <c r="D943" s="200" t="s">
        <v>372</v>
      </c>
      <c r="E943" s="204">
        <v>-17563</v>
      </c>
      <c r="F943" s="201">
        <v>45809</v>
      </c>
      <c r="G943" s="200" t="s">
        <v>256</v>
      </c>
      <c r="H943" s="200" t="s">
        <v>256</v>
      </c>
      <c r="I943" s="200" t="s">
        <v>267</v>
      </c>
    </row>
    <row r="944" spans="2:9" ht="14.1">
      <c r="B944" s="199">
        <v>45832</v>
      </c>
      <c r="C944" s="202" t="s">
        <v>8240</v>
      </c>
      <c r="D944" s="200" t="s">
        <v>372</v>
      </c>
      <c r="E944" s="204">
        <v>-25389</v>
      </c>
      <c r="F944" s="201">
        <v>45809</v>
      </c>
      <c r="G944" s="200" t="s">
        <v>296</v>
      </c>
      <c r="H944" s="200" t="s">
        <v>522</v>
      </c>
      <c r="I944" s="200" t="s">
        <v>326</v>
      </c>
    </row>
    <row r="945" spans="2:10" ht="14.1">
      <c r="B945" s="199">
        <v>45834</v>
      </c>
      <c r="C945" s="202" t="s">
        <v>4395</v>
      </c>
      <c r="D945" s="200" t="s">
        <v>372</v>
      </c>
      <c r="E945" s="204">
        <v>-920</v>
      </c>
      <c r="F945" s="201">
        <v>45809</v>
      </c>
      <c r="G945" s="200" t="s">
        <v>297</v>
      </c>
      <c r="H945" s="200" t="s">
        <v>71</v>
      </c>
      <c r="I945" s="200" t="s">
        <v>268</v>
      </c>
    </row>
    <row r="946" spans="2:10" ht="14.1">
      <c r="B946" s="199">
        <v>45834</v>
      </c>
      <c r="C946" s="202" t="s">
        <v>4396</v>
      </c>
      <c r="D946" s="200" t="s">
        <v>372</v>
      </c>
      <c r="E946" s="204">
        <v>-555</v>
      </c>
      <c r="F946" s="201">
        <v>45809</v>
      </c>
      <c r="G946" s="200" t="s">
        <v>297</v>
      </c>
      <c r="H946" s="200" t="s">
        <v>71</v>
      </c>
      <c r="I946" s="200" t="s">
        <v>268</v>
      </c>
    </row>
    <row r="947" spans="2:10" ht="14.1">
      <c r="B947" s="199">
        <v>45839</v>
      </c>
      <c r="C947" s="202" t="s">
        <v>8541</v>
      </c>
      <c r="D947" s="200" t="s">
        <v>372</v>
      </c>
      <c r="E947" s="204">
        <v>-22120</v>
      </c>
      <c r="F947" s="201">
        <v>45839</v>
      </c>
      <c r="G947" s="200" t="s">
        <v>10</v>
      </c>
      <c r="H947" s="200" t="s">
        <v>10</v>
      </c>
      <c r="I947" s="200" t="s">
        <v>379</v>
      </c>
      <c r="J947" s="200" t="s">
        <v>80</v>
      </c>
    </row>
    <row r="948" spans="2:10" ht="14.1">
      <c r="B948" s="199">
        <v>45839</v>
      </c>
      <c r="C948" s="202" t="s">
        <v>8541</v>
      </c>
      <c r="D948" s="200" t="s">
        <v>372</v>
      </c>
      <c r="E948" s="204">
        <v>-2800</v>
      </c>
      <c r="F948" s="201">
        <v>45839</v>
      </c>
      <c r="G948" s="200" t="s">
        <v>10</v>
      </c>
      <c r="H948" s="200" t="s">
        <v>10</v>
      </c>
      <c r="I948" s="200" t="s">
        <v>379</v>
      </c>
      <c r="J948" s="200" t="s">
        <v>80</v>
      </c>
    </row>
    <row r="949" spans="2:10" ht="14.1">
      <c r="B949" s="199">
        <v>45839</v>
      </c>
      <c r="C949" s="202" t="s">
        <v>8550</v>
      </c>
      <c r="D949" s="200" t="s">
        <v>372</v>
      </c>
      <c r="E949" s="204">
        <v>-12605</v>
      </c>
      <c r="F949" s="201">
        <v>45839</v>
      </c>
      <c r="G949" s="200" t="s">
        <v>296</v>
      </c>
      <c r="H949" s="200" t="s">
        <v>2418</v>
      </c>
      <c r="I949" s="200" t="s">
        <v>346</v>
      </c>
      <c r="J949" s="200"/>
    </row>
    <row r="950" spans="2:10" ht="14.1">
      <c r="B950" s="199">
        <v>45839</v>
      </c>
      <c r="C950" s="202" t="s">
        <v>8590</v>
      </c>
      <c r="D950" s="200" t="s">
        <v>372</v>
      </c>
      <c r="E950" s="204">
        <v>-69500</v>
      </c>
      <c r="F950" s="201">
        <v>45839</v>
      </c>
      <c r="G950" s="200" t="s">
        <v>256</v>
      </c>
      <c r="H950" s="200" t="s">
        <v>256</v>
      </c>
      <c r="I950" s="200" t="s">
        <v>267</v>
      </c>
      <c r="J950" s="200"/>
    </row>
    <row r="951" spans="2:10" ht="14.1">
      <c r="B951" s="199">
        <v>45840</v>
      </c>
      <c r="C951" s="202" t="s">
        <v>7832</v>
      </c>
      <c r="D951" s="200" t="s">
        <v>372</v>
      </c>
      <c r="E951" s="204">
        <v>-8705</v>
      </c>
      <c r="F951" s="201">
        <v>45839</v>
      </c>
      <c r="G951" s="200" t="s">
        <v>296</v>
      </c>
      <c r="H951" s="200" t="s">
        <v>1362</v>
      </c>
      <c r="I951" s="200" t="s">
        <v>342</v>
      </c>
      <c r="J951" s="200"/>
    </row>
    <row r="952" spans="2:10" ht="14.1">
      <c r="B952" s="199">
        <v>45840</v>
      </c>
      <c r="C952" s="202" t="s">
        <v>8593</v>
      </c>
      <c r="D952" s="200" t="s">
        <v>372</v>
      </c>
      <c r="E952" s="204">
        <v>-275000</v>
      </c>
      <c r="F952" s="201">
        <v>45839</v>
      </c>
      <c r="G952" s="200" t="s">
        <v>256</v>
      </c>
      <c r="H952" s="200" t="s">
        <v>256</v>
      </c>
      <c r="I952" s="200" t="s">
        <v>258</v>
      </c>
      <c r="J952" s="200"/>
    </row>
    <row r="953" spans="2:10" ht="14.1">
      <c r="B953" s="199">
        <v>45840</v>
      </c>
      <c r="C953" s="202" t="s">
        <v>8594</v>
      </c>
      <c r="D953" s="200" t="s">
        <v>372</v>
      </c>
      <c r="E953" s="204">
        <v>-15000</v>
      </c>
      <c r="F953" s="201">
        <v>45839</v>
      </c>
      <c r="G953" s="200" t="s">
        <v>256</v>
      </c>
      <c r="H953" s="200" t="s">
        <v>256</v>
      </c>
      <c r="I953" s="200" t="s">
        <v>258</v>
      </c>
      <c r="J953" s="200"/>
    </row>
    <row r="954" spans="2:10" ht="14.1">
      <c r="B954" s="199">
        <v>45840</v>
      </c>
      <c r="C954" s="202" t="s">
        <v>8596</v>
      </c>
      <c r="D954" s="200" t="s">
        <v>372</v>
      </c>
      <c r="E954" s="204">
        <v>-198000</v>
      </c>
      <c r="F954" s="201">
        <v>45839</v>
      </c>
      <c r="G954" s="200" t="s">
        <v>296</v>
      </c>
      <c r="H954" s="200" t="s">
        <v>1735</v>
      </c>
      <c r="I954" s="200" t="s">
        <v>1066</v>
      </c>
      <c r="J954" s="200"/>
    </row>
    <row r="955" spans="2:10" ht="14.1">
      <c r="B955" s="199">
        <v>45840</v>
      </c>
      <c r="C955" s="202" t="s">
        <v>8598</v>
      </c>
      <c r="D955" s="200" t="s">
        <v>372</v>
      </c>
      <c r="E955" s="204">
        <v>-4767</v>
      </c>
      <c r="F955" s="201">
        <v>45839</v>
      </c>
      <c r="G955" s="200" t="s">
        <v>10</v>
      </c>
      <c r="H955" s="200" t="s">
        <v>10</v>
      </c>
      <c r="I955" s="200" t="s">
        <v>346</v>
      </c>
      <c r="J955" s="200" t="s">
        <v>80</v>
      </c>
    </row>
    <row r="956" spans="2:10" ht="14.1">
      <c r="B956" s="199">
        <v>45840</v>
      </c>
      <c r="C956" s="202" t="s">
        <v>8600</v>
      </c>
      <c r="D956" s="200" t="s">
        <v>372</v>
      </c>
      <c r="E956" s="204">
        <v>-231000</v>
      </c>
      <c r="F956" s="201">
        <v>45839</v>
      </c>
      <c r="G956" s="200" t="s">
        <v>296</v>
      </c>
      <c r="H956" s="200" t="s">
        <v>5466</v>
      </c>
      <c r="I956" s="200" t="s">
        <v>1066</v>
      </c>
      <c r="J956" s="200"/>
    </row>
    <row r="957" spans="2:10" ht="14.1">
      <c r="B957" s="199">
        <v>45840</v>
      </c>
      <c r="C957" s="202" t="s">
        <v>8602</v>
      </c>
      <c r="D957" s="200" t="s">
        <v>372</v>
      </c>
      <c r="E957" s="204">
        <v>-26140</v>
      </c>
      <c r="F957" s="201">
        <v>45839</v>
      </c>
      <c r="G957" s="200" t="s">
        <v>296</v>
      </c>
      <c r="H957" s="200" t="s">
        <v>522</v>
      </c>
      <c r="I957" s="200" t="s">
        <v>488</v>
      </c>
      <c r="J957" s="200"/>
    </row>
    <row r="958" spans="2:10" ht="14.1">
      <c r="B958" s="199">
        <v>45840</v>
      </c>
      <c r="C958" s="202" t="s">
        <v>8603</v>
      </c>
      <c r="D958" s="200" t="s">
        <v>372</v>
      </c>
      <c r="E958" s="204">
        <v>-7842</v>
      </c>
      <c r="F958" s="201">
        <v>45839</v>
      </c>
      <c r="G958" s="200" t="s">
        <v>296</v>
      </c>
      <c r="H958" s="200" t="s">
        <v>522</v>
      </c>
      <c r="I958" s="200" t="s">
        <v>488</v>
      </c>
      <c r="J958" s="200"/>
    </row>
    <row r="959" spans="2:10" ht="14.1">
      <c r="B959" s="199">
        <v>45840</v>
      </c>
      <c r="C959" s="202" t="s">
        <v>7163</v>
      </c>
      <c r="D959" s="200" t="s">
        <v>372</v>
      </c>
      <c r="E959" s="204">
        <v>-12500</v>
      </c>
      <c r="F959" s="201">
        <v>45839</v>
      </c>
      <c r="G959" s="200" t="s">
        <v>296</v>
      </c>
      <c r="H959" s="200" t="s">
        <v>415</v>
      </c>
      <c r="I959" s="200" t="s">
        <v>346</v>
      </c>
      <c r="J959" s="200"/>
    </row>
    <row r="960" spans="2:10" ht="14.1">
      <c r="B960" s="199">
        <v>45840</v>
      </c>
      <c r="C960" s="202" t="s">
        <v>8604</v>
      </c>
      <c r="D960" s="200" t="s">
        <v>372</v>
      </c>
      <c r="E960" s="204">
        <v>-7500</v>
      </c>
      <c r="F960" s="201">
        <v>45839</v>
      </c>
      <c r="G960" s="200" t="s">
        <v>296</v>
      </c>
      <c r="H960" s="200" t="s">
        <v>415</v>
      </c>
      <c r="I960" s="200" t="s">
        <v>346</v>
      </c>
      <c r="J960" s="200"/>
    </row>
    <row r="961" spans="2:10" ht="14.1">
      <c r="B961" s="199">
        <v>45840</v>
      </c>
      <c r="C961" s="202" t="s">
        <v>8606</v>
      </c>
      <c r="D961" s="200" t="s">
        <v>372</v>
      </c>
      <c r="E961" s="204">
        <v>-256849</v>
      </c>
      <c r="F961" s="201">
        <v>45839</v>
      </c>
      <c r="G961" s="200" t="s">
        <v>296</v>
      </c>
      <c r="H961" s="200" t="s">
        <v>4520</v>
      </c>
      <c r="I961" s="200" t="s">
        <v>322</v>
      </c>
      <c r="J961" s="200"/>
    </row>
    <row r="962" spans="2:10" ht="14.1">
      <c r="B962" s="199">
        <v>45840</v>
      </c>
      <c r="C962" s="202" t="s">
        <v>8609</v>
      </c>
      <c r="D962" s="200" t="s">
        <v>372</v>
      </c>
      <c r="E962" s="204">
        <v>-4760</v>
      </c>
      <c r="F962" s="201">
        <v>45839</v>
      </c>
      <c r="G962" s="200" t="s">
        <v>256</v>
      </c>
      <c r="H962" s="200" t="s">
        <v>256</v>
      </c>
      <c r="I962" s="200" t="s">
        <v>267</v>
      </c>
      <c r="J962" s="200"/>
    </row>
    <row r="963" spans="2:10" ht="14.1">
      <c r="B963" s="199">
        <v>45840</v>
      </c>
      <c r="C963" s="202" t="s">
        <v>8610</v>
      </c>
      <c r="D963" s="200" t="s">
        <v>372</v>
      </c>
      <c r="E963" s="204">
        <v>-1428</v>
      </c>
      <c r="F963" s="201">
        <v>45839</v>
      </c>
      <c r="G963" s="200" t="s">
        <v>256</v>
      </c>
      <c r="H963" s="200" t="s">
        <v>256</v>
      </c>
      <c r="I963" s="200" t="s">
        <v>267</v>
      </c>
      <c r="J963" s="200"/>
    </row>
    <row r="964" spans="2:10" ht="14.1">
      <c r="B964" s="199">
        <v>45840</v>
      </c>
      <c r="C964" s="202" t="s">
        <v>8612</v>
      </c>
      <c r="D964" s="200" t="s">
        <v>372</v>
      </c>
      <c r="E964" s="204">
        <v>-41015</v>
      </c>
      <c r="F964" s="201">
        <v>45839</v>
      </c>
      <c r="G964" s="200" t="s">
        <v>296</v>
      </c>
      <c r="H964" s="200" t="s">
        <v>1983</v>
      </c>
      <c r="I964" s="200" t="s">
        <v>326</v>
      </c>
      <c r="J964" s="200"/>
    </row>
    <row r="965" spans="2:10" ht="14.1">
      <c r="B965" s="199">
        <v>45840</v>
      </c>
      <c r="C965" s="202" t="s">
        <v>8612</v>
      </c>
      <c r="D965" s="200" t="s">
        <v>372</v>
      </c>
      <c r="E965" s="204">
        <v>-41015</v>
      </c>
      <c r="F965" s="201">
        <v>45839</v>
      </c>
      <c r="G965" s="200" t="s">
        <v>296</v>
      </c>
      <c r="H965" s="200" t="s">
        <v>1980</v>
      </c>
      <c r="I965" s="200" t="s">
        <v>326</v>
      </c>
      <c r="J965" s="200"/>
    </row>
    <row r="966" spans="2:10" ht="14.1">
      <c r="B966" s="199">
        <v>45840</v>
      </c>
      <c r="C966" s="202" t="s">
        <v>8614</v>
      </c>
      <c r="D966" s="200" t="s">
        <v>372</v>
      </c>
      <c r="E966" s="204">
        <v>-20674</v>
      </c>
      <c r="F966" s="201">
        <v>45839</v>
      </c>
      <c r="G966" s="200" t="s">
        <v>296</v>
      </c>
      <c r="H966" s="200" t="s">
        <v>522</v>
      </c>
      <c r="I966" s="200" t="s">
        <v>326</v>
      </c>
      <c r="J966" s="200"/>
    </row>
    <row r="967" spans="2:10" ht="14.1">
      <c r="B967" s="199">
        <v>45841</v>
      </c>
      <c r="C967" s="202" t="s">
        <v>8627</v>
      </c>
      <c r="D967" s="200" t="s">
        <v>372</v>
      </c>
      <c r="E967" s="204">
        <v>-97000</v>
      </c>
      <c r="F967" s="201">
        <v>45839</v>
      </c>
      <c r="G967" s="200" t="s">
        <v>296</v>
      </c>
      <c r="H967" s="200" t="s">
        <v>44</v>
      </c>
      <c r="I967" s="200" t="s">
        <v>366</v>
      </c>
      <c r="J967" s="200"/>
    </row>
    <row r="968" spans="2:10" ht="14.1">
      <c r="B968" s="199">
        <v>45841</v>
      </c>
      <c r="C968" s="202" t="s">
        <v>8630</v>
      </c>
      <c r="D968" s="200" t="s">
        <v>372</v>
      </c>
      <c r="E968" s="204">
        <v>-51261</v>
      </c>
      <c r="F968" s="201">
        <v>45839</v>
      </c>
      <c r="G968" s="200" t="s">
        <v>297</v>
      </c>
      <c r="H968" s="200" t="s">
        <v>69</v>
      </c>
      <c r="I968" s="200" t="s">
        <v>5376</v>
      </c>
      <c r="J968" s="200"/>
    </row>
    <row r="969" spans="2:10" ht="14.1">
      <c r="B969" s="199">
        <v>45841</v>
      </c>
      <c r="C969" s="202" t="s">
        <v>8631</v>
      </c>
      <c r="D969" s="200" t="s">
        <v>372</v>
      </c>
      <c r="E969" s="204">
        <v>-12303</v>
      </c>
      <c r="F969" s="201">
        <v>45839</v>
      </c>
      <c r="G969" s="200" t="s">
        <v>297</v>
      </c>
      <c r="H969" s="200" t="s">
        <v>69</v>
      </c>
      <c r="I969" s="200" t="s">
        <v>5376</v>
      </c>
      <c r="J969" s="200"/>
    </row>
    <row r="970" spans="2:10" ht="14.1">
      <c r="B970" s="199">
        <v>45841</v>
      </c>
      <c r="C970" s="202" t="s">
        <v>8640</v>
      </c>
      <c r="D970" s="200" t="s">
        <v>372</v>
      </c>
      <c r="E970" s="204">
        <v>-28500</v>
      </c>
      <c r="F970" s="201">
        <v>45839</v>
      </c>
      <c r="G970" s="200" t="s">
        <v>256</v>
      </c>
      <c r="H970" s="200" t="s">
        <v>107</v>
      </c>
      <c r="I970" s="200" t="s">
        <v>116</v>
      </c>
      <c r="J970" s="200"/>
    </row>
    <row r="971" spans="2:10" ht="14.1">
      <c r="B971" s="199">
        <v>45841</v>
      </c>
      <c r="C971" s="202" t="s">
        <v>8642</v>
      </c>
      <c r="D971" s="200" t="s">
        <v>372</v>
      </c>
      <c r="E971" s="204">
        <v>-5600</v>
      </c>
      <c r="F971" s="201">
        <v>45839</v>
      </c>
      <c r="G971" s="200" t="s">
        <v>296</v>
      </c>
      <c r="H971" s="200" t="s">
        <v>1980</v>
      </c>
      <c r="I971" s="200" t="s">
        <v>326</v>
      </c>
      <c r="J971" s="200"/>
    </row>
    <row r="972" spans="2:10" ht="14.1">
      <c r="B972" s="199">
        <v>45841</v>
      </c>
      <c r="C972" s="202" t="s">
        <v>8642</v>
      </c>
      <c r="D972" s="200" t="s">
        <v>372</v>
      </c>
      <c r="E972" s="204">
        <v>-5600</v>
      </c>
      <c r="F972" s="201">
        <v>45839</v>
      </c>
      <c r="G972" s="200" t="s">
        <v>296</v>
      </c>
      <c r="H972" s="200" t="s">
        <v>1983</v>
      </c>
      <c r="I972" s="200" t="s">
        <v>326</v>
      </c>
      <c r="J972" s="200"/>
    </row>
    <row r="973" spans="2:10" ht="14.1">
      <c r="B973" s="199">
        <v>45841</v>
      </c>
      <c r="C973" s="202" t="s">
        <v>7916</v>
      </c>
      <c r="D973" s="200" t="s">
        <v>372</v>
      </c>
      <c r="E973" s="204">
        <v>-5220</v>
      </c>
      <c r="F973" s="201">
        <v>45839</v>
      </c>
      <c r="G973" s="200" t="s">
        <v>296</v>
      </c>
      <c r="H973" s="200" t="s">
        <v>415</v>
      </c>
      <c r="I973" s="200" t="s">
        <v>268</v>
      </c>
      <c r="J973" s="200"/>
    </row>
    <row r="974" spans="2:10" ht="14.1">
      <c r="B974" s="199">
        <v>45841</v>
      </c>
      <c r="C974" s="202" t="s">
        <v>1927</v>
      </c>
      <c r="D974" s="200" t="s">
        <v>372</v>
      </c>
      <c r="E974" s="204">
        <v>-3132</v>
      </c>
      <c r="F974" s="201">
        <v>45839</v>
      </c>
      <c r="G974" s="200" t="s">
        <v>296</v>
      </c>
      <c r="H974" s="200" t="s">
        <v>415</v>
      </c>
      <c r="I974" s="200" t="s">
        <v>268</v>
      </c>
      <c r="J974" s="200"/>
    </row>
    <row r="975" spans="2:10" ht="14.1">
      <c r="B975" s="199">
        <v>45842</v>
      </c>
      <c r="C975" s="202" t="s">
        <v>8763</v>
      </c>
      <c r="D975" s="200" t="s">
        <v>372</v>
      </c>
      <c r="E975" s="204">
        <v>-108071</v>
      </c>
      <c r="F975" s="201">
        <v>45839</v>
      </c>
      <c r="G975" s="200" t="s">
        <v>296</v>
      </c>
      <c r="H975" s="200" t="s">
        <v>1980</v>
      </c>
      <c r="I975" s="200" t="s">
        <v>366</v>
      </c>
    </row>
    <row r="976" spans="2:10" ht="14.1">
      <c r="B976" s="199">
        <v>45842</v>
      </c>
      <c r="C976" s="202" t="s">
        <v>8763</v>
      </c>
      <c r="D976" s="200" t="s">
        <v>372</v>
      </c>
      <c r="E976" s="204">
        <v>-219373</v>
      </c>
      <c r="F976" s="201">
        <v>45839</v>
      </c>
      <c r="G976" s="200" t="s">
        <v>296</v>
      </c>
      <c r="H976" s="200" t="s">
        <v>1983</v>
      </c>
      <c r="I976" s="200" t="s">
        <v>366</v>
      </c>
    </row>
    <row r="977" spans="2:9" ht="14.1">
      <c r="B977" s="199">
        <v>45842</v>
      </c>
      <c r="C977" s="202" t="s">
        <v>8768</v>
      </c>
      <c r="D977" s="200" t="s">
        <v>372</v>
      </c>
      <c r="E977" s="204">
        <v>-28000</v>
      </c>
      <c r="F977" s="201">
        <v>45839</v>
      </c>
      <c r="G977" s="200" t="s">
        <v>296</v>
      </c>
      <c r="H977" s="200" t="s">
        <v>4520</v>
      </c>
      <c r="I977" s="200" t="s">
        <v>322</v>
      </c>
    </row>
    <row r="978" spans="2:9" ht="14.1">
      <c r="B978" s="199">
        <v>45845</v>
      </c>
      <c r="C978" s="202" t="s">
        <v>8823</v>
      </c>
      <c r="D978" s="200" t="s">
        <v>372</v>
      </c>
      <c r="E978" s="204">
        <v>-26390</v>
      </c>
      <c r="F978" s="201">
        <v>45839</v>
      </c>
      <c r="G978" s="200" t="s">
        <v>296</v>
      </c>
      <c r="H978" s="200" t="s">
        <v>415</v>
      </c>
      <c r="I978" s="200" t="s">
        <v>342</v>
      </c>
    </row>
    <row r="979" spans="2:9" ht="14.1">
      <c r="B979" s="199">
        <v>45845</v>
      </c>
      <c r="C979" s="202" t="s">
        <v>8827</v>
      </c>
      <c r="D979" s="200" t="s">
        <v>372</v>
      </c>
      <c r="E979" s="204">
        <v>-328800</v>
      </c>
      <c r="F979" s="201">
        <v>45839</v>
      </c>
      <c r="G979" s="200" t="s">
        <v>296</v>
      </c>
      <c r="H979" s="200" t="s">
        <v>1825</v>
      </c>
      <c r="I979" s="200" t="s">
        <v>488</v>
      </c>
    </row>
    <row r="980" spans="2:9" ht="14.1">
      <c r="B980" s="199">
        <v>45845</v>
      </c>
      <c r="C980" s="202" t="s">
        <v>8828</v>
      </c>
      <c r="D980" s="200" t="s">
        <v>372</v>
      </c>
      <c r="E980" s="204">
        <v>-98640</v>
      </c>
      <c r="F980" s="201">
        <v>45839</v>
      </c>
      <c r="G980" s="200" t="s">
        <v>296</v>
      </c>
      <c r="H980" s="200" t="s">
        <v>1825</v>
      </c>
      <c r="I980" s="200" t="s">
        <v>488</v>
      </c>
    </row>
    <row r="981" spans="2:9" ht="14.1">
      <c r="B981" s="199">
        <v>45845</v>
      </c>
      <c r="C981" s="202" t="s">
        <v>8827</v>
      </c>
      <c r="D981" s="200" t="s">
        <v>372</v>
      </c>
      <c r="E981" s="204">
        <v>-154980</v>
      </c>
      <c r="F981" s="201">
        <v>45839</v>
      </c>
      <c r="G981" s="200" t="s">
        <v>296</v>
      </c>
      <c r="H981" s="200" t="s">
        <v>1980</v>
      </c>
      <c r="I981" s="200" t="s">
        <v>488</v>
      </c>
    </row>
    <row r="982" spans="2:9" ht="14.1">
      <c r="B982" s="199">
        <v>45845</v>
      </c>
      <c r="C982" s="202" t="s">
        <v>8828</v>
      </c>
      <c r="D982" s="200" t="s">
        <v>372</v>
      </c>
      <c r="E982" s="204">
        <v>-46494</v>
      </c>
      <c r="F982" s="201">
        <v>45839</v>
      </c>
      <c r="G982" s="200" t="s">
        <v>296</v>
      </c>
      <c r="H982" s="200" t="s">
        <v>1980</v>
      </c>
      <c r="I982" s="200" t="s">
        <v>488</v>
      </c>
    </row>
    <row r="983" spans="2:9" ht="14.1">
      <c r="B983" s="199">
        <v>45845</v>
      </c>
      <c r="C983" s="202" t="s">
        <v>8827</v>
      </c>
      <c r="D983" s="200" t="s">
        <v>372</v>
      </c>
      <c r="E983" s="204">
        <v>-176120</v>
      </c>
      <c r="F983" s="201">
        <v>45839</v>
      </c>
      <c r="G983" s="200" t="s">
        <v>296</v>
      </c>
      <c r="H983" s="200" t="s">
        <v>1983</v>
      </c>
      <c r="I983" s="200" t="s">
        <v>488</v>
      </c>
    </row>
    <row r="984" spans="2:9" ht="14.1">
      <c r="B984" s="199">
        <v>45845</v>
      </c>
      <c r="C984" s="202" t="s">
        <v>8828</v>
      </c>
      <c r="D984" s="200" t="s">
        <v>372</v>
      </c>
      <c r="E984" s="204">
        <v>-52836</v>
      </c>
      <c r="F984" s="201">
        <v>45839</v>
      </c>
      <c r="G984" s="200" t="s">
        <v>296</v>
      </c>
      <c r="H984" s="200" t="s">
        <v>1983</v>
      </c>
      <c r="I984" s="200" t="s">
        <v>488</v>
      </c>
    </row>
    <row r="985" spans="2:9" ht="14.1">
      <c r="B985" s="199">
        <v>45845</v>
      </c>
      <c r="C985" s="202" t="s">
        <v>8827</v>
      </c>
      <c r="D985" s="200" t="s">
        <v>372</v>
      </c>
      <c r="E985" s="204">
        <v>-608800</v>
      </c>
      <c r="F985" s="201">
        <v>45839</v>
      </c>
      <c r="G985" s="200" t="s">
        <v>296</v>
      </c>
      <c r="H985" s="200" t="s">
        <v>807</v>
      </c>
      <c r="I985" s="200" t="s">
        <v>488</v>
      </c>
    </row>
    <row r="986" spans="2:9" ht="14.1">
      <c r="B986" s="199">
        <v>45845</v>
      </c>
      <c r="C986" s="202" t="s">
        <v>8828</v>
      </c>
      <c r="D986" s="200" t="s">
        <v>372</v>
      </c>
      <c r="E986" s="204">
        <v>-182640</v>
      </c>
      <c r="F986" s="201">
        <v>45839</v>
      </c>
      <c r="G986" s="200" t="s">
        <v>296</v>
      </c>
      <c r="H986" s="200" t="s">
        <v>807</v>
      </c>
      <c r="I986" s="200" t="s">
        <v>488</v>
      </c>
    </row>
    <row r="987" spans="2:9" ht="14.1">
      <c r="B987" s="199">
        <v>45847</v>
      </c>
      <c r="C987" s="202" t="s">
        <v>8842</v>
      </c>
      <c r="D987" s="200" t="s">
        <v>372</v>
      </c>
      <c r="E987" s="204">
        <v>-10699.5</v>
      </c>
      <c r="F987" s="201">
        <v>45839</v>
      </c>
      <c r="G987" s="200" t="s">
        <v>296</v>
      </c>
      <c r="H987" s="200" t="s">
        <v>1825</v>
      </c>
      <c r="I987" s="200" t="s">
        <v>326</v>
      </c>
    </row>
    <row r="988" spans="2:9" ht="14.1">
      <c r="B988" s="199">
        <v>45847</v>
      </c>
      <c r="C988" s="202" t="s">
        <v>8843</v>
      </c>
      <c r="D988" s="200" t="s">
        <v>372</v>
      </c>
      <c r="E988" s="204">
        <v>-10699.5</v>
      </c>
      <c r="F988" s="201">
        <v>45839</v>
      </c>
      <c r="G988" s="200" t="s">
        <v>296</v>
      </c>
      <c r="H988" s="200" t="s">
        <v>807</v>
      </c>
      <c r="I988" s="200" t="s">
        <v>326</v>
      </c>
    </row>
    <row r="989" spans="2:9" ht="14.1">
      <c r="B989" s="199">
        <v>45847</v>
      </c>
      <c r="C989" s="202" t="s">
        <v>8851</v>
      </c>
      <c r="D989" s="200" t="s">
        <v>372</v>
      </c>
      <c r="E989" s="204">
        <v>-15840</v>
      </c>
      <c r="F989" s="201">
        <v>45839</v>
      </c>
      <c r="G989" s="200" t="s">
        <v>256</v>
      </c>
      <c r="H989" s="200" t="s">
        <v>256</v>
      </c>
      <c r="I989" s="200" t="s">
        <v>267</v>
      </c>
    </row>
    <row r="990" spans="2:9" ht="14.1">
      <c r="B990" s="199">
        <v>45847</v>
      </c>
      <c r="C990" s="202" t="s">
        <v>8856</v>
      </c>
      <c r="D990" s="200" t="s">
        <v>372</v>
      </c>
      <c r="E990" s="204">
        <v>-10430</v>
      </c>
      <c r="F990" s="201">
        <v>45839</v>
      </c>
      <c r="G990" s="200" t="s">
        <v>2714</v>
      </c>
      <c r="H990" s="200" t="s">
        <v>513</v>
      </c>
      <c r="I990" s="200" t="s">
        <v>381</v>
      </c>
    </row>
    <row r="991" spans="2:9" ht="14.1">
      <c r="B991" s="199">
        <v>45847</v>
      </c>
      <c r="C991" s="202" t="s">
        <v>8856</v>
      </c>
      <c r="D991" s="200" t="s">
        <v>372</v>
      </c>
      <c r="E991" s="204">
        <v>-10430</v>
      </c>
      <c r="F991" s="201">
        <v>45839</v>
      </c>
      <c r="G991" s="200" t="s">
        <v>2714</v>
      </c>
      <c r="H991" s="200" t="s">
        <v>321</v>
      </c>
      <c r="I991" s="200" t="s">
        <v>381</v>
      </c>
    </row>
    <row r="992" spans="2:9" ht="14.1">
      <c r="B992" s="199">
        <v>45847</v>
      </c>
      <c r="C992" s="202" t="s">
        <v>8856</v>
      </c>
      <c r="D992" s="200" t="s">
        <v>372</v>
      </c>
      <c r="E992" s="204">
        <v>-10430</v>
      </c>
      <c r="F992" s="201">
        <v>45839</v>
      </c>
      <c r="G992" s="200" t="s">
        <v>2714</v>
      </c>
      <c r="H992" s="200" t="s">
        <v>337</v>
      </c>
      <c r="I992" s="200" t="s">
        <v>381</v>
      </c>
    </row>
    <row r="993" spans="2:9" ht="14.1">
      <c r="B993" s="199">
        <v>45847</v>
      </c>
      <c r="C993" s="202" t="s">
        <v>8856</v>
      </c>
      <c r="D993" s="200" t="s">
        <v>372</v>
      </c>
      <c r="E993" s="204">
        <v>-10430</v>
      </c>
      <c r="F993" s="201">
        <v>45839</v>
      </c>
      <c r="G993" s="200" t="s">
        <v>296</v>
      </c>
      <c r="H993" s="200" t="s">
        <v>44</v>
      </c>
      <c r="I993" s="200" t="s">
        <v>381</v>
      </c>
    </row>
    <row r="994" spans="2:9" ht="14.1">
      <c r="B994" s="199">
        <v>45847</v>
      </c>
      <c r="C994" s="202" t="s">
        <v>8856</v>
      </c>
      <c r="D994" s="200" t="s">
        <v>372</v>
      </c>
      <c r="E994" s="204">
        <v>-10430</v>
      </c>
      <c r="F994" s="201">
        <v>45839</v>
      </c>
      <c r="G994" s="200" t="s">
        <v>296</v>
      </c>
      <c r="H994" s="200" t="s">
        <v>1825</v>
      </c>
      <c r="I994" s="200" t="s">
        <v>381</v>
      </c>
    </row>
    <row r="995" spans="2:9" ht="14.1">
      <c r="B995" s="199">
        <v>45847</v>
      </c>
      <c r="C995" s="202" t="s">
        <v>8856</v>
      </c>
      <c r="D995" s="200" t="s">
        <v>372</v>
      </c>
      <c r="E995" s="204">
        <v>-10430</v>
      </c>
      <c r="F995" s="201">
        <v>45839</v>
      </c>
      <c r="G995" s="200" t="s">
        <v>296</v>
      </c>
      <c r="H995" s="200" t="s">
        <v>522</v>
      </c>
      <c r="I995" s="200" t="s">
        <v>381</v>
      </c>
    </row>
    <row r="996" spans="2:9" ht="14.1">
      <c r="B996" s="199">
        <v>45847</v>
      </c>
      <c r="C996" s="202" t="s">
        <v>8856</v>
      </c>
      <c r="D996" s="200" t="s">
        <v>372</v>
      </c>
      <c r="E996" s="204">
        <v>-10430</v>
      </c>
      <c r="F996" s="201">
        <v>45839</v>
      </c>
      <c r="G996" s="200" t="s">
        <v>296</v>
      </c>
      <c r="H996" s="200" t="s">
        <v>807</v>
      </c>
      <c r="I996" s="200" t="s">
        <v>381</v>
      </c>
    </row>
    <row r="997" spans="2:9" ht="14.1">
      <c r="B997" s="199">
        <v>45847</v>
      </c>
      <c r="C997" s="202" t="s">
        <v>8856</v>
      </c>
      <c r="D997" s="200" t="s">
        <v>372</v>
      </c>
      <c r="E997" s="204">
        <v>-10430</v>
      </c>
      <c r="F997" s="201">
        <v>45839</v>
      </c>
      <c r="G997" s="200" t="s">
        <v>296</v>
      </c>
      <c r="H997" s="200" t="s">
        <v>4577</v>
      </c>
      <c r="I997" s="200" t="s">
        <v>381</v>
      </c>
    </row>
    <row r="998" spans="2:9" ht="14.1">
      <c r="B998" s="199">
        <v>45847</v>
      </c>
      <c r="C998" s="202" t="s">
        <v>8856</v>
      </c>
      <c r="D998" s="200" t="s">
        <v>372</v>
      </c>
      <c r="E998" s="204">
        <v>-18256</v>
      </c>
      <c r="F998" s="201">
        <v>45839</v>
      </c>
      <c r="G998" s="200" t="s">
        <v>296</v>
      </c>
      <c r="H998" s="200" t="s">
        <v>1980</v>
      </c>
      <c r="I998" s="200" t="s">
        <v>381</v>
      </c>
    </row>
    <row r="999" spans="2:9" ht="14.1">
      <c r="B999" s="199">
        <v>45847</v>
      </c>
      <c r="C999" s="202" t="s">
        <v>8856</v>
      </c>
      <c r="D999" s="200" t="s">
        <v>372</v>
      </c>
      <c r="E999" s="204">
        <v>-18256</v>
      </c>
      <c r="F999" s="201">
        <v>45839</v>
      </c>
      <c r="G999" s="200" t="s">
        <v>296</v>
      </c>
      <c r="H999" s="200" t="s">
        <v>1983</v>
      </c>
      <c r="I999" s="200" t="s">
        <v>381</v>
      </c>
    </row>
    <row r="1000" spans="2:9" ht="14.1">
      <c r="B1000" s="199">
        <v>45847</v>
      </c>
      <c r="C1000" s="202" t="s">
        <v>8864</v>
      </c>
      <c r="D1000" s="200" t="s">
        <v>372</v>
      </c>
      <c r="E1000" s="204">
        <v>-280581</v>
      </c>
      <c r="F1000" s="201">
        <v>45839</v>
      </c>
      <c r="G1000" s="200" t="s">
        <v>296</v>
      </c>
      <c r="H1000" s="200" t="s">
        <v>2418</v>
      </c>
      <c r="I1000" s="200" t="s">
        <v>5376</v>
      </c>
    </row>
    <row r="1001" spans="2:9" ht="14.1">
      <c r="B1001" s="199">
        <v>45847</v>
      </c>
      <c r="C1001" s="202" t="s">
        <v>8866</v>
      </c>
      <c r="D1001" s="200" t="s">
        <v>372</v>
      </c>
      <c r="E1001" s="204">
        <v>-316800</v>
      </c>
      <c r="F1001" s="201">
        <v>45839</v>
      </c>
      <c r="G1001" s="200" t="s">
        <v>296</v>
      </c>
      <c r="H1001" s="200" t="s">
        <v>57</v>
      </c>
      <c r="I1001" s="200" t="s">
        <v>96</v>
      </c>
    </row>
    <row r="1002" spans="2:9" ht="14.1">
      <c r="B1002" s="199">
        <v>45848</v>
      </c>
      <c r="C1002" s="202" t="s">
        <v>7916</v>
      </c>
      <c r="D1002" s="200" t="s">
        <v>372</v>
      </c>
      <c r="E1002" s="204">
        <v>-4910</v>
      </c>
      <c r="F1002" s="201">
        <v>45839</v>
      </c>
      <c r="G1002" s="200" t="s">
        <v>297</v>
      </c>
      <c r="H1002" s="200" t="s">
        <v>69</v>
      </c>
      <c r="I1002" s="200" t="s">
        <v>268</v>
      </c>
    </row>
    <row r="1003" spans="2:9" ht="14.1">
      <c r="B1003" s="199">
        <v>45848</v>
      </c>
      <c r="C1003" s="202" t="s">
        <v>1927</v>
      </c>
      <c r="D1003" s="200" t="s">
        <v>372</v>
      </c>
      <c r="E1003" s="204">
        <v>-2946</v>
      </c>
      <c r="F1003" s="201">
        <v>45839</v>
      </c>
      <c r="G1003" s="200" t="s">
        <v>297</v>
      </c>
      <c r="H1003" s="200" t="s">
        <v>69</v>
      </c>
      <c r="I1003" s="200" t="s">
        <v>268</v>
      </c>
    </row>
    <row r="1004" spans="2:9" ht="14.1">
      <c r="B1004" s="199">
        <v>45848</v>
      </c>
      <c r="C1004" s="202" t="s">
        <v>7916</v>
      </c>
      <c r="D1004" s="200" t="s">
        <v>372</v>
      </c>
      <c r="E1004" s="204">
        <v>-4910</v>
      </c>
      <c r="F1004" s="201">
        <v>45839</v>
      </c>
      <c r="G1004" s="200" t="s">
        <v>296</v>
      </c>
      <c r="H1004" s="200" t="s">
        <v>415</v>
      </c>
      <c r="I1004" s="200" t="s">
        <v>268</v>
      </c>
    </row>
    <row r="1005" spans="2:9" ht="14.1">
      <c r="B1005" s="199">
        <v>45848</v>
      </c>
      <c r="C1005" s="202" t="s">
        <v>1927</v>
      </c>
      <c r="D1005" s="200" t="s">
        <v>372</v>
      </c>
      <c r="E1005" s="204">
        <v>-2946</v>
      </c>
      <c r="F1005" s="201">
        <v>45839</v>
      </c>
      <c r="G1005" s="200" t="s">
        <v>296</v>
      </c>
      <c r="H1005" s="200" t="s">
        <v>415</v>
      </c>
      <c r="I1005" s="200" t="s">
        <v>268</v>
      </c>
    </row>
    <row r="1006" spans="2:9" ht="14.1">
      <c r="B1006" s="199">
        <v>45848</v>
      </c>
      <c r="C1006" s="202" t="s">
        <v>8893</v>
      </c>
      <c r="D1006" s="200" t="s">
        <v>372</v>
      </c>
      <c r="E1006" s="204">
        <v>-10457</v>
      </c>
      <c r="F1006" s="201">
        <v>45839</v>
      </c>
      <c r="G1006" s="200" t="s">
        <v>10</v>
      </c>
      <c r="H1006" s="200" t="s">
        <v>10</v>
      </c>
      <c r="I1006" s="200" t="s">
        <v>5384</v>
      </c>
    </row>
    <row r="1007" spans="2:9" ht="14.1">
      <c r="B1007" s="199">
        <v>45848</v>
      </c>
      <c r="C1007" s="202" t="s">
        <v>8894</v>
      </c>
      <c r="D1007" s="200" t="s">
        <v>372</v>
      </c>
      <c r="E1007" s="204">
        <v>-2510</v>
      </c>
      <c r="F1007" s="201">
        <v>45839</v>
      </c>
      <c r="G1007" s="200" t="s">
        <v>10</v>
      </c>
      <c r="H1007" s="200" t="s">
        <v>10</v>
      </c>
      <c r="I1007" s="200" t="s">
        <v>5384</v>
      </c>
    </row>
    <row r="1008" spans="2:9" ht="14.1">
      <c r="B1008" s="199">
        <v>45848</v>
      </c>
      <c r="C1008" s="202" t="s">
        <v>8896</v>
      </c>
      <c r="D1008" s="200" t="s">
        <v>372</v>
      </c>
      <c r="E1008" s="204">
        <v>-5672</v>
      </c>
      <c r="F1008" s="201">
        <v>45839</v>
      </c>
      <c r="G1008" s="200" t="s">
        <v>297</v>
      </c>
      <c r="H1008" s="200" t="s">
        <v>69</v>
      </c>
      <c r="I1008" s="200" t="s">
        <v>5384</v>
      </c>
    </row>
    <row r="1009" spans="2:9" ht="14.1">
      <c r="B1009" s="199">
        <v>45848</v>
      </c>
      <c r="C1009" s="202" t="s">
        <v>8897</v>
      </c>
      <c r="D1009" s="200" t="s">
        <v>372</v>
      </c>
      <c r="E1009" s="204">
        <v>-1361</v>
      </c>
      <c r="F1009" s="201">
        <v>45839</v>
      </c>
      <c r="G1009" s="200" t="s">
        <v>297</v>
      </c>
      <c r="H1009" s="200" t="s">
        <v>69</v>
      </c>
      <c r="I1009" s="200" t="s">
        <v>5384</v>
      </c>
    </row>
    <row r="1010" spans="2:9" ht="14.1">
      <c r="B1010" s="199">
        <v>45848</v>
      </c>
      <c r="C1010" s="202" t="s">
        <v>8899</v>
      </c>
      <c r="D1010" s="200" t="s">
        <v>372</v>
      </c>
      <c r="E1010" s="204">
        <v>-1109</v>
      </c>
      <c r="F1010" s="201">
        <v>45839</v>
      </c>
      <c r="G1010" s="200" t="s">
        <v>296</v>
      </c>
      <c r="H1010" s="200" t="s">
        <v>415</v>
      </c>
      <c r="I1010" s="200" t="s">
        <v>5384</v>
      </c>
    </row>
    <row r="1011" spans="2:9" ht="14.1">
      <c r="B1011" s="199">
        <v>45848</v>
      </c>
      <c r="C1011" s="202" t="s">
        <v>8900</v>
      </c>
      <c r="D1011" s="200" t="s">
        <v>372</v>
      </c>
      <c r="E1011" s="204">
        <v>-266</v>
      </c>
      <c r="F1011" s="201">
        <v>45839</v>
      </c>
      <c r="G1011" s="200" t="s">
        <v>296</v>
      </c>
      <c r="H1011" s="200" t="s">
        <v>415</v>
      </c>
      <c r="I1011" s="200" t="s">
        <v>5384</v>
      </c>
    </row>
    <row r="1012" spans="2:9" ht="14.1">
      <c r="B1012" s="199">
        <v>45848</v>
      </c>
      <c r="C1012" s="202" t="s">
        <v>8902</v>
      </c>
      <c r="D1012" s="200" t="s">
        <v>372</v>
      </c>
      <c r="E1012" s="204">
        <v>-73941</v>
      </c>
      <c r="F1012" s="201">
        <v>45839</v>
      </c>
      <c r="G1012" s="200" t="s">
        <v>296</v>
      </c>
      <c r="H1012" s="200" t="s">
        <v>2418</v>
      </c>
      <c r="I1012" s="200" t="s">
        <v>5384</v>
      </c>
    </row>
    <row r="1013" spans="2:9" ht="14.1">
      <c r="B1013" s="199">
        <v>45848</v>
      </c>
      <c r="C1013" s="202" t="s">
        <v>8903</v>
      </c>
      <c r="D1013" s="200" t="s">
        <v>372</v>
      </c>
      <c r="E1013" s="204">
        <v>-17746</v>
      </c>
      <c r="F1013" s="201">
        <v>45839</v>
      </c>
      <c r="G1013" s="200" t="s">
        <v>296</v>
      </c>
      <c r="H1013" s="200" t="s">
        <v>2418</v>
      </c>
      <c r="I1013" s="200" t="s">
        <v>5384</v>
      </c>
    </row>
    <row r="1014" spans="2:9" ht="14.1">
      <c r="B1014" s="199">
        <v>45848</v>
      </c>
      <c r="C1014" s="202" t="s">
        <v>8905</v>
      </c>
      <c r="D1014" s="200" t="s">
        <v>372</v>
      </c>
      <c r="E1014" s="204">
        <v>-2677</v>
      </c>
      <c r="F1014" s="201">
        <v>45839</v>
      </c>
      <c r="G1014" s="200" t="s">
        <v>10</v>
      </c>
      <c r="H1014" s="200" t="s">
        <v>10</v>
      </c>
      <c r="I1014" s="200" t="s">
        <v>5384</v>
      </c>
    </row>
    <row r="1015" spans="2:9" ht="14.1">
      <c r="B1015" s="199">
        <v>45848</v>
      </c>
      <c r="C1015" s="202" t="s">
        <v>8906</v>
      </c>
      <c r="D1015" s="200" t="s">
        <v>372</v>
      </c>
      <c r="E1015" s="204">
        <v>-643</v>
      </c>
      <c r="F1015" s="201">
        <v>45839</v>
      </c>
      <c r="G1015" s="200" t="s">
        <v>10</v>
      </c>
      <c r="H1015" s="200" t="s">
        <v>10</v>
      </c>
      <c r="I1015" s="200" t="s">
        <v>5384</v>
      </c>
    </row>
    <row r="1016" spans="2:9" ht="14.1">
      <c r="B1016" s="199">
        <v>45848</v>
      </c>
      <c r="C1016" s="202" t="s">
        <v>8908</v>
      </c>
      <c r="D1016" s="200" t="s">
        <v>372</v>
      </c>
      <c r="E1016" s="204">
        <v>-1651</v>
      </c>
      <c r="F1016" s="201">
        <v>45839</v>
      </c>
      <c r="G1016" s="200" t="s">
        <v>297</v>
      </c>
      <c r="H1016" s="200" t="s">
        <v>69</v>
      </c>
      <c r="I1016" s="200" t="s">
        <v>5384</v>
      </c>
    </row>
    <row r="1017" spans="2:9" ht="14.1">
      <c r="B1017" s="199">
        <v>45848</v>
      </c>
      <c r="C1017" s="202" t="s">
        <v>8909</v>
      </c>
      <c r="D1017" s="200" t="s">
        <v>372</v>
      </c>
      <c r="E1017" s="204">
        <v>-396</v>
      </c>
      <c r="F1017" s="201">
        <v>45839</v>
      </c>
      <c r="G1017" s="200" t="s">
        <v>297</v>
      </c>
      <c r="H1017" s="200" t="s">
        <v>69</v>
      </c>
      <c r="I1017" s="200" t="s">
        <v>5384</v>
      </c>
    </row>
    <row r="1018" spans="2:9" ht="14.1">
      <c r="B1018" s="199">
        <v>45848</v>
      </c>
      <c r="C1018" s="202" t="s">
        <v>8911</v>
      </c>
      <c r="D1018" s="200" t="s">
        <v>372</v>
      </c>
      <c r="E1018" s="204">
        <v>-12416</v>
      </c>
      <c r="F1018" s="201">
        <v>45839</v>
      </c>
      <c r="G1018" s="200" t="s">
        <v>296</v>
      </c>
      <c r="H1018" s="200" t="s">
        <v>415</v>
      </c>
      <c r="I1018" s="200" t="s">
        <v>5384</v>
      </c>
    </row>
    <row r="1019" spans="2:9" ht="14.1">
      <c r="B1019" s="199">
        <v>45848</v>
      </c>
      <c r="C1019" s="202" t="s">
        <v>8912</v>
      </c>
      <c r="D1019" s="200" t="s">
        <v>372</v>
      </c>
      <c r="E1019" s="204">
        <v>-2980</v>
      </c>
      <c r="F1019" s="201">
        <v>45839</v>
      </c>
      <c r="G1019" s="200" t="s">
        <v>296</v>
      </c>
      <c r="H1019" s="200" t="s">
        <v>415</v>
      </c>
      <c r="I1019" s="200" t="s">
        <v>5384</v>
      </c>
    </row>
    <row r="1020" spans="2:9" ht="14.1">
      <c r="B1020" s="199">
        <v>45848</v>
      </c>
      <c r="C1020" s="202" t="s">
        <v>7842</v>
      </c>
      <c r="D1020" s="200" t="s">
        <v>372</v>
      </c>
      <c r="E1020" s="204">
        <v>-981</v>
      </c>
      <c r="F1020" s="201">
        <v>45839</v>
      </c>
      <c r="G1020" s="200" t="s">
        <v>297</v>
      </c>
      <c r="H1020" s="200" t="s">
        <v>71</v>
      </c>
      <c r="I1020" s="200" t="s">
        <v>5384</v>
      </c>
    </row>
    <row r="1021" spans="2:9" ht="14.1">
      <c r="B1021" s="199">
        <v>45848</v>
      </c>
      <c r="C1021" s="202" t="s">
        <v>8913</v>
      </c>
      <c r="D1021" s="200" t="s">
        <v>372</v>
      </c>
      <c r="E1021" s="204">
        <v>-235</v>
      </c>
      <c r="F1021" s="201">
        <v>45839</v>
      </c>
      <c r="G1021" s="200" t="s">
        <v>297</v>
      </c>
      <c r="H1021" s="200" t="s">
        <v>71</v>
      </c>
      <c r="I1021" s="200" t="s">
        <v>5384</v>
      </c>
    </row>
    <row r="1022" spans="2:9" ht="14.1">
      <c r="B1022" s="199">
        <v>45848</v>
      </c>
      <c r="C1022" s="202" t="s">
        <v>8915</v>
      </c>
      <c r="D1022" s="200" t="s">
        <v>372</v>
      </c>
      <c r="E1022" s="204">
        <v>-16359</v>
      </c>
      <c r="F1022" s="201">
        <v>45839</v>
      </c>
      <c r="G1022" s="200" t="s">
        <v>296</v>
      </c>
      <c r="H1022" s="200" t="s">
        <v>2418</v>
      </c>
      <c r="I1022" s="200" t="s">
        <v>5384</v>
      </c>
    </row>
    <row r="1023" spans="2:9" ht="14.1">
      <c r="B1023" s="199">
        <v>45848</v>
      </c>
      <c r="C1023" s="202" t="s">
        <v>8916</v>
      </c>
      <c r="D1023" s="200" t="s">
        <v>372</v>
      </c>
      <c r="E1023" s="204">
        <v>-3926</v>
      </c>
      <c r="F1023" s="201">
        <v>45839</v>
      </c>
      <c r="G1023" s="200" t="s">
        <v>296</v>
      </c>
      <c r="H1023" s="200" t="s">
        <v>2418</v>
      </c>
      <c r="I1023" s="200" t="s">
        <v>5384</v>
      </c>
    </row>
    <row r="1024" spans="2:9" ht="14.1">
      <c r="B1024" s="199">
        <v>45848</v>
      </c>
      <c r="C1024" s="202" t="s">
        <v>8918</v>
      </c>
      <c r="D1024" s="200" t="s">
        <v>372</v>
      </c>
      <c r="E1024" s="204">
        <v>-52896</v>
      </c>
      <c r="F1024" s="201">
        <v>45839</v>
      </c>
      <c r="G1024" s="200" t="s">
        <v>297</v>
      </c>
      <c r="H1024" s="200" t="s">
        <v>69</v>
      </c>
      <c r="I1024" s="200" t="s">
        <v>5384</v>
      </c>
    </row>
    <row r="1025" spans="2:9" ht="14.1">
      <c r="B1025" s="199">
        <v>45848</v>
      </c>
      <c r="C1025" s="202" t="s">
        <v>8919</v>
      </c>
      <c r="D1025" s="200" t="s">
        <v>372</v>
      </c>
      <c r="E1025" s="204">
        <v>-12695</v>
      </c>
      <c r="F1025" s="201">
        <v>45839</v>
      </c>
      <c r="G1025" s="200" t="s">
        <v>297</v>
      </c>
      <c r="H1025" s="200" t="s">
        <v>69</v>
      </c>
      <c r="I1025" s="200" t="s">
        <v>5384</v>
      </c>
    </row>
    <row r="1026" spans="2:9" ht="14.1">
      <c r="B1026" s="199">
        <v>45848</v>
      </c>
      <c r="C1026" s="202" t="s">
        <v>8921</v>
      </c>
      <c r="D1026" s="200" t="s">
        <v>372</v>
      </c>
      <c r="E1026" s="204">
        <v>-6552</v>
      </c>
      <c r="F1026" s="201">
        <v>45839</v>
      </c>
      <c r="G1026" s="200" t="s">
        <v>296</v>
      </c>
      <c r="H1026" s="200" t="s">
        <v>2418</v>
      </c>
      <c r="I1026" s="200" t="s">
        <v>5384</v>
      </c>
    </row>
    <row r="1027" spans="2:9" ht="14.1">
      <c r="B1027" s="199">
        <v>45848</v>
      </c>
      <c r="C1027" s="202" t="s">
        <v>8922</v>
      </c>
      <c r="D1027" s="200" t="s">
        <v>372</v>
      </c>
      <c r="E1027" s="204">
        <v>-1573</v>
      </c>
      <c r="F1027" s="201">
        <v>45839</v>
      </c>
      <c r="G1027" s="200" t="s">
        <v>296</v>
      </c>
      <c r="H1027" s="200" t="s">
        <v>2418</v>
      </c>
      <c r="I1027" s="200" t="s">
        <v>5384</v>
      </c>
    </row>
    <row r="1028" spans="2:9" ht="14.1">
      <c r="B1028" s="199">
        <v>45845</v>
      </c>
      <c r="C1028" s="202" t="s">
        <v>4395</v>
      </c>
      <c r="D1028" s="200" t="s">
        <v>372</v>
      </c>
      <c r="E1028" s="204">
        <v>-1710</v>
      </c>
      <c r="F1028" s="201">
        <v>45839</v>
      </c>
      <c r="G1028" s="200" t="s">
        <v>297</v>
      </c>
      <c r="H1028" s="200" t="s">
        <v>71</v>
      </c>
      <c r="I1028" s="200" t="s">
        <v>268</v>
      </c>
    </row>
    <row r="1029" spans="2:9" ht="14.1">
      <c r="B1029" s="199">
        <v>45845</v>
      </c>
      <c r="C1029" s="202" t="s">
        <v>4396</v>
      </c>
      <c r="D1029" s="200" t="s">
        <v>372</v>
      </c>
      <c r="E1029" s="204">
        <v>-1026</v>
      </c>
      <c r="F1029" s="201">
        <v>45839</v>
      </c>
      <c r="G1029" s="200" t="s">
        <v>297</v>
      </c>
      <c r="H1029" s="200" t="s">
        <v>71</v>
      </c>
      <c r="I1029" s="200" t="s">
        <v>268</v>
      </c>
    </row>
  </sheetData>
  <autoFilter ref="B8:M940" xr:uid="{F7059909-C3A2-4E6A-A72C-DAD2F3E65529}">
    <filterColumn colId="4">
      <filters>
        <dateGroupItem year="2025" month="6" dateTimeGrouping="month"/>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86B43-82D0-417C-9506-0FA427F3CAC4}">
  <dimension ref="A3:B12"/>
  <sheetViews>
    <sheetView workbookViewId="0">
      <selection activeCell="J14" sqref="J14"/>
    </sheetView>
  </sheetViews>
  <sheetFormatPr defaultColWidth="11.42578125" defaultRowHeight="12.6"/>
  <cols>
    <col min="1" max="1" width="16.85546875" bestFit="1" customWidth="1"/>
    <col min="2" max="2" width="14.28515625" bestFit="1" customWidth="1"/>
  </cols>
  <sheetData>
    <row r="3" spans="1:2">
      <c r="A3" s="527" t="s">
        <v>9075</v>
      </c>
      <c r="B3" t="s">
        <v>9076</v>
      </c>
    </row>
    <row r="4" spans="1:2">
      <c r="A4" s="618">
        <v>45658</v>
      </c>
      <c r="B4">
        <v>-124033029.78</v>
      </c>
    </row>
    <row r="5" spans="1:2">
      <c r="A5" s="617" t="s">
        <v>256</v>
      </c>
      <c r="B5">
        <v>-9267563.9399999995</v>
      </c>
    </row>
    <row r="6" spans="1:2">
      <c r="A6" s="617" t="s">
        <v>297</v>
      </c>
      <c r="B6">
        <v>-4226057.75</v>
      </c>
    </row>
    <row r="7" spans="1:2">
      <c r="A7" s="617" t="s">
        <v>298</v>
      </c>
      <c r="B7">
        <v>-24572858.350000001</v>
      </c>
    </row>
    <row r="8" spans="1:2">
      <c r="A8" s="617" t="s">
        <v>315</v>
      </c>
      <c r="B8">
        <v>-3324414</v>
      </c>
    </row>
    <row r="9" spans="1:2">
      <c r="A9" s="617" t="s">
        <v>296</v>
      </c>
      <c r="B9">
        <v>-82642135.74000001</v>
      </c>
    </row>
    <row r="10" spans="1:2">
      <c r="A10" s="616" t="s">
        <v>9077</v>
      </c>
    </row>
    <row r="11" spans="1:2">
      <c r="A11" s="617" t="s">
        <v>9077</v>
      </c>
    </row>
    <row r="12" spans="1:2">
      <c r="A12" s="616" t="s">
        <v>9078</v>
      </c>
      <c r="B12">
        <v>-124033029.78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74D8B-96A4-4277-B1DE-AA5262EE46DB}">
  <dimension ref="B1:K39"/>
  <sheetViews>
    <sheetView view="pageBreakPreview" topLeftCell="A9" zoomScale="85" zoomScaleNormal="70" zoomScaleSheetLayoutView="85" workbookViewId="0">
      <selection activeCell="A29" sqref="A29"/>
    </sheetView>
  </sheetViews>
  <sheetFormatPr defaultColWidth="11.42578125" defaultRowHeight="12.6"/>
  <cols>
    <col min="2" max="2" width="45.85546875" bestFit="1" customWidth="1"/>
    <col min="4" max="4" width="20.85546875" customWidth="1"/>
    <col min="5" max="5" width="22.7109375" bestFit="1" customWidth="1"/>
    <col min="6" max="6" width="22.7109375" style="269" customWidth="1"/>
    <col min="7" max="9" width="22.7109375" customWidth="1"/>
    <col min="10" max="10" width="27.7109375" style="269" customWidth="1"/>
  </cols>
  <sheetData>
    <row r="1" spans="2:11">
      <c r="B1" s="6"/>
      <c r="C1" s="6"/>
      <c r="D1" t="s">
        <v>9079</v>
      </c>
      <c r="E1" s="37" t="s">
        <v>9080</v>
      </c>
      <c r="F1" s="493" t="s">
        <v>9081</v>
      </c>
      <c r="G1" s="58" t="s">
        <v>9082</v>
      </c>
      <c r="H1" s="6" t="s">
        <v>9083</v>
      </c>
      <c r="I1" s="526">
        <v>45632</v>
      </c>
      <c r="K1" s="269"/>
    </row>
    <row r="2" spans="2:11" ht="12.95">
      <c r="B2" s="1"/>
      <c r="C2" s="1"/>
      <c r="D2" s="8">
        <v>45566</v>
      </c>
      <c r="E2" s="9">
        <v>45597</v>
      </c>
      <c r="F2" s="8">
        <v>45597</v>
      </c>
      <c r="G2" s="8">
        <v>45598</v>
      </c>
      <c r="H2" s="8">
        <v>45599</v>
      </c>
      <c r="I2" s="523">
        <v>45632</v>
      </c>
      <c r="K2" s="269"/>
    </row>
    <row r="3" spans="2:11">
      <c r="B3" s="11" t="s">
        <v>5051</v>
      </c>
      <c r="C3" s="11"/>
      <c r="D3" s="2">
        <v>0</v>
      </c>
      <c r="E3" s="2">
        <v>0</v>
      </c>
      <c r="F3" s="2">
        <v>0</v>
      </c>
      <c r="G3" s="2">
        <v>0</v>
      </c>
      <c r="H3" s="2">
        <v>0</v>
      </c>
      <c r="I3" s="2">
        <v>0</v>
      </c>
    </row>
    <row r="4" spans="2:11">
      <c r="B4" s="11" t="s">
        <v>9010</v>
      </c>
      <c r="C4" s="11"/>
      <c r="D4" s="2"/>
      <c r="E4" s="2"/>
      <c r="F4" s="2"/>
      <c r="G4" s="2"/>
      <c r="H4" s="2"/>
      <c r="I4" s="2"/>
    </row>
    <row r="5" spans="2:11">
      <c r="B5" s="11" t="s">
        <v>9011</v>
      </c>
      <c r="C5" s="11"/>
      <c r="D5" s="490">
        <v>34512877.109999999</v>
      </c>
      <c r="E5" s="2">
        <v>1268760</v>
      </c>
      <c r="F5" s="490">
        <v>11811914.73</v>
      </c>
      <c r="G5" s="490">
        <v>9309991.0800000001</v>
      </c>
      <c r="H5" s="490">
        <f>21121905.81-G5</f>
        <v>11811914.729999999</v>
      </c>
      <c r="I5" s="490">
        <f>+SUMIFS('Movimientos Reales'!$D$4:$D$1048576,'Movimientos Reales'!$E$4:$E$1048576,'Caja Real mensual '!$T$4,'Movimientos Reales'!$F$4:$F$1048576,'Caja Real mensual '!$D$7)</f>
        <v>0</v>
      </c>
      <c r="J5" s="269">
        <f>+F5/E5-1</f>
        <v>8.309810153220468</v>
      </c>
    </row>
    <row r="6" spans="2:11">
      <c r="B6" s="11" t="s">
        <v>9012</v>
      </c>
      <c r="C6" s="11"/>
      <c r="D6" s="490">
        <v>-988300</v>
      </c>
      <c r="E6" s="2">
        <v>0</v>
      </c>
      <c r="F6" s="490">
        <v>-52000</v>
      </c>
      <c r="G6" s="490">
        <f>575647+F6</f>
        <v>523647</v>
      </c>
      <c r="H6" s="490"/>
      <c r="I6" s="490">
        <f>+SUMIFS('Movimientos Reales'!$D$4:$D$1048576,'Movimientos Reales'!$E$4:$E$1048576,'Caja Real mensual '!$T$4,'Movimientos Reales'!$F$4:$F$1048576,'Caja Real mensual '!$D$8)</f>
        <v>0</v>
      </c>
    </row>
    <row r="7" spans="2:11">
      <c r="B7" s="11" t="s">
        <v>9084</v>
      </c>
      <c r="C7" s="11"/>
      <c r="D7" s="2">
        <v>0</v>
      </c>
      <c r="E7" s="2">
        <v>0</v>
      </c>
      <c r="F7" s="2">
        <v>0</v>
      </c>
      <c r="G7" s="2"/>
      <c r="H7" s="2"/>
      <c r="I7" s="2"/>
    </row>
    <row r="8" spans="2:11" ht="12.95">
      <c r="B8" s="15" t="s">
        <v>9017</v>
      </c>
      <c r="C8" s="17"/>
      <c r="D8" s="18">
        <v>33524577.109999999</v>
      </c>
      <c r="E8" s="18">
        <v>1268760</v>
      </c>
      <c r="F8" s="18">
        <v>11759914.73</v>
      </c>
      <c r="G8" s="18">
        <f>+G5+G6</f>
        <v>9833638.0800000001</v>
      </c>
      <c r="H8" s="452"/>
      <c r="I8" s="18">
        <f>+SUM(I2:I6)</f>
        <v>45632</v>
      </c>
      <c r="J8" s="269">
        <f t="shared" ref="J8:J38" si="0">+F8/E8-1</f>
        <v>8.2688252545792746</v>
      </c>
    </row>
    <row r="9" spans="2:11" ht="24.95">
      <c r="B9" s="151" t="s">
        <v>9018</v>
      </c>
      <c r="C9" s="11"/>
      <c r="D9" s="491">
        <v>-106876042.55999999</v>
      </c>
      <c r="E9" s="2">
        <v>-13440587.609999999</v>
      </c>
      <c r="F9" s="491">
        <v>-75614978.400000006</v>
      </c>
      <c r="G9" s="491"/>
      <c r="H9" s="491"/>
      <c r="I9" s="491">
        <f>+SUMIFS('Movimientos Reales'!$D$4:$D$1048576,'Movimientos Reales'!$E$4:$E$1048576,'Caja Real mensual '!$T$4,'Movimientos Reales'!$F$4:$F$1048576,'Caja Real mensual '!$D$14)-I12</f>
        <v>0</v>
      </c>
      <c r="J9" s="269">
        <f t="shared" si="0"/>
        <v>4.6258684957896721</v>
      </c>
    </row>
    <row r="10" spans="2:11">
      <c r="B10" s="11" t="s">
        <v>9019</v>
      </c>
      <c r="C10" s="11"/>
      <c r="D10" s="492">
        <v>-10109281.079999998</v>
      </c>
      <c r="E10" s="12">
        <v>-5266497.38</v>
      </c>
      <c r="F10" s="492">
        <v>-6341487</v>
      </c>
      <c r="G10" s="492"/>
      <c r="H10" s="492"/>
      <c r="I10" s="492">
        <f>+SUMIFS('Gastos Bancarios'!$E$5:$E$1048576,'Gastos Bancarios'!$F$5:$F$1048576,'Caja Real mensual '!#REF!)</f>
        <v>0</v>
      </c>
      <c r="J10" s="269">
        <f t="shared" si="0"/>
        <v>0.20411851415370874</v>
      </c>
    </row>
    <row r="11" spans="2:11">
      <c r="B11" s="11" t="s">
        <v>9020</v>
      </c>
      <c r="C11" s="11"/>
      <c r="D11" s="491">
        <v>-13073777</v>
      </c>
      <c r="E11" s="2">
        <v>-3702784</v>
      </c>
      <c r="F11" s="491">
        <v>2356970</v>
      </c>
      <c r="G11" s="491"/>
      <c r="H11" s="491"/>
      <c r="I11" s="491">
        <f>+SUMIFS('Movimientos Reales'!$D$4:$D$1048576,'Movimientos Reales'!$E$4:$E$1048576,'Caja Real mensual '!$T$4,'Movimientos Reales'!$F$4:$F$1048576,'Caja Real mensual '!$D$16)</f>
        <v>0</v>
      </c>
      <c r="J11" s="269">
        <f t="shared" si="0"/>
        <v>-1.6365399656042587</v>
      </c>
    </row>
    <row r="12" spans="2:11">
      <c r="B12" s="11" t="s">
        <v>9021</v>
      </c>
      <c r="C12" s="11"/>
      <c r="D12" s="491">
        <v>-33928581.390000001</v>
      </c>
      <c r="E12" s="2">
        <v>-1383450</v>
      </c>
      <c r="F12" s="491">
        <v>-3736322</v>
      </c>
      <c r="G12" s="491"/>
      <c r="H12" s="491"/>
      <c r="I12" s="491">
        <f>+SUMIFS('Movimientos Reales'!$D$4:$D$1048576,'Movimientos Reales'!$E$4:$E$1048576,'Caja Real mensual '!$T$4,'Movimientos Reales'!$F$4:$F$1048576,'Caja Real mensual '!$C$17,'Movimientos Reales'!$G$4:$G$1048576,'Caja Real mensual '!$D$17)</f>
        <v>0</v>
      </c>
      <c r="J12" s="269">
        <f t="shared" si="0"/>
        <v>1.7007278904188805</v>
      </c>
    </row>
    <row r="13" spans="2:11" ht="12.95">
      <c r="B13" s="15" t="s">
        <v>9022</v>
      </c>
      <c r="C13" s="17"/>
      <c r="D13" s="18">
        <v>-130463104.91999999</v>
      </c>
      <c r="E13" s="18">
        <v>-22524558.989999998</v>
      </c>
      <c r="F13" s="18">
        <v>-71575902.670000002</v>
      </c>
      <c r="G13" s="18"/>
      <c r="H13" s="452"/>
      <c r="I13" s="18">
        <f>+SUM(I8:I12)</f>
        <v>45632</v>
      </c>
      <c r="J13" s="269">
        <f t="shared" si="0"/>
        <v>2.1776827551552436</v>
      </c>
    </row>
    <row r="14" spans="2:11">
      <c r="B14" s="11" t="s">
        <v>9023</v>
      </c>
      <c r="C14" s="11"/>
      <c r="F14"/>
    </row>
    <row r="15" spans="2:11">
      <c r="B15" s="11" t="s">
        <v>9025</v>
      </c>
      <c r="C15" s="11"/>
      <c r="F15"/>
    </row>
    <row r="16" spans="2:11">
      <c r="B16" s="11" t="s">
        <v>9026</v>
      </c>
      <c r="C16" s="11"/>
      <c r="F16"/>
    </row>
    <row r="17" spans="2:10" ht="12.95">
      <c r="B17" s="15" t="s">
        <v>9027</v>
      </c>
      <c r="C17" s="17"/>
      <c r="D17" s="18">
        <v>-130463104.91999999</v>
      </c>
      <c r="E17" s="18">
        <v>-22524558.989999998</v>
      </c>
      <c r="F17" s="18">
        <v>-71575902.670000002</v>
      </c>
      <c r="G17" s="18"/>
      <c r="H17" s="452"/>
      <c r="I17" s="18">
        <f>+SUM(I13:I16)</f>
        <v>45632</v>
      </c>
      <c r="J17" s="269">
        <f t="shared" si="0"/>
        <v>2.1776827551552436</v>
      </c>
    </row>
    <row r="18" spans="2:10">
      <c r="B18" s="11" t="s">
        <v>9028</v>
      </c>
      <c r="C18" s="11"/>
      <c r="F18"/>
    </row>
    <row r="19" spans="2:10" ht="12.95">
      <c r="B19" s="22" t="s">
        <v>9029</v>
      </c>
      <c r="C19" s="17"/>
      <c r="D19" s="18">
        <v>-130463104.91999999</v>
      </c>
      <c r="E19" s="18">
        <v>-22524558.989999998</v>
      </c>
      <c r="F19" s="18">
        <v>-71575902.670000002</v>
      </c>
      <c r="G19" s="18"/>
      <c r="H19" s="452"/>
      <c r="I19" s="18">
        <f>I17+I18</f>
        <v>45632</v>
      </c>
      <c r="J19" s="269">
        <f t="shared" si="0"/>
        <v>2.1776827551552436</v>
      </c>
    </row>
    <row r="20" spans="2:10" ht="12.95">
      <c r="B20" s="11" t="s">
        <v>9031</v>
      </c>
      <c r="C20" s="17"/>
      <c r="D20" s="2">
        <v>-208887974</v>
      </c>
      <c r="E20" s="2">
        <v>0</v>
      </c>
      <c r="F20" s="2">
        <v>0</v>
      </c>
      <c r="G20" s="2"/>
      <c r="H20" s="2"/>
      <c r="I20" s="2"/>
    </row>
    <row r="21" spans="2:10">
      <c r="B21" s="11" t="s">
        <v>9032</v>
      </c>
      <c r="C21" s="11"/>
      <c r="D21" s="491">
        <v>-328500000</v>
      </c>
      <c r="E21" s="2">
        <v>0</v>
      </c>
      <c r="F21" s="491">
        <v>0</v>
      </c>
      <c r="G21" s="491"/>
      <c r="H21" s="491"/>
      <c r="I21" s="491"/>
    </row>
    <row r="22" spans="2:10">
      <c r="B22" s="11" t="s">
        <v>9034</v>
      </c>
      <c r="C22" s="11"/>
      <c r="D22" s="491"/>
      <c r="E22" s="2"/>
      <c r="F22" s="491"/>
      <c r="G22" s="491"/>
      <c r="H22" s="491"/>
      <c r="I22" s="491"/>
    </row>
    <row r="23" spans="2:10">
      <c r="B23" s="11" t="s">
        <v>9042</v>
      </c>
      <c r="C23" s="11"/>
      <c r="D23" s="491">
        <v>-74867893.61333333</v>
      </c>
      <c r="E23" s="2">
        <v>-7036247.2199999988</v>
      </c>
      <c r="F23" s="491">
        <v>-22429303.210000001</v>
      </c>
      <c r="G23" s="491"/>
      <c r="H23" s="491"/>
      <c r="I23" s="491"/>
      <c r="J23" s="269">
        <f t="shared" si="0"/>
        <v>2.1876798112275546</v>
      </c>
    </row>
    <row r="24" spans="2:10">
      <c r="B24" s="58" t="s">
        <v>9045</v>
      </c>
      <c r="C24" s="6"/>
      <c r="D24" s="491">
        <v>-28786167.666666668</v>
      </c>
      <c r="E24" s="2">
        <v>-37013656.780000001</v>
      </c>
      <c r="F24" s="491">
        <v>-38053922.780000001</v>
      </c>
      <c r="G24" s="491"/>
      <c r="H24" s="491"/>
      <c r="I24" s="491"/>
      <c r="J24" s="269">
        <f t="shared" si="0"/>
        <v>2.8104923709188823E-2</v>
      </c>
    </row>
    <row r="25" spans="2:10">
      <c r="B25" s="11" t="s">
        <v>9046</v>
      </c>
      <c r="C25" s="11"/>
      <c r="D25" s="491">
        <v>-35916370</v>
      </c>
      <c r="E25" s="2">
        <v>-2150900</v>
      </c>
      <c r="F25" s="491">
        <v>-2192700</v>
      </c>
      <c r="G25" s="491"/>
      <c r="H25" s="491"/>
      <c r="I25" s="491"/>
      <c r="J25" s="269">
        <f t="shared" si="0"/>
        <v>1.9433725417267178E-2</v>
      </c>
    </row>
    <row r="26" spans="2:10">
      <c r="B26" s="11" t="s">
        <v>9047</v>
      </c>
      <c r="C26" s="11"/>
      <c r="D26" s="491">
        <v>-11862081.333333334</v>
      </c>
      <c r="E26" s="2">
        <v>-23137466</v>
      </c>
      <c r="F26" s="491">
        <v>-23657600</v>
      </c>
      <c r="G26" s="491"/>
      <c r="H26" s="491"/>
      <c r="I26" s="491"/>
      <c r="J26" s="269">
        <f t="shared" si="0"/>
        <v>2.2480162693702122E-2</v>
      </c>
    </row>
    <row r="27" spans="2:10">
      <c r="B27" s="11" t="s">
        <v>9048</v>
      </c>
      <c r="C27" s="11"/>
      <c r="D27" s="491">
        <v>770881762.92666662</v>
      </c>
      <c r="E27" s="2">
        <v>-63642171.710000038</v>
      </c>
      <c r="F27" s="491">
        <v>430712611.42999995</v>
      </c>
      <c r="G27" s="491"/>
      <c r="H27" s="491"/>
      <c r="I27" s="491"/>
      <c r="J27" s="269">
        <f t="shared" si="0"/>
        <v>-7.7677233484840755</v>
      </c>
    </row>
    <row r="28" spans="2:10">
      <c r="B28" s="11" t="s">
        <v>9085</v>
      </c>
      <c r="C28" s="11"/>
      <c r="D28" s="491">
        <v>0</v>
      </c>
      <c r="E28" s="2">
        <v>0</v>
      </c>
      <c r="F28" s="491">
        <v>0</v>
      </c>
      <c r="G28" s="491"/>
      <c r="H28" s="491"/>
      <c r="I28" s="491"/>
      <c r="J28" s="269" t="e">
        <f t="shared" si="0"/>
        <v>#DIV/0!</v>
      </c>
    </row>
    <row r="29" spans="2:10" ht="12.95">
      <c r="B29" s="23" t="s">
        <v>9053</v>
      </c>
      <c r="C29" s="25"/>
      <c r="D29" s="2">
        <v>-34693000</v>
      </c>
      <c r="E29" s="2">
        <v>0</v>
      </c>
      <c r="F29" s="2">
        <v>-55738000</v>
      </c>
      <c r="G29" s="2"/>
      <c r="H29" s="2"/>
      <c r="I29" s="2"/>
    </row>
    <row r="30" spans="2:10" ht="12.95">
      <c r="B30" s="11" t="s">
        <v>9054</v>
      </c>
      <c r="C30" s="11"/>
      <c r="D30" s="26">
        <v>-83094828.606666684</v>
      </c>
      <c r="E30" s="26">
        <v>-155505000.70000005</v>
      </c>
      <c r="F30" s="26">
        <v>217065182.76999995</v>
      </c>
      <c r="G30" s="26"/>
      <c r="H30" s="524"/>
      <c r="I30" s="524"/>
      <c r="J30" s="269">
        <f t="shared" si="0"/>
        <v>-2.3958726844338702</v>
      </c>
    </row>
    <row r="31" spans="2:10" ht="12.95">
      <c r="B31" s="15" t="s">
        <v>9055</v>
      </c>
      <c r="C31" s="17"/>
      <c r="D31" s="491">
        <v>-70707255.689999998</v>
      </c>
      <c r="E31" s="2">
        <v>-19466315.690000001</v>
      </c>
      <c r="F31" s="491">
        <v>-42053215.710000008</v>
      </c>
      <c r="G31" s="491"/>
      <c r="H31" s="491"/>
      <c r="I31" s="491"/>
      <c r="J31" s="269">
        <f t="shared" si="0"/>
        <v>1.1603068798274485</v>
      </c>
    </row>
    <row r="32" spans="2:10" ht="12.95">
      <c r="B32" s="11" t="s">
        <v>9056</v>
      </c>
      <c r="C32" s="11"/>
      <c r="D32" s="18">
        <v>-153802084.29666668</v>
      </c>
      <c r="E32" s="18">
        <v>-174971316.39000005</v>
      </c>
      <c r="F32" s="18">
        <v>175011967.05999994</v>
      </c>
      <c r="G32" s="18"/>
      <c r="H32" s="452"/>
      <c r="I32" s="452"/>
      <c r="J32" s="269">
        <f t="shared" si="0"/>
        <v>-2.0002323276228275</v>
      </c>
    </row>
    <row r="33" spans="2:11">
      <c r="B33" s="11" t="s">
        <v>9057</v>
      </c>
      <c r="C33" s="11"/>
      <c r="F33"/>
    </row>
    <row r="34" spans="2:11">
      <c r="B34" s="11" t="s">
        <v>9058</v>
      </c>
      <c r="C34" s="11"/>
      <c r="D34" s="6"/>
      <c r="E34" s="6"/>
      <c r="F34" s="6"/>
      <c r="G34" s="6"/>
      <c r="H34" s="6"/>
      <c r="I34" s="6"/>
    </row>
    <row r="35" spans="2:11" ht="12.95">
      <c r="B35" s="15" t="s">
        <v>9059</v>
      </c>
      <c r="C35" s="17"/>
      <c r="D35" s="6"/>
      <c r="E35" s="6"/>
      <c r="F35" s="6"/>
      <c r="G35" s="6"/>
      <c r="H35" s="6"/>
      <c r="I35" s="6"/>
    </row>
    <row r="36" spans="2:11" ht="12.95">
      <c r="B36" s="11" t="s">
        <v>9060</v>
      </c>
      <c r="C36" s="11"/>
      <c r="D36" s="18">
        <f>+D32+D33+D35</f>
        <v>-153802084.29666668</v>
      </c>
      <c r="E36" s="18">
        <v>-174971316.39000005</v>
      </c>
      <c r="F36" s="18">
        <v>175011967.05999994</v>
      </c>
      <c r="G36" s="18"/>
      <c r="H36" s="452"/>
      <c r="I36" s="452"/>
      <c r="J36" s="269">
        <f t="shared" si="0"/>
        <v>-2.0002323276228275</v>
      </c>
    </row>
    <row r="37" spans="2:11" ht="12.95">
      <c r="B37" s="28" t="s">
        <v>9061</v>
      </c>
      <c r="C37" s="30"/>
      <c r="D37" s="12">
        <f>+G37</f>
        <v>0</v>
      </c>
      <c r="E37" s="12">
        <v>402963635.16298419</v>
      </c>
      <c r="F37" s="12">
        <v>402963635.16298419</v>
      </c>
      <c r="G37" s="12"/>
      <c r="H37" s="12"/>
      <c r="I37" s="12"/>
      <c r="J37" s="269">
        <f t="shared" si="0"/>
        <v>0</v>
      </c>
    </row>
    <row r="38" spans="2:11" ht="12.95">
      <c r="B38" t="s">
        <v>9062</v>
      </c>
      <c r="D38" s="31">
        <f>+D36+D37</f>
        <v>-153802084.29666668</v>
      </c>
      <c r="E38" s="31">
        <v>227992318.77298415</v>
      </c>
      <c r="F38" s="31">
        <v>577975602.22298408</v>
      </c>
      <c r="G38" s="31"/>
      <c r="H38" s="525"/>
      <c r="I38" s="525"/>
      <c r="J38" s="269">
        <f t="shared" si="0"/>
        <v>1.5350661168479287</v>
      </c>
    </row>
    <row r="39" spans="2:11">
      <c r="K39" s="269"/>
    </row>
  </sheetData>
  <pageMargins left="0.7" right="0.7" top="0.75" bottom="0.75" header="0.3" footer="0.3"/>
  <pageSetup scale="46"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28303-161C-4C31-8C68-8BE7E1FCA5B4}">
  <sheetPr>
    <outlinePr summaryBelow="0" summaryRight="0"/>
  </sheetPr>
  <dimension ref="B3:AA82"/>
  <sheetViews>
    <sheetView zoomScale="80" zoomScaleNormal="80" workbookViewId="0">
      <selection activeCell="F10" sqref="F10"/>
    </sheetView>
  </sheetViews>
  <sheetFormatPr defaultColWidth="14.42578125" defaultRowHeight="15" customHeight="1"/>
  <cols>
    <col min="1" max="1" width="6.7109375" customWidth="1"/>
    <col min="2" max="2" width="41.7109375" customWidth="1"/>
    <col min="3" max="3" width="32.28515625" customWidth="1"/>
    <col min="4" max="4" width="17.42578125" customWidth="1"/>
    <col min="5" max="5" width="16.28515625" bestFit="1" customWidth="1"/>
    <col min="6" max="6" width="16.5703125" bestFit="1" customWidth="1"/>
    <col min="7" max="7" width="16.28515625" style="13" bestFit="1" customWidth="1"/>
    <col min="8" max="8" width="16.7109375" style="13" bestFit="1" customWidth="1"/>
    <col min="9" max="16" width="16.28515625" bestFit="1" customWidth="1"/>
    <col min="17" max="17" width="12.5703125" customWidth="1"/>
    <col min="18" max="18" width="12.42578125" customWidth="1"/>
    <col min="19" max="19" width="12.28515625" bestFit="1" customWidth="1"/>
    <col min="20" max="22" width="12.140625" customWidth="1"/>
    <col min="23" max="25" width="15" customWidth="1"/>
  </cols>
  <sheetData>
    <row r="3" spans="2:27" ht="15" customHeight="1">
      <c r="W3" s="274">
        <v>0.01</v>
      </c>
      <c r="X3" s="89">
        <v>5.2199999999999998E-3</v>
      </c>
      <c r="Z3" s="267"/>
    </row>
    <row r="4" spans="2:27" ht="15" customHeight="1" thickBot="1">
      <c r="U4" s="274">
        <v>0.04</v>
      </c>
      <c r="V4" s="274">
        <v>0.04</v>
      </c>
      <c r="W4" s="89">
        <v>0.12</v>
      </c>
      <c r="X4" s="89">
        <v>6.9599999999999995E-2</v>
      </c>
      <c r="Y4" s="274">
        <v>0.04</v>
      </c>
    </row>
    <row r="5" spans="2:27" ht="27.95" customHeight="1" thickBot="1">
      <c r="B5" s="173" t="s">
        <v>9086</v>
      </c>
      <c r="C5" s="173" t="s">
        <v>9087</v>
      </c>
      <c r="D5" s="241" t="s">
        <v>9088</v>
      </c>
      <c r="E5" s="173">
        <v>45292</v>
      </c>
      <c r="F5" s="173" t="s">
        <v>7654</v>
      </c>
      <c r="G5" s="173">
        <v>45323</v>
      </c>
      <c r="H5" s="173" t="s">
        <v>9089</v>
      </c>
      <c r="I5" s="173">
        <v>45352</v>
      </c>
      <c r="J5" s="173">
        <v>45383</v>
      </c>
      <c r="K5" s="173">
        <v>45413</v>
      </c>
      <c r="L5" s="173">
        <v>45444</v>
      </c>
      <c r="M5" s="173" t="s">
        <v>9090</v>
      </c>
      <c r="N5" s="173">
        <v>45474</v>
      </c>
      <c r="O5" s="173">
        <v>45505</v>
      </c>
      <c r="P5" s="173">
        <v>45536</v>
      </c>
      <c r="Q5" s="173">
        <v>45566</v>
      </c>
      <c r="R5" s="173">
        <v>45597</v>
      </c>
      <c r="S5" s="173">
        <v>45627</v>
      </c>
      <c r="T5" s="173" t="s">
        <v>9090</v>
      </c>
      <c r="U5" s="275" t="s">
        <v>9091</v>
      </c>
      <c r="V5" s="272" t="s">
        <v>9092</v>
      </c>
      <c r="W5" s="272" t="s">
        <v>9093</v>
      </c>
      <c r="X5" s="272" t="s">
        <v>9094</v>
      </c>
      <c r="Y5" s="272" t="s">
        <v>9095</v>
      </c>
      <c r="Z5" s="273">
        <v>0.39460000000000001</v>
      </c>
      <c r="AA5" s="269">
        <v>0.12520000000000001</v>
      </c>
    </row>
    <row r="6" spans="2:27" ht="15" customHeight="1" thickBot="1">
      <c r="B6" s="261" t="s">
        <v>9096</v>
      </c>
      <c r="C6" s="261" t="s">
        <v>9097</v>
      </c>
      <c r="D6" s="81" t="s">
        <v>291</v>
      </c>
      <c r="E6" s="262">
        <v>8500000</v>
      </c>
      <c r="F6" s="265">
        <v>480000</v>
      </c>
      <c r="G6" s="262">
        <v>8500000</v>
      </c>
      <c r="H6" s="265">
        <v>4000000</v>
      </c>
      <c r="I6" s="262">
        <v>8500000</v>
      </c>
      <c r="J6" s="262">
        <v>8500000</v>
      </c>
      <c r="K6" s="262">
        <v>8500000</v>
      </c>
      <c r="L6" s="262">
        <v>8500000</v>
      </c>
      <c r="M6" s="265">
        <f>6120000/2</f>
        <v>3060000</v>
      </c>
      <c r="N6" s="262">
        <v>8500000</v>
      </c>
      <c r="O6" s="262">
        <v>8500000</v>
      </c>
      <c r="P6" s="262">
        <v>8500000</v>
      </c>
      <c r="Q6" s="262">
        <v>8500000</v>
      </c>
      <c r="R6" s="262">
        <v>8500000</v>
      </c>
      <c r="S6" s="262">
        <v>8500000</v>
      </c>
      <c r="T6" s="270">
        <f>6120000/2</f>
        <v>3060000</v>
      </c>
      <c r="U6" s="271">
        <f>6120000*$U$4+6120000*$U$3</f>
        <v>244800</v>
      </c>
      <c r="V6" s="271">
        <f>6120000*$V$4+6120000*$V$3</f>
        <v>244800</v>
      </c>
      <c r="W6" s="271">
        <f>6120000*$W$4+6120000*$W$3</f>
        <v>795600</v>
      </c>
      <c r="X6" s="271">
        <f>6120000*$X$3</f>
        <v>31946.399999999998</v>
      </c>
      <c r="Y6" s="271">
        <f>6120000*$Y$4</f>
        <v>244800</v>
      </c>
      <c r="Z6" s="81"/>
    </row>
    <row r="7" spans="2:27" ht="15" customHeight="1" thickBot="1">
      <c r="B7" s="81" t="s">
        <v>9098</v>
      </c>
      <c r="C7" s="81" t="s">
        <v>9099</v>
      </c>
      <c r="D7" s="81" t="s">
        <v>291</v>
      </c>
      <c r="E7" s="263">
        <v>8500000</v>
      </c>
      <c r="F7" s="266">
        <v>480000</v>
      </c>
      <c r="G7" s="263">
        <v>8500000</v>
      </c>
      <c r="H7" s="266">
        <v>4000000</v>
      </c>
      <c r="I7" s="263">
        <v>8500000</v>
      </c>
      <c r="J7" s="263">
        <v>8500000</v>
      </c>
      <c r="K7" s="263">
        <v>8500000</v>
      </c>
      <c r="L7" s="263">
        <v>8500000</v>
      </c>
      <c r="M7" s="265">
        <f>6120000/2</f>
        <v>3060000</v>
      </c>
      <c r="N7" s="263">
        <v>8500000</v>
      </c>
      <c r="O7" s="263">
        <v>8500000</v>
      </c>
      <c r="P7" s="263">
        <v>8500000</v>
      </c>
      <c r="Q7" s="263">
        <v>8500000</v>
      </c>
      <c r="R7" s="263">
        <v>8500000</v>
      </c>
      <c r="S7" s="263">
        <v>8500000</v>
      </c>
      <c r="T7" s="270">
        <f>6120000/2</f>
        <v>3060000</v>
      </c>
      <c r="U7" s="271">
        <f>6120000*$U$4+6120000*$U$3</f>
        <v>244800</v>
      </c>
      <c r="V7" s="271">
        <f>6120000*$U$4+6120000*$U$3</f>
        <v>244800</v>
      </c>
      <c r="W7" s="271">
        <f>6120000*$W$4+6120000*$W$3</f>
        <v>795600</v>
      </c>
      <c r="X7" s="271">
        <f>6120000*$X$3</f>
        <v>31946.399999999998</v>
      </c>
      <c r="Y7" s="271">
        <f>6120000*$Y$4</f>
        <v>244800</v>
      </c>
      <c r="Z7" s="81"/>
    </row>
    <row r="8" spans="2:27" ht="15" customHeight="1" thickBot="1">
      <c r="B8" s="81" t="s">
        <v>9100</v>
      </c>
      <c r="C8" s="81" t="s">
        <v>9101</v>
      </c>
      <c r="D8" s="81" t="s">
        <v>291</v>
      </c>
      <c r="E8" s="263">
        <v>8500000</v>
      </c>
      <c r="F8" s="266">
        <v>480000</v>
      </c>
      <c r="G8" s="263">
        <v>8500000</v>
      </c>
      <c r="H8" s="266">
        <v>4000000</v>
      </c>
      <c r="I8" s="263">
        <v>8500000</v>
      </c>
      <c r="J8" s="263">
        <v>8500000</v>
      </c>
      <c r="K8" s="263">
        <v>8500000</v>
      </c>
      <c r="L8" s="263">
        <v>8500000</v>
      </c>
      <c r="M8" s="265">
        <f>6120000/2</f>
        <v>3060000</v>
      </c>
      <c r="N8" s="263">
        <v>8500000</v>
      </c>
      <c r="O8" s="263">
        <v>8500000</v>
      </c>
      <c r="P8" s="263">
        <v>8500000</v>
      </c>
      <c r="Q8" s="263">
        <v>8500000</v>
      </c>
      <c r="R8" s="263">
        <v>8500000</v>
      </c>
      <c r="S8" s="263">
        <v>8500000</v>
      </c>
      <c r="T8" s="270">
        <f>6120000/2</f>
        <v>3060000</v>
      </c>
      <c r="U8" s="271">
        <f>6120000*$U$4+6120000*$U$3</f>
        <v>244800</v>
      </c>
      <c r="V8" s="271">
        <f>6120000*$U$4+6120000*$U$3</f>
        <v>244800</v>
      </c>
      <c r="W8" s="271">
        <f>6120000*$W$4+6120000*$W$3</f>
        <v>795600</v>
      </c>
      <c r="X8" s="271">
        <f>6120000*$X$3</f>
        <v>31946.399999999998</v>
      </c>
      <c r="Y8" s="271">
        <f>6120000*$Y$4</f>
        <v>244800</v>
      </c>
      <c r="Z8" s="81"/>
    </row>
    <row r="9" spans="2:27" ht="15" customHeight="1" thickBot="1">
      <c r="B9" s="81" t="s">
        <v>9102</v>
      </c>
      <c r="C9" s="81" t="s">
        <v>9103</v>
      </c>
      <c r="D9" s="81" t="s">
        <v>291</v>
      </c>
      <c r="E9" s="263">
        <v>4400000</v>
      </c>
      <c r="F9" s="266">
        <v>27313.008024074072</v>
      </c>
      <c r="G9" s="263">
        <v>4400000</v>
      </c>
      <c r="H9" s="266">
        <v>795524.50555555557</v>
      </c>
      <c r="I9" s="263">
        <v>4400000</v>
      </c>
      <c r="J9" s="263">
        <v>4400000</v>
      </c>
      <c r="K9" s="263">
        <v>4400000</v>
      </c>
      <c r="L9" s="263">
        <v>4400000</v>
      </c>
      <c r="M9" s="265">
        <f>E9/2</f>
        <v>2200000</v>
      </c>
      <c r="N9" s="263">
        <v>4400000</v>
      </c>
      <c r="O9" s="263">
        <v>4400000</v>
      </c>
      <c r="P9" s="263">
        <v>4400000</v>
      </c>
      <c r="Q9" s="263">
        <v>4400000</v>
      </c>
      <c r="R9" s="263">
        <v>4400000</v>
      </c>
      <c r="S9" s="263">
        <v>4400000</v>
      </c>
      <c r="T9" s="270">
        <f>E9/2</f>
        <v>2200000</v>
      </c>
      <c r="U9" s="271">
        <f>+E9*$U$4</f>
        <v>176000</v>
      </c>
      <c r="V9" s="271">
        <f>+F9*$U$4</f>
        <v>1092.5203209629628</v>
      </c>
      <c r="W9" s="271">
        <f>+E9*$W$4</f>
        <v>528000</v>
      </c>
      <c r="X9" s="271">
        <f>+E9*$X$3</f>
        <v>22968</v>
      </c>
      <c r="Y9" s="271">
        <f>+E9*$Y$4</f>
        <v>176000</v>
      </c>
      <c r="Z9" s="81"/>
    </row>
    <row r="10" spans="2:27" ht="15" customHeight="1" thickBot="1">
      <c r="B10" s="81" t="s">
        <v>9104</v>
      </c>
      <c r="C10" s="81" t="s">
        <v>9105</v>
      </c>
      <c r="D10" s="81" t="s">
        <v>291</v>
      </c>
      <c r="E10" s="263">
        <f>2600000+162000</f>
        <v>2762000</v>
      </c>
      <c r="F10" s="266">
        <v>267432.72000000003</v>
      </c>
      <c r="G10" s="263">
        <f>2600000+162000</f>
        <v>2762000</v>
      </c>
      <c r="H10" s="266">
        <v>2228606</v>
      </c>
      <c r="I10" s="263">
        <f>2600000+162000</f>
        <v>2762000</v>
      </c>
      <c r="J10" s="263">
        <f>2600000+162000</f>
        <v>2762000</v>
      </c>
      <c r="K10" s="263">
        <f>2600000+162000</f>
        <v>2762000</v>
      </c>
      <c r="L10" s="263">
        <f>2600000+162000</f>
        <v>2762000</v>
      </c>
      <c r="M10" s="265">
        <f>E10/2</f>
        <v>1381000</v>
      </c>
      <c r="N10" s="263">
        <f t="shared" ref="N10:S10" si="0">2600000+162000</f>
        <v>2762000</v>
      </c>
      <c r="O10" s="263">
        <f t="shared" si="0"/>
        <v>2762000</v>
      </c>
      <c r="P10" s="263">
        <f t="shared" si="0"/>
        <v>2762000</v>
      </c>
      <c r="Q10" s="263">
        <f t="shared" si="0"/>
        <v>2762000</v>
      </c>
      <c r="R10" s="263">
        <f t="shared" si="0"/>
        <v>2762000</v>
      </c>
      <c r="S10" s="263">
        <f t="shared" si="0"/>
        <v>2762000</v>
      </c>
      <c r="T10" s="270">
        <f>E10/2</f>
        <v>1381000</v>
      </c>
      <c r="U10" s="271">
        <f>+E10*$U$4</f>
        <v>110480</v>
      </c>
      <c r="V10" s="271">
        <f>+F10*$V$4</f>
        <v>10697.308800000001</v>
      </c>
      <c r="W10" s="271">
        <f>+E10*$W$4</f>
        <v>331440</v>
      </c>
      <c r="X10" s="271">
        <f>+E10*$X$3</f>
        <v>14417.64</v>
      </c>
      <c r="Y10" s="271">
        <f>+E10*$Y$4</f>
        <v>110480</v>
      </c>
      <c r="Z10" s="81"/>
    </row>
    <row r="11" spans="2:27" ht="15" customHeight="1" thickBot="1">
      <c r="B11" s="81" t="s">
        <v>9106</v>
      </c>
      <c r="C11" s="81" t="s">
        <v>9107</v>
      </c>
      <c r="D11" s="81" t="s">
        <v>291</v>
      </c>
      <c r="E11" s="263">
        <f>1300000+162000</f>
        <v>1462000</v>
      </c>
      <c r="F11" s="266"/>
      <c r="G11" s="263">
        <f>1300000+162000</f>
        <v>1462000</v>
      </c>
      <c r="H11" s="266"/>
      <c r="I11" s="263">
        <f t="shared" ref="I11:L12" si="1">1300000+162000</f>
        <v>1462000</v>
      </c>
      <c r="J11" s="263">
        <f t="shared" si="1"/>
        <v>1462000</v>
      </c>
      <c r="K11" s="263">
        <f t="shared" si="1"/>
        <v>1462000</v>
      </c>
      <c r="L11" s="263">
        <f t="shared" si="1"/>
        <v>1462000</v>
      </c>
      <c r="M11" s="265">
        <f>E11/2</f>
        <v>731000</v>
      </c>
      <c r="N11" s="263">
        <v>1300000</v>
      </c>
      <c r="O11" s="263">
        <v>1300000</v>
      </c>
      <c r="P11" s="263">
        <v>1300000</v>
      </c>
      <c r="Q11" s="263">
        <v>1300000</v>
      </c>
      <c r="R11" s="263">
        <v>1300000</v>
      </c>
      <c r="S11" s="263">
        <v>1300000</v>
      </c>
      <c r="T11" s="270">
        <f>E11/2</f>
        <v>731000</v>
      </c>
      <c r="U11" s="271">
        <f>+E11*$U$4</f>
        <v>58480</v>
      </c>
      <c r="V11" s="271">
        <f>+E11*$V$4</f>
        <v>58480</v>
      </c>
      <c r="W11" s="271">
        <f>+E11*$W$4</f>
        <v>175440</v>
      </c>
      <c r="X11" s="271">
        <f>+E11*$X$3</f>
        <v>7631.6399999999994</v>
      </c>
      <c r="Y11" s="271">
        <f>+E11*$Y$4</f>
        <v>58480</v>
      </c>
      <c r="Z11" s="81"/>
    </row>
    <row r="12" spans="2:27" ht="15" customHeight="1" thickBot="1">
      <c r="B12" s="81" t="s">
        <v>9108</v>
      </c>
      <c r="C12" s="81" t="s">
        <v>9109</v>
      </c>
      <c r="D12" s="81" t="s">
        <v>291</v>
      </c>
      <c r="E12" s="263">
        <f>1300000+162000</f>
        <v>1462000</v>
      </c>
      <c r="F12" s="266"/>
      <c r="G12" s="263">
        <f>1300000+162000</f>
        <v>1462000</v>
      </c>
      <c r="H12" s="266"/>
      <c r="I12" s="263">
        <f t="shared" si="1"/>
        <v>1462000</v>
      </c>
      <c r="J12" s="263">
        <f t="shared" si="1"/>
        <v>1462000</v>
      </c>
      <c r="K12" s="263">
        <f t="shared" si="1"/>
        <v>1462000</v>
      </c>
      <c r="L12" s="263">
        <f t="shared" si="1"/>
        <v>1462000</v>
      </c>
      <c r="M12" s="265"/>
      <c r="N12" s="263">
        <v>1300000</v>
      </c>
      <c r="O12" s="263">
        <v>1300000</v>
      </c>
      <c r="P12" s="263">
        <v>1300000</v>
      </c>
      <c r="Q12" s="263">
        <v>1300000</v>
      </c>
      <c r="R12" s="263">
        <v>1300000</v>
      </c>
      <c r="S12" s="263">
        <v>1300000</v>
      </c>
      <c r="T12" s="270"/>
      <c r="U12" s="271"/>
      <c r="V12" s="271">
        <f>+F12*$U$4</f>
        <v>0</v>
      </c>
      <c r="W12" s="271"/>
      <c r="X12" s="271"/>
      <c r="Y12" s="271"/>
      <c r="Z12" s="81"/>
    </row>
    <row r="13" spans="2:27" ht="15" customHeight="1" thickBot="1">
      <c r="B13" s="81" t="s">
        <v>9110</v>
      </c>
      <c r="C13" s="300" t="s">
        <v>9111</v>
      </c>
      <c r="D13" s="81" t="s">
        <v>9112</v>
      </c>
      <c r="E13" s="263">
        <v>6420000</v>
      </c>
      <c r="F13" s="266">
        <v>623204.42999999993</v>
      </c>
      <c r="G13" s="263">
        <v>6420000</v>
      </c>
      <c r="H13" s="266">
        <v>5193370.25</v>
      </c>
      <c r="I13" s="263">
        <v>6420000</v>
      </c>
      <c r="J13" s="263">
        <v>6420000</v>
      </c>
      <c r="K13" s="263">
        <v>6420000</v>
      </c>
      <c r="L13" s="263">
        <v>6420000</v>
      </c>
      <c r="M13" s="265">
        <f t="shared" ref="M13:M51" si="2">E13/2</f>
        <v>3210000</v>
      </c>
      <c r="N13" s="263">
        <v>6420000</v>
      </c>
      <c r="O13" s="263">
        <v>6420000</v>
      </c>
      <c r="P13" s="263">
        <v>6420000</v>
      </c>
      <c r="Q13" s="263">
        <v>6420000</v>
      </c>
      <c r="R13" s="263">
        <v>6420000</v>
      </c>
      <c r="S13" s="263">
        <v>6420000</v>
      </c>
      <c r="T13" s="270">
        <f t="shared" ref="T13:T51" si="3">E13/2</f>
        <v>3210000</v>
      </c>
      <c r="U13" s="271">
        <f t="shared" ref="U13:U25" si="4">+E13*$U$4</f>
        <v>256800</v>
      </c>
      <c r="V13" s="271">
        <f t="shared" ref="V13:V25" si="5">+E13*$V$4</f>
        <v>256800</v>
      </c>
      <c r="W13" s="271">
        <f>+E13*$W$4+E13*W3</f>
        <v>834600</v>
      </c>
      <c r="X13" s="271">
        <f t="shared" ref="X13:X25" si="6">+E13*$X$4</f>
        <v>446831.99999999994</v>
      </c>
      <c r="Y13" s="271">
        <f t="shared" ref="Y13:Y25" si="7">+E13*$Y$4</f>
        <v>256800</v>
      </c>
      <c r="Z13" s="81"/>
    </row>
    <row r="14" spans="2:27" ht="15" customHeight="1" thickBot="1">
      <c r="B14" s="81" t="s">
        <v>9113</v>
      </c>
      <c r="C14" s="300" t="s">
        <v>9114</v>
      </c>
      <c r="D14" s="81" t="s">
        <v>9112</v>
      </c>
      <c r="E14" s="263">
        <v>3060000</v>
      </c>
      <c r="F14" s="266">
        <v>336000</v>
      </c>
      <c r="G14" s="263">
        <v>3060000</v>
      </c>
      <c r="H14" s="266">
        <v>2800000</v>
      </c>
      <c r="I14" s="263">
        <v>3060000</v>
      </c>
      <c r="J14" s="263">
        <v>3060000</v>
      </c>
      <c r="K14" s="263">
        <v>3060000</v>
      </c>
      <c r="L14" s="263">
        <v>3060000</v>
      </c>
      <c r="M14" s="265">
        <f t="shared" si="2"/>
        <v>1530000</v>
      </c>
      <c r="N14" s="263">
        <v>3060000</v>
      </c>
      <c r="O14" s="263">
        <v>3060000</v>
      </c>
      <c r="P14" s="263">
        <v>3060000</v>
      </c>
      <c r="Q14" s="263">
        <v>3060000</v>
      </c>
      <c r="R14" s="263">
        <v>3060000</v>
      </c>
      <c r="S14" s="263">
        <v>3060000</v>
      </c>
      <c r="T14" s="270">
        <f t="shared" si="3"/>
        <v>1530000</v>
      </c>
      <c r="U14" s="271">
        <f t="shared" si="4"/>
        <v>122400</v>
      </c>
      <c r="V14" s="271">
        <f t="shared" si="5"/>
        <v>122400</v>
      </c>
      <c r="W14" s="271">
        <f t="shared" ref="W14:W25" si="8">+E14*$W$4</f>
        <v>367200</v>
      </c>
      <c r="X14" s="271">
        <f t="shared" si="6"/>
        <v>212975.99999999997</v>
      </c>
      <c r="Y14" s="271">
        <f t="shared" si="7"/>
        <v>122400</v>
      </c>
      <c r="Z14" s="81"/>
    </row>
    <row r="15" spans="2:27" ht="15" customHeight="1" thickBot="1">
      <c r="B15" s="81" t="s">
        <v>9113</v>
      </c>
      <c r="C15" s="300" t="s">
        <v>9114</v>
      </c>
      <c r="D15" s="81" t="s">
        <v>9112</v>
      </c>
      <c r="E15" s="263"/>
      <c r="F15" s="266"/>
      <c r="G15" s="263"/>
      <c r="H15" s="266"/>
      <c r="I15" s="263"/>
      <c r="J15" s="263"/>
      <c r="K15" s="263"/>
      <c r="L15" s="263">
        <f>+L14</f>
        <v>3060000</v>
      </c>
      <c r="M15" s="265"/>
      <c r="N15" s="263">
        <f t="shared" ref="N15:Y15" si="9">+N14</f>
        <v>3060000</v>
      </c>
      <c r="O15" s="263">
        <f t="shared" si="9"/>
        <v>3060000</v>
      </c>
      <c r="P15" s="263">
        <f t="shared" si="9"/>
        <v>3060000</v>
      </c>
      <c r="Q15" s="263">
        <f t="shared" si="9"/>
        <v>3060000</v>
      </c>
      <c r="R15" s="263">
        <f t="shared" si="9"/>
        <v>3060000</v>
      </c>
      <c r="S15" s="263">
        <f t="shared" si="9"/>
        <v>3060000</v>
      </c>
      <c r="T15" s="263">
        <f t="shared" si="9"/>
        <v>1530000</v>
      </c>
      <c r="U15" s="263">
        <f t="shared" si="9"/>
        <v>122400</v>
      </c>
      <c r="V15" s="263">
        <f t="shared" si="9"/>
        <v>122400</v>
      </c>
      <c r="W15" s="263">
        <f t="shared" si="9"/>
        <v>367200</v>
      </c>
      <c r="X15" s="263">
        <f t="shared" si="9"/>
        <v>212975.99999999997</v>
      </c>
      <c r="Y15" s="263">
        <f t="shared" si="9"/>
        <v>122400</v>
      </c>
      <c r="Z15" s="81"/>
    </row>
    <row r="16" spans="2:27" ht="15" customHeight="1" thickBot="1">
      <c r="B16" s="81" t="s">
        <v>9115</v>
      </c>
      <c r="C16" s="300" t="s">
        <v>9116</v>
      </c>
      <c r="D16" s="81" t="s">
        <v>9112</v>
      </c>
      <c r="E16" s="263">
        <v>3060000</v>
      </c>
      <c r="F16" s="266">
        <v>313812.26853723399</v>
      </c>
      <c r="G16" s="263">
        <v>3060000</v>
      </c>
      <c r="H16" s="266">
        <v>2728802.3351063826</v>
      </c>
      <c r="I16" s="263">
        <v>3060000</v>
      </c>
      <c r="J16" s="263">
        <v>3060000</v>
      </c>
      <c r="K16" s="263">
        <v>3060000</v>
      </c>
      <c r="L16" s="263">
        <v>3060000</v>
      </c>
      <c r="M16" s="265">
        <f t="shared" si="2"/>
        <v>1530000</v>
      </c>
      <c r="N16" s="263">
        <v>3060000</v>
      </c>
      <c r="O16" s="263">
        <v>3060000</v>
      </c>
      <c r="P16" s="263">
        <v>3060000</v>
      </c>
      <c r="Q16" s="263">
        <v>3060000</v>
      </c>
      <c r="R16" s="263">
        <v>3060000</v>
      </c>
      <c r="S16" s="263">
        <v>3060000</v>
      </c>
      <c r="T16" s="270">
        <f t="shared" si="3"/>
        <v>1530000</v>
      </c>
      <c r="U16" s="271">
        <f t="shared" si="4"/>
        <v>122400</v>
      </c>
      <c r="V16" s="271">
        <f t="shared" si="5"/>
        <v>122400</v>
      </c>
      <c r="W16" s="271">
        <f t="shared" si="8"/>
        <v>367200</v>
      </c>
      <c r="X16" s="271">
        <f t="shared" si="6"/>
        <v>212975.99999999997</v>
      </c>
      <c r="Y16" s="271">
        <f t="shared" si="7"/>
        <v>122400</v>
      </c>
      <c r="Z16" s="81"/>
    </row>
    <row r="17" spans="2:26" ht="15" customHeight="1" thickBot="1">
      <c r="B17" s="81" t="s">
        <v>9117</v>
      </c>
      <c r="C17" s="300" t="s">
        <v>9118</v>
      </c>
      <c r="D17" s="81" t="s">
        <v>9112</v>
      </c>
      <c r="E17" s="263">
        <f>2500000+162000</f>
        <v>2662000</v>
      </c>
      <c r="F17" s="266">
        <v>4898.1481481481478</v>
      </c>
      <c r="G17" s="263">
        <f>2500000+162000</f>
        <v>2662000</v>
      </c>
      <c r="H17" s="266">
        <v>319444.44444444444</v>
      </c>
      <c r="I17" s="263">
        <f t="shared" ref="I17:L17" si="10">2500000+162000</f>
        <v>2662000</v>
      </c>
      <c r="J17" s="263">
        <f t="shared" si="10"/>
        <v>2662000</v>
      </c>
      <c r="K17" s="263">
        <f t="shared" si="10"/>
        <v>2662000</v>
      </c>
      <c r="L17" s="263">
        <f t="shared" si="10"/>
        <v>2662000</v>
      </c>
      <c r="M17" s="265">
        <f t="shared" si="2"/>
        <v>1331000</v>
      </c>
      <c r="N17" s="263">
        <f t="shared" ref="N17:S17" si="11">2500000+162000</f>
        <v>2662000</v>
      </c>
      <c r="O17" s="263">
        <f t="shared" si="11"/>
        <v>2662000</v>
      </c>
      <c r="P17" s="263">
        <f t="shared" si="11"/>
        <v>2662000</v>
      </c>
      <c r="Q17" s="263">
        <f t="shared" si="11"/>
        <v>2662000</v>
      </c>
      <c r="R17" s="263">
        <f t="shared" si="11"/>
        <v>2662000</v>
      </c>
      <c r="S17" s="263">
        <f t="shared" si="11"/>
        <v>2662000</v>
      </c>
      <c r="T17" s="270">
        <f t="shared" si="3"/>
        <v>1331000</v>
      </c>
      <c r="U17" s="271">
        <f t="shared" si="4"/>
        <v>106480</v>
      </c>
      <c r="V17" s="271">
        <f t="shared" si="5"/>
        <v>106480</v>
      </c>
      <c r="W17" s="271">
        <f t="shared" si="8"/>
        <v>319440</v>
      </c>
      <c r="X17" s="271">
        <f t="shared" si="6"/>
        <v>185275.19999999998</v>
      </c>
      <c r="Y17" s="271">
        <f t="shared" si="7"/>
        <v>106480</v>
      </c>
      <c r="Z17" s="81"/>
    </row>
    <row r="18" spans="2:26" ht="15" customHeight="1" thickBot="1">
      <c r="B18" s="432" t="s">
        <v>9119</v>
      </c>
      <c r="C18" s="368" t="s">
        <v>9118</v>
      </c>
      <c r="D18" s="81" t="s">
        <v>9112</v>
      </c>
      <c r="E18" s="263">
        <v>2000000</v>
      </c>
      <c r="F18" s="266">
        <f>+F17</f>
        <v>4898.1481481481478</v>
      </c>
      <c r="G18" s="433">
        <f>+E18</f>
        <v>2000000</v>
      </c>
      <c r="H18" s="266">
        <f>+H17</f>
        <v>319444.44444444444</v>
      </c>
      <c r="I18" s="263">
        <f>+G18</f>
        <v>2000000</v>
      </c>
      <c r="J18" s="263">
        <f>+I18</f>
        <v>2000000</v>
      </c>
      <c r="K18" s="263">
        <f>+J18</f>
        <v>2000000</v>
      </c>
      <c r="L18" s="263">
        <f>+K18</f>
        <v>2000000</v>
      </c>
      <c r="M18" s="265">
        <f t="shared" si="2"/>
        <v>1000000</v>
      </c>
      <c r="N18" s="263">
        <f>+L18</f>
        <v>2000000</v>
      </c>
      <c r="O18" s="263">
        <f>+N18</f>
        <v>2000000</v>
      </c>
      <c r="P18" s="263">
        <f>+O18</f>
        <v>2000000</v>
      </c>
      <c r="Q18" s="263">
        <f>+P18</f>
        <v>2000000</v>
      </c>
      <c r="R18" s="263">
        <f>+Q18</f>
        <v>2000000</v>
      </c>
      <c r="S18" s="263">
        <f>+R18</f>
        <v>2000000</v>
      </c>
      <c r="T18" s="270">
        <f t="shared" si="3"/>
        <v>1000000</v>
      </c>
      <c r="U18" s="271">
        <f t="shared" si="4"/>
        <v>80000</v>
      </c>
      <c r="V18" s="271">
        <f t="shared" si="5"/>
        <v>80000</v>
      </c>
      <c r="W18" s="271">
        <f t="shared" si="8"/>
        <v>240000</v>
      </c>
      <c r="X18" s="271">
        <f t="shared" si="6"/>
        <v>139200</v>
      </c>
      <c r="Y18" s="271">
        <f t="shared" si="7"/>
        <v>80000</v>
      </c>
      <c r="Z18" s="81"/>
    </row>
    <row r="19" spans="2:26" ht="15" customHeight="1" thickBot="1">
      <c r="B19" s="81" t="s">
        <v>9120</v>
      </c>
      <c r="C19" s="430" t="s">
        <v>9121</v>
      </c>
      <c r="D19" s="81" t="s">
        <v>9112</v>
      </c>
      <c r="E19" s="263">
        <v>3060000</v>
      </c>
      <c r="F19" s="266">
        <v>218171.29027777773</v>
      </c>
      <c r="G19" s="263">
        <v>3060000</v>
      </c>
      <c r="H19" s="266">
        <v>2013888.8333333333</v>
      </c>
      <c r="I19" s="263">
        <v>3060000</v>
      </c>
      <c r="J19" s="263">
        <v>3060000</v>
      </c>
      <c r="K19" s="263">
        <v>3060000</v>
      </c>
      <c r="L19" s="263">
        <v>3060000</v>
      </c>
      <c r="M19" s="265">
        <f t="shared" si="2"/>
        <v>1530000</v>
      </c>
      <c r="N19" s="263">
        <v>3060000</v>
      </c>
      <c r="O19" s="263">
        <v>3060000</v>
      </c>
      <c r="P19" s="263">
        <v>3060000</v>
      </c>
      <c r="Q19" s="263">
        <v>3060000</v>
      </c>
      <c r="R19" s="263">
        <v>3060000</v>
      </c>
      <c r="S19" s="263">
        <v>3060000</v>
      </c>
      <c r="T19" s="270">
        <f t="shared" si="3"/>
        <v>1530000</v>
      </c>
      <c r="U19" s="271">
        <f t="shared" si="4"/>
        <v>122400</v>
      </c>
      <c r="V19" s="271">
        <f t="shared" si="5"/>
        <v>122400</v>
      </c>
      <c r="W19" s="271">
        <f t="shared" si="8"/>
        <v>367200</v>
      </c>
      <c r="X19" s="271">
        <f t="shared" si="6"/>
        <v>212975.99999999997</v>
      </c>
      <c r="Y19" s="271">
        <f t="shared" si="7"/>
        <v>122400</v>
      </c>
      <c r="Z19" s="81"/>
    </row>
    <row r="20" spans="2:26" ht="15" customHeight="1" thickBot="1">
      <c r="B20" s="81" t="s">
        <v>9122</v>
      </c>
      <c r="C20" t="s">
        <v>9123</v>
      </c>
      <c r="D20" s="81" t="s">
        <v>9112</v>
      </c>
      <c r="E20" s="263">
        <f>1740000+162000</f>
        <v>1902000</v>
      </c>
      <c r="F20" s="266">
        <v>155604.03666666665</v>
      </c>
      <c r="G20" s="263">
        <f>1740000+162000</f>
        <v>1902000</v>
      </c>
      <c r="H20" s="266">
        <v>1296700.3055555555</v>
      </c>
      <c r="I20" s="263">
        <f>1740000+162000</f>
        <v>1902000</v>
      </c>
      <c r="J20" s="263">
        <f>1740000+162000</f>
        <v>1902000</v>
      </c>
      <c r="K20" s="263">
        <f>1740000+162000</f>
        <v>1902000</v>
      </c>
      <c r="L20" s="263">
        <f>1740000+162000</f>
        <v>1902000</v>
      </c>
      <c r="M20" s="265">
        <f t="shared" si="2"/>
        <v>951000</v>
      </c>
      <c r="N20" s="263">
        <f t="shared" ref="N20:S20" si="12">1740000+162000</f>
        <v>1902000</v>
      </c>
      <c r="O20" s="263">
        <f t="shared" si="12"/>
        <v>1902000</v>
      </c>
      <c r="P20" s="263">
        <f t="shared" si="12"/>
        <v>1902000</v>
      </c>
      <c r="Q20" s="263">
        <f t="shared" si="12"/>
        <v>1902000</v>
      </c>
      <c r="R20" s="263">
        <f t="shared" si="12"/>
        <v>1902000</v>
      </c>
      <c r="S20" s="263">
        <f t="shared" si="12"/>
        <v>1902000</v>
      </c>
      <c r="T20" s="270">
        <f t="shared" si="3"/>
        <v>951000</v>
      </c>
      <c r="U20" s="271">
        <f t="shared" si="4"/>
        <v>76080</v>
      </c>
      <c r="V20" s="271">
        <f t="shared" si="5"/>
        <v>76080</v>
      </c>
      <c r="W20" s="271">
        <f t="shared" si="8"/>
        <v>228240</v>
      </c>
      <c r="X20" s="271">
        <f t="shared" si="6"/>
        <v>132379.19999999998</v>
      </c>
      <c r="Y20" s="271">
        <f t="shared" si="7"/>
        <v>76080</v>
      </c>
      <c r="Z20" s="81"/>
    </row>
    <row r="21" spans="2:26" ht="15" customHeight="1" thickBot="1">
      <c r="B21" s="81" t="s">
        <v>9124</v>
      </c>
      <c r="C21" s="300" t="s">
        <v>9125</v>
      </c>
      <c r="D21" s="81" t="s">
        <v>342</v>
      </c>
      <c r="E21" s="263">
        <f>2495000+162000</f>
        <v>2657000</v>
      </c>
      <c r="F21" s="266">
        <v>250878.29574468083</v>
      </c>
      <c r="G21" s="263">
        <f>2495000+162000</f>
        <v>2657000</v>
      </c>
      <c r="H21" s="266">
        <v>2090652.4645390071</v>
      </c>
      <c r="I21" s="263">
        <f>2495000+162000</f>
        <v>2657000</v>
      </c>
      <c r="J21" s="263">
        <f>2495000+162000</f>
        <v>2657000</v>
      </c>
      <c r="K21" s="263">
        <f>2495000+162000</f>
        <v>2657000</v>
      </c>
      <c r="L21" s="263">
        <f>2495000+162000</f>
        <v>2657000</v>
      </c>
      <c r="M21" s="265">
        <f t="shared" si="2"/>
        <v>1328500</v>
      </c>
      <c r="N21" s="263">
        <f t="shared" ref="N21:S21" si="13">2495000+162000</f>
        <v>2657000</v>
      </c>
      <c r="O21" s="263">
        <f t="shared" si="13"/>
        <v>2657000</v>
      </c>
      <c r="P21" s="263">
        <f t="shared" si="13"/>
        <v>2657000</v>
      </c>
      <c r="Q21" s="263">
        <f t="shared" si="13"/>
        <v>2657000</v>
      </c>
      <c r="R21" s="263">
        <f t="shared" si="13"/>
        <v>2657000</v>
      </c>
      <c r="S21" s="263">
        <f t="shared" si="13"/>
        <v>2657000</v>
      </c>
      <c r="T21" s="270">
        <f t="shared" si="3"/>
        <v>1328500</v>
      </c>
      <c r="U21" s="271">
        <f t="shared" si="4"/>
        <v>106280</v>
      </c>
      <c r="V21" s="271">
        <f t="shared" si="5"/>
        <v>106280</v>
      </c>
      <c r="W21" s="271">
        <f t="shared" si="8"/>
        <v>318840</v>
      </c>
      <c r="X21" s="271">
        <f t="shared" si="6"/>
        <v>184927.19999999998</v>
      </c>
      <c r="Y21" s="271">
        <f t="shared" si="7"/>
        <v>106280</v>
      </c>
      <c r="Z21" s="81"/>
    </row>
    <row r="22" spans="2:26" ht="15" customHeight="1" thickBot="1">
      <c r="B22" s="81" t="s">
        <v>9126</v>
      </c>
      <c r="C22" s="300" t="s">
        <v>9125</v>
      </c>
      <c r="D22" s="81" t="s">
        <v>342</v>
      </c>
      <c r="E22" s="263">
        <f>2081000+162000</f>
        <v>2243000</v>
      </c>
      <c r="F22" s="266">
        <v>249299.83</v>
      </c>
      <c r="G22" s="263">
        <f>2081000+162000</f>
        <v>2243000</v>
      </c>
      <c r="H22" s="266">
        <v>2077498.5833333333</v>
      </c>
      <c r="I22" s="263">
        <f>2081000+162000</f>
        <v>2243000</v>
      </c>
      <c r="J22" s="263">
        <f>2081000+162000</f>
        <v>2243000</v>
      </c>
      <c r="K22" s="263">
        <f>2081000+162000</f>
        <v>2243000</v>
      </c>
      <c r="L22" s="263">
        <f>2081000+162000</f>
        <v>2243000</v>
      </c>
      <c r="M22" s="265">
        <f t="shared" si="2"/>
        <v>1121500</v>
      </c>
      <c r="N22" s="263">
        <f t="shared" ref="N22:S22" si="14">2081000+162000</f>
        <v>2243000</v>
      </c>
      <c r="O22" s="263">
        <f t="shared" si="14"/>
        <v>2243000</v>
      </c>
      <c r="P22" s="263">
        <f t="shared" si="14"/>
        <v>2243000</v>
      </c>
      <c r="Q22" s="263">
        <f t="shared" si="14"/>
        <v>2243000</v>
      </c>
      <c r="R22" s="263">
        <f t="shared" si="14"/>
        <v>2243000</v>
      </c>
      <c r="S22" s="263">
        <f t="shared" si="14"/>
        <v>2243000</v>
      </c>
      <c r="T22" s="270">
        <f t="shared" si="3"/>
        <v>1121500</v>
      </c>
      <c r="U22" s="271">
        <f t="shared" si="4"/>
        <v>89720</v>
      </c>
      <c r="V22" s="271">
        <f t="shared" si="5"/>
        <v>89720</v>
      </c>
      <c r="W22" s="271">
        <f t="shared" si="8"/>
        <v>269160</v>
      </c>
      <c r="X22" s="271">
        <f t="shared" si="6"/>
        <v>156112.79999999999</v>
      </c>
      <c r="Y22" s="271">
        <f t="shared" si="7"/>
        <v>89720</v>
      </c>
      <c r="Z22" s="81"/>
    </row>
    <row r="23" spans="2:26" ht="15" customHeight="1" thickBot="1">
      <c r="B23" s="81" t="s">
        <v>9127</v>
      </c>
      <c r="C23" s="300" t="s">
        <v>9128</v>
      </c>
      <c r="D23" s="81" t="s">
        <v>342</v>
      </c>
      <c r="E23" s="263">
        <f>1469000+162000</f>
        <v>1631000</v>
      </c>
      <c r="F23" s="266">
        <v>169933.35449999999</v>
      </c>
      <c r="G23" s="263">
        <f>1469000+162000</f>
        <v>1631000</v>
      </c>
      <c r="H23" s="266">
        <v>1452421.8333333333</v>
      </c>
      <c r="I23" s="263">
        <f>1469000+162000</f>
        <v>1631000</v>
      </c>
      <c r="J23" s="263">
        <f>1469000+162000</f>
        <v>1631000</v>
      </c>
      <c r="K23" s="263">
        <f>1469000+162000</f>
        <v>1631000</v>
      </c>
      <c r="L23" s="263">
        <f>1469000+162000</f>
        <v>1631000</v>
      </c>
      <c r="M23" s="265">
        <f t="shared" si="2"/>
        <v>815500</v>
      </c>
      <c r="N23" s="263">
        <f t="shared" ref="N23:S23" si="15">1469000+162000</f>
        <v>1631000</v>
      </c>
      <c r="O23" s="263">
        <f t="shared" si="15"/>
        <v>1631000</v>
      </c>
      <c r="P23" s="263">
        <f t="shared" si="15"/>
        <v>1631000</v>
      </c>
      <c r="Q23" s="263">
        <f t="shared" si="15"/>
        <v>1631000</v>
      </c>
      <c r="R23" s="263">
        <f t="shared" si="15"/>
        <v>1631000</v>
      </c>
      <c r="S23" s="263">
        <f t="shared" si="15"/>
        <v>1631000</v>
      </c>
      <c r="T23" s="270">
        <f t="shared" si="3"/>
        <v>815500</v>
      </c>
      <c r="U23" s="271">
        <f t="shared" si="4"/>
        <v>65240</v>
      </c>
      <c r="V23" s="271">
        <f t="shared" si="5"/>
        <v>65240</v>
      </c>
      <c r="W23" s="271">
        <f t="shared" si="8"/>
        <v>195720</v>
      </c>
      <c r="X23" s="271">
        <f t="shared" si="6"/>
        <v>113517.59999999999</v>
      </c>
      <c r="Y23" s="271">
        <f t="shared" si="7"/>
        <v>65240</v>
      </c>
      <c r="Z23" s="81"/>
    </row>
    <row r="24" spans="2:26" ht="15" customHeight="1" thickBot="1">
      <c r="B24" s="81" t="s">
        <v>9129</v>
      </c>
      <c r="C24" s="300" t="s">
        <v>9130</v>
      </c>
      <c r="D24" s="81" t="s">
        <v>342</v>
      </c>
      <c r="E24" s="263">
        <f>1344000+162000</f>
        <v>1506000</v>
      </c>
      <c r="F24" s="266">
        <v>176919.01666666669</v>
      </c>
      <c r="G24" s="263">
        <f>1344000+162000</f>
        <v>1506000</v>
      </c>
      <c r="H24" s="266">
        <v>1474325.138888889</v>
      </c>
      <c r="I24" s="263">
        <f>1344000+162000</f>
        <v>1506000</v>
      </c>
      <c r="J24" s="263">
        <f>1344000+162000</f>
        <v>1506000</v>
      </c>
      <c r="K24" s="263">
        <f>1344000+162000</f>
        <v>1506000</v>
      </c>
      <c r="L24" s="263">
        <f>1344000+162000</f>
        <v>1506000</v>
      </c>
      <c r="M24" s="265">
        <f t="shared" si="2"/>
        <v>753000</v>
      </c>
      <c r="N24" s="263">
        <f t="shared" ref="N24:S24" si="16">1344000+162000</f>
        <v>1506000</v>
      </c>
      <c r="O24" s="263">
        <f t="shared" si="16"/>
        <v>1506000</v>
      </c>
      <c r="P24" s="263">
        <f t="shared" si="16"/>
        <v>1506000</v>
      </c>
      <c r="Q24" s="263">
        <f t="shared" si="16"/>
        <v>1506000</v>
      </c>
      <c r="R24" s="263">
        <f t="shared" si="16"/>
        <v>1506000</v>
      </c>
      <c r="S24" s="263">
        <f t="shared" si="16"/>
        <v>1506000</v>
      </c>
      <c r="T24" s="270">
        <f t="shared" si="3"/>
        <v>753000</v>
      </c>
      <c r="U24" s="271">
        <f t="shared" si="4"/>
        <v>60240</v>
      </c>
      <c r="V24" s="271">
        <f t="shared" si="5"/>
        <v>60240</v>
      </c>
      <c r="W24" s="271">
        <f t="shared" si="8"/>
        <v>180720</v>
      </c>
      <c r="X24" s="271">
        <f t="shared" si="6"/>
        <v>104817.59999999999</v>
      </c>
      <c r="Y24" s="271">
        <f t="shared" si="7"/>
        <v>60240</v>
      </c>
      <c r="Z24" s="81"/>
    </row>
    <row r="25" spans="2:26" ht="15" customHeight="1" thickBot="1">
      <c r="B25" s="81" t="s">
        <v>9131</v>
      </c>
      <c r="C25" s="300" t="s">
        <v>9130</v>
      </c>
      <c r="D25" s="81" t="s">
        <v>342</v>
      </c>
      <c r="E25" s="263">
        <f>1469000+162000</f>
        <v>1631000</v>
      </c>
      <c r="F25" s="266">
        <v>179707.95</v>
      </c>
      <c r="G25" s="263">
        <f>1469000+162000</f>
        <v>1631000</v>
      </c>
      <c r="H25" s="266">
        <v>1497566.25</v>
      </c>
      <c r="I25" s="263">
        <f>1469000+162000</f>
        <v>1631000</v>
      </c>
      <c r="J25" s="263">
        <f>1469000+162000</f>
        <v>1631000</v>
      </c>
      <c r="K25" s="263">
        <f>1469000+162000</f>
        <v>1631000</v>
      </c>
      <c r="L25" s="263">
        <f>1469000+162000</f>
        <v>1631000</v>
      </c>
      <c r="M25" s="265">
        <f t="shared" si="2"/>
        <v>815500</v>
      </c>
      <c r="N25" s="263">
        <f t="shared" ref="N25:S25" si="17">1469000+162000</f>
        <v>1631000</v>
      </c>
      <c r="O25" s="263">
        <f t="shared" si="17"/>
        <v>1631000</v>
      </c>
      <c r="P25" s="263">
        <f t="shared" si="17"/>
        <v>1631000</v>
      </c>
      <c r="Q25" s="263">
        <f t="shared" si="17"/>
        <v>1631000</v>
      </c>
      <c r="R25" s="263">
        <f t="shared" si="17"/>
        <v>1631000</v>
      </c>
      <c r="S25" s="263">
        <f t="shared" si="17"/>
        <v>1631000</v>
      </c>
      <c r="T25" s="270">
        <f t="shared" si="3"/>
        <v>815500</v>
      </c>
      <c r="U25" s="271">
        <f t="shared" si="4"/>
        <v>65240</v>
      </c>
      <c r="V25" s="271">
        <f t="shared" si="5"/>
        <v>65240</v>
      </c>
      <c r="W25" s="271">
        <f t="shared" si="8"/>
        <v>195720</v>
      </c>
      <c r="X25" s="271">
        <f t="shared" si="6"/>
        <v>113517.59999999999</v>
      </c>
      <c r="Y25" s="271">
        <f t="shared" si="7"/>
        <v>65240</v>
      </c>
      <c r="Z25" s="81"/>
    </row>
    <row r="26" spans="2:26" ht="15" customHeight="1" thickBot="1">
      <c r="B26" s="81" t="s">
        <v>9132</v>
      </c>
      <c r="C26" s="300" t="s">
        <v>9130</v>
      </c>
      <c r="D26" s="81" t="s">
        <v>342</v>
      </c>
      <c r="E26" s="263">
        <f>1344000+162000</f>
        <v>1506000</v>
      </c>
      <c r="F26" s="266">
        <v>178482.85</v>
      </c>
      <c r="G26" s="263">
        <f>1344000+162000</f>
        <v>1506000</v>
      </c>
      <c r="H26" s="266">
        <v>1487357.0833333333</v>
      </c>
      <c r="I26" s="263">
        <f>1344000+162000</f>
        <v>1506000</v>
      </c>
      <c r="J26" s="263">
        <f>1344000+162000</f>
        <v>1506000</v>
      </c>
      <c r="K26" s="263">
        <f>1344000+162000</f>
        <v>1506000</v>
      </c>
      <c r="L26" s="263">
        <f>1344000+162000</f>
        <v>1506000</v>
      </c>
      <c r="M26" s="265">
        <f t="shared" si="2"/>
        <v>753000</v>
      </c>
      <c r="N26" s="263">
        <f t="shared" ref="N26:S26" si="18">1344000+162000</f>
        <v>1506000</v>
      </c>
      <c r="O26" s="263">
        <f t="shared" si="18"/>
        <v>1506000</v>
      </c>
      <c r="P26" s="263">
        <f t="shared" si="18"/>
        <v>1506000</v>
      </c>
      <c r="Q26" s="263">
        <f t="shared" si="18"/>
        <v>1506000</v>
      </c>
      <c r="R26" s="263">
        <f t="shared" si="18"/>
        <v>1506000</v>
      </c>
      <c r="S26" s="263">
        <f t="shared" si="18"/>
        <v>1506000</v>
      </c>
      <c r="T26" s="270">
        <f t="shared" si="3"/>
        <v>753000</v>
      </c>
      <c r="U26" s="271">
        <f t="shared" ref="U26:U53" si="19">+E26*$U$4</f>
        <v>60240</v>
      </c>
      <c r="V26" s="271">
        <f t="shared" ref="V26:V53" si="20">+E26*$V$4</f>
        <v>60240</v>
      </c>
      <c r="W26" s="271">
        <f t="shared" ref="W26:W53" si="21">+E26*$W$4</f>
        <v>180720</v>
      </c>
      <c r="X26" s="271">
        <f t="shared" ref="X26:X53" si="22">+E26*$X$4</f>
        <v>104817.59999999999</v>
      </c>
      <c r="Y26" s="271">
        <f t="shared" ref="Y26:Y53" si="23">+E26*$Y$4</f>
        <v>60240</v>
      </c>
      <c r="Z26" s="81"/>
    </row>
    <row r="27" spans="2:26" ht="15" customHeight="1" thickBot="1">
      <c r="B27" s="81" t="s">
        <v>9133</v>
      </c>
      <c r="C27" s="300" t="s">
        <v>9130</v>
      </c>
      <c r="D27" s="81" t="s">
        <v>342</v>
      </c>
      <c r="E27" s="263">
        <f t="shared" ref="E27:E51" si="24">1300000+162000</f>
        <v>1462000</v>
      </c>
      <c r="F27" s="266">
        <v>155335.29</v>
      </c>
      <c r="G27" s="263">
        <f t="shared" ref="G27:G51" si="25">1300000+162000</f>
        <v>1462000</v>
      </c>
      <c r="H27" s="266">
        <v>1294460.75</v>
      </c>
      <c r="I27" s="263">
        <f t="shared" ref="I27:L51" si="26">1300000+162000</f>
        <v>1462000</v>
      </c>
      <c r="J27" s="263">
        <f t="shared" si="26"/>
        <v>1462000</v>
      </c>
      <c r="K27" s="263">
        <f t="shared" si="26"/>
        <v>1462000</v>
      </c>
      <c r="L27" s="263">
        <f t="shared" si="26"/>
        <v>1462000</v>
      </c>
      <c r="M27" s="265">
        <f t="shared" si="2"/>
        <v>731000</v>
      </c>
      <c r="N27" s="263">
        <f t="shared" ref="N27:S51" si="27">1300000+162000</f>
        <v>1462000</v>
      </c>
      <c r="O27" s="263">
        <f t="shared" si="27"/>
        <v>1462000</v>
      </c>
      <c r="P27" s="263">
        <f t="shared" si="27"/>
        <v>1462000</v>
      </c>
      <c r="Q27" s="263">
        <f t="shared" si="27"/>
        <v>1462000</v>
      </c>
      <c r="R27" s="263">
        <f t="shared" si="27"/>
        <v>1462000</v>
      </c>
      <c r="S27" s="263">
        <f t="shared" si="27"/>
        <v>1462000</v>
      </c>
      <c r="T27" s="270">
        <f t="shared" si="3"/>
        <v>731000</v>
      </c>
      <c r="U27" s="271">
        <f t="shared" si="19"/>
        <v>58480</v>
      </c>
      <c r="V27" s="271">
        <f t="shared" si="20"/>
        <v>58480</v>
      </c>
      <c r="W27" s="271">
        <f t="shared" si="21"/>
        <v>175440</v>
      </c>
      <c r="X27" s="271">
        <f t="shared" si="22"/>
        <v>101755.2</v>
      </c>
      <c r="Y27" s="271">
        <f t="shared" si="23"/>
        <v>58480</v>
      </c>
      <c r="Z27" s="81"/>
    </row>
    <row r="28" spans="2:26" ht="15" customHeight="1" thickBot="1">
      <c r="B28" s="81" t="s">
        <v>9134</v>
      </c>
      <c r="C28" s="300" t="s">
        <v>9130</v>
      </c>
      <c r="D28" s="81" t="s">
        <v>342</v>
      </c>
      <c r="E28" s="263">
        <f t="shared" si="24"/>
        <v>1462000</v>
      </c>
      <c r="F28" s="266">
        <v>143581.65899999999</v>
      </c>
      <c r="G28" s="263">
        <f t="shared" si="25"/>
        <v>1462000</v>
      </c>
      <c r="H28" s="266">
        <v>1227193.6666666667</v>
      </c>
      <c r="I28" s="263">
        <f t="shared" si="26"/>
        <v>1462000</v>
      </c>
      <c r="J28" s="263">
        <f t="shared" si="26"/>
        <v>1462000</v>
      </c>
      <c r="K28" s="263">
        <f t="shared" si="26"/>
        <v>1462000</v>
      </c>
      <c r="L28" s="263">
        <f t="shared" si="26"/>
        <v>1462000</v>
      </c>
      <c r="M28" s="265">
        <f t="shared" si="2"/>
        <v>731000</v>
      </c>
      <c r="N28" s="263">
        <f t="shared" si="27"/>
        <v>1462000</v>
      </c>
      <c r="O28" s="263">
        <f t="shared" si="27"/>
        <v>1462000</v>
      </c>
      <c r="P28" s="263">
        <f t="shared" si="27"/>
        <v>1462000</v>
      </c>
      <c r="Q28" s="263">
        <f t="shared" si="27"/>
        <v>1462000</v>
      </c>
      <c r="R28" s="263">
        <f t="shared" si="27"/>
        <v>1462000</v>
      </c>
      <c r="S28" s="263">
        <f t="shared" si="27"/>
        <v>1462000</v>
      </c>
      <c r="T28" s="270">
        <f t="shared" si="3"/>
        <v>731000</v>
      </c>
      <c r="U28" s="271">
        <f t="shared" si="19"/>
        <v>58480</v>
      </c>
      <c r="V28" s="271">
        <f t="shared" si="20"/>
        <v>58480</v>
      </c>
      <c r="W28" s="271">
        <f t="shared" si="21"/>
        <v>175440</v>
      </c>
      <c r="X28" s="271">
        <f t="shared" si="22"/>
        <v>101755.2</v>
      </c>
      <c r="Y28" s="271">
        <f t="shared" si="23"/>
        <v>58480</v>
      </c>
      <c r="Z28" s="81"/>
    </row>
    <row r="29" spans="2:26" ht="15" customHeight="1" thickBot="1">
      <c r="B29" s="81" t="s">
        <v>9135</v>
      </c>
      <c r="C29" s="300" t="s">
        <v>9130</v>
      </c>
      <c r="D29" s="81" t="s">
        <v>342</v>
      </c>
      <c r="E29" s="263">
        <f t="shared" si="24"/>
        <v>1462000</v>
      </c>
      <c r="F29" s="266">
        <v>142173.02835185186</v>
      </c>
      <c r="G29" s="263">
        <f t="shared" si="25"/>
        <v>1462000</v>
      </c>
      <c r="H29" s="266">
        <v>1222117.7222222222</v>
      </c>
      <c r="I29" s="263">
        <f t="shared" si="26"/>
        <v>1462000</v>
      </c>
      <c r="J29" s="263">
        <f t="shared" si="26"/>
        <v>1462000</v>
      </c>
      <c r="K29" s="263">
        <f t="shared" si="26"/>
        <v>1462000</v>
      </c>
      <c r="L29" s="263">
        <f t="shared" si="26"/>
        <v>1462000</v>
      </c>
      <c r="M29" s="265">
        <f t="shared" si="2"/>
        <v>731000</v>
      </c>
      <c r="N29" s="263">
        <f t="shared" si="27"/>
        <v>1462000</v>
      </c>
      <c r="O29" s="263">
        <f t="shared" si="27"/>
        <v>1462000</v>
      </c>
      <c r="P29" s="263">
        <f t="shared" si="27"/>
        <v>1462000</v>
      </c>
      <c r="Q29" s="263">
        <f t="shared" si="27"/>
        <v>1462000</v>
      </c>
      <c r="R29" s="263">
        <f t="shared" si="27"/>
        <v>1462000</v>
      </c>
      <c r="S29" s="263">
        <f t="shared" si="27"/>
        <v>1462000</v>
      </c>
      <c r="T29" s="270">
        <f t="shared" si="3"/>
        <v>731000</v>
      </c>
      <c r="U29" s="271">
        <f t="shared" si="19"/>
        <v>58480</v>
      </c>
      <c r="V29" s="271">
        <f t="shared" si="20"/>
        <v>58480</v>
      </c>
      <c r="W29" s="271">
        <f t="shared" si="21"/>
        <v>175440</v>
      </c>
      <c r="X29" s="271">
        <f t="shared" si="22"/>
        <v>101755.2</v>
      </c>
      <c r="Y29" s="271">
        <f t="shared" si="23"/>
        <v>58480</v>
      </c>
      <c r="Z29" s="81"/>
    </row>
    <row r="30" spans="2:26" ht="15" customHeight="1" thickBot="1">
      <c r="B30" s="81" t="s">
        <v>9136</v>
      </c>
      <c r="C30" s="300" t="s">
        <v>9130</v>
      </c>
      <c r="D30" s="81" t="s">
        <v>342</v>
      </c>
      <c r="E30" s="263">
        <f t="shared" si="24"/>
        <v>1462000</v>
      </c>
      <c r="F30" s="266">
        <v>145487.31599999999</v>
      </c>
      <c r="G30" s="263">
        <f t="shared" si="25"/>
        <v>1462000</v>
      </c>
      <c r="H30" s="266">
        <v>1254201</v>
      </c>
      <c r="I30" s="263">
        <f t="shared" si="26"/>
        <v>1462000</v>
      </c>
      <c r="J30" s="263">
        <f t="shared" si="26"/>
        <v>1462000</v>
      </c>
      <c r="K30" s="263">
        <f t="shared" si="26"/>
        <v>1462000</v>
      </c>
      <c r="L30" s="263">
        <f t="shared" si="26"/>
        <v>1462000</v>
      </c>
      <c r="M30" s="265">
        <f t="shared" si="2"/>
        <v>731000</v>
      </c>
      <c r="N30" s="263">
        <f t="shared" si="27"/>
        <v>1462000</v>
      </c>
      <c r="O30" s="263">
        <f t="shared" si="27"/>
        <v>1462000</v>
      </c>
      <c r="P30" s="263">
        <f t="shared" si="27"/>
        <v>1462000</v>
      </c>
      <c r="Q30" s="263">
        <f t="shared" si="27"/>
        <v>1462000</v>
      </c>
      <c r="R30" s="263">
        <f t="shared" si="27"/>
        <v>1462000</v>
      </c>
      <c r="S30" s="263">
        <f t="shared" si="27"/>
        <v>1462000</v>
      </c>
      <c r="T30" s="270">
        <f t="shared" si="3"/>
        <v>731000</v>
      </c>
      <c r="U30" s="271">
        <f t="shared" si="19"/>
        <v>58480</v>
      </c>
      <c r="V30" s="271">
        <f t="shared" si="20"/>
        <v>58480</v>
      </c>
      <c r="W30" s="271">
        <f t="shared" si="21"/>
        <v>175440</v>
      </c>
      <c r="X30" s="271">
        <f t="shared" si="22"/>
        <v>101755.2</v>
      </c>
      <c r="Y30" s="271">
        <f t="shared" si="23"/>
        <v>58480</v>
      </c>
      <c r="Z30" s="81"/>
    </row>
    <row r="31" spans="2:26" ht="15" customHeight="1" thickBot="1">
      <c r="B31" s="84" t="s">
        <v>9137</v>
      </c>
      <c r="C31" s="300" t="s">
        <v>9130</v>
      </c>
      <c r="D31" s="81" t="s">
        <v>342</v>
      </c>
      <c r="E31" s="263">
        <f t="shared" si="24"/>
        <v>1462000</v>
      </c>
      <c r="F31" s="266">
        <v>118876.42406453902</v>
      </c>
      <c r="G31" s="263">
        <f t="shared" si="25"/>
        <v>1462000</v>
      </c>
      <c r="H31" s="266">
        <v>1146717.9170212767</v>
      </c>
      <c r="I31" s="263">
        <f t="shared" si="26"/>
        <v>1462000</v>
      </c>
      <c r="J31" s="263">
        <f t="shared" si="26"/>
        <v>1462000</v>
      </c>
      <c r="K31" s="263">
        <f t="shared" si="26"/>
        <v>1462000</v>
      </c>
      <c r="L31" s="263">
        <f t="shared" si="26"/>
        <v>1462000</v>
      </c>
      <c r="M31" s="265">
        <f t="shared" si="2"/>
        <v>731000</v>
      </c>
      <c r="N31" s="263">
        <f t="shared" si="27"/>
        <v>1462000</v>
      </c>
      <c r="O31" s="263">
        <f t="shared" si="27"/>
        <v>1462000</v>
      </c>
      <c r="P31" s="263">
        <f t="shared" si="27"/>
        <v>1462000</v>
      </c>
      <c r="Q31" s="263">
        <f t="shared" si="27"/>
        <v>1462000</v>
      </c>
      <c r="R31" s="263">
        <f t="shared" si="27"/>
        <v>1462000</v>
      </c>
      <c r="S31" s="263">
        <f t="shared" si="27"/>
        <v>1462000</v>
      </c>
      <c r="T31" s="270">
        <f t="shared" si="3"/>
        <v>731000</v>
      </c>
      <c r="U31" s="271">
        <f t="shared" si="19"/>
        <v>58480</v>
      </c>
      <c r="V31" s="271">
        <f t="shared" si="20"/>
        <v>58480</v>
      </c>
      <c r="W31" s="271">
        <f t="shared" si="21"/>
        <v>175440</v>
      </c>
      <c r="X31" s="271">
        <f t="shared" si="22"/>
        <v>101755.2</v>
      </c>
      <c r="Y31" s="271">
        <f t="shared" si="23"/>
        <v>58480</v>
      </c>
      <c r="Z31" s="81"/>
    </row>
    <row r="32" spans="2:26" ht="15" customHeight="1" thickBot="1">
      <c r="B32" s="84" t="s">
        <v>9138</v>
      </c>
      <c r="C32" s="300" t="s">
        <v>9130</v>
      </c>
      <c r="D32" s="81" t="s">
        <v>342</v>
      </c>
      <c r="E32" s="263">
        <f t="shared" ref="E32:J32" si="28">+E31</f>
        <v>1462000</v>
      </c>
      <c r="F32" s="263">
        <f t="shared" si="28"/>
        <v>118876.42406453902</v>
      </c>
      <c r="G32" s="263">
        <f t="shared" si="28"/>
        <v>1462000</v>
      </c>
      <c r="H32" s="263">
        <f t="shared" si="28"/>
        <v>1146717.9170212767</v>
      </c>
      <c r="I32" s="263">
        <f t="shared" si="28"/>
        <v>1462000</v>
      </c>
      <c r="J32" s="263">
        <f t="shared" si="28"/>
        <v>1462000</v>
      </c>
      <c r="K32" s="263">
        <f>+K31</f>
        <v>1462000</v>
      </c>
      <c r="L32" s="263">
        <f>+L31</f>
        <v>1462000</v>
      </c>
      <c r="M32" s="265">
        <f>+M31</f>
        <v>731000</v>
      </c>
      <c r="N32" s="263">
        <f>+N31</f>
        <v>1462000</v>
      </c>
      <c r="O32" s="263">
        <f t="shared" ref="O32:S32" si="29">+O31</f>
        <v>1462000</v>
      </c>
      <c r="P32" s="263">
        <f t="shared" si="29"/>
        <v>1462000</v>
      </c>
      <c r="Q32" s="263">
        <f t="shared" si="29"/>
        <v>1462000</v>
      </c>
      <c r="R32" s="263">
        <f t="shared" si="29"/>
        <v>1462000</v>
      </c>
      <c r="S32" s="263">
        <f t="shared" si="29"/>
        <v>1462000</v>
      </c>
      <c r="T32" s="270">
        <f>+T31</f>
        <v>731000</v>
      </c>
      <c r="U32" s="271">
        <f t="shared" si="19"/>
        <v>58480</v>
      </c>
      <c r="V32" s="271">
        <f t="shared" si="20"/>
        <v>58480</v>
      </c>
      <c r="W32" s="271">
        <f t="shared" si="21"/>
        <v>175440</v>
      </c>
      <c r="X32" s="271">
        <f t="shared" si="22"/>
        <v>101755.2</v>
      </c>
      <c r="Y32" s="271">
        <f t="shared" si="23"/>
        <v>58480</v>
      </c>
      <c r="Z32" s="81"/>
    </row>
    <row r="33" spans="2:26" ht="15" customHeight="1" thickBot="1">
      <c r="B33" s="84" t="s">
        <v>9139</v>
      </c>
      <c r="C33" s="300" t="s">
        <v>9130</v>
      </c>
      <c r="D33" s="81" t="s">
        <v>342</v>
      </c>
      <c r="E33" s="263">
        <f t="shared" ref="E33:E47" si="30">+E32</f>
        <v>1462000</v>
      </c>
      <c r="F33" s="263">
        <f t="shared" ref="F33:F47" si="31">+F32</f>
        <v>118876.42406453902</v>
      </c>
      <c r="G33" s="263">
        <f t="shared" ref="G33:G47" si="32">+G32</f>
        <v>1462000</v>
      </c>
      <c r="H33" s="263">
        <f t="shared" ref="H33:H47" si="33">+H32</f>
        <v>1146717.9170212767</v>
      </c>
      <c r="I33" s="263">
        <f t="shared" ref="I33:I47" si="34">+I32</f>
        <v>1462000</v>
      </c>
      <c r="J33" s="263">
        <f t="shared" ref="J33:J47" si="35">+J32</f>
        <v>1462000</v>
      </c>
      <c r="K33" s="263">
        <f t="shared" ref="K33:L47" si="36">+K32</f>
        <v>1462000</v>
      </c>
      <c r="L33" s="263">
        <f t="shared" si="36"/>
        <v>1462000</v>
      </c>
      <c r="M33" s="265">
        <f t="shared" ref="M33:M47" si="37">+M32</f>
        <v>731000</v>
      </c>
      <c r="N33" s="263">
        <f t="shared" ref="N33:N47" si="38">+N32</f>
        <v>1462000</v>
      </c>
      <c r="O33" s="263">
        <f t="shared" ref="O33:O47" si="39">+O32</f>
        <v>1462000</v>
      </c>
      <c r="P33" s="263">
        <f t="shared" ref="P33:P47" si="40">+P32</f>
        <v>1462000</v>
      </c>
      <c r="Q33" s="263">
        <f t="shared" ref="Q33:Q47" si="41">+Q32</f>
        <v>1462000</v>
      </c>
      <c r="R33" s="263">
        <f t="shared" ref="R33:R47" si="42">+R32</f>
        <v>1462000</v>
      </c>
      <c r="S33" s="263">
        <f t="shared" ref="S33:S47" si="43">+S32</f>
        <v>1462000</v>
      </c>
      <c r="T33" s="270">
        <f t="shared" ref="T33:T47" si="44">+T32</f>
        <v>731000</v>
      </c>
      <c r="U33" s="271">
        <f t="shared" si="19"/>
        <v>58480</v>
      </c>
      <c r="V33" s="271">
        <f t="shared" si="20"/>
        <v>58480</v>
      </c>
      <c r="W33" s="271">
        <f t="shared" si="21"/>
        <v>175440</v>
      </c>
      <c r="X33" s="271">
        <f t="shared" si="22"/>
        <v>101755.2</v>
      </c>
      <c r="Y33" s="271">
        <f t="shared" si="23"/>
        <v>58480</v>
      </c>
      <c r="Z33" s="81"/>
    </row>
    <row r="34" spans="2:26" ht="15" customHeight="1" thickBot="1">
      <c r="B34" s="84" t="s">
        <v>9140</v>
      </c>
      <c r="C34" s="300" t="s">
        <v>9130</v>
      </c>
      <c r="D34" s="81" t="s">
        <v>342</v>
      </c>
      <c r="E34" s="263">
        <f t="shared" si="30"/>
        <v>1462000</v>
      </c>
      <c r="F34" s="263">
        <f t="shared" si="31"/>
        <v>118876.42406453902</v>
      </c>
      <c r="G34" s="263">
        <f t="shared" si="32"/>
        <v>1462000</v>
      </c>
      <c r="H34" s="263">
        <f t="shared" si="33"/>
        <v>1146717.9170212767</v>
      </c>
      <c r="I34" s="263">
        <f t="shared" si="34"/>
        <v>1462000</v>
      </c>
      <c r="J34" s="263">
        <f t="shared" si="35"/>
        <v>1462000</v>
      </c>
      <c r="K34" s="263">
        <f t="shared" si="36"/>
        <v>1462000</v>
      </c>
      <c r="L34" s="263">
        <f t="shared" si="36"/>
        <v>1462000</v>
      </c>
      <c r="M34" s="265">
        <f t="shared" si="37"/>
        <v>731000</v>
      </c>
      <c r="N34" s="263">
        <f t="shared" si="38"/>
        <v>1462000</v>
      </c>
      <c r="O34" s="263">
        <f t="shared" si="39"/>
        <v>1462000</v>
      </c>
      <c r="P34" s="263">
        <f t="shared" si="40"/>
        <v>1462000</v>
      </c>
      <c r="Q34" s="263">
        <f t="shared" si="41"/>
        <v>1462000</v>
      </c>
      <c r="R34" s="263">
        <f t="shared" si="42"/>
        <v>1462000</v>
      </c>
      <c r="S34" s="263">
        <f t="shared" si="43"/>
        <v>1462000</v>
      </c>
      <c r="T34" s="270">
        <f t="shared" si="44"/>
        <v>731000</v>
      </c>
      <c r="U34" s="271">
        <f t="shared" si="19"/>
        <v>58480</v>
      </c>
      <c r="V34" s="271">
        <f t="shared" si="20"/>
        <v>58480</v>
      </c>
      <c r="W34" s="271">
        <f t="shared" si="21"/>
        <v>175440</v>
      </c>
      <c r="X34" s="271">
        <f t="shared" si="22"/>
        <v>101755.2</v>
      </c>
      <c r="Y34" s="271">
        <f t="shared" si="23"/>
        <v>58480</v>
      </c>
      <c r="Z34" s="81"/>
    </row>
    <row r="35" spans="2:26" ht="15" customHeight="1" thickBot="1">
      <c r="B35" s="84" t="s">
        <v>9141</v>
      </c>
      <c r="C35" s="300" t="s">
        <v>9130</v>
      </c>
      <c r="D35" s="81" t="s">
        <v>342</v>
      </c>
      <c r="E35" s="263">
        <f t="shared" si="30"/>
        <v>1462000</v>
      </c>
      <c r="F35" s="263">
        <f t="shared" si="31"/>
        <v>118876.42406453902</v>
      </c>
      <c r="G35" s="263">
        <f t="shared" si="32"/>
        <v>1462000</v>
      </c>
      <c r="H35" s="263">
        <f t="shared" si="33"/>
        <v>1146717.9170212767</v>
      </c>
      <c r="I35" s="263">
        <f t="shared" si="34"/>
        <v>1462000</v>
      </c>
      <c r="J35" s="263">
        <f t="shared" si="35"/>
        <v>1462000</v>
      </c>
      <c r="K35" s="263">
        <f t="shared" si="36"/>
        <v>1462000</v>
      </c>
      <c r="L35" s="263">
        <f t="shared" si="36"/>
        <v>1462000</v>
      </c>
      <c r="M35" s="265">
        <f t="shared" si="37"/>
        <v>731000</v>
      </c>
      <c r="N35" s="263">
        <f t="shared" si="38"/>
        <v>1462000</v>
      </c>
      <c r="O35" s="263">
        <f t="shared" si="39"/>
        <v>1462000</v>
      </c>
      <c r="P35" s="263">
        <f t="shared" si="40"/>
        <v>1462000</v>
      </c>
      <c r="Q35" s="263">
        <f t="shared" si="41"/>
        <v>1462000</v>
      </c>
      <c r="R35" s="263">
        <f t="shared" si="42"/>
        <v>1462000</v>
      </c>
      <c r="S35" s="263">
        <f t="shared" si="43"/>
        <v>1462000</v>
      </c>
      <c r="T35" s="270">
        <f t="shared" si="44"/>
        <v>731000</v>
      </c>
      <c r="U35" s="271">
        <f t="shared" si="19"/>
        <v>58480</v>
      </c>
      <c r="V35" s="271">
        <f t="shared" si="20"/>
        <v>58480</v>
      </c>
      <c r="W35" s="271">
        <f t="shared" si="21"/>
        <v>175440</v>
      </c>
      <c r="X35" s="271">
        <f t="shared" si="22"/>
        <v>101755.2</v>
      </c>
      <c r="Y35" s="271">
        <f t="shared" si="23"/>
        <v>58480</v>
      </c>
      <c r="Z35" s="81"/>
    </row>
    <row r="36" spans="2:26" ht="15" customHeight="1" thickBot="1">
      <c r="B36" s="84" t="s">
        <v>9142</v>
      </c>
      <c r="C36" s="300" t="s">
        <v>9130</v>
      </c>
      <c r="D36" s="81" t="s">
        <v>342</v>
      </c>
      <c r="E36" s="263">
        <f t="shared" si="30"/>
        <v>1462000</v>
      </c>
      <c r="F36" s="263">
        <f t="shared" si="31"/>
        <v>118876.42406453902</v>
      </c>
      <c r="G36" s="263">
        <f t="shared" si="32"/>
        <v>1462000</v>
      </c>
      <c r="H36" s="263">
        <f t="shared" si="33"/>
        <v>1146717.9170212767</v>
      </c>
      <c r="I36" s="263">
        <f t="shared" si="34"/>
        <v>1462000</v>
      </c>
      <c r="J36" s="263">
        <f t="shared" si="35"/>
        <v>1462000</v>
      </c>
      <c r="K36" s="263">
        <f t="shared" si="36"/>
        <v>1462000</v>
      </c>
      <c r="L36" s="263">
        <f t="shared" si="36"/>
        <v>1462000</v>
      </c>
      <c r="M36" s="265">
        <f t="shared" si="37"/>
        <v>731000</v>
      </c>
      <c r="N36" s="263">
        <f t="shared" si="38"/>
        <v>1462000</v>
      </c>
      <c r="O36" s="263">
        <f t="shared" si="39"/>
        <v>1462000</v>
      </c>
      <c r="P36" s="263">
        <f t="shared" si="40"/>
        <v>1462000</v>
      </c>
      <c r="Q36" s="263">
        <f t="shared" si="41"/>
        <v>1462000</v>
      </c>
      <c r="R36" s="263">
        <f t="shared" si="42"/>
        <v>1462000</v>
      </c>
      <c r="S36" s="263">
        <f t="shared" si="43"/>
        <v>1462000</v>
      </c>
      <c r="T36" s="270">
        <f t="shared" si="44"/>
        <v>731000</v>
      </c>
      <c r="U36" s="271">
        <f t="shared" si="19"/>
        <v>58480</v>
      </c>
      <c r="V36" s="271">
        <f t="shared" si="20"/>
        <v>58480</v>
      </c>
      <c r="W36" s="271">
        <f t="shared" si="21"/>
        <v>175440</v>
      </c>
      <c r="X36" s="271">
        <f t="shared" si="22"/>
        <v>101755.2</v>
      </c>
      <c r="Y36" s="271">
        <f t="shared" si="23"/>
        <v>58480</v>
      </c>
      <c r="Z36" s="81"/>
    </row>
    <row r="37" spans="2:26" ht="15" customHeight="1" thickBot="1">
      <c r="B37" s="84" t="s">
        <v>9143</v>
      </c>
      <c r="C37" s="300" t="s">
        <v>9130</v>
      </c>
      <c r="D37" s="81" t="s">
        <v>342</v>
      </c>
      <c r="E37" s="263">
        <f t="shared" si="30"/>
        <v>1462000</v>
      </c>
      <c r="F37" s="263">
        <f t="shared" si="31"/>
        <v>118876.42406453902</v>
      </c>
      <c r="G37" s="263">
        <f t="shared" si="32"/>
        <v>1462000</v>
      </c>
      <c r="H37" s="263">
        <f t="shared" si="33"/>
        <v>1146717.9170212767</v>
      </c>
      <c r="I37" s="263">
        <f t="shared" si="34"/>
        <v>1462000</v>
      </c>
      <c r="J37" s="263">
        <f t="shared" si="35"/>
        <v>1462000</v>
      </c>
      <c r="K37" s="263">
        <f t="shared" si="36"/>
        <v>1462000</v>
      </c>
      <c r="L37" s="263">
        <f t="shared" si="36"/>
        <v>1462000</v>
      </c>
      <c r="M37" s="265">
        <f t="shared" si="37"/>
        <v>731000</v>
      </c>
      <c r="N37" s="263">
        <f t="shared" si="38"/>
        <v>1462000</v>
      </c>
      <c r="O37" s="263">
        <f t="shared" si="39"/>
        <v>1462000</v>
      </c>
      <c r="P37" s="263">
        <f t="shared" si="40"/>
        <v>1462000</v>
      </c>
      <c r="Q37" s="263">
        <f t="shared" si="41"/>
        <v>1462000</v>
      </c>
      <c r="R37" s="263">
        <f t="shared" si="42"/>
        <v>1462000</v>
      </c>
      <c r="S37" s="263">
        <f t="shared" si="43"/>
        <v>1462000</v>
      </c>
      <c r="T37" s="270">
        <f t="shared" si="44"/>
        <v>731000</v>
      </c>
      <c r="U37" s="271">
        <f t="shared" si="19"/>
        <v>58480</v>
      </c>
      <c r="V37" s="271">
        <f t="shared" si="20"/>
        <v>58480</v>
      </c>
      <c r="W37" s="271">
        <f t="shared" si="21"/>
        <v>175440</v>
      </c>
      <c r="X37" s="271">
        <f t="shared" si="22"/>
        <v>101755.2</v>
      </c>
      <c r="Y37" s="271">
        <f t="shared" si="23"/>
        <v>58480</v>
      </c>
      <c r="Z37" s="81"/>
    </row>
    <row r="38" spans="2:26" ht="15" customHeight="1" thickBot="1">
      <c r="B38" s="84" t="s">
        <v>9144</v>
      </c>
      <c r="C38" s="300" t="s">
        <v>9130</v>
      </c>
      <c r="D38" s="81" t="s">
        <v>342</v>
      </c>
      <c r="E38" s="263">
        <f t="shared" si="30"/>
        <v>1462000</v>
      </c>
      <c r="F38" s="263">
        <f t="shared" si="31"/>
        <v>118876.42406453902</v>
      </c>
      <c r="G38" s="263">
        <f t="shared" si="32"/>
        <v>1462000</v>
      </c>
      <c r="H38" s="263">
        <f t="shared" si="33"/>
        <v>1146717.9170212767</v>
      </c>
      <c r="I38" s="263">
        <f t="shared" si="34"/>
        <v>1462000</v>
      </c>
      <c r="J38" s="263">
        <f t="shared" si="35"/>
        <v>1462000</v>
      </c>
      <c r="K38" s="263">
        <f t="shared" si="36"/>
        <v>1462000</v>
      </c>
      <c r="L38" s="263">
        <f t="shared" si="36"/>
        <v>1462000</v>
      </c>
      <c r="M38" s="265">
        <f t="shared" si="37"/>
        <v>731000</v>
      </c>
      <c r="N38" s="263">
        <f t="shared" si="38"/>
        <v>1462000</v>
      </c>
      <c r="O38" s="263">
        <f t="shared" si="39"/>
        <v>1462000</v>
      </c>
      <c r="P38" s="263">
        <f t="shared" si="40"/>
        <v>1462000</v>
      </c>
      <c r="Q38" s="263">
        <f t="shared" si="41"/>
        <v>1462000</v>
      </c>
      <c r="R38" s="263">
        <f t="shared" si="42"/>
        <v>1462000</v>
      </c>
      <c r="S38" s="263">
        <f t="shared" si="43"/>
        <v>1462000</v>
      </c>
      <c r="T38" s="270">
        <f t="shared" si="44"/>
        <v>731000</v>
      </c>
      <c r="U38" s="271">
        <f t="shared" si="19"/>
        <v>58480</v>
      </c>
      <c r="V38" s="271">
        <f t="shared" si="20"/>
        <v>58480</v>
      </c>
      <c r="W38" s="271">
        <f t="shared" si="21"/>
        <v>175440</v>
      </c>
      <c r="X38" s="271">
        <f t="shared" si="22"/>
        <v>101755.2</v>
      </c>
      <c r="Y38" s="271">
        <f t="shared" si="23"/>
        <v>58480</v>
      </c>
      <c r="Z38" s="81"/>
    </row>
    <row r="39" spans="2:26" ht="15" customHeight="1" thickBot="1">
      <c r="B39" s="84" t="s">
        <v>9145</v>
      </c>
      <c r="C39" s="300" t="s">
        <v>9130</v>
      </c>
      <c r="D39" s="81" t="s">
        <v>342</v>
      </c>
      <c r="E39" s="263">
        <f t="shared" si="30"/>
        <v>1462000</v>
      </c>
      <c r="F39" s="263">
        <f t="shared" si="31"/>
        <v>118876.42406453902</v>
      </c>
      <c r="G39" s="263">
        <f t="shared" si="32"/>
        <v>1462000</v>
      </c>
      <c r="H39" s="263">
        <f t="shared" si="33"/>
        <v>1146717.9170212767</v>
      </c>
      <c r="I39" s="263">
        <f t="shared" si="34"/>
        <v>1462000</v>
      </c>
      <c r="J39" s="263">
        <f t="shared" si="35"/>
        <v>1462000</v>
      </c>
      <c r="K39" s="263">
        <f t="shared" si="36"/>
        <v>1462000</v>
      </c>
      <c r="L39" s="263">
        <f t="shared" si="36"/>
        <v>1462000</v>
      </c>
      <c r="M39" s="265">
        <f t="shared" si="37"/>
        <v>731000</v>
      </c>
      <c r="N39" s="263">
        <f t="shared" si="38"/>
        <v>1462000</v>
      </c>
      <c r="O39" s="263">
        <f t="shared" si="39"/>
        <v>1462000</v>
      </c>
      <c r="P39" s="263">
        <f t="shared" si="40"/>
        <v>1462000</v>
      </c>
      <c r="Q39" s="263">
        <f t="shared" si="41"/>
        <v>1462000</v>
      </c>
      <c r="R39" s="263">
        <f t="shared" si="42"/>
        <v>1462000</v>
      </c>
      <c r="S39" s="263">
        <f t="shared" si="43"/>
        <v>1462000</v>
      </c>
      <c r="T39" s="270">
        <f t="shared" si="44"/>
        <v>731000</v>
      </c>
      <c r="U39" s="271">
        <f t="shared" si="19"/>
        <v>58480</v>
      </c>
      <c r="V39" s="271">
        <f t="shared" si="20"/>
        <v>58480</v>
      </c>
      <c r="W39" s="271">
        <f t="shared" si="21"/>
        <v>175440</v>
      </c>
      <c r="X39" s="271">
        <f t="shared" si="22"/>
        <v>101755.2</v>
      </c>
      <c r="Y39" s="271">
        <f t="shared" si="23"/>
        <v>58480</v>
      </c>
      <c r="Z39" s="81"/>
    </row>
    <row r="40" spans="2:26" ht="15" customHeight="1" thickBot="1">
      <c r="B40" s="84" t="s">
        <v>9146</v>
      </c>
      <c r="C40" s="300" t="s">
        <v>9130</v>
      </c>
      <c r="D40" s="81" t="s">
        <v>342</v>
      </c>
      <c r="E40" s="263">
        <f t="shared" si="30"/>
        <v>1462000</v>
      </c>
      <c r="F40" s="263">
        <f t="shared" si="31"/>
        <v>118876.42406453902</v>
      </c>
      <c r="G40" s="263">
        <f t="shared" si="32"/>
        <v>1462000</v>
      </c>
      <c r="H40" s="263">
        <f t="shared" si="33"/>
        <v>1146717.9170212767</v>
      </c>
      <c r="I40" s="263">
        <f t="shared" si="34"/>
        <v>1462000</v>
      </c>
      <c r="J40" s="263">
        <f t="shared" si="35"/>
        <v>1462000</v>
      </c>
      <c r="K40" s="263">
        <f t="shared" si="36"/>
        <v>1462000</v>
      </c>
      <c r="L40" s="263">
        <f t="shared" si="36"/>
        <v>1462000</v>
      </c>
      <c r="M40" s="265">
        <f t="shared" si="37"/>
        <v>731000</v>
      </c>
      <c r="N40" s="263">
        <f t="shared" si="38"/>
        <v>1462000</v>
      </c>
      <c r="O40" s="263">
        <f t="shared" si="39"/>
        <v>1462000</v>
      </c>
      <c r="P40" s="263">
        <f t="shared" si="40"/>
        <v>1462000</v>
      </c>
      <c r="Q40" s="263">
        <f t="shared" si="41"/>
        <v>1462000</v>
      </c>
      <c r="R40" s="263">
        <f t="shared" si="42"/>
        <v>1462000</v>
      </c>
      <c r="S40" s="263">
        <f t="shared" si="43"/>
        <v>1462000</v>
      </c>
      <c r="T40" s="270">
        <f t="shared" si="44"/>
        <v>731000</v>
      </c>
      <c r="U40" s="271">
        <f t="shared" si="19"/>
        <v>58480</v>
      </c>
      <c r="V40" s="271">
        <f t="shared" si="20"/>
        <v>58480</v>
      </c>
      <c r="W40" s="271">
        <f t="shared" si="21"/>
        <v>175440</v>
      </c>
      <c r="X40" s="271">
        <f t="shared" si="22"/>
        <v>101755.2</v>
      </c>
      <c r="Y40" s="271">
        <f t="shared" si="23"/>
        <v>58480</v>
      </c>
      <c r="Z40" s="81"/>
    </row>
    <row r="41" spans="2:26" ht="15" customHeight="1" thickBot="1">
      <c r="B41" s="84" t="s">
        <v>9147</v>
      </c>
      <c r="C41" s="300" t="s">
        <v>9130</v>
      </c>
      <c r="D41" s="81" t="s">
        <v>342</v>
      </c>
      <c r="E41" s="263">
        <f t="shared" si="30"/>
        <v>1462000</v>
      </c>
      <c r="F41" s="263">
        <f t="shared" si="31"/>
        <v>118876.42406453902</v>
      </c>
      <c r="G41" s="263">
        <f t="shared" si="32"/>
        <v>1462000</v>
      </c>
      <c r="H41" s="263">
        <f t="shared" si="33"/>
        <v>1146717.9170212767</v>
      </c>
      <c r="I41" s="263">
        <f t="shared" si="34"/>
        <v>1462000</v>
      </c>
      <c r="J41" s="263">
        <f t="shared" si="35"/>
        <v>1462000</v>
      </c>
      <c r="K41" s="263">
        <f t="shared" si="36"/>
        <v>1462000</v>
      </c>
      <c r="L41" s="263">
        <f t="shared" si="36"/>
        <v>1462000</v>
      </c>
      <c r="M41" s="265">
        <f t="shared" si="37"/>
        <v>731000</v>
      </c>
      <c r="N41" s="263">
        <f t="shared" si="38"/>
        <v>1462000</v>
      </c>
      <c r="O41" s="263">
        <f t="shared" si="39"/>
        <v>1462000</v>
      </c>
      <c r="P41" s="263">
        <f t="shared" si="40"/>
        <v>1462000</v>
      </c>
      <c r="Q41" s="263">
        <f t="shared" si="41"/>
        <v>1462000</v>
      </c>
      <c r="R41" s="263">
        <f t="shared" si="42"/>
        <v>1462000</v>
      </c>
      <c r="S41" s="263">
        <f t="shared" si="43"/>
        <v>1462000</v>
      </c>
      <c r="T41" s="270">
        <f t="shared" si="44"/>
        <v>731000</v>
      </c>
      <c r="U41" s="271">
        <f t="shared" si="19"/>
        <v>58480</v>
      </c>
      <c r="V41" s="271">
        <f t="shared" si="20"/>
        <v>58480</v>
      </c>
      <c r="W41" s="271">
        <f t="shared" si="21"/>
        <v>175440</v>
      </c>
      <c r="X41" s="271">
        <f t="shared" si="22"/>
        <v>101755.2</v>
      </c>
      <c r="Y41" s="271">
        <f t="shared" si="23"/>
        <v>58480</v>
      </c>
      <c r="Z41" s="81"/>
    </row>
    <row r="42" spans="2:26" ht="15" customHeight="1" thickBot="1">
      <c r="B42" s="84" t="s">
        <v>9148</v>
      </c>
      <c r="C42" s="300" t="s">
        <v>9130</v>
      </c>
      <c r="D42" s="81" t="s">
        <v>342</v>
      </c>
      <c r="E42" s="263">
        <f t="shared" si="30"/>
        <v>1462000</v>
      </c>
      <c r="F42" s="263">
        <f t="shared" si="31"/>
        <v>118876.42406453902</v>
      </c>
      <c r="G42" s="263">
        <f t="shared" si="32"/>
        <v>1462000</v>
      </c>
      <c r="H42" s="263">
        <f t="shared" si="33"/>
        <v>1146717.9170212767</v>
      </c>
      <c r="I42" s="263">
        <f t="shared" si="34"/>
        <v>1462000</v>
      </c>
      <c r="J42" s="263">
        <f t="shared" si="35"/>
        <v>1462000</v>
      </c>
      <c r="K42" s="263">
        <f t="shared" si="36"/>
        <v>1462000</v>
      </c>
      <c r="L42" s="263">
        <f t="shared" si="36"/>
        <v>1462000</v>
      </c>
      <c r="M42" s="265">
        <f t="shared" si="37"/>
        <v>731000</v>
      </c>
      <c r="N42" s="263">
        <f t="shared" si="38"/>
        <v>1462000</v>
      </c>
      <c r="O42" s="263">
        <f t="shared" si="39"/>
        <v>1462000</v>
      </c>
      <c r="P42" s="263">
        <f t="shared" si="40"/>
        <v>1462000</v>
      </c>
      <c r="Q42" s="263">
        <f t="shared" si="41"/>
        <v>1462000</v>
      </c>
      <c r="R42" s="263">
        <f t="shared" si="42"/>
        <v>1462000</v>
      </c>
      <c r="S42" s="263">
        <f t="shared" si="43"/>
        <v>1462000</v>
      </c>
      <c r="T42" s="270">
        <f t="shared" si="44"/>
        <v>731000</v>
      </c>
      <c r="U42" s="271">
        <f t="shared" si="19"/>
        <v>58480</v>
      </c>
      <c r="V42" s="271">
        <f t="shared" si="20"/>
        <v>58480</v>
      </c>
      <c r="W42" s="271">
        <f t="shared" si="21"/>
        <v>175440</v>
      </c>
      <c r="X42" s="271">
        <f t="shared" si="22"/>
        <v>101755.2</v>
      </c>
      <c r="Y42" s="271">
        <f t="shared" si="23"/>
        <v>58480</v>
      </c>
      <c r="Z42" s="81"/>
    </row>
    <row r="43" spans="2:26" ht="15" customHeight="1" thickBot="1">
      <c r="B43" s="84" t="s">
        <v>9149</v>
      </c>
      <c r="C43" s="431" t="s">
        <v>9125</v>
      </c>
      <c r="D43" s="84" t="s">
        <v>342</v>
      </c>
      <c r="E43" s="263">
        <v>2081000</v>
      </c>
      <c r="F43" s="263">
        <f>+F42*E43/E42</f>
        <v>169207.82385657023</v>
      </c>
      <c r="G43" s="263">
        <f>+G42*F43/F42</f>
        <v>2081000</v>
      </c>
      <c r="H43" s="263">
        <f>+E43</f>
        <v>2081000</v>
      </c>
      <c r="I43" s="263">
        <f>+H43</f>
        <v>2081000</v>
      </c>
      <c r="J43" s="263">
        <f>+I43</f>
        <v>2081000</v>
      </c>
      <c r="K43" s="263">
        <f t="shared" ref="K43:L43" si="45">+J43</f>
        <v>2081000</v>
      </c>
      <c r="L43" s="263">
        <f t="shared" si="45"/>
        <v>2081000</v>
      </c>
      <c r="M43" s="265">
        <f>+L43/2</f>
        <v>1040500</v>
      </c>
      <c r="N43" s="263">
        <f>+L43</f>
        <v>2081000</v>
      </c>
      <c r="O43" s="263">
        <f>+N43</f>
        <v>2081000</v>
      </c>
      <c r="P43" s="263">
        <f t="shared" ref="P43:S43" si="46">+O43</f>
        <v>2081000</v>
      </c>
      <c r="Q43" s="263">
        <f t="shared" si="46"/>
        <v>2081000</v>
      </c>
      <c r="R43" s="263">
        <f t="shared" si="46"/>
        <v>2081000</v>
      </c>
      <c r="S43" s="263">
        <f t="shared" si="46"/>
        <v>2081000</v>
      </c>
      <c r="T43" s="270">
        <f>+S43/2</f>
        <v>1040500</v>
      </c>
      <c r="U43" s="271">
        <f t="shared" si="19"/>
        <v>83240</v>
      </c>
      <c r="V43" s="271">
        <f t="shared" si="20"/>
        <v>83240</v>
      </c>
      <c r="W43" s="271">
        <f t="shared" si="21"/>
        <v>249720</v>
      </c>
      <c r="X43" s="271">
        <f t="shared" si="22"/>
        <v>144837.59999999998</v>
      </c>
      <c r="Y43" s="271">
        <f t="shared" si="23"/>
        <v>83240</v>
      </c>
      <c r="Z43" s="81"/>
    </row>
    <row r="44" spans="2:26" ht="15" customHeight="1" thickBot="1">
      <c r="B44" s="84" t="s">
        <v>9150</v>
      </c>
      <c r="C44" s="300" t="s">
        <v>9130</v>
      </c>
      <c r="D44" s="81" t="s">
        <v>342</v>
      </c>
      <c r="E44" s="263">
        <f>+E42</f>
        <v>1462000</v>
      </c>
      <c r="F44" s="263">
        <f>+F42</f>
        <v>118876.42406453902</v>
      </c>
      <c r="G44" s="263">
        <f>+G42</f>
        <v>1462000</v>
      </c>
      <c r="H44" s="263">
        <f t="shared" ref="H44:L44" si="47">+H42</f>
        <v>1146717.9170212767</v>
      </c>
      <c r="I44" s="263">
        <f t="shared" si="47"/>
        <v>1462000</v>
      </c>
      <c r="J44" s="263">
        <f t="shared" si="47"/>
        <v>1462000</v>
      </c>
      <c r="K44" s="263">
        <f t="shared" si="47"/>
        <v>1462000</v>
      </c>
      <c r="L44" s="263">
        <f t="shared" si="47"/>
        <v>1462000</v>
      </c>
      <c r="M44" s="265">
        <f>+L44/2</f>
        <v>731000</v>
      </c>
      <c r="N44" s="263">
        <f>+N42</f>
        <v>1462000</v>
      </c>
      <c r="O44" s="263">
        <f t="shared" ref="O44:S44" si="48">+O42</f>
        <v>1462000</v>
      </c>
      <c r="P44" s="263">
        <f t="shared" si="48"/>
        <v>1462000</v>
      </c>
      <c r="Q44" s="263">
        <f t="shared" si="48"/>
        <v>1462000</v>
      </c>
      <c r="R44" s="263">
        <f t="shared" si="48"/>
        <v>1462000</v>
      </c>
      <c r="S44" s="263">
        <f t="shared" si="48"/>
        <v>1462000</v>
      </c>
      <c r="T44" s="270">
        <f>+T42</f>
        <v>731000</v>
      </c>
      <c r="U44" s="271">
        <f t="shared" si="19"/>
        <v>58480</v>
      </c>
      <c r="V44" s="271">
        <f t="shared" si="20"/>
        <v>58480</v>
      </c>
      <c r="W44" s="271">
        <f t="shared" si="21"/>
        <v>175440</v>
      </c>
      <c r="X44" s="271">
        <f t="shared" si="22"/>
        <v>101755.2</v>
      </c>
      <c r="Y44" s="271">
        <f t="shared" si="23"/>
        <v>58480</v>
      </c>
      <c r="Z44" s="81"/>
    </row>
    <row r="45" spans="2:26" ht="15" customHeight="1" thickBot="1">
      <c r="B45" s="84" t="s">
        <v>9151</v>
      </c>
      <c r="C45" s="300" t="s">
        <v>9130</v>
      </c>
      <c r="D45" s="81" t="s">
        <v>342</v>
      </c>
      <c r="E45" s="263">
        <f t="shared" si="30"/>
        <v>1462000</v>
      </c>
      <c r="F45" s="263">
        <f t="shared" si="31"/>
        <v>118876.42406453902</v>
      </c>
      <c r="G45" s="263">
        <f t="shared" si="32"/>
        <v>1462000</v>
      </c>
      <c r="H45" s="263">
        <f t="shared" si="33"/>
        <v>1146717.9170212767</v>
      </c>
      <c r="I45" s="263">
        <f t="shared" si="34"/>
        <v>1462000</v>
      </c>
      <c r="J45" s="263">
        <f t="shared" si="35"/>
        <v>1462000</v>
      </c>
      <c r="K45" s="263">
        <f t="shared" si="36"/>
        <v>1462000</v>
      </c>
      <c r="L45" s="263">
        <f t="shared" si="36"/>
        <v>1462000</v>
      </c>
      <c r="M45" s="265">
        <f t="shared" si="37"/>
        <v>731000</v>
      </c>
      <c r="N45" s="263">
        <f t="shared" si="38"/>
        <v>1462000</v>
      </c>
      <c r="O45" s="263">
        <f t="shared" si="39"/>
        <v>1462000</v>
      </c>
      <c r="P45" s="263">
        <f t="shared" si="40"/>
        <v>1462000</v>
      </c>
      <c r="Q45" s="263">
        <f t="shared" si="41"/>
        <v>1462000</v>
      </c>
      <c r="R45" s="263">
        <f t="shared" si="42"/>
        <v>1462000</v>
      </c>
      <c r="S45" s="263">
        <f t="shared" si="43"/>
        <v>1462000</v>
      </c>
      <c r="T45" s="270">
        <f t="shared" si="44"/>
        <v>731000</v>
      </c>
      <c r="U45" s="271">
        <f t="shared" si="19"/>
        <v>58480</v>
      </c>
      <c r="V45" s="271">
        <f t="shared" si="20"/>
        <v>58480</v>
      </c>
      <c r="W45" s="271">
        <f t="shared" si="21"/>
        <v>175440</v>
      </c>
      <c r="X45" s="271">
        <f t="shared" si="22"/>
        <v>101755.2</v>
      </c>
      <c r="Y45" s="271">
        <f t="shared" si="23"/>
        <v>58480</v>
      </c>
      <c r="Z45" s="81"/>
    </row>
    <row r="46" spans="2:26" ht="15" customHeight="1" thickBot="1">
      <c r="B46" s="84" t="s">
        <v>9152</v>
      </c>
      <c r="C46" s="300" t="s">
        <v>9130</v>
      </c>
      <c r="D46" s="81" t="s">
        <v>342</v>
      </c>
      <c r="E46" s="263">
        <f t="shared" si="30"/>
        <v>1462000</v>
      </c>
      <c r="F46" s="263">
        <f t="shared" si="31"/>
        <v>118876.42406453902</v>
      </c>
      <c r="G46" s="263">
        <f t="shared" si="32"/>
        <v>1462000</v>
      </c>
      <c r="H46" s="263">
        <f t="shared" si="33"/>
        <v>1146717.9170212767</v>
      </c>
      <c r="I46" s="263">
        <f t="shared" si="34"/>
        <v>1462000</v>
      </c>
      <c r="J46" s="263">
        <f t="shared" si="35"/>
        <v>1462000</v>
      </c>
      <c r="K46" s="263">
        <f t="shared" si="36"/>
        <v>1462000</v>
      </c>
      <c r="L46" s="263">
        <f t="shared" si="36"/>
        <v>1462000</v>
      </c>
      <c r="M46" s="265">
        <f t="shared" si="37"/>
        <v>731000</v>
      </c>
      <c r="N46" s="263">
        <f t="shared" si="38"/>
        <v>1462000</v>
      </c>
      <c r="O46" s="263">
        <f t="shared" si="39"/>
        <v>1462000</v>
      </c>
      <c r="P46" s="263">
        <f t="shared" si="40"/>
        <v>1462000</v>
      </c>
      <c r="Q46" s="263">
        <f t="shared" si="41"/>
        <v>1462000</v>
      </c>
      <c r="R46" s="263">
        <f t="shared" si="42"/>
        <v>1462000</v>
      </c>
      <c r="S46" s="263">
        <f t="shared" si="43"/>
        <v>1462000</v>
      </c>
      <c r="T46" s="270">
        <f t="shared" si="44"/>
        <v>731000</v>
      </c>
      <c r="U46" s="271">
        <f t="shared" si="19"/>
        <v>58480</v>
      </c>
      <c r="V46" s="271">
        <f t="shared" si="20"/>
        <v>58480</v>
      </c>
      <c r="W46" s="271">
        <f t="shared" si="21"/>
        <v>175440</v>
      </c>
      <c r="X46" s="271">
        <f t="shared" si="22"/>
        <v>101755.2</v>
      </c>
      <c r="Y46" s="271">
        <f t="shared" si="23"/>
        <v>58480</v>
      </c>
      <c r="Z46" s="81"/>
    </row>
    <row r="47" spans="2:26" ht="15" customHeight="1" thickBot="1">
      <c r="B47" s="84" t="s">
        <v>9153</v>
      </c>
      <c r="C47" s="300" t="s">
        <v>9130</v>
      </c>
      <c r="D47" s="81" t="s">
        <v>342</v>
      </c>
      <c r="E47" s="263">
        <f t="shared" si="30"/>
        <v>1462000</v>
      </c>
      <c r="F47" s="263">
        <f t="shared" si="31"/>
        <v>118876.42406453902</v>
      </c>
      <c r="G47" s="263">
        <f t="shared" si="32"/>
        <v>1462000</v>
      </c>
      <c r="H47" s="263">
        <f t="shared" si="33"/>
        <v>1146717.9170212767</v>
      </c>
      <c r="I47" s="263">
        <f t="shared" si="34"/>
        <v>1462000</v>
      </c>
      <c r="J47" s="263">
        <f t="shared" si="35"/>
        <v>1462000</v>
      </c>
      <c r="K47" s="263">
        <f t="shared" si="36"/>
        <v>1462000</v>
      </c>
      <c r="L47" s="263">
        <f t="shared" si="36"/>
        <v>1462000</v>
      </c>
      <c r="M47" s="265">
        <f t="shared" si="37"/>
        <v>731000</v>
      </c>
      <c r="N47" s="263">
        <f t="shared" si="38"/>
        <v>1462000</v>
      </c>
      <c r="O47" s="263">
        <f t="shared" si="39"/>
        <v>1462000</v>
      </c>
      <c r="P47" s="263">
        <f t="shared" si="40"/>
        <v>1462000</v>
      </c>
      <c r="Q47" s="263">
        <f t="shared" si="41"/>
        <v>1462000</v>
      </c>
      <c r="R47" s="263">
        <f t="shared" si="42"/>
        <v>1462000</v>
      </c>
      <c r="S47" s="263">
        <f t="shared" si="43"/>
        <v>1462000</v>
      </c>
      <c r="T47" s="270">
        <f t="shared" si="44"/>
        <v>731000</v>
      </c>
      <c r="U47" s="271">
        <f t="shared" si="19"/>
        <v>58480</v>
      </c>
      <c r="V47" s="271">
        <f t="shared" si="20"/>
        <v>58480</v>
      </c>
      <c r="W47" s="271">
        <f t="shared" si="21"/>
        <v>175440</v>
      </c>
      <c r="X47" s="271">
        <f t="shared" si="22"/>
        <v>101755.2</v>
      </c>
      <c r="Y47" s="271">
        <f t="shared" si="23"/>
        <v>58480</v>
      </c>
      <c r="Z47" s="81"/>
    </row>
    <row r="48" spans="2:26" ht="15" customHeight="1" thickBot="1">
      <c r="B48" s="92" t="s">
        <v>9154</v>
      </c>
      <c r="C48" s="141" t="s">
        <v>9130</v>
      </c>
      <c r="D48" s="81" t="s">
        <v>342</v>
      </c>
      <c r="E48" s="263">
        <f t="shared" si="24"/>
        <v>1462000</v>
      </c>
      <c r="F48" s="266">
        <f>+F47</f>
        <v>118876.42406453902</v>
      </c>
      <c r="G48" s="263">
        <f t="shared" si="25"/>
        <v>1462000</v>
      </c>
      <c r="H48" s="266">
        <f>+H47</f>
        <v>1146717.9170212767</v>
      </c>
      <c r="I48" s="263">
        <f t="shared" si="26"/>
        <v>1462000</v>
      </c>
      <c r="J48" s="263">
        <f t="shared" si="26"/>
        <v>1462000</v>
      </c>
      <c r="K48" s="263">
        <f t="shared" si="26"/>
        <v>1462000</v>
      </c>
      <c r="L48" s="263">
        <f t="shared" si="26"/>
        <v>1462000</v>
      </c>
      <c r="M48" s="265">
        <f t="shared" si="2"/>
        <v>731000</v>
      </c>
      <c r="N48" s="263">
        <f t="shared" si="27"/>
        <v>1462000</v>
      </c>
      <c r="O48" s="263">
        <f t="shared" si="27"/>
        <v>1462000</v>
      </c>
      <c r="P48" s="263">
        <f t="shared" si="27"/>
        <v>1462000</v>
      </c>
      <c r="Q48" s="263">
        <f t="shared" si="27"/>
        <v>1462000</v>
      </c>
      <c r="R48" s="263">
        <f t="shared" si="27"/>
        <v>1462000</v>
      </c>
      <c r="S48" s="263">
        <f t="shared" si="27"/>
        <v>1462000</v>
      </c>
      <c r="T48" s="270">
        <f t="shared" si="3"/>
        <v>731000</v>
      </c>
      <c r="U48" s="271">
        <f t="shared" si="19"/>
        <v>58480</v>
      </c>
      <c r="V48" s="271">
        <f t="shared" si="20"/>
        <v>58480</v>
      </c>
      <c r="W48" s="271">
        <f t="shared" si="21"/>
        <v>175440</v>
      </c>
      <c r="X48" s="271">
        <f t="shared" si="22"/>
        <v>101755.2</v>
      </c>
      <c r="Y48" s="271">
        <f t="shared" si="23"/>
        <v>58480</v>
      </c>
      <c r="Z48" s="81"/>
    </row>
    <row r="49" spans="2:26" ht="15" customHeight="1" thickBot="1">
      <c r="B49" s="92" t="s">
        <v>9155</v>
      </c>
      <c r="C49" s="141" t="s">
        <v>9130</v>
      </c>
      <c r="D49" s="81" t="s">
        <v>342</v>
      </c>
      <c r="E49" s="263">
        <f>1300000+162000</f>
        <v>1462000</v>
      </c>
      <c r="F49" s="266">
        <f>+F48</f>
        <v>118876.42406453902</v>
      </c>
      <c r="G49" s="263">
        <f>1300000+162000</f>
        <v>1462000</v>
      </c>
      <c r="H49" s="266">
        <f t="shared" ref="H49:H51" si="49">+H48</f>
        <v>1146717.9170212767</v>
      </c>
      <c r="I49" s="263">
        <f>1300000+162000</f>
        <v>1462000</v>
      </c>
      <c r="J49" s="263">
        <f>1300000+162000</f>
        <v>1462000</v>
      </c>
      <c r="K49" s="263">
        <f>1300000+162000</f>
        <v>1462000</v>
      </c>
      <c r="L49" s="263">
        <f>1300000+162000</f>
        <v>1462000</v>
      </c>
      <c r="M49" s="265">
        <f>E49/2</f>
        <v>731000</v>
      </c>
      <c r="N49" s="263">
        <f t="shared" ref="N49:S49" si="50">1300000+162000</f>
        <v>1462000</v>
      </c>
      <c r="O49" s="263">
        <f t="shared" si="50"/>
        <v>1462000</v>
      </c>
      <c r="P49" s="263">
        <f t="shared" si="50"/>
        <v>1462000</v>
      </c>
      <c r="Q49" s="263">
        <f t="shared" si="50"/>
        <v>1462000</v>
      </c>
      <c r="R49" s="263">
        <f t="shared" si="50"/>
        <v>1462000</v>
      </c>
      <c r="S49" s="263">
        <f t="shared" si="50"/>
        <v>1462000</v>
      </c>
      <c r="T49" s="270">
        <f>E49/2</f>
        <v>731000</v>
      </c>
      <c r="U49" s="271">
        <f t="shared" si="19"/>
        <v>58480</v>
      </c>
      <c r="V49" s="271">
        <f t="shared" si="20"/>
        <v>58480</v>
      </c>
      <c r="W49" s="271">
        <f t="shared" si="21"/>
        <v>175440</v>
      </c>
      <c r="X49" s="271">
        <f t="shared" si="22"/>
        <v>101755.2</v>
      </c>
      <c r="Y49" s="271">
        <f t="shared" si="23"/>
        <v>58480</v>
      </c>
      <c r="Z49" s="81"/>
    </row>
    <row r="50" spans="2:26" ht="15" customHeight="1" thickBot="1">
      <c r="B50" s="92" t="s">
        <v>9156</v>
      </c>
      <c r="C50" s="141" t="s">
        <v>9130</v>
      </c>
      <c r="D50" s="81" t="s">
        <v>342</v>
      </c>
      <c r="E50" s="263">
        <f t="shared" si="24"/>
        <v>1462000</v>
      </c>
      <c r="F50" s="266">
        <f>+F49</f>
        <v>118876.42406453902</v>
      </c>
      <c r="G50" s="263">
        <f t="shared" si="25"/>
        <v>1462000</v>
      </c>
      <c r="H50" s="266">
        <f t="shared" si="49"/>
        <v>1146717.9170212767</v>
      </c>
      <c r="I50" s="263">
        <f t="shared" si="26"/>
        <v>1462000</v>
      </c>
      <c r="J50" s="263">
        <f t="shared" si="26"/>
        <v>1462000</v>
      </c>
      <c r="K50" s="263">
        <f t="shared" si="26"/>
        <v>1462000</v>
      </c>
      <c r="L50" s="263">
        <f t="shared" si="26"/>
        <v>1462000</v>
      </c>
      <c r="M50" s="265">
        <f t="shared" si="2"/>
        <v>731000</v>
      </c>
      <c r="N50" s="263">
        <f t="shared" si="27"/>
        <v>1462000</v>
      </c>
      <c r="O50" s="263">
        <f t="shared" si="27"/>
        <v>1462000</v>
      </c>
      <c r="P50" s="263">
        <f t="shared" si="27"/>
        <v>1462000</v>
      </c>
      <c r="Q50" s="263">
        <f t="shared" si="27"/>
        <v>1462000</v>
      </c>
      <c r="R50" s="263">
        <f t="shared" si="27"/>
        <v>1462000</v>
      </c>
      <c r="S50" s="263">
        <f t="shared" si="27"/>
        <v>1462000</v>
      </c>
      <c r="T50" s="270">
        <f t="shared" si="3"/>
        <v>731000</v>
      </c>
      <c r="U50" s="271">
        <f t="shared" si="19"/>
        <v>58480</v>
      </c>
      <c r="V50" s="271">
        <f t="shared" si="20"/>
        <v>58480</v>
      </c>
      <c r="W50" s="271">
        <f t="shared" si="21"/>
        <v>175440</v>
      </c>
      <c r="X50" s="271">
        <f t="shared" si="22"/>
        <v>101755.2</v>
      </c>
      <c r="Y50" s="271">
        <f t="shared" si="23"/>
        <v>58480</v>
      </c>
      <c r="Z50" s="81"/>
    </row>
    <row r="51" spans="2:26" ht="15" customHeight="1" thickBot="1">
      <c r="B51" s="92" t="s">
        <v>9157</v>
      </c>
      <c r="C51" s="141" t="s">
        <v>9130</v>
      </c>
      <c r="D51" s="81" t="s">
        <v>342</v>
      </c>
      <c r="E51" s="263">
        <f t="shared" si="24"/>
        <v>1462000</v>
      </c>
      <c r="F51" s="266">
        <f>+F50</f>
        <v>118876.42406453902</v>
      </c>
      <c r="G51" s="263">
        <f t="shared" si="25"/>
        <v>1462000</v>
      </c>
      <c r="H51" s="266">
        <f t="shared" si="49"/>
        <v>1146717.9170212767</v>
      </c>
      <c r="I51" s="263">
        <f t="shared" si="26"/>
        <v>1462000</v>
      </c>
      <c r="J51" s="263">
        <f t="shared" si="26"/>
        <v>1462000</v>
      </c>
      <c r="K51" s="263">
        <f t="shared" si="26"/>
        <v>1462000</v>
      </c>
      <c r="L51" s="263">
        <f t="shared" si="26"/>
        <v>1462000</v>
      </c>
      <c r="M51" s="265">
        <f t="shared" si="2"/>
        <v>731000</v>
      </c>
      <c r="N51" s="263">
        <f t="shared" si="27"/>
        <v>1462000</v>
      </c>
      <c r="O51" s="263">
        <f t="shared" si="27"/>
        <v>1462000</v>
      </c>
      <c r="P51" s="263">
        <f t="shared" si="27"/>
        <v>1462000</v>
      </c>
      <c r="Q51" s="263">
        <f t="shared" si="27"/>
        <v>1462000</v>
      </c>
      <c r="R51" s="263">
        <f t="shared" si="27"/>
        <v>1462000</v>
      </c>
      <c r="S51" s="263">
        <f t="shared" si="27"/>
        <v>1462000</v>
      </c>
      <c r="T51" s="270">
        <f t="shared" si="3"/>
        <v>731000</v>
      </c>
      <c r="U51" s="271">
        <f t="shared" si="19"/>
        <v>58480</v>
      </c>
      <c r="V51" s="271">
        <f t="shared" si="20"/>
        <v>58480</v>
      </c>
      <c r="W51" s="271">
        <f t="shared" si="21"/>
        <v>175440</v>
      </c>
      <c r="X51" s="271">
        <f t="shared" si="22"/>
        <v>101755.2</v>
      </c>
      <c r="Y51" s="271">
        <f t="shared" si="23"/>
        <v>58480</v>
      </c>
      <c r="Z51" s="81"/>
    </row>
    <row r="52" spans="2:26" ht="15" customHeight="1" thickBot="1">
      <c r="B52" s="81" t="s">
        <v>9158</v>
      </c>
      <c r="C52" s="300" t="s">
        <v>9159</v>
      </c>
      <c r="D52" s="81" t="s">
        <v>5051</v>
      </c>
      <c r="E52" s="263">
        <v>5495000</v>
      </c>
      <c r="F52" s="266">
        <f>+E52*F53/E53</f>
        <v>594620.14331451757</v>
      </c>
      <c r="G52" s="263">
        <f>+E52</f>
        <v>5495000</v>
      </c>
      <c r="H52" s="266">
        <f>+G52*H53/G53</f>
        <v>5170609.9418653697</v>
      </c>
      <c r="I52" s="263">
        <f>+G52</f>
        <v>5495000</v>
      </c>
      <c r="J52" s="263">
        <f t="shared" ref="J52:L53" si="51">+I52</f>
        <v>5495000</v>
      </c>
      <c r="K52" s="263">
        <f t="shared" si="51"/>
        <v>5495000</v>
      </c>
      <c r="L52" s="263">
        <f t="shared" si="51"/>
        <v>5495000</v>
      </c>
      <c r="M52" s="265">
        <f>+L52/2</f>
        <v>2747500</v>
      </c>
      <c r="N52" s="263">
        <f>+L52</f>
        <v>5495000</v>
      </c>
      <c r="O52" s="263">
        <f t="shared" ref="O52:S53" si="52">+N52</f>
        <v>5495000</v>
      </c>
      <c r="P52" s="263">
        <f t="shared" si="52"/>
        <v>5495000</v>
      </c>
      <c r="Q52" s="263">
        <f t="shared" si="52"/>
        <v>5495000</v>
      </c>
      <c r="R52" s="263">
        <f t="shared" si="52"/>
        <v>5495000</v>
      </c>
      <c r="S52" s="263">
        <f t="shared" si="52"/>
        <v>5495000</v>
      </c>
      <c r="T52" s="270">
        <f>+S52/2</f>
        <v>2747500</v>
      </c>
      <c r="U52" s="271">
        <f t="shared" si="19"/>
        <v>219800</v>
      </c>
      <c r="V52" s="271">
        <f t="shared" si="20"/>
        <v>219800</v>
      </c>
      <c r="W52" s="271">
        <f t="shared" si="21"/>
        <v>659400</v>
      </c>
      <c r="X52" s="271">
        <f t="shared" si="22"/>
        <v>382452</v>
      </c>
      <c r="Y52" s="271">
        <f t="shared" si="23"/>
        <v>219800</v>
      </c>
      <c r="Z52" s="81"/>
    </row>
    <row r="53" spans="2:26" ht="15" customHeight="1" thickBot="1">
      <c r="B53" s="84" t="s">
        <v>9160</v>
      </c>
      <c r="C53" s="431" t="s">
        <v>9161</v>
      </c>
      <c r="D53" s="84" t="s">
        <v>5051</v>
      </c>
      <c r="E53" s="263">
        <v>2900000</v>
      </c>
      <c r="F53" s="266">
        <v>313812.26853723399</v>
      </c>
      <c r="G53" s="263">
        <v>2900000</v>
      </c>
      <c r="H53" s="266">
        <v>2728802.3351063826</v>
      </c>
      <c r="I53" s="263">
        <f>+G53</f>
        <v>2900000</v>
      </c>
      <c r="J53" s="263">
        <f t="shared" si="51"/>
        <v>2900000</v>
      </c>
      <c r="K53" s="263">
        <f t="shared" si="51"/>
        <v>2900000</v>
      </c>
      <c r="L53" s="263">
        <f t="shared" si="51"/>
        <v>2900000</v>
      </c>
      <c r="M53" s="265">
        <f>+L53/2</f>
        <v>1450000</v>
      </c>
      <c r="N53" s="263">
        <f>+L53</f>
        <v>2900000</v>
      </c>
      <c r="O53" s="263">
        <f t="shared" si="52"/>
        <v>2900000</v>
      </c>
      <c r="P53" s="263">
        <f t="shared" si="52"/>
        <v>2900000</v>
      </c>
      <c r="Q53" s="263">
        <f t="shared" si="52"/>
        <v>2900000</v>
      </c>
      <c r="R53" s="263">
        <f t="shared" si="52"/>
        <v>2900000</v>
      </c>
      <c r="S53" s="263">
        <f t="shared" si="52"/>
        <v>2900000</v>
      </c>
      <c r="T53" s="270">
        <f>+S53/2</f>
        <v>1450000</v>
      </c>
      <c r="U53" s="271">
        <f t="shared" si="19"/>
        <v>116000</v>
      </c>
      <c r="V53" s="271">
        <f t="shared" si="20"/>
        <v>116000</v>
      </c>
      <c r="W53" s="271">
        <f t="shared" si="21"/>
        <v>348000</v>
      </c>
      <c r="X53" s="271">
        <f t="shared" si="22"/>
        <v>201840</v>
      </c>
      <c r="Y53" s="271">
        <f t="shared" si="23"/>
        <v>116000</v>
      </c>
      <c r="Z53" s="81"/>
    </row>
    <row r="54" spans="2:26" ht="15" customHeight="1">
      <c r="B54" s="81" t="s">
        <v>9162</v>
      </c>
      <c r="C54" s="300" t="s">
        <v>9163</v>
      </c>
      <c r="D54" s="81" t="s">
        <v>5051</v>
      </c>
      <c r="E54" s="263">
        <v>1300000</v>
      </c>
      <c r="F54" s="263"/>
      <c r="G54" s="263">
        <v>1300000</v>
      </c>
      <c r="H54" s="266"/>
      <c r="I54" s="263">
        <v>1300000</v>
      </c>
      <c r="J54" s="263">
        <v>1300000</v>
      </c>
      <c r="K54" s="263">
        <v>1300000</v>
      </c>
      <c r="L54" s="263">
        <v>1300000</v>
      </c>
      <c r="M54" s="265"/>
      <c r="N54" s="263">
        <v>1300000</v>
      </c>
      <c r="O54" s="263">
        <v>1300000</v>
      </c>
      <c r="P54" s="263">
        <v>1300000</v>
      </c>
      <c r="Q54" s="263">
        <v>1300000</v>
      </c>
      <c r="R54" s="263">
        <v>1300000</v>
      </c>
      <c r="S54" s="263">
        <v>1300000</v>
      </c>
      <c r="T54" s="270"/>
      <c r="U54" s="271">
        <f>+E54*8%</f>
        <v>104000</v>
      </c>
      <c r="V54" s="271"/>
      <c r="W54" s="271"/>
      <c r="X54" s="271">
        <f>+E54*$X$3</f>
        <v>6786</v>
      </c>
      <c r="Y54" s="271"/>
      <c r="Z54" s="81"/>
    </row>
    <row r="56" spans="2:26" ht="15" customHeight="1">
      <c r="E56" s="264">
        <f t="shared" ref="E56:S56" si="53">SUM(E6:E55)</f>
        <v>115788000</v>
      </c>
      <c r="F56" s="264">
        <f t="shared" si="53"/>
        <v>8638301.357064357</v>
      </c>
      <c r="G56" s="264">
        <f t="shared" si="53"/>
        <v>115788000</v>
      </c>
      <c r="H56" s="264">
        <f t="shared" si="53"/>
        <v>77688346.22815375</v>
      </c>
      <c r="I56" s="264">
        <f t="shared" si="53"/>
        <v>115788000</v>
      </c>
      <c r="J56" s="264">
        <f t="shared" si="53"/>
        <v>115788000</v>
      </c>
      <c r="K56" s="264">
        <f t="shared" si="53"/>
        <v>115788000</v>
      </c>
      <c r="L56" s="264">
        <f t="shared" si="53"/>
        <v>118848000</v>
      </c>
      <c r="M56" s="264">
        <f t="shared" si="53"/>
        <v>52943000</v>
      </c>
      <c r="N56" s="264">
        <f t="shared" si="53"/>
        <v>118524000</v>
      </c>
      <c r="O56" s="264">
        <f t="shared" si="53"/>
        <v>118524000</v>
      </c>
      <c r="P56" s="264">
        <f t="shared" si="53"/>
        <v>118524000</v>
      </c>
      <c r="Q56" s="264">
        <f t="shared" si="53"/>
        <v>118524000</v>
      </c>
      <c r="R56" s="264">
        <f t="shared" si="53"/>
        <v>118524000</v>
      </c>
      <c r="S56" s="264">
        <f t="shared" si="53"/>
        <v>118524000</v>
      </c>
      <c r="T56" s="264"/>
      <c r="U56" s="264"/>
      <c r="V56" s="264"/>
      <c r="W56" s="268"/>
      <c r="X56" s="268"/>
      <c r="Y56" s="268"/>
    </row>
    <row r="58" spans="2:26" ht="15" customHeight="1">
      <c r="E58" s="276">
        <v>45292</v>
      </c>
      <c r="F58" s="276">
        <v>45323</v>
      </c>
      <c r="G58" s="276">
        <v>45352</v>
      </c>
      <c r="H58" s="276">
        <v>45383</v>
      </c>
      <c r="I58" s="276">
        <v>45413</v>
      </c>
      <c r="J58" s="276">
        <v>45444</v>
      </c>
      <c r="K58" s="276">
        <v>45474</v>
      </c>
      <c r="L58" s="276">
        <v>45505</v>
      </c>
      <c r="M58" s="276">
        <v>45536</v>
      </c>
      <c r="N58" s="276">
        <v>45566</v>
      </c>
      <c r="O58" s="276">
        <v>45597</v>
      </c>
      <c r="P58" s="276">
        <v>45627</v>
      </c>
    </row>
    <row r="59" spans="2:26" ht="15" customHeight="1">
      <c r="D59" s="81" t="s">
        <v>291</v>
      </c>
      <c r="E59" s="279">
        <f>+SUM(E6:E12)-SUM(U6:U12)-SUM(V6:V12)</f>
        <v>33701970.170879036</v>
      </c>
      <c r="F59" s="271">
        <f>+SUM(G6:G12)-SUM(U6:V12)</f>
        <v>33701970.170879036</v>
      </c>
      <c r="G59" s="83">
        <f>+SUM(I6:I12)-SUM(U6:V12)</f>
        <v>33701970.170879036</v>
      </c>
      <c r="H59" s="83">
        <f t="shared" ref="H59:P59" si="54">+G59</f>
        <v>33701970.170879036</v>
      </c>
      <c r="I59" s="83">
        <f t="shared" si="54"/>
        <v>33701970.170879036</v>
      </c>
      <c r="J59" s="83">
        <f>+I59</f>
        <v>33701970.170879036</v>
      </c>
      <c r="K59" s="83">
        <f>+J59+7000000</f>
        <v>40701970.170879036</v>
      </c>
      <c r="L59" s="83">
        <f t="shared" si="54"/>
        <v>40701970.170879036</v>
      </c>
      <c r="M59" s="83">
        <f t="shared" si="54"/>
        <v>40701970.170879036</v>
      </c>
      <c r="N59" s="83">
        <f t="shared" si="54"/>
        <v>40701970.170879036</v>
      </c>
      <c r="O59" s="13">
        <f t="shared" si="54"/>
        <v>40701970.170879036</v>
      </c>
      <c r="P59" s="83">
        <f t="shared" si="54"/>
        <v>40701970.170879036</v>
      </c>
    </row>
    <row r="60" spans="2:26" ht="15" customHeight="1">
      <c r="D60" s="81" t="s">
        <v>9164</v>
      </c>
      <c r="E60" s="279">
        <f>+SUM(U6:Z12)</f>
        <v>6525926.3091209624</v>
      </c>
      <c r="F60" s="83">
        <f>+E60</f>
        <v>6525926.3091209624</v>
      </c>
      <c r="G60" s="83">
        <f>+F60</f>
        <v>6525926.3091209624</v>
      </c>
      <c r="H60" s="83">
        <f t="shared" ref="H60:P60" si="55">+G60</f>
        <v>6525926.3091209624</v>
      </c>
      <c r="I60" s="83">
        <f t="shared" si="55"/>
        <v>6525926.3091209624</v>
      </c>
      <c r="J60" s="83">
        <f t="shared" si="55"/>
        <v>6525926.3091209624</v>
      </c>
      <c r="K60" s="83">
        <f t="shared" si="55"/>
        <v>6525926.3091209624</v>
      </c>
      <c r="L60" s="83">
        <f t="shared" si="55"/>
        <v>6525926.3091209624</v>
      </c>
      <c r="M60" s="83">
        <f t="shared" si="55"/>
        <v>6525926.3091209624</v>
      </c>
      <c r="N60" s="83">
        <f t="shared" si="55"/>
        <v>6525926.3091209624</v>
      </c>
      <c r="O60" s="83">
        <f t="shared" si="55"/>
        <v>6525926.3091209624</v>
      </c>
      <c r="P60" s="83">
        <f t="shared" si="55"/>
        <v>6525926.3091209624</v>
      </c>
    </row>
    <row r="61" spans="2:26" ht="15" customHeight="1">
      <c r="D61" s="81" t="s">
        <v>9089</v>
      </c>
      <c r="E61" s="279"/>
      <c r="F61" s="83">
        <f>+SUM(H6:H10)+SUM(H13:H51)</f>
        <v>69788933.951182008</v>
      </c>
      <c r="G61" s="83"/>
      <c r="H61" s="83"/>
      <c r="I61" s="83"/>
      <c r="J61" s="83"/>
      <c r="K61" s="83"/>
      <c r="L61" s="83"/>
      <c r="M61" s="83"/>
      <c r="N61" s="83"/>
      <c r="O61" s="83"/>
      <c r="P61" s="83"/>
    </row>
    <row r="62" spans="2:26" ht="15" customHeight="1">
      <c r="D62" s="84" t="s">
        <v>9165</v>
      </c>
      <c r="E62" s="279">
        <f>+SUM(F6:F10)</f>
        <v>1734745.7280240741</v>
      </c>
      <c r="F62" s="83"/>
      <c r="G62" s="83"/>
      <c r="H62" s="83"/>
      <c r="I62" s="83"/>
      <c r="J62" s="83"/>
      <c r="K62" s="83"/>
      <c r="L62" s="83"/>
      <c r="M62" s="83"/>
      <c r="N62" s="83"/>
      <c r="O62" s="83"/>
      <c r="P62" s="83"/>
    </row>
    <row r="63" spans="2:26" ht="15" customHeight="1">
      <c r="D63" s="84" t="s">
        <v>9090</v>
      </c>
      <c r="E63" s="279"/>
      <c r="F63" s="83"/>
      <c r="G63" s="83"/>
      <c r="H63" s="83"/>
      <c r="I63" s="83"/>
      <c r="J63" s="83">
        <f>+SUM(M6:M12)</f>
        <v>13492000</v>
      </c>
      <c r="K63" s="83"/>
      <c r="L63" s="83"/>
      <c r="M63" s="83"/>
      <c r="N63" s="83"/>
      <c r="O63" s="83"/>
      <c r="P63" s="83">
        <f>+J63</f>
        <v>13492000</v>
      </c>
    </row>
    <row r="64" spans="2:26" ht="15" customHeight="1">
      <c r="D64" s="84"/>
      <c r="E64" s="358"/>
      <c r="F64" s="175"/>
      <c r="G64" s="175"/>
      <c r="H64" s="175"/>
      <c r="I64" s="175"/>
      <c r="J64" s="175"/>
      <c r="K64" s="175"/>
      <c r="L64" s="175"/>
      <c r="M64" s="175"/>
      <c r="N64" s="175"/>
      <c r="O64" s="175"/>
      <c r="P64" s="175"/>
    </row>
    <row r="65" spans="4:16" ht="15" customHeight="1">
      <c r="D65" s="84" t="s">
        <v>5051</v>
      </c>
      <c r="E65" s="280">
        <f>+SUM(E52:F54)</f>
        <v>10603432.411851753</v>
      </c>
      <c r="F65" s="277">
        <f>+E65</f>
        <v>10603432.411851753</v>
      </c>
      <c r="G65" s="175">
        <f t="shared" ref="G65:P66" si="56">+F65</f>
        <v>10603432.411851753</v>
      </c>
      <c r="H65" s="175">
        <f t="shared" si="56"/>
        <v>10603432.411851753</v>
      </c>
      <c r="I65" s="175">
        <f t="shared" si="56"/>
        <v>10603432.411851753</v>
      </c>
      <c r="J65" s="175">
        <f t="shared" si="56"/>
        <v>10603432.411851753</v>
      </c>
      <c r="K65" s="175">
        <f t="shared" si="56"/>
        <v>10603432.411851753</v>
      </c>
      <c r="L65" s="175">
        <f t="shared" si="56"/>
        <v>10603432.411851753</v>
      </c>
      <c r="M65" s="175">
        <f t="shared" si="56"/>
        <v>10603432.411851753</v>
      </c>
      <c r="N65" s="175">
        <f t="shared" si="56"/>
        <v>10603432.411851753</v>
      </c>
      <c r="O65" s="175">
        <f t="shared" si="56"/>
        <v>10603432.411851753</v>
      </c>
      <c r="P65" s="175">
        <f t="shared" si="56"/>
        <v>10603432.411851753</v>
      </c>
    </row>
    <row r="66" spans="4:16" ht="15" customHeight="1">
      <c r="D66" s="359" t="s">
        <v>9164</v>
      </c>
      <c r="E66" s="280">
        <f>+SUM(U52:Y54)</f>
        <v>2709878</v>
      </c>
      <c r="F66" s="277">
        <f>+E66</f>
        <v>2709878</v>
      </c>
      <c r="G66" s="175">
        <f>+F66</f>
        <v>2709878</v>
      </c>
      <c r="H66" s="175">
        <f t="shared" si="56"/>
        <v>2709878</v>
      </c>
      <c r="I66" s="175">
        <f t="shared" si="56"/>
        <v>2709878</v>
      </c>
      <c r="J66" s="175">
        <f t="shared" si="56"/>
        <v>2709878</v>
      </c>
      <c r="K66" s="175">
        <f t="shared" si="56"/>
        <v>2709878</v>
      </c>
      <c r="L66" s="175">
        <f t="shared" si="56"/>
        <v>2709878</v>
      </c>
      <c r="M66" s="175">
        <f t="shared" si="56"/>
        <v>2709878</v>
      </c>
      <c r="N66" s="175">
        <f t="shared" si="56"/>
        <v>2709878</v>
      </c>
      <c r="O66" s="175">
        <f t="shared" si="56"/>
        <v>2709878</v>
      </c>
      <c r="P66" s="175">
        <f t="shared" si="56"/>
        <v>2709878</v>
      </c>
    </row>
    <row r="67" spans="4:16" ht="15" customHeight="1">
      <c r="D67" s="359" t="s">
        <v>7654</v>
      </c>
      <c r="E67" s="280">
        <f>+SUM(F52:F54)</f>
        <v>908432.41185175162</v>
      </c>
      <c r="F67" s="277"/>
      <c r="G67" s="175"/>
      <c r="H67" s="175"/>
      <c r="I67" s="175"/>
      <c r="J67" s="175"/>
      <c r="K67" s="175"/>
      <c r="L67" s="175"/>
      <c r="M67" s="175"/>
      <c r="N67" s="175"/>
      <c r="O67" s="175"/>
      <c r="P67" s="175"/>
    </row>
    <row r="68" spans="4:16" ht="15" customHeight="1">
      <c r="D68" s="359" t="s">
        <v>9090</v>
      </c>
      <c r="E68" s="280"/>
      <c r="F68" s="277"/>
      <c r="G68" s="175"/>
      <c r="H68" s="175"/>
      <c r="I68" s="175"/>
      <c r="J68" s="175">
        <f>+SUM(M52:M54)</f>
        <v>4197500</v>
      </c>
      <c r="K68" s="175"/>
      <c r="L68" s="175"/>
      <c r="M68" s="175"/>
      <c r="N68" s="175"/>
      <c r="O68" s="175"/>
      <c r="P68" s="175"/>
    </row>
    <row r="69" spans="4:16" ht="15" customHeight="1">
      <c r="D69" s="359" t="s">
        <v>9089</v>
      </c>
      <c r="E69" s="280"/>
      <c r="F69" s="277">
        <f>+SUM(H52:H54)</f>
        <v>7899412.2769717518</v>
      </c>
      <c r="G69" s="175"/>
      <c r="H69" s="175"/>
      <c r="I69" s="175"/>
      <c r="J69" s="175"/>
      <c r="K69" s="175"/>
      <c r="L69" s="175"/>
      <c r="M69" s="175"/>
      <c r="N69" s="175"/>
      <c r="O69" s="175"/>
      <c r="P69" s="175"/>
    </row>
    <row r="70" spans="4:16" ht="15" customHeight="1">
      <c r="D70" s="359"/>
      <c r="E70" s="280"/>
      <c r="F70" s="277"/>
      <c r="G70" s="175"/>
      <c r="H70" s="175"/>
      <c r="I70" s="175"/>
      <c r="J70" s="175"/>
      <c r="K70" s="175"/>
      <c r="L70" s="175"/>
      <c r="M70" s="175"/>
      <c r="N70" s="175"/>
      <c r="O70" s="175"/>
      <c r="P70" s="175"/>
    </row>
    <row r="71" spans="4:16" ht="15" customHeight="1">
      <c r="D71" s="90" t="s">
        <v>9166</v>
      </c>
      <c r="E71" s="416">
        <f>+SUM(E59:E63)</f>
        <v>41962642.20802407</v>
      </c>
      <c r="F71" s="87">
        <f t="shared" ref="F71:P71" si="57">+SUM(F59:F65)</f>
        <v>120620262.84303375</v>
      </c>
      <c r="G71" s="87">
        <f t="shared" si="57"/>
        <v>50831328.891851753</v>
      </c>
      <c r="H71" s="87">
        <f t="shared" si="57"/>
        <v>50831328.891851753</v>
      </c>
      <c r="I71" s="87">
        <f t="shared" si="57"/>
        <v>50831328.891851753</v>
      </c>
      <c r="J71" s="87">
        <f t="shared" si="57"/>
        <v>64323328.891851753</v>
      </c>
      <c r="K71" s="87">
        <f t="shared" si="57"/>
        <v>57831328.891851753</v>
      </c>
      <c r="L71" s="87">
        <f t="shared" si="57"/>
        <v>57831328.891851753</v>
      </c>
      <c r="M71" s="87">
        <f t="shared" si="57"/>
        <v>57831328.891851753</v>
      </c>
      <c r="N71" s="87">
        <f t="shared" si="57"/>
        <v>57831328.891851753</v>
      </c>
      <c r="O71" s="87">
        <f t="shared" si="57"/>
        <v>57831328.891851753</v>
      </c>
      <c r="P71" s="87">
        <f t="shared" si="57"/>
        <v>71323328.891851753</v>
      </c>
    </row>
    <row r="72" spans="4:16" ht="15" customHeight="1">
      <c r="D72" s="361" t="s">
        <v>9167</v>
      </c>
      <c r="E72" s="417">
        <f t="shared" ref="E72:P72" si="58">+SUM(E65:E69)</f>
        <v>14221742.823703505</v>
      </c>
      <c r="F72" s="417">
        <f t="shared" si="58"/>
        <v>21212722.688823506</v>
      </c>
      <c r="G72" s="417">
        <f t="shared" si="58"/>
        <v>13313310.411851753</v>
      </c>
      <c r="H72" s="417">
        <f t="shared" si="58"/>
        <v>13313310.411851753</v>
      </c>
      <c r="I72" s="417">
        <f t="shared" si="58"/>
        <v>13313310.411851753</v>
      </c>
      <c r="J72" s="417">
        <f t="shared" si="58"/>
        <v>17510810.411851753</v>
      </c>
      <c r="K72" s="417">
        <f t="shared" si="58"/>
        <v>13313310.411851753</v>
      </c>
      <c r="L72" s="417">
        <f t="shared" si="58"/>
        <v>13313310.411851753</v>
      </c>
      <c r="M72" s="417">
        <f t="shared" si="58"/>
        <v>13313310.411851753</v>
      </c>
      <c r="N72" s="417">
        <f t="shared" si="58"/>
        <v>13313310.411851753</v>
      </c>
      <c r="O72" s="417">
        <f t="shared" si="58"/>
        <v>13313310.411851753</v>
      </c>
      <c r="P72" s="417">
        <f t="shared" si="58"/>
        <v>13313310.411851753</v>
      </c>
    </row>
    <row r="73" spans="4:16" ht="15" customHeight="1">
      <c r="D73" s="282" t="s">
        <v>9168</v>
      </c>
      <c r="E73" s="418">
        <f t="shared" ref="E73:P73" si="59">+E71+E72</f>
        <v>56184385.031727575</v>
      </c>
      <c r="F73" s="418">
        <f t="shared" si="59"/>
        <v>141832985.53185725</v>
      </c>
      <c r="G73" s="418">
        <f t="shared" si="59"/>
        <v>64144639.303703502</v>
      </c>
      <c r="H73" s="418">
        <f t="shared" si="59"/>
        <v>64144639.303703502</v>
      </c>
      <c r="I73" s="418">
        <f t="shared" si="59"/>
        <v>64144639.303703502</v>
      </c>
      <c r="J73" s="418">
        <f t="shared" si="59"/>
        <v>81834139.303703502</v>
      </c>
      <c r="K73" s="418">
        <f t="shared" si="59"/>
        <v>71144639.303703502</v>
      </c>
      <c r="L73" s="418">
        <f t="shared" si="59"/>
        <v>71144639.303703502</v>
      </c>
      <c r="M73" s="418">
        <f t="shared" si="59"/>
        <v>71144639.303703502</v>
      </c>
      <c r="N73" s="418">
        <f t="shared" si="59"/>
        <v>71144639.303703502</v>
      </c>
      <c r="O73" s="418">
        <f t="shared" si="59"/>
        <v>71144639.303703502</v>
      </c>
      <c r="P73" s="418">
        <f t="shared" si="59"/>
        <v>84636639.303703502</v>
      </c>
    </row>
    <row r="74" spans="4:16" ht="15" customHeight="1">
      <c r="D74" s="281"/>
      <c r="E74" s="417"/>
      <c r="F74" s="278"/>
      <c r="G74" s="86"/>
      <c r="H74" s="86"/>
      <c r="I74" s="176"/>
      <c r="J74" s="176"/>
      <c r="K74" s="176"/>
      <c r="L74" s="176"/>
      <c r="M74" s="176"/>
      <c r="N74" s="176"/>
      <c r="O74" s="176"/>
      <c r="P74" s="176"/>
    </row>
    <row r="75" spans="4:16" ht="15" customHeight="1">
      <c r="D75" s="281" t="s">
        <v>7654</v>
      </c>
      <c r="E75" s="357">
        <f>+SUM(F13:F51)</f>
        <v>5995123.2171885278</v>
      </c>
      <c r="F75" s="278"/>
      <c r="G75" s="86"/>
      <c r="H75" s="86"/>
      <c r="I75" s="176"/>
      <c r="J75" s="176"/>
      <c r="K75" s="176"/>
      <c r="L75" s="176"/>
      <c r="M75" s="176"/>
      <c r="N75" s="176"/>
      <c r="O75" s="176"/>
      <c r="P75" s="176"/>
    </row>
    <row r="76" spans="4:16" ht="15" customHeight="1">
      <c r="D76" s="281" t="s">
        <v>9090</v>
      </c>
      <c r="E76" s="357"/>
      <c r="F76" s="278"/>
      <c r="G76" s="86"/>
      <c r="H76" s="86"/>
      <c r="I76" s="176"/>
      <c r="J76" s="360">
        <f>+SUM(M13:M50)</f>
        <v>34522500</v>
      </c>
      <c r="K76" s="176"/>
      <c r="L76" s="176"/>
      <c r="M76" s="176"/>
      <c r="N76" s="176"/>
      <c r="O76" s="176"/>
      <c r="P76" s="360">
        <f>+J76</f>
        <v>34522500</v>
      </c>
    </row>
    <row r="77" spans="4:16" ht="15" customHeight="1">
      <c r="D77" s="281" t="s">
        <v>9164</v>
      </c>
      <c r="E77" s="278">
        <f>+SUM(U13:Z51)</f>
        <v>22840543.199999981</v>
      </c>
      <c r="F77" s="278">
        <f>+E77</f>
        <v>22840543.199999981</v>
      </c>
      <c r="G77" s="86">
        <f>+F77</f>
        <v>22840543.199999981</v>
      </c>
      <c r="H77" s="86">
        <f>+G77</f>
        <v>22840543.199999981</v>
      </c>
      <c r="I77" s="86">
        <f t="shared" ref="I77:P77" si="60">+H77</f>
        <v>22840543.199999981</v>
      </c>
      <c r="J77" s="86">
        <f t="shared" si="60"/>
        <v>22840543.199999981</v>
      </c>
      <c r="K77" s="86">
        <f t="shared" si="60"/>
        <v>22840543.199999981</v>
      </c>
      <c r="L77" s="86">
        <f t="shared" si="60"/>
        <v>22840543.199999981</v>
      </c>
      <c r="M77" s="86">
        <f t="shared" si="60"/>
        <v>22840543.199999981</v>
      </c>
      <c r="N77" s="86">
        <f t="shared" si="60"/>
        <v>22840543.199999981</v>
      </c>
      <c r="O77" s="86">
        <f t="shared" si="60"/>
        <v>22840543.199999981</v>
      </c>
      <c r="P77" s="86">
        <f t="shared" si="60"/>
        <v>22840543.199999981</v>
      </c>
    </row>
    <row r="78" spans="4:16" ht="15" customHeight="1">
      <c r="D78" s="361" t="s">
        <v>342</v>
      </c>
      <c r="E78" s="83">
        <f>+SUM(E21:E51)-SUM(U21:$V$51)</f>
        <v>44475560</v>
      </c>
      <c r="F78" s="83">
        <f t="shared" ref="F78:P78" si="61">+E78</f>
        <v>44475560</v>
      </c>
      <c r="G78" s="83">
        <f>+F78</f>
        <v>44475560</v>
      </c>
      <c r="H78" s="83">
        <f>+G78</f>
        <v>44475560</v>
      </c>
      <c r="I78" s="83">
        <f t="shared" si="61"/>
        <v>44475560</v>
      </c>
      <c r="J78" s="83">
        <f t="shared" si="61"/>
        <v>44475560</v>
      </c>
      <c r="K78" s="83">
        <f t="shared" si="61"/>
        <v>44475560</v>
      </c>
      <c r="L78" s="83">
        <f t="shared" si="61"/>
        <v>44475560</v>
      </c>
      <c r="M78" s="83">
        <f t="shared" si="61"/>
        <v>44475560</v>
      </c>
      <c r="N78" s="83">
        <f t="shared" si="61"/>
        <v>44475560</v>
      </c>
      <c r="O78" s="83">
        <f t="shared" si="61"/>
        <v>44475560</v>
      </c>
      <c r="P78" s="83">
        <f t="shared" si="61"/>
        <v>44475560</v>
      </c>
    </row>
    <row r="79" spans="4:16" ht="15" customHeight="1">
      <c r="D79" s="40" t="s">
        <v>9112</v>
      </c>
      <c r="E79" s="83">
        <f>+SUM(E13:E20)-SUM(U13:V20)</f>
        <v>20146080</v>
      </c>
      <c r="F79" s="83">
        <f t="shared" ref="F79:P79" si="62">+E79</f>
        <v>20146080</v>
      </c>
      <c r="G79" s="83">
        <f t="shared" si="62"/>
        <v>20146080</v>
      </c>
      <c r="H79" s="83">
        <f t="shared" si="62"/>
        <v>20146080</v>
      </c>
      <c r="I79" s="83">
        <f t="shared" si="62"/>
        <v>20146080</v>
      </c>
      <c r="J79" s="83">
        <f t="shared" si="62"/>
        <v>20146080</v>
      </c>
      <c r="K79" s="83">
        <f t="shared" si="62"/>
        <v>20146080</v>
      </c>
      <c r="L79" s="83">
        <f t="shared" si="62"/>
        <v>20146080</v>
      </c>
      <c r="M79" s="83">
        <f t="shared" si="62"/>
        <v>20146080</v>
      </c>
      <c r="N79" s="83">
        <f t="shared" si="62"/>
        <v>20146080</v>
      </c>
      <c r="O79" s="83">
        <f t="shared" si="62"/>
        <v>20146080</v>
      </c>
      <c r="P79" s="83">
        <f t="shared" si="62"/>
        <v>20146080</v>
      </c>
    </row>
    <row r="80" spans="4:16" ht="15" customHeight="1">
      <c r="D80" s="362" t="s">
        <v>9169</v>
      </c>
      <c r="E80" s="363">
        <f t="shared" ref="E80:P80" si="63">+SUM(E75:E79)</f>
        <v>93457306.41718851</v>
      </c>
      <c r="F80" s="363">
        <f t="shared" si="63"/>
        <v>87462183.199999988</v>
      </c>
      <c r="G80" s="363">
        <f t="shared" si="63"/>
        <v>87462183.199999988</v>
      </c>
      <c r="H80" s="363">
        <f t="shared" si="63"/>
        <v>87462183.199999988</v>
      </c>
      <c r="I80" s="363">
        <f t="shared" si="63"/>
        <v>87462183.199999988</v>
      </c>
      <c r="J80" s="363">
        <f t="shared" si="63"/>
        <v>121984683.19999999</v>
      </c>
      <c r="K80" s="363">
        <f t="shared" si="63"/>
        <v>87462183.199999988</v>
      </c>
      <c r="L80" s="363">
        <f t="shared" si="63"/>
        <v>87462183.199999988</v>
      </c>
      <c r="M80" s="363">
        <f t="shared" si="63"/>
        <v>87462183.199999988</v>
      </c>
      <c r="N80" s="363">
        <f t="shared" si="63"/>
        <v>87462183.199999988</v>
      </c>
      <c r="O80" s="363">
        <f t="shared" si="63"/>
        <v>87462183.199999988</v>
      </c>
      <c r="P80" s="363">
        <f t="shared" si="63"/>
        <v>121984683.19999999</v>
      </c>
    </row>
    <row r="82" spans="4:16" ht="15" customHeight="1">
      <c r="D82" s="40" t="s">
        <v>284</v>
      </c>
      <c r="E82" s="299">
        <f>+E80+E73</f>
        <v>149641691.44891608</v>
      </c>
      <c r="F82" s="299">
        <f t="shared" ref="F82:P82" si="64">+F80+F73</f>
        <v>229295168.73185724</v>
      </c>
      <c r="G82" s="299">
        <f t="shared" si="64"/>
        <v>151606822.50370347</v>
      </c>
      <c r="H82" s="299">
        <f t="shared" si="64"/>
        <v>151606822.50370347</v>
      </c>
      <c r="I82" s="299">
        <f t="shared" si="64"/>
        <v>151606822.50370347</v>
      </c>
      <c r="J82" s="299">
        <f t="shared" si="64"/>
        <v>203818822.50370347</v>
      </c>
      <c r="K82" s="299">
        <f t="shared" si="64"/>
        <v>158606822.50370347</v>
      </c>
      <c r="L82" s="299">
        <f t="shared" si="64"/>
        <v>158606822.50370347</v>
      </c>
      <c r="M82" s="299">
        <f t="shared" si="64"/>
        <v>158606822.50370347</v>
      </c>
      <c r="N82" s="299">
        <f t="shared" si="64"/>
        <v>158606822.50370347</v>
      </c>
      <c r="O82" s="299">
        <f t="shared" si="64"/>
        <v>158606822.50370347</v>
      </c>
      <c r="P82" s="299">
        <f t="shared" si="64"/>
        <v>206621322.50370347</v>
      </c>
    </row>
  </sheetData>
  <autoFilter ref="B5:AA5" xr:uid="{B9628303-161C-4C31-8C68-8BE7E1FCA5B4}">
    <sortState xmlns:xlrd2="http://schemas.microsoft.com/office/spreadsheetml/2017/richdata2" ref="B6:AA35">
      <sortCondition ref="D5"/>
    </sortState>
  </autoFilter>
  <pageMargins left="0.7" right="0.7" top="0.75" bottom="0.75" header="0" footer="0"/>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49D6D-066F-42A7-A365-C366848D18F8}">
  <dimension ref="A2:AR115"/>
  <sheetViews>
    <sheetView topLeftCell="A6" zoomScale="113" zoomScaleNormal="130" workbookViewId="0">
      <selection activeCell="T65" sqref="T65"/>
    </sheetView>
  </sheetViews>
  <sheetFormatPr defaultColWidth="11.42578125" defaultRowHeight="12.6"/>
  <cols>
    <col min="1" max="1" width="22" bestFit="1" customWidth="1"/>
    <col min="2" max="2" width="17.28515625" bestFit="1" customWidth="1"/>
    <col min="4" max="4" width="25.28515625" bestFit="1" customWidth="1"/>
    <col min="5" max="5" width="18" bestFit="1" customWidth="1"/>
    <col min="6" max="6" width="15" customWidth="1"/>
    <col min="8" max="8" width="23.7109375" bestFit="1" customWidth="1"/>
    <col min="9" max="10" width="15.28515625" bestFit="1" customWidth="1"/>
    <col min="11" max="12" width="15.42578125" bestFit="1" customWidth="1"/>
    <col min="13" max="13" width="16.5703125" bestFit="1" customWidth="1"/>
    <col min="14" max="14" width="17.140625" bestFit="1" customWidth="1"/>
    <col min="15" max="16" width="15.85546875" bestFit="1" customWidth="1"/>
    <col min="17" max="17" width="17.140625" bestFit="1" customWidth="1"/>
    <col min="18" max="18" width="15.85546875" bestFit="1" customWidth="1"/>
    <col min="19" max="20" width="15.42578125" bestFit="1" customWidth="1"/>
    <col min="21" max="30" width="13.7109375" bestFit="1" customWidth="1"/>
    <col min="37" max="37" width="13.7109375" bestFit="1" customWidth="1"/>
    <col min="44" max="44" width="13.7109375" bestFit="1" customWidth="1"/>
  </cols>
  <sheetData>
    <row r="2" spans="1:33" ht="14.45" thickBot="1">
      <c r="A2" s="207" t="s">
        <v>9170</v>
      </c>
      <c r="B2" s="208"/>
      <c r="D2" s="239"/>
      <c r="E2" s="240" t="s">
        <v>9171</v>
      </c>
      <c r="F2" s="240" t="s">
        <v>9172</v>
      </c>
      <c r="G2" s="240" t="s">
        <v>9173</v>
      </c>
      <c r="H2" s="240" t="s">
        <v>9174</v>
      </c>
      <c r="I2" s="241">
        <v>45292</v>
      </c>
      <c r="J2" s="242">
        <v>45323</v>
      </c>
      <c r="K2" s="242">
        <v>45352</v>
      </c>
      <c r="L2" s="242">
        <v>45383</v>
      </c>
      <c r="M2" s="242">
        <v>45413</v>
      </c>
      <c r="N2" s="242">
        <v>45444</v>
      </c>
      <c r="O2" s="242">
        <v>45474</v>
      </c>
      <c r="P2" s="242">
        <v>45505</v>
      </c>
      <c r="Q2" s="242">
        <v>45536</v>
      </c>
      <c r="R2" s="242">
        <v>45566</v>
      </c>
      <c r="S2" s="242">
        <v>45597</v>
      </c>
      <c r="T2" s="242">
        <v>45627</v>
      </c>
    </row>
    <row r="3" spans="1:33" ht="12.95">
      <c r="A3" s="40" t="s">
        <v>9175</v>
      </c>
      <c r="B3" s="83"/>
      <c r="D3" s="989"/>
      <c r="E3" s="235"/>
      <c r="F3" s="329"/>
      <c r="G3" s="980"/>
      <c r="H3" s="163"/>
      <c r="I3" s="235"/>
      <c r="J3" s="235"/>
      <c r="K3" s="235"/>
      <c r="L3" s="235"/>
      <c r="M3" s="235"/>
      <c r="N3" s="235"/>
      <c r="O3" s="235"/>
      <c r="P3" s="235"/>
      <c r="Q3" s="235"/>
      <c r="R3" s="235"/>
      <c r="S3" s="235"/>
      <c r="T3" s="237"/>
    </row>
    <row r="4" spans="1:33" ht="13.5" thickBot="1">
      <c r="A4" s="40" t="s">
        <v>9176</v>
      </c>
      <c r="B4" s="83"/>
      <c r="D4" s="990"/>
      <c r="E4" s="236"/>
      <c r="F4" s="330"/>
      <c r="G4" s="981"/>
      <c r="H4" s="167"/>
      <c r="I4" s="236"/>
      <c r="J4" s="236"/>
      <c r="K4" s="236"/>
      <c r="L4" s="236"/>
      <c r="M4" s="236"/>
      <c r="N4" s="236"/>
      <c r="O4" s="236"/>
      <c r="P4" s="236"/>
      <c r="Q4" s="236"/>
      <c r="R4" s="236"/>
      <c r="S4" s="236"/>
      <c r="T4" s="238"/>
    </row>
    <row r="5" spans="1:33" ht="12.95">
      <c r="A5" s="40" t="s">
        <v>9177</v>
      </c>
      <c r="B5" s="83"/>
      <c r="D5" s="991" t="s">
        <v>9178</v>
      </c>
      <c r="E5" s="252">
        <v>29347040</v>
      </c>
      <c r="F5" s="258" t="s">
        <v>9172</v>
      </c>
      <c r="G5" s="978">
        <v>0.39960000000000001</v>
      </c>
      <c r="H5" s="205" t="s">
        <v>9165</v>
      </c>
      <c r="I5" s="13">
        <f t="shared" ref="I5:T5" si="0">1433000-I6</f>
        <v>846088.06471408997</v>
      </c>
      <c r="J5" s="160">
        <f t="shared" si="0"/>
        <v>829412.91887016245</v>
      </c>
      <c r="K5" s="160">
        <f t="shared" si="0"/>
        <v>812264.00435294886</v>
      </c>
      <c r="L5" s="160">
        <f t="shared" si="0"/>
        <v>794627.86060516885</v>
      </c>
      <c r="M5" s="160">
        <f t="shared" si="0"/>
        <v>776490.64463268535</v>
      </c>
      <c r="N5" s="160">
        <f t="shared" si="0"/>
        <v>757838.12013883644</v>
      </c>
      <c r="O5" s="160">
        <f t="shared" si="0"/>
        <v>738655.64635005465</v>
      </c>
      <c r="P5" s="160">
        <f t="shared" si="0"/>
        <v>718928.16652400536</v>
      </c>
      <c r="Q5" s="160">
        <f t="shared" si="0"/>
        <v>698640.19613121997</v>
      </c>
      <c r="R5" s="160">
        <f t="shared" si="0"/>
        <v>677775.81070095173</v>
      </c>
      <c r="S5" s="160">
        <f t="shared" si="0"/>
        <v>656318.63332171063</v>
      </c>
      <c r="T5" s="160">
        <f t="shared" si="0"/>
        <v>634251.82178666792</v>
      </c>
    </row>
    <row r="6" spans="1:33" ht="12.95" thickBot="1">
      <c r="B6" s="209"/>
      <c r="D6" s="992"/>
      <c r="E6" s="254"/>
      <c r="F6" s="256">
        <v>32</v>
      </c>
      <c r="G6" s="979"/>
      <c r="H6" s="167" t="s">
        <v>9179</v>
      </c>
      <c r="I6" s="164">
        <v>586911.93528591003</v>
      </c>
      <c r="J6" s="236">
        <v>603587.08112983755</v>
      </c>
      <c r="K6" s="236">
        <v>620735.99564705114</v>
      </c>
      <c r="L6" s="236">
        <v>638372.13939483115</v>
      </c>
      <c r="M6" s="236">
        <v>656509.35536731465</v>
      </c>
      <c r="N6" s="236">
        <v>675161.87986116356</v>
      </c>
      <c r="O6" s="236">
        <v>694344.35364994535</v>
      </c>
      <c r="P6" s="236">
        <v>714071.83347599464</v>
      </c>
      <c r="Q6" s="236">
        <v>734359.80386878003</v>
      </c>
      <c r="R6" s="236">
        <v>755224.18929904827</v>
      </c>
      <c r="S6" s="236">
        <v>776681.36667828937</v>
      </c>
      <c r="T6" s="238">
        <v>798748.17821333208</v>
      </c>
    </row>
    <row r="7" spans="1:33">
      <c r="D7" s="993" t="s">
        <v>9180</v>
      </c>
      <c r="E7" s="235">
        <v>89369349</v>
      </c>
      <c r="F7" s="244" t="s">
        <v>9181</v>
      </c>
      <c r="G7" s="982">
        <v>0.18</v>
      </c>
      <c r="H7" s="245" t="s">
        <v>9165</v>
      </c>
      <c r="I7" s="235">
        <v>1241519</v>
      </c>
      <c r="J7" s="235">
        <v>1203307</v>
      </c>
      <c r="K7" s="235">
        <v>1164565</v>
      </c>
      <c r="L7" s="235">
        <v>1125285</v>
      </c>
      <c r="M7" s="235">
        <v>1085459</v>
      </c>
      <c r="N7" s="235">
        <v>1045079</v>
      </c>
      <c r="O7" s="235">
        <v>1004139</v>
      </c>
      <c r="P7" s="235">
        <v>962630</v>
      </c>
      <c r="Q7" s="235">
        <v>920544</v>
      </c>
      <c r="R7" s="235">
        <v>877874</v>
      </c>
      <c r="S7" s="235">
        <v>834611</v>
      </c>
      <c r="T7" s="237">
        <v>790746</v>
      </c>
      <c r="U7" s="13"/>
      <c r="V7" s="13">
        <v>3992123.1199127901</v>
      </c>
      <c r="W7" s="13">
        <v>3992122.9262287901</v>
      </c>
      <c r="X7">
        <v>3992123.0672647902</v>
      </c>
      <c r="Y7">
        <v>3992123.5168047901</v>
      </c>
      <c r="Z7">
        <v>3992123.3597687902</v>
      </c>
      <c r="AA7">
        <v>3992122.7505367901</v>
      </c>
      <c r="AB7">
        <v>3992122.9824087899</v>
      </c>
      <c r="AC7">
        <v>3992123.4181447905</v>
      </c>
      <c r="AD7">
        <v>3992123.5316407904</v>
      </c>
      <c r="AE7">
        <v>3992122.92182079</v>
      </c>
      <c r="AF7">
        <v>3992123.25706879</v>
      </c>
      <c r="AG7">
        <v>3992123.3307967903</v>
      </c>
    </row>
    <row r="8" spans="1:33" ht="12.95" thickBot="1">
      <c r="D8" s="994"/>
      <c r="E8" s="236"/>
      <c r="F8" s="246">
        <v>32</v>
      </c>
      <c r="G8" s="983"/>
      <c r="H8" s="247" t="s">
        <v>9179</v>
      </c>
      <c r="I8" s="13">
        <v>2750604.1199127901</v>
      </c>
      <c r="J8" s="13">
        <v>2788815.9262287901</v>
      </c>
      <c r="K8" s="13">
        <v>2827558.0672647902</v>
      </c>
      <c r="L8" s="13">
        <v>2866838.5168047901</v>
      </c>
      <c r="M8" s="13">
        <v>2906664.3597687902</v>
      </c>
      <c r="N8" s="13">
        <v>2947043.7505367901</v>
      </c>
      <c r="O8" s="13">
        <v>2987983.9824087899</v>
      </c>
      <c r="P8" s="13">
        <v>3029493.4181447905</v>
      </c>
      <c r="Q8" s="13">
        <v>3071579.5316407904</v>
      </c>
      <c r="R8" s="13">
        <v>3114248.92182079</v>
      </c>
      <c r="S8" s="13">
        <v>3157512.25706879</v>
      </c>
      <c r="T8" s="13">
        <v>3201377.3307967903</v>
      </c>
    </row>
    <row r="9" spans="1:33">
      <c r="D9" s="954" t="s">
        <v>9182</v>
      </c>
      <c r="E9" s="160">
        <v>30000000</v>
      </c>
      <c r="F9" s="161" t="s">
        <v>9183</v>
      </c>
      <c r="G9" s="984">
        <v>0.18</v>
      </c>
      <c r="H9" s="163" t="s">
        <v>9165</v>
      </c>
      <c r="I9" s="160"/>
      <c r="J9" s="160"/>
      <c r="K9" s="160"/>
      <c r="L9" s="160">
        <f>+G9*L10</f>
        <v>5400000</v>
      </c>
      <c r="M9" s="160"/>
      <c r="N9" s="160"/>
      <c r="O9" s="160"/>
      <c r="P9" s="160"/>
      <c r="Q9" s="160"/>
      <c r="R9" s="160"/>
      <c r="S9" s="160"/>
      <c r="T9" s="248"/>
    </row>
    <row r="10" spans="1:33" ht="12.95" thickBot="1">
      <c r="D10" s="953"/>
      <c r="E10" s="164"/>
      <c r="F10" s="165" t="s">
        <v>9183</v>
      </c>
      <c r="G10" s="985"/>
      <c r="H10" s="167" t="s">
        <v>9179</v>
      </c>
      <c r="I10" s="164"/>
      <c r="J10" s="164"/>
      <c r="K10" s="164"/>
      <c r="L10" s="164">
        <f>+E9</f>
        <v>30000000</v>
      </c>
      <c r="M10" s="164"/>
      <c r="N10" s="164"/>
      <c r="O10" s="164"/>
      <c r="P10" s="164"/>
      <c r="Q10" s="164"/>
      <c r="R10" s="164"/>
      <c r="S10" s="164"/>
      <c r="T10" s="249"/>
      <c r="W10" s="13"/>
    </row>
    <row r="11" spans="1:33">
      <c r="D11" s="954" t="s">
        <v>9184</v>
      </c>
      <c r="E11" s="160">
        <v>91606185.450000003</v>
      </c>
      <c r="F11" s="161" t="s">
        <v>9172</v>
      </c>
      <c r="G11" s="161" t="s">
        <v>9185</v>
      </c>
      <c r="H11" s="163" t="s">
        <v>9165</v>
      </c>
      <c r="I11" s="168">
        <v>2308475.8620000002</v>
      </c>
      <c r="J11" s="160">
        <v>2253501.4537224001</v>
      </c>
      <c r="K11" s="160">
        <v>2197141.6903562048</v>
      </c>
      <c r="L11" s="160">
        <v>2139361.6609531813</v>
      </c>
      <c r="M11" s="160">
        <v>2080125.5748092013</v>
      </c>
      <c r="N11" s="160">
        <v>2019396.739294393</v>
      </c>
      <c r="O11" s="160">
        <v>1957137.5371246117</v>
      </c>
      <c r="P11" s="160">
        <v>1893309.403060152</v>
      </c>
      <c r="Q11" s="160">
        <v>1827872.8000172679</v>
      </c>
      <c r="R11" s="160">
        <v>1760787.194577703</v>
      </c>
      <c r="S11" s="160">
        <v>1692011.0318810614</v>
      </c>
      <c r="T11" s="248">
        <v>1621501.709884464</v>
      </c>
      <c r="V11" s="89"/>
    </row>
    <row r="12" spans="1:33" ht="12.95" thickBot="1">
      <c r="D12" s="953"/>
      <c r="E12" s="164"/>
      <c r="F12" s="165" t="s">
        <v>9186</v>
      </c>
      <c r="G12" s="165" t="s">
        <v>9185</v>
      </c>
      <c r="H12" s="167" t="s">
        <v>9179</v>
      </c>
      <c r="I12" s="169">
        <v>2181524.1379999998</v>
      </c>
      <c r="J12" s="164">
        <v>2236498.5462775999</v>
      </c>
      <c r="K12" s="164">
        <v>2292858.3096437952</v>
      </c>
      <c r="L12" s="164">
        <v>2350638.3390468187</v>
      </c>
      <c r="M12" s="164">
        <v>2409874.4251907989</v>
      </c>
      <c r="N12" s="164">
        <v>2470603.260705607</v>
      </c>
      <c r="O12" s="164">
        <v>2532862.4628753886</v>
      </c>
      <c r="P12" s="164">
        <v>2596690.5969398478</v>
      </c>
      <c r="Q12" s="164">
        <v>2662127.1999827321</v>
      </c>
      <c r="R12" s="164">
        <v>2729212.8054222967</v>
      </c>
      <c r="S12" s="164">
        <v>2797988.9681189386</v>
      </c>
      <c r="T12" s="249">
        <v>2868499.2901155362</v>
      </c>
      <c r="V12" s="13"/>
      <c r="W12" s="13"/>
      <c r="X12" s="13"/>
      <c r="Y12" s="13"/>
      <c r="Z12" s="13"/>
      <c r="AA12" s="13"/>
      <c r="AB12" s="13"/>
      <c r="AC12" s="13"/>
      <c r="AD12" s="13"/>
      <c r="AE12" s="13"/>
      <c r="AF12" s="13"/>
      <c r="AG12" s="13"/>
    </row>
    <row r="13" spans="1:33">
      <c r="D13" s="954" t="s">
        <v>9187</v>
      </c>
      <c r="E13" s="160">
        <v>12500000</v>
      </c>
      <c r="F13" s="161" t="s">
        <v>9172</v>
      </c>
      <c r="G13" s="161"/>
      <c r="H13" s="163" t="s">
        <v>9165</v>
      </c>
      <c r="I13" s="168">
        <v>260430</v>
      </c>
      <c r="J13" s="160">
        <v>220430</v>
      </c>
      <c r="K13" s="160">
        <v>180350</v>
      </c>
      <c r="L13" s="160">
        <v>120420</v>
      </c>
      <c r="M13" s="160">
        <v>0</v>
      </c>
      <c r="N13" s="160"/>
      <c r="O13" s="160"/>
      <c r="P13" s="160"/>
      <c r="Q13" s="160"/>
      <c r="R13" s="160"/>
      <c r="S13" s="248"/>
      <c r="T13" s="248"/>
      <c r="U13" s="13"/>
      <c r="V13" s="13"/>
      <c r="W13" s="13"/>
      <c r="X13" s="13"/>
      <c r="Y13" s="13"/>
      <c r="Z13" s="13"/>
      <c r="AA13" s="13"/>
      <c r="AB13" s="13"/>
      <c r="AC13" s="13"/>
      <c r="AD13" s="13"/>
      <c r="AE13" s="13"/>
      <c r="AF13" s="13"/>
      <c r="AG13" s="13"/>
    </row>
    <row r="14" spans="1:33" ht="12.95" thickBot="1">
      <c r="D14" s="953"/>
      <c r="E14" s="164"/>
      <c r="F14" s="165" t="s">
        <v>9188</v>
      </c>
      <c r="G14" s="165" t="s">
        <v>9185</v>
      </c>
      <c r="H14" s="167" t="s">
        <v>9179</v>
      </c>
      <c r="I14" s="169">
        <v>2500000</v>
      </c>
      <c r="J14" s="164">
        <f>+I14</f>
        <v>2500000</v>
      </c>
      <c r="K14" s="164">
        <f>+J14</f>
        <v>2500000</v>
      </c>
      <c r="L14" s="164">
        <f>+K14</f>
        <v>2500000</v>
      </c>
      <c r="M14" s="164">
        <f>+L14</f>
        <v>2500000</v>
      </c>
      <c r="N14" s="164"/>
      <c r="O14" s="164"/>
      <c r="P14" s="164"/>
      <c r="Q14" s="164"/>
      <c r="R14" s="164"/>
      <c r="S14" s="249"/>
      <c r="T14" s="249"/>
      <c r="V14" s="13"/>
      <c r="W14" s="13"/>
      <c r="X14" s="13"/>
      <c r="Y14" s="13"/>
      <c r="Z14" s="13"/>
      <c r="AA14" s="13"/>
      <c r="AB14" s="13"/>
      <c r="AC14" s="13"/>
      <c r="AD14" s="13"/>
      <c r="AE14" s="13"/>
      <c r="AF14" s="13"/>
      <c r="AG14" s="13"/>
    </row>
    <row r="15" spans="1:33">
      <c r="D15" s="949" t="s">
        <v>9189</v>
      </c>
      <c r="E15" s="252">
        <v>44605453</v>
      </c>
      <c r="F15" s="253"/>
      <c r="G15" s="987">
        <v>0.34960000000000002</v>
      </c>
      <c r="H15" s="163" t="s">
        <v>9165</v>
      </c>
      <c r="I15" s="168">
        <v>1128744.0138294764</v>
      </c>
      <c r="J15" s="160">
        <v>1100553.1875952915</v>
      </c>
      <c r="K15" s="235">
        <v>1071648.9905910187</v>
      </c>
      <c r="L15" s="160">
        <v>1042013.3709209312</v>
      </c>
      <c r="M15" s="160">
        <v>1011627.8198848573</v>
      </c>
      <c r="N15" s="160">
        <v>980473.36041871144</v>
      </c>
      <c r="O15" s="160">
        <v>948530.53524251422</v>
      </c>
      <c r="P15" s="160">
        <v>915779.39470849687</v>
      </c>
      <c r="Q15" s="160">
        <v>882199.48434169986</v>
      </c>
      <c r="R15" s="160">
        <v>847769.83206528821</v>
      </c>
      <c r="S15" s="160">
        <v>812468.93510259944</v>
      </c>
      <c r="T15" s="248">
        <v>776274.74654774938</v>
      </c>
      <c r="V15" s="13"/>
      <c r="W15" s="13"/>
      <c r="X15" s="13"/>
      <c r="Y15" s="13"/>
      <c r="Z15" s="13"/>
      <c r="AA15" s="13"/>
      <c r="AB15" s="13"/>
      <c r="AC15" s="13"/>
      <c r="AD15" s="13"/>
      <c r="AE15" s="13"/>
      <c r="AF15" s="13"/>
      <c r="AG15" s="13"/>
    </row>
    <row r="16" spans="1:33" ht="12.95" thickBot="1">
      <c r="D16" s="950"/>
      <c r="E16" s="217"/>
      <c r="F16" s="257" t="s">
        <v>9172</v>
      </c>
      <c r="G16" s="988"/>
      <c r="H16" s="205" t="s">
        <v>9179</v>
      </c>
      <c r="I16" s="95">
        <v>1114038.7538835381</v>
      </c>
      <c r="J16" s="13">
        <v>1142229.580117723</v>
      </c>
      <c r="K16" s="2">
        <v>1171133.7771219958</v>
      </c>
      <c r="L16" s="13">
        <v>1200769.3967920833</v>
      </c>
      <c r="M16" s="13">
        <v>1231154.9478281573</v>
      </c>
      <c r="N16" s="13">
        <v>1262309.4072943032</v>
      </c>
      <c r="O16" s="13">
        <v>1294252.2324705003</v>
      </c>
      <c r="P16" s="13">
        <v>1327003.3730045175</v>
      </c>
      <c r="Q16" s="13">
        <v>1360583.2833713146</v>
      </c>
      <c r="R16" s="13">
        <v>1395012.9356477263</v>
      </c>
      <c r="S16" s="13">
        <v>1430313.8326104151</v>
      </c>
      <c r="T16" s="250">
        <v>1466508.0211652652</v>
      </c>
    </row>
    <row r="17" spans="4:20">
      <c r="D17" s="949" t="s">
        <v>9190</v>
      </c>
      <c r="E17" s="252">
        <v>31063741</v>
      </c>
      <c r="F17" s="253"/>
      <c r="G17" s="987">
        <v>0.37569999999999998</v>
      </c>
      <c r="H17" s="163" t="s">
        <v>9165</v>
      </c>
      <c r="I17" s="168">
        <v>838174.27225015895</v>
      </c>
      <c r="J17" s="160">
        <v>829744.22320634336</v>
      </c>
      <c r="K17" s="160">
        <v>821087.09705641109</v>
      </c>
      <c r="L17" s="160">
        <v>812196.77710853075</v>
      </c>
      <c r="M17" s="160">
        <v>803066.98190781102</v>
      </c>
      <c r="N17" s="160">
        <v>793691.26079813833</v>
      </c>
      <c r="O17" s="160">
        <v>784062.98936446663</v>
      </c>
      <c r="P17" s="160">
        <v>774175.36475233769</v>
      </c>
      <c r="Q17" s="160">
        <v>764021.40086132404</v>
      </c>
      <c r="R17" s="160">
        <v>753593.9234090012</v>
      </c>
      <c r="S17" s="160">
        <v>742885.56486195826</v>
      </c>
      <c r="T17" s="248">
        <v>731888.75923026784</v>
      </c>
    </row>
    <row r="18" spans="4:20" ht="12.95" thickBot="1">
      <c r="D18" s="951"/>
      <c r="E18" s="254"/>
      <c r="F18" s="255" t="s">
        <v>9172</v>
      </c>
      <c r="G18" s="988"/>
      <c r="H18" s="167" t="s">
        <v>9179</v>
      </c>
      <c r="I18" s="169">
        <v>312958.57207458629</v>
      </c>
      <c r="J18" s="164">
        <v>321388.62111840188</v>
      </c>
      <c r="K18" s="164">
        <v>330045.74726833415</v>
      </c>
      <c r="L18" s="164">
        <v>338936.06721621449</v>
      </c>
      <c r="M18" s="164">
        <v>348065.86241693422</v>
      </c>
      <c r="N18" s="164">
        <v>357441.5835266069</v>
      </c>
      <c r="O18" s="164">
        <v>367069.85496027861</v>
      </c>
      <c r="P18" s="164">
        <v>376957.47957240755</v>
      </c>
      <c r="Q18" s="164">
        <v>387111.44346342119</v>
      </c>
      <c r="R18" s="164">
        <v>397538.92091574403</v>
      </c>
      <c r="S18" s="164">
        <v>408247.27946278697</v>
      </c>
      <c r="T18" s="249">
        <v>419244.0850944774</v>
      </c>
    </row>
    <row r="19" spans="4:20">
      <c r="D19" s="952" t="s">
        <v>9191</v>
      </c>
      <c r="E19" s="13">
        <v>48192054</v>
      </c>
      <c r="F19" s="94"/>
      <c r="G19" s="986">
        <v>0.18</v>
      </c>
      <c r="H19" s="205" t="s">
        <v>9165</v>
      </c>
      <c r="Q19" s="13">
        <f>+E19*G19</f>
        <v>8674569.7199999988</v>
      </c>
    </row>
    <row r="20" spans="4:20" ht="12.95" thickBot="1">
      <c r="D20" s="953"/>
      <c r="E20" s="164"/>
      <c r="F20" s="165" t="s">
        <v>9172</v>
      </c>
      <c r="G20" s="959"/>
      <c r="H20" s="167" t="s">
        <v>9179</v>
      </c>
      <c r="I20" s="169"/>
      <c r="J20" s="164"/>
      <c r="K20" s="164"/>
      <c r="L20" s="164"/>
      <c r="M20" s="164"/>
      <c r="N20" s="164"/>
      <c r="O20" s="164"/>
      <c r="P20" s="164"/>
      <c r="Q20" s="164">
        <f>+E19</f>
        <v>48192054</v>
      </c>
      <c r="R20" s="164"/>
      <c r="S20" s="164"/>
      <c r="T20" s="249"/>
    </row>
    <row r="21" spans="4:20">
      <c r="D21" s="954" t="s">
        <v>9192</v>
      </c>
      <c r="E21" s="160">
        <v>50000000</v>
      </c>
      <c r="F21" s="161"/>
      <c r="G21" s="958">
        <v>0.22</v>
      </c>
      <c r="H21" s="163" t="s">
        <v>9165</v>
      </c>
      <c r="I21" s="170"/>
      <c r="J21" s="160"/>
      <c r="K21" s="160"/>
      <c r="L21" s="160"/>
      <c r="M21" s="160"/>
      <c r="N21" s="160"/>
      <c r="O21" s="160"/>
      <c r="P21" s="160"/>
      <c r="Q21" s="160"/>
      <c r="R21" s="160">
        <v>10000000</v>
      </c>
      <c r="S21" s="160"/>
      <c r="T21" s="248"/>
    </row>
    <row r="22" spans="4:20" ht="12.95" thickBot="1">
      <c r="D22" s="953"/>
      <c r="E22" s="164"/>
      <c r="F22" s="165" t="s">
        <v>9172</v>
      </c>
      <c r="G22" s="959"/>
      <c r="H22" s="167" t="s">
        <v>9179</v>
      </c>
      <c r="I22" s="169"/>
      <c r="J22" s="164"/>
      <c r="K22" s="164"/>
      <c r="L22" s="164"/>
      <c r="M22" s="164"/>
      <c r="N22" s="164"/>
      <c r="O22" s="164"/>
      <c r="P22" s="164"/>
      <c r="Q22" s="164"/>
      <c r="R22" s="164">
        <v>50000000</v>
      </c>
      <c r="S22" s="164"/>
      <c r="T22" s="249"/>
    </row>
    <row r="23" spans="4:20">
      <c r="D23" s="94"/>
      <c r="E23" s="13" t="s">
        <v>9193</v>
      </c>
      <c r="F23" s="94"/>
      <c r="G23" s="205"/>
      <c r="H23" s="205"/>
      <c r="I23" s="95"/>
      <c r="J23" s="13"/>
      <c r="K23" s="13"/>
      <c r="L23" s="13"/>
      <c r="M23" s="13"/>
      <c r="N23" s="13"/>
      <c r="O23" s="13"/>
      <c r="P23" s="13"/>
      <c r="Q23" s="13"/>
      <c r="R23" s="13"/>
      <c r="S23" s="13"/>
      <c r="T23" s="13"/>
    </row>
    <row r="24" spans="4:20">
      <c r="D24" s="94"/>
      <c r="E24" s="13"/>
      <c r="F24" s="94"/>
      <c r="G24" s="205"/>
      <c r="I24" s="95"/>
      <c r="J24" s="13"/>
      <c r="K24" s="13"/>
      <c r="L24" s="13"/>
      <c r="M24" s="13"/>
      <c r="N24" s="13"/>
      <c r="O24" s="13"/>
      <c r="P24" s="13"/>
      <c r="Q24" s="13"/>
      <c r="R24" s="13"/>
      <c r="S24" s="13"/>
      <c r="T24" s="13"/>
    </row>
    <row r="25" spans="4:20" ht="12.95" thickBot="1">
      <c r="D25" s="37"/>
      <c r="E25" s="13"/>
      <c r="F25" s="94"/>
      <c r="G25" s="94"/>
      <c r="H25" s="205"/>
      <c r="I25" s="93"/>
      <c r="J25" s="95"/>
      <c r="K25" s="95"/>
      <c r="L25" s="95"/>
      <c r="M25" s="95"/>
      <c r="N25" s="95"/>
      <c r="O25" s="13"/>
      <c r="P25" s="13"/>
      <c r="Q25" s="13"/>
      <c r="R25" s="13"/>
      <c r="S25" s="13"/>
      <c r="T25" s="13"/>
    </row>
    <row r="26" spans="4:20" ht="12.95">
      <c r="F26" s="94"/>
      <c r="G26" s="94"/>
      <c r="H26" s="211" t="s">
        <v>9194</v>
      </c>
      <c r="I26" s="214">
        <f t="shared" ref="I26:T26" si="1">-I3-I5-I9-I11-I13-I15-I17-I19-I21</f>
        <v>-5381912.2127937255</v>
      </c>
      <c r="J26" s="214">
        <f t="shared" si="1"/>
        <v>-5233641.783394197</v>
      </c>
      <c r="K26" s="214">
        <f t="shared" si="1"/>
        <v>-5082491.7823565835</v>
      </c>
      <c r="L26" s="214">
        <f>-L3-L5-L9-L11-L13-L15-L17-L19-L21</f>
        <v>-10308619.669587813</v>
      </c>
      <c r="M26" s="214">
        <f t="shared" si="1"/>
        <v>-4671311.0212345552</v>
      </c>
      <c r="N26" s="214">
        <f t="shared" si="1"/>
        <v>-4551399.4806500794</v>
      </c>
      <c r="O26" s="214">
        <f t="shared" si="1"/>
        <v>-4428386.7080816478</v>
      </c>
      <c r="P26" s="214">
        <f t="shared" si="1"/>
        <v>-4302192.3290449921</v>
      </c>
      <c r="Q26" s="214">
        <f>-Q3-Q5-Q9-Q11-Q13-Q15-Q17-Q19-Q21</f>
        <v>-12847303.601351511</v>
      </c>
      <c r="R26" s="214">
        <f t="shared" si="1"/>
        <v>-14039926.760752944</v>
      </c>
      <c r="S26" s="214">
        <f t="shared" si="1"/>
        <v>-3903684.1651673303</v>
      </c>
      <c r="T26" s="214">
        <f t="shared" si="1"/>
        <v>-3763917.0374491489</v>
      </c>
    </row>
    <row r="27" spans="4:20" ht="13.5" thickBot="1">
      <c r="F27" s="93"/>
      <c r="H27" s="212" t="s">
        <v>9195</v>
      </c>
      <c r="I27" s="215">
        <f>-I4-I6-I8-I10-I12-I14-I16-I18-I20-I22</f>
        <v>-9446037.5191568248</v>
      </c>
      <c r="J27" s="215">
        <f t="shared" ref="J27:T27" si="2">-J4-J6-J8-J10-J12-J14-J16-J18-J20-J22</f>
        <v>-9592519.7548723519</v>
      </c>
      <c r="K27" s="215">
        <f t="shared" si="2"/>
        <v>-9742331.8969459664</v>
      </c>
      <c r="L27" s="215">
        <f>-L4-L6-L8-L10-L12-L14-L16-L18-L20</f>
        <v>-39895554.459254742</v>
      </c>
      <c r="M27" s="215">
        <f t="shared" si="2"/>
        <v>-10052268.950571995</v>
      </c>
      <c r="N27" s="215">
        <f t="shared" si="2"/>
        <v>-7712559.88192447</v>
      </c>
      <c r="O27" s="215">
        <f t="shared" si="2"/>
        <v>-7876512.8863649033</v>
      </c>
      <c r="P27" s="215">
        <f t="shared" si="2"/>
        <v>-8044216.7011375586</v>
      </c>
      <c r="Q27" s="215">
        <f>-Q4-Q6-Q8-Q10-Q12-Q14-Q16-Q18-Q20-Q22</f>
        <v>-56407815.262327038</v>
      </c>
      <c r="R27" s="215">
        <f t="shared" si="2"/>
        <v>-58391237.773105606</v>
      </c>
      <c r="S27" s="215">
        <f t="shared" si="2"/>
        <v>-8570743.7039392199</v>
      </c>
      <c r="T27" s="215">
        <f t="shared" si="2"/>
        <v>-8754376.9053854011</v>
      </c>
    </row>
    <row r="28" spans="4:20" ht="13.5" thickBot="1">
      <c r="D28" s="251" t="s">
        <v>11</v>
      </c>
      <c r="E28" s="419">
        <f>+SUM(E3:E22)</f>
        <v>426683822.44999999</v>
      </c>
      <c r="H28" s="213" t="s">
        <v>9171</v>
      </c>
      <c r="I28" s="216">
        <f>+E28+I27</f>
        <v>417237784.93084317</v>
      </c>
      <c r="J28" s="216">
        <f t="shared" ref="J28:T28" si="3">+I28+J27</f>
        <v>407645265.17597079</v>
      </c>
      <c r="K28" s="216">
        <f t="shared" si="3"/>
        <v>397902933.27902484</v>
      </c>
      <c r="L28" s="216">
        <f>+K28+L27</f>
        <v>358007378.8197701</v>
      </c>
      <c r="M28" s="216">
        <f t="shared" si="3"/>
        <v>347955109.86919808</v>
      </c>
      <c r="N28" s="216">
        <f t="shared" si="3"/>
        <v>340242549.98727363</v>
      </c>
      <c r="O28" s="216">
        <f t="shared" si="3"/>
        <v>332366037.10090876</v>
      </c>
      <c r="P28" s="216">
        <f t="shared" si="3"/>
        <v>324321820.39977121</v>
      </c>
      <c r="Q28" s="216">
        <f t="shared" si="3"/>
        <v>267914005.13744417</v>
      </c>
      <c r="R28" s="216">
        <f t="shared" si="3"/>
        <v>209522767.36433858</v>
      </c>
      <c r="S28" s="216">
        <f t="shared" si="3"/>
        <v>200952023.66039935</v>
      </c>
      <c r="T28" s="216">
        <f t="shared" si="3"/>
        <v>192197646.75501394</v>
      </c>
    </row>
    <row r="33" spans="4:20" ht="13.5" thickBot="1">
      <c r="D33" s="955" t="s">
        <v>9196</v>
      </c>
      <c r="E33" s="956"/>
      <c r="F33" s="956"/>
      <c r="G33" s="956"/>
      <c r="H33" s="957"/>
    </row>
    <row r="34" spans="4:20" ht="13.5" thickBot="1">
      <c r="D34" s="171"/>
      <c r="E34" s="172" t="s">
        <v>9197</v>
      </c>
      <c r="F34" s="172" t="s">
        <v>9198</v>
      </c>
      <c r="G34" s="172"/>
      <c r="H34" s="172" t="s">
        <v>9174</v>
      </c>
      <c r="I34" s="173">
        <v>45292</v>
      </c>
      <c r="J34" s="174">
        <v>45323</v>
      </c>
      <c r="K34" s="174">
        <v>45352</v>
      </c>
      <c r="L34" s="174">
        <v>45383</v>
      </c>
      <c r="M34" s="174">
        <v>45413</v>
      </c>
      <c r="N34" s="174">
        <v>45444</v>
      </c>
      <c r="O34" s="174">
        <v>45474</v>
      </c>
      <c r="P34" s="174">
        <v>45505</v>
      </c>
      <c r="Q34" s="174">
        <v>45536</v>
      </c>
      <c r="R34" s="174">
        <v>45566</v>
      </c>
      <c r="S34" s="174">
        <v>45597</v>
      </c>
      <c r="T34" s="174">
        <v>45627</v>
      </c>
    </row>
    <row r="35" spans="4:20">
      <c r="D35" s="954" t="s">
        <v>9199</v>
      </c>
      <c r="E35" s="160">
        <v>9000000</v>
      </c>
      <c r="F35" s="161"/>
      <c r="G35" s="221"/>
      <c r="H35" s="163" t="s">
        <v>9171</v>
      </c>
      <c r="I35" s="160"/>
      <c r="J35" s="160"/>
      <c r="K35" s="160"/>
      <c r="L35" s="160"/>
      <c r="M35" s="160"/>
      <c r="N35" s="160"/>
      <c r="O35" s="160"/>
      <c r="P35" s="160"/>
      <c r="Q35" s="160"/>
      <c r="R35" s="160"/>
      <c r="S35" s="160"/>
      <c r="T35" s="160"/>
    </row>
    <row r="36" spans="4:20" ht="12.95" thickBot="1">
      <c r="D36" s="953"/>
      <c r="E36" s="164"/>
      <c r="F36" s="165"/>
      <c r="G36" s="166"/>
      <c r="H36" s="167" t="s">
        <v>9200</v>
      </c>
      <c r="I36" s="164"/>
      <c r="J36" s="164"/>
      <c r="K36" s="164">
        <f>-E35</f>
        <v>-9000000</v>
      </c>
      <c r="L36" s="164"/>
      <c r="M36" s="164"/>
      <c r="N36" s="164"/>
      <c r="O36" s="164"/>
      <c r="P36" s="164"/>
      <c r="Q36" s="164"/>
      <c r="R36" s="164"/>
      <c r="S36" s="164"/>
      <c r="T36" s="164"/>
    </row>
    <row r="37" spans="4:20">
      <c r="D37" s="954" t="s">
        <v>9201</v>
      </c>
      <c r="E37" s="160"/>
      <c r="F37" s="161"/>
      <c r="G37" s="162"/>
      <c r="H37" s="163" t="s">
        <v>4627</v>
      </c>
      <c r="I37" s="160"/>
      <c r="J37" s="160"/>
      <c r="K37" s="160"/>
      <c r="L37" s="160"/>
      <c r="M37" s="160"/>
      <c r="N37" s="160"/>
      <c r="O37" s="160"/>
      <c r="P37" s="160"/>
      <c r="Q37" s="160"/>
      <c r="R37" s="160"/>
      <c r="S37" s="160"/>
      <c r="T37" s="160"/>
    </row>
    <row r="38" spans="4:20" ht="12.95" thickBot="1">
      <c r="D38" s="953"/>
      <c r="E38" s="164"/>
      <c r="F38" s="165"/>
      <c r="G38" s="166"/>
      <c r="H38" s="167" t="s">
        <v>9200</v>
      </c>
      <c r="I38" s="164"/>
      <c r="J38" s="164">
        <f>-E38</f>
        <v>0</v>
      </c>
      <c r="K38" s="164"/>
      <c r="L38" s="164"/>
      <c r="M38" s="164"/>
      <c r="N38" s="164"/>
      <c r="O38" s="164"/>
      <c r="P38" s="164"/>
      <c r="Q38" s="164"/>
      <c r="R38" s="164"/>
      <c r="S38" s="164"/>
      <c r="T38" s="164"/>
    </row>
    <row r="39" spans="4:20">
      <c r="D39" s="954" t="s">
        <v>9202</v>
      </c>
      <c r="E39" s="260"/>
      <c r="F39" s="170"/>
      <c r="G39" s="162"/>
      <c r="H39" s="162" t="s">
        <v>4627</v>
      </c>
      <c r="I39" s="160">
        <v>0</v>
      </c>
      <c r="J39" s="160"/>
      <c r="K39" s="160"/>
      <c r="L39" s="160"/>
      <c r="M39" s="160"/>
      <c r="N39" s="160"/>
      <c r="O39" s="160"/>
      <c r="P39" s="160"/>
      <c r="Q39" s="160"/>
      <c r="R39" s="160"/>
      <c r="S39" s="160"/>
      <c r="T39" s="248"/>
    </row>
    <row r="40" spans="4:20" ht="12.95" thickBot="1">
      <c r="D40" s="960"/>
      <c r="E40" s="164">
        <v>4588000</v>
      </c>
      <c r="F40" s="259"/>
      <c r="G40" s="166"/>
      <c r="H40" s="166" t="s">
        <v>9200</v>
      </c>
      <c r="I40" s="164">
        <f>-E40</f>
        <v>-4588000</v>
      </c>
      <c r="J40" s="164"/>
      <c r="K40" s="164"/>
      <c r="L40" s="164"/>
      <c r="M40" s="164"/>
      <c r="N40" s="164"/>
      <c r="O40" s="164"/>
      <c r="P40" s="164"/>
      <c r="Q40" s="164"/>
      <c r="R40" s="164"/>
      <c r="S40" s="164"/>
      <c r="T40" s="249"/>
    </row>
    <row r="41" spans="4:20">
      <c r="D41" s="952" t="s">
        <v>9203</v>
      </c>
      <c r="E41" s="13"/>
      <c r="F41" s="93"/>
      <c r="G41" s="243"/>
      <c r="H41" s="243" t="s">
        <v>4627</v>
      </c>
      <c r="I41" s="13"/>
      <c r="J41" s="13"/>
      <c r="K41" s="13"/>
      <c r="L41" s="13"/>
      <c r="M41" s="13"/>
      <c r="N41" s="13"/>
      <c r="O41" s="13"/>
      <c r="P41" s="13"/>
      <c r="Q41" s="13"/>
      <c r="R41" s="13"/>
      <c r="S41" s="13"/>
      <c r="T41" s="13"/>
    </row>
    <row r="42" spans="4:20" ht="12.95" thickBot="1">
      <c r="D42" s="960"/>
      <c r="E42" s="164">
        <f>-SUM(I42:T42)</f>
        <v>20085400</v>
      </c>
      <c r="F42" s="259"/>
      <c r="G42" s="166"/>
      <c r="H42" s="166" t="s">
        <v>9200</v>
      </c>
      <c r="I42" s="164">
        <v>-2510675</v>
      </c>
      <c r="J42" s="164">
        <f t="shared" ref="J42:P42" si="4">+I42</f>
        <v>-2510675</v>
      </c>
      <c r="K42" s="164">
        <f t="shared" si="4"/>
        <v>-2510675</v>
      </c>
      <c r="L42" s="164">
        <f t="shared" si="4"/>
        <v>-2510675</v>
      </c>
      <c r="M42" s="164">
        <f t="shared" si="4"/>
        <v>-2510675</v>
      </c>
      <c r="N42" s="164">
        <f t="shared" si="4"/>
        <v>-2510675</v>
      </c>
      <c r="O42" s="164">
        <f t="shared" si="4"/>
        <v>-2510675</v>
      </c>
      <c r="P42" s="164">
        <f t="shared" si="4"/>
        <v>-2510675</v>
      </c>
      <c r="Q42" s="164"/>
      <c r="R42" s="164"/>
      <c r="S42" s="164"/>
      <c r="T42" s="164"/>
    </row>
    <row r="43" spans="4:20">
      <c r="D43" s="954" t="s">
        <v>9204</v>
      </c>
      <c r="E43" s="252"/>
      <c r="F43" s="170"/>
      <c r="G43" s="162"/>
      <c r="H43" s="162" t="s">
        <v>4627</v>
      </c>
      <c r="I43" s="160"/>
      <c r="J43" s="160"/>
      <c r="K43" s="160"/>
      <c r="L43" s="160"/>
      <c r="M43" s="160"/>
      <c r="N43" s="160"/>
      <c r="O43" s="160"/>
      <c r="P43" s="160"/>
      <c r="Q43" s="160"/>
      <c r="R43" s="160"/>
      <c r="S43" s="160"/>
      <c r="T43" s="160"/>
    </row>
    <row r="44" spans="4:20" ht="12.95" thickBot="1">
      <c r="D44" s="960"/>
      <c r="E44" s="254">
        <v>4178462</v>
      </c>
      <c r="F44" s="259"/>
      <c r="G44" s="166"/>
      <c r="H44" s="166" t="s">
        <v>9200</v>
      </c>
      <c r="I44" s="164"/>
      <c r="J44" s="164"/>
      <c r="K44" s="164"/>
      <c r="L44" s="164"/>
      <c r="M44" s="164"/>
      <c r="N44" s="164"/>
      <c r="O44" s="164"/>
      <c r="P44" s="164"/>
      <c r="Q44" s="164"/>
      <c r="R44" s="164"/>
      <c r="S44" s="164"/>
      <c r="T44" s="164"/>
    </row>
    <row r="45" spans="4:20">
      <c r="D45" s="954" t="s">
        <v>9205</v>
      </c>
      <c r="E45" s="160"/>
      <c r="F45" s="170"/>
      <c r="G45" s="162"/>
      <c r="H45" s="162" t="s">
        <v>4627</v>
      </c>
      <c r="I45" s="160"/>
      <c r="J45" s="160"/>
      <c r="K45" s="160"/>
      <c r="L45" s="160"/>
      <c r="M45" s="160"/>
      <c r="N45" s="160"/>
      <c r="O45" s="160"/>
      <c r="P45" s="160"/>
      <c r="Q45" s="160"/>
      <c r="R45" s="160"/>
      <c r="S45" s="160"/>
      <c r="T45" s="160"/>
    </row>
    <row r="46" spans="4:20" ht="12.95" thickBot="1">
      <c r="D46" s="960"/>
      <c r="E46" s="164">
        <v>7524000</v>
      </c>
      <c r="F46" s="259"/>
      <c r="G46" s="166"/>
      <c r="H46" s="166" t="s">
        <v>9200</v>
      </c>
      <c r="I46" s="164"/>
      <c r="J46" s="164">
        <f>-E46/2</f>
        <v>-3762000</v>
      </c>
      <c r="K46" s="164">
        <f>-E46/2</f>
        <v>-3762000</v>
      </c>
      <c r="L46" s="164"/>
      <c r="M46" s="164"/>
      <c r="N46" s="164"/>
      <c r="O46" s="164"/>
      <c r="P46" s="164"/>
      <c r="Q46" s="164"/>
      <c r="R46" s="164"/>
      <c r="S46" s="164"/>
      <c r="T46" s="164"/>
    </row>
    <row r="47" spans="4:20">
      <c r="D47" s="954" t="s">
        <v>9206</v>
      </c>
      <c r="E47" s="160"/>
      <c r="F47" s="170"/>
      <c r="G47" s="162"/>
      <c r="H47" s="162" t="s">
        <v>4627</v>
      </c>
      <c r="I47" s="160"/>
      <c r="J47" s="160"/>
      <c r="K47" s="160"/>
      <c r="L47" s="160"/>
      <c r="M47" s="160"/>
      <c r="N47" s="160"/>
      <c r="O47" s="160"/>
      <c r="P47" s="160"/>
      <c r="Q47" s="160"/>
      <c r="R47" s="160"/>
      <c r="S47" s="160"/>
      <c r="T47" s="160"/>
    </row>
    <row r="48" spans="4:20" ht="12.95" thickBot="1">
      <c r="D48" s="960"/>
      <c r="E48" s="164">
        <v>2768620</v>
      </c>
      <c r="F48" s="259"/>
      <c r="G48" s="166"/>
      <c r="H48" s="166" t="s">
        <v>9200</v>
      </c>
      <c r="I48" s="164"/>
      <c r="J48" s="164"/>
      <c r="K48" s="164">
        <f>-E48</f>
        <v>-2768620</v>
      </c>
      <c r="L48" s="164"/>
      <c r="M48" s="164"/>
      <c r="N48" s="164"/>
      <c r="O48" s="164"/>
      <c r="P48" s="164"/>
      <c r="Q48" s="164"/>
      <c r="R48" s="164"/>
      <c r="S48" s="164"/>
      <c r="T48" s="164"/>
    </row>
    <row r="49" spans="4:22">
      <c r="D49" s="954"/>
      <c r="E49" s="160"/>
      <c r="F49" s="170"/>
      <c r="G49" s="162"/>
      <c r="H49" s="162" t="s">
        <v>4627</v>
      </c>
      <c r="I49" s="160"/>
      <c r="J49" s="160"/>
      <c r="K49" s="160"/>
      <c r="L49" s="160"/>
      <c r="M49" s="160"/>
      <c r="N49" s="160"/>
      <c r="O49" s="160"/>
      <c r="P49" s="160"/>
      <c r="Q49" s="160"/>
      <c r="R49" s="160"/>
      <c r="S49" s="160"/>
      <c r="T49" s="160"/>
    </row>
    <row r="50" spans="4:22" ht="12.95" thickBot="1">
      <c r="D50" s="960"/>
      <c r="E50" s="164"/>
      <c r="F50" s="259"/>
      <c r="G50" s="166"/>
      <c r="H50" s="166" t="s">
        <v>9200</v>
      </c>
      <c r="I50" s="164"/>
      <c r="J50" s="164"/>
      <c r="K50" s="164"/>
      <c r="L50" s="164"/>
      <c r="M50" s="164"/>
      <c r="N50" s="164"/>
      <c r="O50" s="164"/>
      <c r="P50" s="164"/>
      <c r="Q50" s="164"/>
      <c r="R50" s="164"/>
      <c r="S50" s="164"/>
      <c r="T50" s="164"/>
    </row>
    <row r="51" spans="4:22">
      <c r="D51" s="961"/>
      <c r="E51" s="160"/>
      <c r="F51" s="170"/>
      <c r="G51" s="162"/>
      <c r="H51" s="162" t="s">
        <v>4627</v>
      </c>
      <c r="I51" s="160"/>
      <c r="J51" s="160"/>
      <c r="K51" s="160"/>
      <c r="L51" s="160"/>
      <c r="M51" s="160"/>
      <c r="N51" s="160"/>
      <c r="O51" s="160"/>
      <c r="P51" s="160"/>
      <c r="Q51" s="160"/>
      <c r="R51" s="160"/>
      <c r="S51" s="160"/>
      <c r="T51" s="160"/>
    </row>
    <row r="52" spans="4:22" ht="12.95" thickBot="1">
      <c r="D52" s="960"/>
      <c r="E52" s="164"/>
      <c r="F52" s="259"/>
      <c r="G52" s="166"/>
      <c r="H52" s="166" t="s">
        <v>9200</v>
      </c>
      <c r="I52" s="164"/>
      <c r="J52" s="164"/>
      <c r="K52" s="164"/>
      <c r="L52" s="164"/>
      <c r="M52" s="164"/>
      <c r="N52" s="164"/>
      <c r="O52" s="164"/>
      <c r="P52" s="164"/>
      <c r="Q52" s="164"/>
      <c r="R52" s="164"/>
      <c r="S52" s="164"/>
      <c r="T52" s="164"/>
    </row>
    <row r="53" spans="4:22">
      <c r="D53" s="93"/>
      <c r="E53" s="13"/>
      <c r="F53" s="93"/>
      <c r="G53" s="243"/>
      <c r="H53" s="243"/>
      <c r="I53" s="13"/>
      <c r="J53" s="13"/>
      <c r="K53" s="13"/>
      <c r="L53" s="13"/>
      <c r="M53" s="13"/>
      <c r="N53" s="13"/>
      <c r="O53" s="13"/>
      <c r="P53" s="13"/>
      <c r="Q53" s="13"/>
      <c r="R53" s="13"/>
      <c r="S53" s="13"/>
      <c r="T53" s="13"/>
    </row>
    <row r="54" spans="4:22">
      <c r="D54" s="94"/>
      <c r="E54" s="13"/>
      <c r="F54" s="94"/>
      <c r="G54" s="243"/>
      <c r="H54" s="205"/>
      <c r="I54" s="13"/>
      <c r="J54" s="13"/>
      <c r="K54" s="13"/>
      <c r="L54" s="13"/>
      <c r="M54" s="13"/>
      <c r="N54" s="13"/>
      <c r="O54" s="13"/>
      <c r="P54" s="13"/>
      <c r="Q54" s="13"/>
      <c r="R54" s="13"/>
      <c r="S54" s="13"/>
      <c r="T54" s="13"/>
    </row>
    <row r="55" spans="4:22" ht="12.95" thickBot="1"/>
    <row r="56" spans="4:22" ht="12.95">
      <c r="D56" s="84" t="s">
        <v>284</v>
      </c>
      <c r="E56" s="83">
        <f>+SUM(E35:E52)</f>
        <v>48144482</v>
      </c>
      <c r="H56" s="219" t="s">
        <v>9207</v>
      </c>
      <c r="I56" s="220">
        <f>+E56+I57</f>
        <v>41045807</v>
      </c>
      <c r="J56" s="220">
        <f>+J57+I56</f>
        <v>34773132</v>
      </c>
      <c r="K56" s="220">
        <f>+K57+J56</f>
        <v>16731837</v>
      </c>
      <c r="L56" s="220">
        <f t="shared" ref="L56:T56" si="5">+L57+K56</f>
        <v>14221162</v>
      </c>
      <c r="M56" s="220">
        <f t="shared" si="5"/>
        <v>11710487</v>
      </c>
      <c r="N56" s="220">
        <f t="shared" si="5"/>
        <v>9199812</v>
      </c>
      <c r="O56" s="220">
        <f t="shared" si="5"/>
        <v>6689137</v>
      </c>
      <c r="P56" s="220">
        <f t="shared" si="5"/>
        <v>4178462</v>
      </c>
      <c r="Q56" s="220">
        <f t="shared" si="5"/>
        <v>4178462</v>
      </c>
      <c r="R56" s="220">
        <f t="shared" si="5"/>
        <v>4178462</v>
      </c>
      <c r="S56" s="220">
        <f t="shared" si="5"/>
        <v>4178462</v>
      </c>
      <c r="T56" s="220">
        <f t="shared" si="5"/>
        <v>4178462</v>
      </c>
    </row>
    <row r="57" spans="4:22" ht="12.95">
      <c r="H57" s="96" t="s">
        <v>9208</v>
      </c>
      <c r="I57" s="210">
        <f>+SUM(I35:I52)</f>
        <v>-7098675</v>
      </c>
      <c r="J57" s="210">
        <f>+SUM(J35:J52)</f>
        <v>-6272675</v>
      </c>
      <c r="K57" s="210">
        <f>+SUM(K35:K52)</f>
        <v>-18041295</v>
      </c>
      <c r="L57" s="210">
        <f t="shared" ref="L57:T57" si="6">+SUM(L35:L52)</f>
        <v>-2510675</v>
      </c>
      <c r="M57" s="210">
        <f t="shared" si="6"/>
        <v>-2510675</v>
      </c>
      <c r="N57" s="210">
        <f t="shared" si="6"/>
        <v>-2510675</v>
      </c>
      <c r="O57" s="210">
        <f t="shared" si="6"/>
        <v>-2510675</v>
      </c>
      <c r="P57" s="210">
        <f t="shared" si="6"/>
        <v>-2510675</v>
      </c>
      <c r="Q57" s="210">
        <f t="shared" si="6"/>
        <v>0</v>
      </c>
      <c r="R57" s="210">
        <f t="shared" si="6"/>
        <v>0</v>
      </c>
      <c r="S57" s="210">
        <f t="shared" si="6"/>
        <v>0</v>
      </c>
      <c r="T57" s="210">
        <f t="shared" si="6"/>
        <v>0</v>
      </c>
    </row>
    <row r="58" spans="4:22" ht="12.95">
      <c r="H58" s="96"/>
      <c r="I58" s="210"/>
      <c r="J58" s="210"/>
      <c r="K58" s="210"/>
      <c r="L58" s="210"/>
      <c r="M58" s="210"/>
      <c r="N58" s="210"/>
      <c r="O58" s="210"/>
      <c r="P58" s="210"/>
      <c r="Q58" s="210"/>
      <c r="R58" s="210"/>
      <c r="S58" s="210"/>
      <c r="T58" s="210"/>
    </row>
    <row r="59" spans="4:22" ht="12.95">
      <c r="H59" s="159"/>
      <c r="I59" s="218"/>
      <c r="J59" s="218"/>
      <c r="K59" s="218"/>
      <c r="L59" s="218"/>
      <c r="M59" s="218"/>
      <c r="N59" s="218"/>
      <c r="O59" s="218"/>
      <c r="P59" s="218"/>
      <c r="Q59" s="218"/>
      <c r="R59" s="218"/>
      <c r="S59" s="218"/>
      <c r="T59" s="218"/>
    </row>
    <row r="60" spans="4:22" ht="12.95">
      <c r="H60" s="159"/>
      <c r="I60" s="218"/>
      <c r="J60" s="218"/>
      <c r="K60" s="218"/>
      <c r="L60" s="218"/>
      <c r="M60" s="218"/>
      <c r="N60" s="218"/>
      <c r="O60" s="218"/>
      <c r="P60" s="218"/>
      <c r="Q60" s="218"/>
      <c r="R60" s="218"/>
      <c r="S60" s="218"/>
      <c r="T60" s="218"/>
    </row>
    <row r="61" spans="4:22" ht="13.5" thickBot="1">
      <c r="H61" s="159"/>
      <c r="I61" s="218"/>
      <c r="J61" s="218"/>
      <c r="K61" s="218"/>
      <c r="L61" s="218"/>
      <c r="M61" s="218"/>
      <c r="N61" s="218"/>
      <c r="O61" s="218"/>
      <c r="P61" s="218"/>
      <c r="Q61" s="218"/>
      <c r="R61" s="218"/>
      <c r="S61" s="218"/>
      <c r="T61" s="218"/>
    </row>
    <row r="62" spans="4:22" ht="13.5" thickBot="1">
      <c r="D62" s="966" t="s">
        <v>9209</v>
      </c>
      <c r="E62" s="967"/>
      <c r="F62" s="967"/>
      <c r="G62" s="967"/>
      <c r="H62" s="968"/>
      <c r="I62" s="241">
        <v>45292</v>
      </c>
      <c r="J62" s="242">
        <v>45323</v>
      </c>
      <c r="K62" s="421">
        <v>45352</v>
      </c>
      <c r="L62" s="423">
        <v>45383</v>
      </c>
      <c r="M62" s="422">
        <v>45413</v>
      </c>
      <c r="N62" s="242">
        <v>45444</v>
      </c>
      <c r="O62" s="241">
        <v>45474</v>
      </c>
      <c r="P62" s="242">
        <v>45505</v>
      </c>
      <c r="Q62" s="241">
        <v>45536</v>
      </c>
      <c r="R62" s="242">
        <v>45566</v>
      </c>
      <c r="S62" s="241">
        <v>45597</v>
      </c>
      <c r="T62" s="242">
        <v>45627</v>
      </c>
      <c r="U62" s="241">
        <v>45658</v>
      </c>
    </row>
    <row r="63" spans="4:22" ht="12.95">
      <c r="D63" s="962" t="s">
        <v>9210</v>
      </c>
      <c r="E63" s="235"/>
      <c r="F63" s="329"/>
      <c r="G63" s="446">
        <v>0.13</v>
      </c>
      <c r="H63" s="373" t="s">
        <v>9165</v>
      </c>
      <c r="I63" s="235"/>
      <c r="J63" s="235"/>
      <c r="K63" s="290"/>
      <c r="M63" s="390">
        <v>400000000</v>
      </c>
      <c r="N63" s="390">
        <f t="shared" ref="N63:U63" si="7">+M63-(N65-N64)</f>
        <v>390754650.08055925</v>
      </c>
      <c r="O63" s="390">
        <f t="shared" si="7"/>
        <v>381414656.95295632</v>
      </c>
      <c r="P63" s="390">
        <f t="shared" si="7"/>
        <v>371979051.7693997</v>
      </c>
      <c r="Q63" s="390">
        <f t="shared" si="7"/>
        <v>362446855.76415378</v>
      </c>
      <c r="R63" s="390">
        <f t="shared" si="7"/>
        <v>352817080.15201056</v>
      </c>
      <c r="S63" s="390">
        <f t="shared" si="7"/>
        <v>343088726.02572167</v>
      </c>
      <c r="T63" s="390">
        <f t="shared" si="7"/>
        <v>333260784.25238073</v>
      </c>
      <c r="U63" s="390">
        <f t="shared" si="7"/>
        <v>323332235.36874485</v>
      </c>
      <c r="V63" s="391">
        <v>985718101.85588527</v>
      </c>
    </row>
    <row r="64" spans="4:22">
      <c r="D64" s="963"/>
      <c r="E64" s="2"/>
      <c r="F64" s="113"/>
      <c r="G64" s="447">
        <f>+(1+G63)^(0.0833333333333333)-1</f>
        <v>1.02368443581764E-2</v>
      </c>
      <c r="H64" s="366" t="s">
        <v>9211</v>
      </c>
      <c r="I64" s="2"/>
      <c r="J64" s="2"/>
      <c r="K64" s="6"/>
      <c r="M64" s="2"/>
      <c r="N64" s="2">
        <f>+PMT(G64,F66,M63)</f>
        <v>-13340087.662711293</v>
      </c>
      <c r="O64" s="2">
        <f t="shared" ref="O64:U64" si="8">+PMT($G$64,O66,N63)</f>
        <v>-13340087.662711291</v>
      </c>
      <c r="P64" s="2">
        <f t="shared" si="8"/>
        <v>-13340087.662711293</v>
      </c>
      <c r="Q64" s="2">
        <f t="shared" si="8"/>
        <v>-13340087.662711291</v>
      </c>
      <c r="R64" s="2">
        <f t="shared" si="8"/>
        <v>-13340087.662711291</v>
      </c>
      <c r="S64" s="2">
        <f t="shared" si="8"/>
        <v>-13340087.662711293</v>
      </c>
      <c r="T64" s="2">
        <f t="shared" si="8"/>
        <v>-13340087.662711291</v>
      </c>
      <c r="U64" s="2">
        <f t="shared" si="8"/>
        <v>-13340087.662711293</v>
      </c>
      <c r="V64" s="375">
        <v>-20475573.34980176</v>
      </c>
    </row>
    <row r="65" spans="4:22">
      <c r="D65" s="963"/>
      <c r="E65" s="2"/>
      <c r="F65" s="113"/>
      <c r="G65" s="447"/>
      <c r="H65" s="366" t="s">
        <v>9212</v>
      </c>
      <c r="I65" s="2"/>
      <c r="J65" s="2"/>
      <c r="K65" s="6"/>
      <c r="M65" s="2"/>
      <c r="N65" s="2">
        <f t="shared" ref="N65:U65" si="9">-M63*$G$64</f>
        <v>-4094737.7432705602</v>
      </c>
      <c r="O65" s="2">
        <f t="shared" si="9"/>
        <v>-4000094.5351083665</v>
      </c>
      <c r="P65" s="2">
        <f t="shared" si="9"/>
        <v>-3904482.479154658</v>
      </c>
      <c r="Q65" s="2">
        <f t="shared" si="9"/>
        <v>-3807891.6574653862</v>
      </c>
      <c r="R65" s="2">
        <f t="shared" si="9"/>
        <v>-3710312.050568053</v>
      </c>
      <c r="S65" s="2">
        <f t="shared" si="9"/>
        <v>-3611733.5364223802</v>
      </c>
      <c r="T65" s="2">
        <f t="shared" si="9"/>
        <v>-3512145.8893703376</v>
      </c>
      <c r="U65" s="2">
        <f t="shared" si="9"/>
        <v>-3411538.779075426</v>
      </c>
      <c r="V65" s="375">
        <v>-12714432.464722972</v>
      </c>
    </row>
    <row r="66" spans="4:22" ht="12.95" thickBot="1">
      <c r="D66" s="964"/>
      <c r="E66" s="236"/>
      <c r="F66" s="330">
        <v>36</v>
      </c>
      <c r="G66" s="448"/>
      <c r="H66" s="374" t="s">
        <v>9213</v>
      </c>
      <c r="I66" s="236"/>
      <c r="J66" s="236"/>
      <c r="K66" s="293"/>
      <c r="M66" s="236"/>
      <c r="N66" s="236">
        <v>36</v>
      </c>
      <c r="O66" s="236">
        <v>35</v>
      </c>
      <c r="P66" s="236">
        <v>34</v>
      </c>
      <c r="Q66" s="236">
        <v>33</v>
      </c>
      <c r="R66" s="236">
        <v>32</v>
      </c>
      <c r="S66" s="236">
        <v>31</v>
      </c>
      <c r="T66" s="236">
        <v>30</v>
      </c>
      <c r="U66" s="236">
        <v>29</v>
      </c>
      <c r="V66" s="236">
        <v>28</v>
      </c>
    </row>
    <row r="67" spans="4:22" ht="12.95">
      <c r="D67" s="965" t="s">
        <v>9214</v>
      </c>
      <c r="E67" s="235">
        <v>250000000</v>
      </c>
      <c r="F67" s="329" t="s">
        <v>9181</v>
      </c>
      <c r="G67" s="369">
        <v>0.15</v>
      </c>
      <c r="H67" s="373" t="s">
        <v>9171</v>
      </c>
      <c r="I67" s="235"/>
      <c r="J67" s="235"/>
      <c r="K67" s="290"/>
      <c r="L67" s="235">
        <v>250000000</v>
      </c>
      <c r="M67" s="390">
        <f t="shared" ref="M67:U67" si="10">+L67-(M69-M68)</f>
        <v>244007771.55487555</v>
      </c>
      <c r="N67" s="390">
        <f t="shared" si="10"/>
        <v>238175388.21936211</v>
      </c>
      <c r="O67" s="390">
        <f t="shared" si="10"/>
        <v>232283299.68340579</v>
      </c>
      <c r="P67" s="390">
        <f t="shared" si="10"/>
        <v>226330894.75416228</v>
      </c>
      <c r="Q67" s="390">
        <f t="shared" si="10"/>
        <v>220317555.98210126</v>
      </c>
      <c r="R67" s="390">
        <f t="shared" si="10"/>
        <v>214242659.59695768</v>
      </c>
      <c r="S67" s="390">
        <f t="shared" si="10"/>
        <v>208105575.44302735</v>
      </c>
      <c r="T67" s="390">
        <f t="shared" si="10"/>
        <v>201905666.91380018</v>
      </c>
      <c r="U67" s="390">
        <f t="shared" si="10"/>
        <v>194144526.02872139</v>
      </c>
    </row>
    <row r="68" spans="4:22">
      <c r="D68" s="963"/>
      <c r="E68" s="2"/>
      <c r="F68" s="113"/>
      <c r="G68" s="381">
        <f>+(G67+1)^(0.0833333333333333)-1</f>
        <v>1.171491691985338E-2</v>
      </c>
      <c r="H68" s="366" t="s">
        <v>9211</v>
      </c>
      <c r="I68" s="2"/>
      <c r="J68" s="2"/>
      <c r="K68" s="6"/>
      <c r="L68" s="2"/>
      <c r="M68" s="2">
        <f>+PMT(G68,F70,L67)</f>
        <v>-8551439.534668535</v>
      </c>
      <c r="N68" s="2">
        <f t="shared" ref="N68:T68" si="11">+PMT($G$64,N70,M67)</f>
        <v>-8330252.9151061699</v>
      </c>
      <c r="O68" s="2">
        <f t="shared" si="11"/>
        <v>-8330252.9151061727</v>
      </c>
      <c r="P68" s="2">
        <f t="shared" si="11"/>
        <v>-8330252.9151061699</v>
      </c>
      <c r="Q68" s="2">
        <f t="shared" si="11"/>
        <v>-8330252.9151061699</v>
      </c>
      <c r="R68" s="2">
        <f t="shared" si="11"/>
        <v>-8330252.9151061717</v>
      </c>
      <c r="S68" s="2">
        <f t="shared" si="11"/>
        <v>-8330252.9151061699</v>
      </c>
      <c r="T68" s="2">
        <f t="shared" si="11"/>
        <v>-8330252.9151061717</v>
      </c>
      <c r="U68" s="375">
        <v>-20475573.34980176</v>
      </c>
    </row>
    <row r="69" spans="4:22">
      <c r="D69" s="963"/>
      <c r="E69" s="2"/>
      <c r="F69" s="113"/>
      <c r="G69" s="381"/>
      <c r="H69" s="366" t="s">
        <v>9165</v>
      </c>
      <c r="I69" s="2"/>
      <c r="J69" s="2"/>
      <c r="K69" s="6"/>
      <c r="L69" s="2"/>
      <c r="M69" s="2">
        <f t="shared" ref="M69:T69" si="12">-L67*$G$64</f>
        <v>-2559211.0895441002</v>
      </c>
      <c r="N69" s="2">
        <f t="shared" si="12"/>
        <v>-2497869.5795927239</v>
      </c>
      <c r="O69" s="2">
        <f t="shared" si="12"/>
        <v>-2438164.3791498509</v>
      </c>
      <c r="P69" s="2">
        <f t="shared" si="12"/>
        <v>-2377847.9858626705</v>
      </c>
      <c r="Q69" s="2">
        <f t="shared" si="12"/>
        <v>-2316914.1430451628</v>
      </c>
      <c r="R69" s="2">
        <f t="shared" si="12"/>
        <v>-2255356.5299625867</v>
      </c>
      <c r="S69" s="2">
        <f t="shared" si="12"/>
        <v>-2193168.7611758234</v>
      </c>
      <c r="T69" s="2">
        <f t="shared" si="12"/>
        <v>-2130344.3858790076</v>
      </c>
      <c r="U69" s="375">
        <v>-12714432.464722972</v>
      </c>
    </row>
    <row r="70" spans="4:22" ht="12.95" thickBot="1">
      <c r="D70" s="964"/>
      <c r="E70" s="236"/>
      <c r="F70" s="330">
        <v>36</v>
      </c>
      <c r="G70" s="376"/>
      <c r="H70" s="374" t="s">
        <v>9213</v>
      </c>
      <c r="I70" s="236"/>
      <c r="J70" s="236"/>
      <c r="K70" s="293"/>
      <c r="L70" s="236"/>
      <c r="M70" s="236">
        <v>36</v>
      </c>
      <c r="N70" s="236">
        <v>35</v>
      </c>
      <c r="O70" s="236">
        <v>34</v>
      </c>
      <c r="P70" s="236">
        <v>33</v>
      </c>
      <c r="Q70" s="236">
        <v>32</v>
      </c>
      <c r="R70" s="236">
        <v>31</v>
      </c>
      <c r="S70" s="236">
        <v>30</v>
      </c>
      <c r="T70" s="236">
        <v>29</v>
      </c>
      <c r="U70" s="236">
        <v>28</v>
      </c>
    </row>
    <row r="71" spans="4:22">
      <c r="D71" s="965" t="s">
        <v>9214</v>
      </c>
      <c r="E71" s="235">
        <v>80000000</v>
      </c>
      <c r="F71" s="329" t="s">
        <v>9181</v>
      </c>
      <c r="G71" s="369">
        <v>0.15</v>
      </c>
      <c r="H71" s="373" t="s">
        <v>9171</v>
      </c>
      <c r="I71" s="235"/>
      <c r="J71" s="235"/>
      <c r="K71" s="235">
        <v>45000000</v>
      </c>
      <c r="L71" s="235">
        <f>+(44000*3900)</f>
        <v>171600000</v>
      </c>
      <c r="M71" s="235">
        <f>+L71+K71</f>
        <v>216600000</v>
      </c>
      <c r="N71" s="235">
        <f>+M71</f>
        <v>216600000</v>
      </c>
      <c r="O71" s="235">
        <f>+N71</f>
        <v>216600000</v>
      </c>
      <c r="P71" s="424">
        <f>+O71</f>
        <v>216600000</v>
      </c>
      <c r="Q71" s="235">
        <f>+P71</f>
        <v>216600000</v>
      </c>
      <c r="R71" s="235">
        <f>+Q71</f>
        <v>216600000</v>
      </c>
      <c r="S71" s="235">
        <f t="shared" ref="S71:U71" si="13">+R71</f>
        <v>216600000</v>
      </c>
      <c r="T71" s="235">
        <f t="shared" si="13"/>
        <v>216600000</v>
      </c>
      <c r="U71" s="235">
        <f t="shared" si="13"/>
        <v>216600000</v>
      </c>
    </row>
    <row r="72" spans="4:22">
      <c r="D72" s="963"/>
      <c r="E72" s="2"/>
      <c r="F72" s="113"/>
      <c r="G72" s="381">
        <f>+(G71+1)^(0.0833333333333333)-1</f>
        <v>1.171491691985338E-2</v>
      </c>
      <c r="H72" s="366" t="s">
        <v>9211</v>
      </c>
      <c r="I72" s="2"/>
      <c r="J72" s="2"/>
      <c r="K72" s="6"/>
      <c r="L72" s="2"/>
      <c r="M72" s="2"/>
      <c r="N72" s="2"/>
      <c r="O72" s="2"/>
      <c r="P72" s="2"/>
      <c r="Q72" s="2"/>
      <c r="R72" s="2"/>
      <c r="S72" s="2"/>
      <c r="T72" s="2"/>
      <c r="U72" s="375"/>
    </row>
    <row r="73" spans="4:22">
      <c r="D73" s="963"/>
      <c r="E73" s="2"/>
      <c r="F73" s="113"/>
      <c r="G73" s="381"/>
      <c r="H73" s="366" t="s">
        <v>9165</v>
      </c>
      <c r="I73" s="2"/>
      <c r="J73" s="2"/>
      <c r="K73" s="6"/>
      <c r="L73" s="2"/>
      <c r="M73" s="2">
        <f>-M71*G72</f>
        <v>-2537451.0048402422</v>
      </c>
      <c r="N73" s="2">
        <f>-M71*$G$68</f>
        <v>-2537451.0048402422</v>
      </c>
      <c r="O73" s="2">
        <f t="shared" ref="O73" si="14">-N71*$G$68</f>
        <v>-2537451.0048402422</v>
      </c>
      <c r="P73" s="2">
        <f t="shared" ref="P73" si="15">-O71*$G$68</f>
        <v>-2537451.0048402422</v>
      </c>
      <c r="Q73" s="2">
        <f t="shared" ref="Q73" si="16">-P71*$G$68</f>
        <v>-2537451.0048402422</v>
      </c>
      <c r="R73" s="2">
        <f t="shared" ref="R73" si="17">-Q71*$G$68</f>
        <v>-2537451.0048402422</v>
      </c>
      <c r="S73" s="2">
        <f t="shared" ref="S73" si="18">-R71*$G$68</f>
        <v>-2537451.0048402422</v>
      </c>
      <c r="T73" s="2">
        <f t="shared" ref="T73" si="19">-S71*$G$68</f>
        <v>-2537451.0048402422</v>
      </c>
      <c r="U73" s="375">
        <f t="shared" ref="U73" si="20">-T71*$G$68</f>
        <v>-2537451.0048402422</v>
      </c>
    </row>
    <row r="74" spans="4:22" ht="12.95" thickBot="1">
      <c r="D74" s="964"/>
      <c r="E74" s="236"/>
      <c r="F74" s="330">
        <v>32</v>
      </c>
      <c r="G74" s="376"/>
      <c r="H74" s="374" t="s">
        <v>9213</v>
      </c>
      <c r="I74" s="236"/>
      <c r="J74" s="236"/>
      <c r="K74" s="293"/>
      <c r="L74" s="236">
        <v>36</v>
      </c>
      <c r="M74" s="236">
        <v>35</v>
      </c>
      <c r="N74" s="236">
        <v>34</v>
      </c>
      <c r="O74" s="236">
        <v>33</v>
      </c>
      <c r="P74" s="236">
        <v>32</v>
      </c>
      <c r="Q74" s="236">
        <v>31</v>
      </c>
      <c r="R74" s="236">
        <v>30</v>
      </c>
      <c r="S74" s="236">
        <v>29</v>
      </c>
      <c r="T74" s="236">
        <v>28</v>
      </c>
      <c r="U74" s="238">
        <v>27</v>
      </c>
    </row>
    <row r="75" spans="4:22" ht="12.95">
      <c r="H75" s="159"/>
      <c r="I75" s="218"/>
      <c r="J75" s="218"/>
      <c r="K75" s="218"/>
      <c r="L75" s="218"/>
      <c r="M75" s="218"/>
      <c r="N75" s="218"/>
      <c r="O75" s="218"/>
      <c r="P75" s="218"/>
      <c r="Q75" s="218"/>
      <c r="R75" s="218"/>
      <c r="S75" s="218"/>
      <c r="T75" s="218"/>
    </row>
    <row r="76" spans="4:22" ht="13.5" thickBot="1">
      <c r="F76" s="89"/>
      <c r="H76" s="159"/>
      <c r="I76" s="218"/>
      <c r="J76" s="218"/>
      <c r="K76" s="218"/>
      <c r="L76" s="218"/>
      <c r="M76" s="218"/>
      <c r="N76" s="218"/>
      <c r="O76" s="218"/>
      <c r="P76" s="218"/>
      <c r="Q76" s="218"/>
      <c r="R76" s="218"/>
      <c r="S76" s="218"/>
      <c r="T76" s="218"/>
    </row>
    <row r="77" spans="4:22" ht="13.5" thickBot="1">
      <c r="E77" s="89"/>
      <c r="F77" s="274"/>
      <c r="H77" s="219" t="s">
        <v>9215</v>
      </c>
      <c r="I77" s="220"/>
      <c r="J77" s="220"/>
      <c r="K77" s="425"/>
      <c r="L77" s="428"/>
      <c r="M77" s="428"/>
      <c r="N77" s="426">
        <f>+N67+N63</f>
        <v>628930038.29992139</v>
      </c>
      <c r="O77" s="382">
        <v>253422990.10550499</v>
      </c>
      <c r="P77" s="382">
        <v>181530328.80226001</v>
      </c>
      <c r="Q77" s="382">
        <v>42621860.719999999</v>
      </c>
      <c r="R77" s="220"/>
      <c r="S77" s="220"/>
      <c r="T77" s="220"/>
      <c r="U77" s="383"/>
      <c r="V77" s="383"/>
    </row>
    <row r="78" spans="4:22" ht="12.95">
      <c r="H78" s="384" t="s">
        <v>9216</v>
      </c>
      <c r="I78" s="210"/>
      <c r="J78" s="210"/>
      <c r="K78" s="81"/>
      <c r="L78" s="427"/>
      <c r="M78" s="427"/>
      <c r="N78" s="210">
        <f t="shared" ref="N78:V78" si="21">+N68-N69</f>
        <v>-5832383.3355134465</v>
      </c>
      <c r="O78" s="210">
        <f t="shared" si="21"/>
        <v>-5892088.5359563213</v>
      </c>
      <c r="P78" s="210">
        <f t="shared" si="21"/>
        <v>-5952404.9292434994</v>
      </c>
      <c r="Q78" s="210">
        <f t="shared" si="21"/>
        <v>-6013338.7720610071</v>
      </c>
      <c r="R78" s="210">
        <f t="shared" si="21"/>
        <v>-6074896.3851435855</v>
      </c>
      <c r="S78" s="210">
        <f t="shared" si="21"/>
        <v>-6137084.1539303465</v>
      </c>
      <c r="T78" s="210">
        <f t="shared" si="21"/>
        <v>-6199908.5292271636</v>
      </c>
      <c r="U78" s="385">
        <f t="shared" si="21"/>
        <v>-7761140.8850787878</v>
      </c>
      <c r="V78" s="385">
        <f t="shared" si="21"/>
        <v>0</v>
      </c>
    </row>
    <row r="79" spans="4:22" ht="12.95">
      <c r="H79" s="384" t="s">
        <v>9217</v>
      </c>
      <c r="I79" s="210"/>
      <c r="J79" s="210"/>
      <c r="K79" s="81"/>
      <c r="L79" s="210"/>
      <c r="M79" s="210">
        <f t="shared" ref="M79" si="22">+N77+M78</f>
        <v>628930038.29992139</v>
      </c>
      <c r="N79" s="210">
        <f t="shared" ref="N79" si="23">+O77+N78</f>
        <v>247590606.76999155</v>
      </c>
      <c r="O79" s="210">
        <f>+P77+O78</f>
        <v>175638240.26630369</v>
      </c>
      <c r="P79" s="210">
        <f>+Q77+P78</f>
        <v>36669455.790756501</v>
      </c>
      <c r="Q79" s="210">
        <f t="shared" ref="Q79" si="24">+R77+Q78</f>
        <v>-6013338.7720610071</v>
      </c>
      <c r="R79" s="210">
        <f t="shared" ref="R79" si="25">+S77+R78</f>
        <v>-6074896.3851435855</v>
      </c>
      <c r="S79" s="210">
        <f t="shared" ref="S79:V79" si="26">+S77+S78</f>
        <v>-6137084.1539303465</v>
      </c>
      <c r="T79" s="210">
        <f t="shared" si="26"/>
        <v>-6199908.5292271636</v>
      </c>
      <c r="U79" s="385">
        <f t="shared" si="26"/>
        <v>-7761140.8850787878</v>
      </c>
      <c r="V79" s="385">
        <f t="shared" si="26"/>
        <v>0</v>
      </c>
    </row>
    <row r="80" spans="4:22" ht="13.5" thickBot="1">
      <c r="H80" s="386" t="s">
        <v>315</v>
      </c>
      <c r="I80" s="387"/>
      <c r="J80" s="387"/>
      <c r="K80" s="388"/>
      <c r="L80" s="387"/>
      <c r="M80" s="387"/>
      <c r="N80" s="387">
        <f t="shared" ref="N80:U80" si="27">+N65+N69</f>
        <v>-6592607.3228632845</v>
      </c>
      <c r="O80" s="387">
        <f t="shared" si="27"/>
        <v>-6438258.9142582174</v>
      </c>
      <c r="P80" s="387">
        <f t="shared" si="27"/>
        <v>-6282330.465017328</v>
      </c>
      <c r="Q80" s="387">
        <f t="shared" si="27"/>
        <v>-6124805.800510549</v>
      </c>
      <c r="R80" s="387">
        <f t="shared" si="27"/>
        <v>-5965668.5805306397</v>
      </c>
      <c r="S80" s="387">
        <f t="shared" si="27"/>
        <v>-5804902.2975982036</v>
      </c>
      <c r="T80" s="387">
        <f t="shared" si="27"/>
        <v>-5642490.2752493452</v>
      </c>
      <c r="U80" s="387">
        <f t="shared" si="27"/>
        <v>-16125971.243798397</v>
      </c>
      <c r="V80" s="389">
        <v>-12812869.088079199</v>
      </c>
    </row>
    <row r="83" spans="4:44" ht="12.95">
      <c r="D83" s="969" t="s">
        <v>9218</v>
      </c>
      <c r="E83" s="970"/>
      <c r="F83" s="970"/>
      <c r="G83" s="971"/>
      <c r="H83" s="219" t="s">
        <v>9215</v>
      </c>
      <c r="I83" s="220"/>
      <c r="J83" s="220"/>
      <c r="K83" s="261"/>
      <c r="L83" s="382">
        <v>20000000</v>
      </c>
      <c r="M83" s="382">
        <f>+M84</f>
        <v>-11308767.230084024</v>
      </c>
      <c r="N83" s="382">
        <f t="shared" ref="N83:T83" si="28">+N84</f>
        <v>-17097129.994248569</v>
      </c>
      <c r="O83" s="382">
        <f t="shared" si="28"/>
        <v>-17189219.200683858</v>
      </c>
      <c r="P83" s="382">
        <f t="shared" si="28"/>
        <v>-17281319.515860286</v>
      </c>
      <c r="Q83" s="382">
        <f t="shared" si="28"/>
        <v>-65565461.577324182</v>
      </c>
      <c r="R83" s="382">
        <f>+R84-R22</f>
        <v>-117465459.19186452</v>
      </c>
      <c r="S83" s="382">
        <f t="shared" si="28"/>
        <v>-17557449.312100321</v>
      </c>
      <c r="T83" s="382">
        <f t="shared" si="28"/>
        <v>-17649352.01245258</v>
      </c>
    </row>
    <row r="84" spans="4:44" ht="12.95">
      <c r="D84" s="972"/>
      <c r="E84" s="973"/>
      <c r="F84" s="973"/>
      <c r="G84" s="974"/>
      <c r="H84" s="384" t="s">
        <v>9216</v>
      </c>
      <c r="I84" s="210"/>
      <c r="J84" s="210">
        <f>J27</f>
        <v>-9592519.7548723519</v>
      </c>
      <c r="K84" s="210">
        <f>K27</f>
        <v>-9742331.8969459664</v>
      </c>
      <c r="L84" s="210">
        <f>+(L68-L69)-L12-L8+L83</f>
        <v>14782523.144148391</v>
      </c>
      <c r="M84" s="210">
        <f>+(M68-M69)-M12-M8</f>
        <v>-11308767.230084024</v>
      </c>
      <c r="N84" s="210">
        <f>+N64-N65+N68-N69-N11</f>
        <v>-17097129.994248569</v>
      </c>
      <c r="O84" s="210">
        <f>+O64-O65+O68-O69-O11</f>
        <v>-17189219.200683858</v>
      </c>
      <c r="P84" s="210">
        <f>+P64-P65+P68-P69-P11</f>
        <v>-17281319.515860286</v>
      </c>
      <c r="Q84" s="210">
        <f>+Q64-Q65+Q68-Q69-Q11-Q22-Q20</f>
        <v>-65565461.577324182</v>
      </c>
      <c r="R84" s="210">
        <f>+R64-R65+R68-R69-R11-R22</f>
        <v>-67465459.19186452</v>
      </c>
      <c r="S84" s="210">
        <f>+S64-S65+S68-S69-S11</f>
        <v>-17557449.312100321</v>
      </c>
      <c r="T84" s="210">
        <f>+T64-T65+T68-T69-T11</f>
        <v>-17649352.01245258</v>
      </c>
      <c r="U84" s="210">
        <f>+U64-U65+U68-U69-U11</f>
        <v>-17689689.768714655</v>
      </c>
      <c r="V84" s="210">
        <f>+V64-V65+V68-V69-V11</f>
        <v>-7761140.8850787878</v>
      </c>
    </row>
    <row r="85" spans="4:44" ht="12.95">
      <c r="D85" s="972"/>
      <c r="E85" s="973"/>
      <c r="F85" s="973"/>
      <c r="G85" s="974"/>
      <c r="H85" s="384" t="s">
        <v>9217</v>
      </c>
      <c r="I85" s="210"/>
      <c r="J85" s="210"/>
      <c r="K85" s="81"/>
      <c r="L85" s="210"/>
      <c r="M85" s="210"/>
      <c r="N85" s="210"/>
      <c r="O85" s="210"/>
      <c r="P85" s="210"/>
      <c r="Q85" s="210"/>
      <c r="R85" s="210"/>
      <c r="S85" s="210"/>
      <c r="T85" s="210"/>
      <c r="U85" s="210"/>
      <c r="V85" s="210"/>
    </row>
    <row r="86" spans="4:44" ht="13.5" thickBot="1">
      <c r="D86" s="975"/>
      <c r="E86" s="976"/>
      <c r="F86" s="976"/>
      <c r="G86" s="977"/>
      <c r="H86" s="386" t="s">
        <v>315</v>
      </c>
      <c r="I86" s="387"/>
      <c r="J86" s="387">
        <f t="shared" ref="J86:K86" si="29">+J69-J7-J11</f>
        <v>-3456808.4537224001</v>
      </c>
      <c r="K86" s="387">
        <f t="shared" si="29"/>
        <v>-3361706.6903562048</v>
      </c>
      <c r="L86" s="387">
        <f>+L69-L7-L11</f>
        <v>-3264646.6609531813</v>
      </c>
      <c r="M86" s="387">
        <f>+M69+M65+M73</f>
        <v>-5096662.0943843424</v>
      </c>
      <c r="N86" s="387">
        <f>+N69+N65-N12+N73</f>
        <v>-11600661.588409133</v>
      </c>
      <c r="O86" s="387">
        <f>+O69+O65-O12+O73</f>
        <v>-11508572.381973848</v>
      </c>
      <c r="P86" s="387">
        <f>+P69+P65-P12+P73</f>
        <v>-11416472.066797419</v>
      </c>
      <c r="Q86" s="387">
        <f>+Q69+Q65-Q12+Q73-Q21-Q19</f>
        <v>-19998953.725333519</v>
      </c>
      <c r="R86" s="387">
        <f>+R69+R65-R12+R73-R21</f>
        <v>-21232332.390793178</v>
      </c>
      <c r="S86" s="387">
        <f>+S69+S65-S12+S73</f>
        <v>-11140342.270557383</v>
      </c>
      <c r="T86" s="387">
        <f>+T69+T65-T12+T73</f>
        <v>-11048440.570205124</v>
      </c>
      <c r="U86" s="387">
        <f>+U69+U65-U12+U73</f>
        <v>-18663422.248638641</v>
      </c>
      <c r="V86" s="387">
        <f>+V69+V65-V12+V73</f>
        <v>-12714432.464722972</v>
      </c>
    </row>
    <row r="87" spans="4:44" ht="12.95">
      <c r="H87" s="159"/>
      <c r="I87" s="218"/>
      <c r="J87" s="218"/>
      <c r="K87" s="218"/>
      <c r="L87" s="218"/>
      <c r="M87" s="218"/>
      <c r="N87" s="218"/>
      <c r="O87" s="218"/>
      <c r="P87" s="218"/>
      <c r="Q87" s="218"/>
      <c r="R87" s="218"/>
      <c r="S87" s="218"/>
      <c r="T87" s="218"/>
    </row>
    <row r="88" spans="4:44" ht="12.95">
      <c r="H88" s="159"/>
      <c r="I88" s="218"/>
      <c r="J88" s="218"/>
      <c r="K88" s="218"/>
      <c r="L88" s="218"/>
      <c r="M88" s="218"/>
      <c r="N88" s="218"/>
      <c r="O88" s="218"/>
      <c r="P88" s="218"/>
      <c r="Q88" s="218"/>
      <c r="R88" s="218"/>
      <c r="S88" s="218"/>
      <c r="T88" s="218"/>
    </row>
    <row r="89" spans="4:44" ht="12.95">
      <c r="H89" s="159"/>
      <c r="I89" s="218"/>
      <c r="J89" s="218"/>
      <c r="K89" s="218"/>
      <c r="L89" s="218"/>
      <c r="M89" s="218"/>
      <c r="N89" s="218"/>
      <c r="O89" s="218"/>
      <c r="P89" s="218"/>
      <c r="Q89" s="218"/>
      <c r="R89" s="218"/>
      <c r="S89" s="218"/>
      <c r="T89" s="218"/>
    </row>
    <row r="90" spans="4:44" ht="13.5" thickBot="1">
      <c r="H90" s="159"/>
      <c r="I90" s="218"/>
      <c r="J90" s="218"/>
      <c r="K90" s="218"/>
      <c r="L90" s="218"/>
      <c r="M90" s="218"/>
      <c r="N90" s="218"/>
      <c r="O90" s="218"/>
      <c r="P90" s="218"/>
      <c r="Q90" s="218"/>
      <c r="R90" s="218"/>
      <c r="S90" s="218"/>
      <c r="T90" s="218"/>
    </row>
    <row r="91" spans="4:44" ht="13.5" thickBot="1">
      <c r="D91" s="955" t="s">
        <v>9219</v>
      </c>
      <c r="E91" s="956"/>
      <c r="F91" s="956"/>
      <c r="G91" s="956"/>
      <c r="H91" s="957"/>
      <c r="L91">
        <f>7*12</f>
        <v>84</v>
      </c>
      <c r="M91">
        <v>83</v>
      </c>
      <c r="N91">
        <v>82</v>
      </c>
      <c r="O91">
        <v>81</v>
      </c>
      <c r="P91">
        <v>80</v>
      </c>
      <c r="Q91">
        <v>79</v>
      </c>
      <c r="R91">
        <v>78</v>
      </c>
      <c r="S91">
        <v>77</v>
      </c>
      <c r="T91">
        <v>76</v>
      </c>
      <c r="U91">
        <v>75</v>
      </c>
      <c r="V91">
        <v>74</v>
      </c>
      <c r="W91">
        <v>73</v>
      </c>
      <c r="X91">
        <v>72</v>
      </c>
      <c r="Y91">
        <v>71</v>
      </c>
      <c r="Z91">
        <v>70</v>
      </c>
      <c r="AA91">
        <v>69</v>
      </c>
      <c r="AB91">
        <v>68</v>
      </c>
      <c r="AC91">
        <v>67</v>
      </c>
      <c r="AD91">
        <v>66</v>
      </c>
      <c r="AE91">
        <v>65</v>
      </c>
      <c r="AF91">
        <v>64</v>
      </c>
      <c r="AG91">
        <v>63</v>
      </c>
      <c r="AH91">
        <v>62</v>
      </c>
      <c r="AI91">
        <v>61</v>
      </c>
      <c r="AJ91">
        <v>60</v>
      </c>
      <c r="AK91">
        <v>59</v>
      </c>
      <c r="AL91">
        <v>58</v>
      </c>
      <c r="AM91">
        <v>57</v>
      </c>
      <c r="AN91">
        <v>56</v>
      </c>
      <c r="AO91">
        <v>55</v>
      </c>
      <c r="AP91">
        <v>54</v>
      </c>
      <c r="AQ91">
        <v>53</v>
      </c>
      <c r="AR91">
        <v>52</v>
      </c>
    </row>
    <row r="92" spans="4:44" ht="13.5" thickBot="1">
      <c r="D92" s="171"/>
      <c r="E92" s="172"/>
      <c r="F92" s="172" t="s">
        <v>9198</v>
      </c>
      <c r="G92" s="946" t="s">
        <v>9220</v>
      </c>
      <c r="H92" s="172" t="s">
        <v>9174</v>
      </c>
      <c r="I92" s="173">
        <v>45292</v>
      </c>
      <c r="J92" s="174">
        <v>45323</v>
      </c>
      <c r="K92" s="174">
        <v>45352</v>
      </c>
      <c r="L92" s="174">
        <v>45383</v>
      </c>
      <c r="M92" s="174">
        <v>45413</v>
      </c>
      <c r="N92" s="174">
        <v>45444</v>
      </c>
      <c r="O92" s="174">
        <v>45474</v>
      </c>
      <c r="P92" s="174">
        <v>45505</v>
      </c>
      <c r="Q92" s="174">
        <v>45536</v>
      </c>
      <c r="R92" s="174">
        <v>45566</v>
      </c>
      <c r="S92" s="174">
        <v>45597</v>
      </c>
      <c r="T92" s="174">
        <v>45627</v>
      </c>
      <c r="U92" s="174">
        <v>45658</v>
      </c>
      <c r="V92" s="174">
        <v>45689</v>
      </c>
      <c r="W92" s="174">
        <v>45717</v>
      </c>
      <c r="X92" s="174">
        <v>45748</v>
      </c>
      <c r="Y92" s="174">
        <v>45778</v>
      </c>
      <c r="Z92" s="174">
        <v>45809</v>
      </c>
      <c r="AA92" s="174">
        <v>45839</v>
      </c>
      <c r="AB92" s="174">
        <v>45870</v>
      </c>
      <c r="AC92" s="174">
        <v>45901</v>
      </c>
      <c r="AD92" s="174">
        <v>45931</v>
      </c>
      <c r="AE92" s="174">
        <v>45962</v>
      </c>
      <c r="AF92" s="174">
        <v>45992</v>
      </c>
      <c r="AG92" s="174">
        <v>46023</v>
      </c>
      <c r="AH92" s="174">
        <v>46054</v>
      </c>
      <c r="AI92" s="174">
        <v>46082</v>
      </c>
      <c r="AJ92" s="174">
        <v>46113</v>
      </c>
      <c r="AK92" s="174">
        <v>46143</v>
      </c>
      <c r="AL92" s="174">
        <v>46174</v>
      </c>
      <c r="AM92" s="174">
        <v>46204</v>
      </c>
      <c r="AN92" s="174">
        <v>46235</v>
      </c>
      <c r="AO92" s="174">
        <v>46266</v>
      </c>
      <c r="AP92" s="174">
        <v>46296</v>
      </c>
      <c r="AQ92" s="174">
        <v>46327</v>
      </c>
      <c r="AR92" s="174">
        <v>46357</v>
      </c>
    </row>
    <row r="93" spans="4:44" ht="12.95" thickBot="1">
      <c r="D93" s="954"/>
      <c r="E93" s="324"/>
      <c r="F93" s="170"/>
      <c r="G93" s="947"/>
      <c r="H93" s="163" t="s">
        <v>9221</v>
      </c>
      <c r="I93" s="160"/>
      <c r="J93" s="160"/>
      <c r="L93" s="160">
        <f>-PMT(L97,L91,-K94)</f>
        <v>-20230392.243546195</v>
      </c>
      <c r="M93" s="160">
        <f t="shared" ref="M93:AK93" si="30">-PMT(M97,M91,-L94)</f>
        <v>-19976894.712517291</v>
      </c>
      <c r="N93" s="160">
        <f t="shared" si="30"/>
        <v>-19726540.328352436</v>
      </c>
      <c r="O93" s="160">
        <f t="shared" si="30"/>
        <v>-19479289.659130294</v>
      </c>
      <c r="P93" s="160">
        <f t="shared" si="30"/>
        <v>-19235103.751840256</v>
      </c>
      <c r="Q93" s="160">
        <f t="shared" si="30"/>
        <v>-18993944.125825778</v>
      </c>
      <c r="R93" s="160">
        <f t="shared" si="30"/>
        <v>-18755772.766271215</v>
      </c>
      <c r="S93" s="160">
        <f t="shared" si="30"/>
        <v>-18520552.117728662</v>
      </c>
      <c r="T93" s="160">
        <f t="shared" si="30"/>
        <v>-17434949.592133097</v>
      </c>
      <c r="U93" s="160">
        <f t="shared" si="30"/>
        <v>-17241894.588819053</v>
      </c>
      <c r="V93" s="160">
        <f t="shared" si="30"/>
        <v>-17050945.147582982</v>
      </c>
      <c r="W93" s="160">
        <f t="shared" si="30"/>
        <v>-16862077.747533698</v>
      </c>
      <c r="X93" s="160">
        <f t="shared" si="30"/>
        <v>-16675269.109191006</v>
      </c>
      <c r="Y93" s="160">
        <f t="shared" si="30"/>
        <v>-16490496.190890362</v>
      </c>
      <c r="Z93" s="160">
        <f t="shared" si="30"/>
        <v>-16307736.185159661</v>
      </c>
      <c r="AA93" s="160">
        <f t="shared" si="30"/>
        <v>-16126966.515062574</v>
      </c>
      <c r="AB93" s="160">
        <f t="shared" si="30"/>
        <v>-15948164.830502391</v>
      </c>
      <c r="AC93" s="160">
        <f t="shared" si="30"/>
        <v>-15771309.004479649</v>
      </c>
      <c r="AD93" s="160">
        <f t="shared" si="30"/>
        <v>-15596377.129296232</v>
      </c>
      <c r="AE93" s="160">
        <f t="shared" si="30"/>
        <v>-15423347.512697751</v>
      </c>
      <c r="AF93" s="160">
        <f t="shared" si="30"/>
        <v>-14612479.280349009</v>
      </c>
      <c r="AG93" s="160">
        <f t="shared" si="30"/>
        <v>-14472221.389131587</v>
      </c>
      <c r="AH93" s="160">
        <f t="shared" si="30"/>
        <v>-14333275.770091284</v>
      </c>
      <c r="AI93" s="160">
        <f t="shared" si="30"/>
        <v>-14195629.344399508</v>
      </c>
      <c r="AJ93" s="160">
        <f t="shared" si="30"/>
        <v>-14059269.126054343</v>
      </c>
      <c r="AK93" s="160">
        <f t="shared" si="30"/>
        <v>-13924182.218884215</v>
      </c>
      <c r="AL93" s="160">
        <f t="shared" ref="AL93:AR93" si="31">-PMT(AL97,AL91,-AK94)</f>
        <v>-13790355.813398013</v>
      </c>
      <c r="AM93" s="160">
        <f t="shared" si="31"/>
        <v>-13657777.183463879</v>
      </c>
      <c r="AN93" s="160">
        <f t="shared" si="31"/>
        <v>-13526433.682796838</v>
      </c>
      <c r="AO93" s="160">
        <f t="shared" si="31"/>
        <v>-13396312.741232758</v>
      </c>
      <c r="AP93" s="160">
        <f t="shared" si="31"/>
        <v>-13267401.860763365</v>
      </c>
      <c r="AQ93" s="160">
        <f t="shared" si="31"/>
        <v>-13139688.611303454</v>
      </c>
      <c r="AR93" s="160">
        <f t="shared" si="31"/>
        <v>-13013160.626157755</v>
      </c>
    </row>
    <row r="94" spans="4:44">
      <c r="D94" s="952"/>
      <c r="E94" s="326"/>
      <c r="F94" s="93"/>
      <c r="G94" s="947"/>
      <c r="H94" s="205" t="s">
        <v>9222</v>
      </c>
      <c r="I94" s="13"/>
      <c r="J94" s="13"/>
      <c r="K94" s="160">
        <f>+'Ventas energía PPA'!B41+'Ventas energía PPA'!B45+'Ventas energía PPA'!B47+'Ventas energía PPA'!B49</f>
        <v>1050392703.6358483</v>
      </c>
      <c r="L94" s="13">
        <f>+K94+L93</f>
        <v>1030162311.392302</v>
      </c>
      <c r="M94" s="13">
        <f t="shared" ref="M94:AK94" si="32">+L94+M93</f>
        <v>1010185416.6797848</v>
      </c>
      <c r="N94" s="13">
        <f t="shared" si="32"/>
        <v>990458876.35143232</v>
      </c>
      <c r="O94" s="13">
        <f t="shared" si="32"/>
        <v>970979586.69230199</v>
      </c>
      <c r="P94" s="13">
        <f t="shared" si="32"/>
        <v>951744482.94046175</v>
      </c>
      <c r="Q94" s="13">
        <f t="shared" si="32"/>
        <v>932750538.81463599</v>
      </c>
      <c r="R94" s="13">
        <f t="shared" si="32"/>
        <v>913994766.04836476</v>
      </c>
      <c r="S94" s="13">
        <f t="shared" si="32"/>
        <v>895474213.93063605</v>
      </c>
      <c r="T94" s="13">
        <f t="shared" si="32"/>
        <v>878039264.338503</v>
      </c>
      <c r="U94" s="13">
        <f t="shared" si="32"/>
        <v>860797369.74968398</v>
      </c>
      <c r="V94" s="13">
        <f t="shared" si="32"/>
        <v>843746424.60210097</v>
      </c>
      <c r="W94" s="13">
        <f t="shared" si="32"/>
        <v>826884346.85456729</v>
      </c>
      <c r="X94" s="13">
        <f t="shared" si="32"/>
        <v>810209077.74537623</v>
      </c>
      <c r="Y94" s="13">
        <f t="shared" si="32"/>
        <v>793718581.55448592</v>
      </c>
      <c r="Z94" s="13">
        <f t="shared" si="32"/>
        <v>777410845.36932623</v>
      </c>
      <c r="AA94" s="13">
        <f t="shared" si="32"/>
        <v>761283878.85426366</v>
      </c>
      <c r="AB94" s="13">
        <f t="shared" si="32"/>
        <v>745335714.02376127</v>
      </c>
      <c r="AC94" s="13">
        <f t="shared" si="32"/>
        <v>729564405.01928163</v>
      </c>
      <c r="AD94" s="13">
        <f t="shared" si="32"/>
        <v>713968027.88998544</v>
      </c>
      <c r="AE94" s="13">
        <f t="shared" si="32"/>
        <v>698544680.37728775</v>
      </c>
      <c r="AF94" s="13">
        <f t="shared" si="32"/>
        <v>683932201.09693873</v>
      </c>
      <c r="AG94" s="13">
        <f t="shared" si="32"/>
        <v>669459979.70780718</v>
      </c>
      <c r="AH94" s="13">
        <f t="shared" si="32"/>
        <v>655126703.93771589</v>
      </c>
      <c r="AI94" s="13">
        <f t="shared" si="32"/>
        <v>640931074.59331644</v>
      </c>
      <c r="AJ94" s="13">
        <f t="shared" si="32"/>
        <v>626871805.46726215</v>
      </c>
      <c r="AK94" s="13">
        <f t="shared" si="32"/>
        <v>612947623.24837792</v>
      </c>
      <c r="AL94" s="13">
        <f t="shared" ref="AL94" si="33">+AK94+AL93</f>
        <v>599157267.43497992</v>
      </c>
      <c r="AM94" s="13">
        <f t="shared" ref="AM94" si="34">+AL94+AM93</f>
        <v>585499490.25151598</v>
      </c>
      <c r="AN94" s="13">
        <f t="shared" ref="AN94" si="35">+AM94+AN93</f>
        <v>571973056.56871915</v>
      </c>
      <c r="AO94" s="13">
        <f t="shared" ref="AO94" si="36">+AN94+AO93</f>
        <v>558576743.8274864</v>
      </c>
      <c r="AP94" s="13">
        <f t="shared" ref="AP94" si="37">+AO94+AP93</f>
        <v>545309341.96672308</v>
      </c>
      <c r="AQ94" s="13">
        <f t="shared" ref="AQ94" si="38">+AP94+AQ93</f>
        <v>532169653.35541964</v>
      </c>
      <c r="AR94" s="13">
        <f t="shared" ref="AR94" si="39">+AQ94+AR93</f>
        <v>519156492.72926188</v>
      </c>
    </row>
    <row r="95" spans="4:44">
      <c r="D95" s="952"/>
      <c r="E95" s="13"/>
      <c r="F95" s="93"/>
      <c r="G95" s="947"/>
      <c r="H95" s="205" t="s">
        <v>9223</v>
      </c>
      <c r="I95" s="13"/>
      <c r="J95" s="13"/>
      <c r="K95" s="13"/>
      <c r="L95" s="13">
        <f>-K94*L97</f>
        <v>-13072282.066608844</v>
      </c>
      <c r="M95" s="13">
        <f t="shared" ref="M95:AK95" si="40">-L94*M97</f>
        <v>-12820512.044968011</v>
      </c>
      <c r="N95" s="13">
        <f t="shared" si="40"/>
        <v>-12571896.835063139</v>
      </c>
      <c r="O95" s="13">
        <f t="shared" si="40"/>
        <v>-12326397.319998002</v>
      </c>
      <c r="P95" s="13">
        <f t="shared" si="40"/>
        <v>-12083974.873612078</v>
      </c>
      <c r="Q95" s="13">
        <f t="shared" si="40"/>
        <v>-11844591.354520427</v>
      </c>
      <c r="R95" s="13">
        <f t="shared" si="40"/>
        <v>-11608209.100235194</v>
      </c>
      <c r="S95" s="13">
        <f t="shared" si="40"/>
        <v>-11374790.921368143</v>
      </c>
      <c r="T95" s="13">
        <f t="shared" si="40"/>
        <v>-9831278.8199424017</v>
      </c>
      <c r="U95" s="13">
        <f t="shared" si="40"/>
        <v>-9639863.0896116365</v>
      </c>
      <c r="V95" s="13">
        <f t="shared" si="40"/>
        <v>-9450566.8815804962</v>
      </c>
      <c r="W95" s="13">
        <f t="shared" si="40"/>
        <v>-9263367.0791946538</v>
      </c>
      <c r="X95" s="13">
        <f t="shared" si="40"/>
        <v>-9078240.824032167</v>
      </c>
      <c r="Y95" s="13">
        <f t="shared" si="40"/>
        <v>-8895165.5132530574</v>
      </c>
      <c r="Z95" s="13">
        <f t="shared" si="40"/>
        <v>-8714118.7969883736</v>
      </c>
      <c r="AA95" s="13">
        <f t="shared" si="40"/>
        <v>-8535078.5757690184</v>
      </c>
      <c r="AB95" s="13">
        <f t="shared" si="40"/>
        <v>-8358022.9979947424</v>
      </c>
      <c r="AC95" s="13">
        <f t="shared" si="40"/>
        <v>-8182930.4574436937</v>
      </c>
      <c r="AD95" s="13">
        <f t="shared" si="40"/>
        <v>-8009779.5908230739</v>
      </c>
      <c r="AE95" s="13">
        <f t="shared" si="40"/>
        <v>-7838549.2753614597</v>
      </c>
      <c r="AF95" s="13">
        <f t="shared" si="40"/>
        <v>-6628345.8276545797</v>
      </c>
      <c r="AG95" s="13">
        <f t="shared" si="40"/>
        <v>-6489691.037502463</v>
      </c>
      <c r="AH95" s="13">
        <f t="shared" si="40"/>
        <v>-6352367.1254375502</v>
      </c>
      <c r="AI95" s="13">
        <f t="shared" si="40"/>
        <v>-6216361.6395808775</v>
      </c>
      <c r="AJ95" s="13">
        <f t="shared" si="40"/>
        <v>-6081662.2521557799</v>
      </c>
      <c r="AK95" s="13">
        <f t="shared" si="40"/>
        <v>-5948256.7586070746</v>
      </c>
      <c r="AL95" s="13">
        <f t="shared" ref="AL95:AR95" si="41">-AK94*AL97</f>
        <v>-5816133.0767486794</v>
      </c>
      <c r="AM95" s="13">
        <f t="shared" si="41"/>
        <v>-5685279.2459411221</v>
      </c>
      <c r="AN95" s="13">
        <f t="shared" si="41"/>
        <v>-5555683.4263005601</v>
      </c>
      <c r="AO95" s="13">
        <f t="shared" si="41"/>
        <v>-5427333.8979411311</v>
      </c>
      <c r="AP95" s="13">
        <f t="shared" si="41"/>
        <v>-5300219.0602526572</v>
      </c>
      <c r="AQ95" s="13">
        <f t="shared" si="41"/>
        <v>-5174327.4312159717</v>
      </c>
      <c r="AR95" s="13">
        <f t="shared" si="41"/>
        <v>-5049647.6467584148</v>
      </c>
    </row>
    <row r="96" spans="4:44">
      <c r="D96" s="952"/>
      <c r="E96" s="13"/>
      <c r="F96" s="93"/>
      <c r="G96" s="947"/>
      <c r="H96" s="205" t="s">
        <v>9224</v>
      </c>
      <c r="I96" s="13"/>
      <c r="J96" s="13"/>
      <c r="K96" s="13"/>
      <c r="L96" s="13">
        <f>+L93-L95</f>
        <v>-7158110.176937351</v>
      </c>
      <c r="M96" s="13">
        <f t="shared" ref="M96:AK96" si="42">+M93-M95</f>
        <v>-7156382.6675492804</v>
      </c>
      <c r="N96" s="13">
        <f t="shared" si="42"/>
        <v>-7154643.4932892974</v>
      </c>
      <c r="O96" s="13">
        <f t="shared" si="42"/>
        <v>-7152892.3391322922</v>
      </c>
      <c r="P96" s="13">
        <f t="shared" si="42"/>
        <v>-7151128.8782281782</v>
      </c>
      <c r="Q96" s="13">
        <f t="shared" si="42"/>
        <v>-7149352.7713053506</v>
      </c>
      <c r="R96" s="13">
        <f t="shared" si="42"/>
        <v>-7147563.666036021</v>
      </c>
      <c r="S96" s="13">
        <f t="shared" si="42"/>
        <v>-7145761.1963605192</v>
      </c>
      <c r="T96" s="13">
        <f t="shared" si="42"/>
        <v>-7603670.7721906956</v>
      </c>
      <c r="U96" s="13">
        <f t="shared" si="42"/>
        <v>-7602031.4992074165</v>
      </c>
      <c r="V96" s="13">
        <f t="shared" si="42"/>
        <v>-7600378.2660024855</v>
      </c>
      <c r="W96" s="13">
        <f t="shared" si="42"/>
        <v>-7598710.6683390439</v>
      </c>
      <c r="X96" s="13">
        <f t="shared" si="42"/>
        <v>-7597028.2851588391</v>
      </c>
      <c r="Y96" s="13">
        <f t="shared" si="42"/>
        <v>-7595330.6776373051</v>
      </c>
      <c r="Z96" s="13">
        <f t="shared" si="42"/>
        <v>-7593617.3881712873</v>
      </c>
      <c r="AA96" s="13">
        <f t="shared" si="42"/>
        <v>-7591887.9392935559</v>
      </c>
      <c r="AB96" s="13">
        <f t="shared" si="42"/>
        <v>-7590141.8325076485</v>
      </c>
      <c r="AC96" s="13">
        <f t="shared" si="42"/>
        <v>-7588378.5470359549</v>
      </c>
      <c r="AD96" s="13">
        <f t="shared" si="42"/>
        <v>-7586597.5384731581</v>
      </c>
      <c r="AE96" s="13">
        <f t="shared" si="42"/>
        <v>-7584798.237336291</v>
      </c>
      <c r="AF96" s="13">
        <f t="shared" si="42"/>
        <v>-7984133.4526944291</v>
      </c>
      <c r="AG96" s="13">
        <f t="shared" si="42"/>
        <v>-7982530.351629124</v>
      </c>
      <c r="AH96" s="13">
        <f t="shared" si="42"/>
        <v>-7980908.6446537338</v>
      </c>
      <c r="AI96" s="13">
        <f t="shared" si="42"/>
        <v>-7979267.7048186306</v>
      </c>
      <c r="AJ96" s="13">
        <f t="shared" si="42"/>
        <v>-7977606.873898563</v>
      </c>
      <c r="AK96" s="13">
        <f t="shared" si="42"/>
        <v>-7975925.4602771401</v>
      </c>
      <c r="AL96" s="13">
        <f t="shared" ref="AL96" si="43">+AL93-AL95</f>
        <v>-7974222.7366493335</v>
      </c>
      <c r="AM96" s="13">
        <f t="shared" ref="AM96" si="44">+AM93-AM95</f>
        <v>-7972497.9375227569</v>
      </c>
      <c r="AN96" s="13">
        <f t="shared" ref="AN96" si="45">+AN93-AN95</f>
        <v>-7970750.2564962776</v>
      </c>
      <c r="AO96" s="13">
        <f t="shared" ref="AO96" si="46">+AO93-AO95</f>
        <v>-7968978.8432916272</v>
      </c>
      <c r="AP96" s="13">
        <f t="shared" ref="AP96" si="47">+AP93-AP95</f>
        <v>-7967182.8005107082</v>
      </c>
      <c r="AQ96" s="13">
        <f t="shared" ref="AQ96" si="48">+AQ93-AQ95</f>
        <v>-7965361.1800874826</v>
      </c>
      <c r="AR96" s="13">
        <f t="shared" ref="AR96" si="49">+AR93-AR95</f>
        <v>-7963512.9793993402</v>
      </c>
    </row>
    <row r="97" spans="4:44" ht="12.95" thickBot="1">
      <c r="D97" s="960"/>
      <c r="E97" s="164"/>
      <c r="F97" s="259"/>
      <c r="G97" s="948"/>
      <c r="H97" s="167" t="s">
        <v>9225</v>
      </c>
      <c r="I97" s="164"/>
      <c r="J97" s="164"/>
      <c r="K97" s="164"/>
      <c r="L97" s="325">
        <f>+(1+16%)^(0.0833333333333333)-1</f>
        <v>1.2445137919713467E-2</v>
      </c>
      <c r="M97" s="325">
        <f t="shared" ref="M97:S97" si="50">+(1+16%)^(0.0833333333333333)-1</f>
        <v>1.2445137919713467E-2</v>
      </c>
      <c r="N97" s="325">
        <f t="shared" si="50"/>
        <v>1.2445137919713467E-2</v>
      </c>
      <c r="O97" s="325">
        <f t="shared" si="50"/>
        <v>1.2445137919713467E-2</v>
      </c>
      <c r="P97" s="325">
        <f t="shared" si="50"/>
        <v>1.2445137919713467E-2</v>
      </c>
      <c r="Q97" s="325">
        <f t="shared" si="50"/>
        <v>1.2445137919713467E-2</v>
      </c>
      <c r="R97" s="325">
        <f t="shared" si="50"/>
        <v>1.2445137919713467E-2</v>
      </c>
      <c r="S97" s="325">
        <f t="shared" si="50"/>
        <v>1.2445137919713467E-2</v>
      </c>
      <c r="T97" s="325">
        <f>+(1+14%)^(0.0833333333333333)-1</f>
        <v>1.0978851950173452E-2</v>
      </c>
      <c r="U97" s="325">
        <f t="shared" ref="U97:AE97" si="51">+(1+14%)^(0.0833333333333333)-1</f>
        <v>1.0978851950173452E-2</v>
      </c>
      <c r="V97" s="325">
        <f t="shared" si="51"/>
        <v>1.0978851950173452E-2</v>
      </c>
      <c r="W97" s="325">
        <f t="shared" si="51"/>
        <v>1.0978851950173452E-2</v>
      </c>
      <c r="X97" s="325">
        <f t="shared" si="51"/>
        <v>1.0978851950173452E-2</v>
      </c>
      <c r="Y97" s="325">
        <f t="shared" si="51"/>
        <v>1.0978851950173452E-2</v>
      </c>
      <c r="Z97" s="325">
        <f t="shared" si="51"/>
        <v>1.0978851950173452E-2</v>
      </c>
      <c r="AA97" s="325">
        <f t="shared" si="51"/>
        <v>1.0978851950173452E-2</v>
      </c>
      <c r="AB97" s="325">
        <f t="shared" si="51"/>
        <v>1.0978851950173452E-2</v>
      </c>
      <c r="AC97" s="325">
        <f t="shared" si="51"/>
        <v>1.0978851950173452E-2</v>
      </c>
      <c r="AD97" s="325">
        <f t="shared" si="51"/>
        <v>1.0978851950173452E-2</v>
      </c>
      <c r="AE97" s="325">
        <f t="shared" si="51"/>
        <v>1.0978851950173452E-2</v>
      </c>
      <c r="AF97" s="325">
        <f>+(1+12%)^(0.0833333333333333)-1</f>
        <v>9.4887929345830457E-3</v>
      </c>
      <c r="AG97" s="325">
        <f t="shared" ref="AG97:AK97" si="52">+AF97</f>
        <v>9.4887929345830457E-3</v>
      </c>
      <c r="AH97" s="325">
        <f t="shared" si="52"/>
        <v>9.4887929345830457E-3</v>
      </c>
      <c r="AI97" s="325">
        <f t="shared" si="52"/>
        <v>9.4887929345830457E-3</v>
      </c>
      <c r="AJ97" s="325">
        <f t="shared" si="52"/>
        <v>9.4887929345830457E-3</v>
      </c>
      <c r="AK97" s="325">
        <f t="shared" si="52"/>
        <v>9.4887929345830457E-3</v>
      </c>
      <c r="AL97" s="325">
        <f t="shared" ref="AL97:AR97" si="53">+AK97</f>
        <v>9.4887929345830457E-3</v>
      </c>
      <c r="AM97" s="325">
        <f t="shared" si="53"/>
        <v>9.4887929345830457E-3</v>
      </c>
      <c r="AN97" s="325">
        <f t="shared" si="53"/>
        <v>9.4887929345830457E-3</v>
      </c>
      <c r="AO97" s="325">
        <f t="shared" si="53"/>
        <v>9.4887929345830457E-3</v>
      </c>
      <c r="AP97" s="325">
        <f t="shared" si="53"/>
        <v>9.4887929345830457E-3</v>
      </c>
      <c r="AQ97" s="325">
        <f t="shared" si="53"/>
        <v>9.4887929345830457E-3</v>
      </c>
      <c r="AR97" s="325">
        <f t="shared" si="53"/>
        <v>9.4887929345830457E-3</v>
      </c>
    </row>
    <row r="98" spans="4:44" ht="13.5" thickBot="1">
      <c r="G98" s="946" t="s">
        <v>9226</v>
      </c>
      <c r="H98" s="172" t="s">
        <v>9174</v>
      </c>
      <c r="I98" s="173">
        <v>45292</v>
      </c>
      <c r="J98" s="174">
        <v>45323</v>
      </c>
      <c r="K98" s="174">
        <v>45352</v>
      </c>
      <c r="L98" s="174">
        <v>45383</v>
      </c>
      <c r="M98" s="174">
        <v>45413</v>
      </c>
      <c r="N98" s="174">
        <v>45444</v>
      </c>
      <c r="O98" s="174">
        <v>45474</v>
      </c>
      <c r="P98" s="174">
        <v>45505</v>
      </c>
      <c r="Q98" s="174">
        <v>45536</v>
      </c>
      <c r="R98" s="174">
        <v>45566</v>
      </c>
      <c r="S98" s="174">
        <v>45597</v>
      </c>
      <c r="T98" s="174">
        <v>45627</v>
      </c>
      <c r="U98" s="174">
        <v>45658</v>
      </c>
      <c r="V98" s="174">
        <v>45689</v>
      </c>
      <c r="W98" s="174">
        <v>45717</v>
      </c>
      <c r="X98" s="174">
        <v>45748</v>
      </c>
      <c r="Y98" s="174">
        <v>45778</v>
      </c>
      <c r="Z98" s="174">
        <v>45809</v>
      </c>
      <c r="AA98" s="174">
        <v>45839</v>
      </c>
      <c r="AB98" s="174">
        <v>45870</v>
      </c>
      <c r="AC98" s="174">
        <v>45901</v>
      </c>
      <c r="AD98" s="174">
        <v>45931</v>
      </c>
      <c r="AE98" s="174">
        <v>45962</v>
      </c>
      <c r="AF98" s="174">
        <v>45992</v>
      </c>
      <c r="AG98" s="174">
        <v>46023</v>
      </c>
      <c r="AH98" s="174">
        <v>46054</v>
      </c>
      <c r="AI98" s="174">
        <v>46082</v>
      </c>
      <c r="AJ98" s="174">
        <v>46113</v>
      </c>
      <c r="AK98" s="174">
        <v>46143</v>
      </c>
      <c r="AL98" s="174">
        <v>46174</v>
      </c>
      <c r="AM98" s="174">
        <v>46204</v>
      </c>
      <c r="AN98" s="174">
        <v>46235</v>
      </c>
      <c r="AO98" s="174">
        <v>46266</v>
      </c>
      <c r="AP98" s="174">
        <v>46296</v>
      </c>
      <c r="AQ98" s="174">
        <v>46327</v>
      </c>
      <c r="AR98" s="174">
        <v>46357</v>
      </c>
    </row>
    <row r="99" spans="4:44" ht="12.95" thickBot="1">
      <c r="G99" s="947"/>
      <c r="H99" s="163" t="s">
        <v>9221</v>
      </c>
      <c r="I99" s="160"/>
      <c r="J99" s="160"/>
      <c r="L99" s="160"/>
      <c r="M99" s="160">
        <f t="shared" ref="M99" si="54">-PMT(M103,M97,-L100)</f>
        <v>0</v>
      </c>
      <c r="N99" s="160">
        <f>-PMT(N103,L91,-M100)</f>
        <v>-18893825.365433406</v>
      </c>
      <c r="O99" s="160">
        <f t="shared" ref="O99:AQ99" si="55">-PMT(O103,M91,-N100)</f>
        <v>-18657075.725378525</v>
      </c>
      <c r="P99" s="160">
        <f t="shared" si="55"/>
        <v>-18423261.573040947</v>
      </c>
      <c r="Q99" s="160">
        <f t="shared" si="55"/>
        <v>-18192346.081658918</v>
      </c>
      <c r="R99" s="160">
        <f t="shared" si="55"/>
        <v>-17964292.871741071</v>
      </c>
      <c r="S99" s="160">
        <f t="shared" si="55"/>
        <v>-17739066.004942954</v>
      </c>
      <c r="T99" s="160">
        <f t="shared" si="55"/>
        <v>-17516629.97798419</v>
      </c>
      <c r="U99" s="160">
        <f t="shared" si="55"/>
        <v>-17296949.716602959</v>
      </c>
      <c r="V99" s="160">
        <f t="shared" si="55"/>
        <v>-17079990.569544207</v>
      </c>
      <c r="W99" s="160">
        <f t="shared" si="55"/>
        <v>-16865718.302577995</v>
      </c>
      <c r="X99" s="160">
        <f t="shared" si="55"/>
        <v>-16654099.092543988</v>
      </c>
      <c r="Y99" s="160">
        <f t="shared" si="55"/>
        <v>-16445099.521417653</v>
      </c>
      <c r="Z99" s="160">
        <f t="shared" si="55"/>
        <v>-16238686.570393693</v>
      </c>
      <c r="AA99" s="160">
        <f t="shared" si="55"/>
        <v>-16034827.613981631</v>
      </c>
      <c r="AB99" s="160">
        <f t="shared" si="55"/>
        <v>-15833490.414108207</v>
      </c>
      <c r="AC99" s="160">
        <f t="shared" si="55"/>
        <v>-15634643.11422063</v>
      </c>
      <c r="AD99" s="160">
        <f t="shared" si="55"/>
        <v>-15438254.233384382</v>
      </c>
      <c r="AE99" s="160">
        <f t="shared" si="55"/>
        <v>-15244292.660368513</v>
      </c>
      <c r="AF99" s="160">
        <f t="shared" si="55"/>
        <v>-15052727.647710815</v>
      </c>
      <c r="AG99" s="160">
        <f t="shared" si="55"/>
        <v>-14863528.805754526</v>
      </c>
      <c r="AH99" s="160">
        <f t="shared" si="55"/>
        <v>-14676666.096647266</v>
      </c>
      <c r="AI99" s="160">
        <f t="shared" si="55"/>
        <v>-14492109.828292109</v>
      </c>
      <c r="AJ99" s="160">
        <f t="shared" si="55"/>
        <v>-14309830.648239482</v>
      </c>
      <c r="AK99" s="160">
        <f t="shared" si="55"/>
        <v>-14129799.537507495</v>
      </c>
      <c r="AL99" s="160">
        <f t="shared" si="55"/>
        <v>-13951987.804316783</v>
      </c>
      <c r="AM99" s="160">
        <f t="shared" si="55"/>
        <v>-13776367.077724548</v>
      </c>
      <c r="AN99" s="160">
        <f t="shared" si="55"/>
        <v>-13602909.301140459</v>
      </c>
      <c r="AO99" s="160">
        <f t="shared" si="55"/>
        <v>-13431586.725705292</v>
      </c>
      <c r="AP99" s="160">
        <f t="shared" si="55"/>
        <v>-13262371.90351058</v>
      </c>
      <c r="AQ99" s="160">
        <f t="shared" si="55"/>
        <v>-13095237.680635078</v>
      </c>
      <c r="AR99" s="160">
        <f>-PMT(AR103,AP91,-AQ100)</f>
        <v>-12930157.189970573</v>
      </c>
    </row>
    <row r="100" spans="4:44">
      <c r="G100" s="947"/>
      <c r="H100" s="205" t="s">
        <v>9222</v>
      </c>
      <c r="I100" s="13"/>
      <c r="J100" s="13"/>
      <c r="K100" s="160"/>
      <c r="L100" s="13"/>
      <c r="M100" s="13">
        <f>+'Ventas energía PPA'!B52</f>
        <v>980996120.52516294</v>
      </c>
      <c r="N100" s="13">
        <f t="shared" ref="N100" si="56">+M100+N99</f>
        <v>962102295.15972948</v>
      </c>
      <c r="O100" s="13">
        <f t="shared" ref="O100" si="57">+N100+O99</f>
        <v>943445219.43435097</v>
      </c>
      <c r="P100" s="13">
        <f t="shared" ref="P100" si="58">+O100+P99</f>
        <v>925021957.86131001</v>
      </c>
      <c r="Q100" s="13">
        <f t="shared" ref="Q100" si="59">+P100+Q99</f>
        <v>906829611.77965105</v>
      </c>
      <c r="R100" s="13">
        <f t="shared" ref="R100" si="60">+Q100+R99</f>
        <v>888865318.90790999</v>
      </c>
      <c r="S100" s="13">
        <f t="shared" ref="S100" si="61">+R100+S99</f>
        <v>871126252.90296698</v>
      </c>
      <c r="T100" s="13">
        <f t="shared" ref="T100" si="62">+S100+T99</f>
        <v>853609622.92498279</v>
      </c>
      <c r="U100" s="13">
        <f t="shared" ref="U100" si="63">+T100+U99</f>
        <v>836312673.20837986</v>
      </c>
      <c r="V100" s="13">
        <f t="shared" ref="V100" si="64">+U100+V99</f>
        <v>819232682.63883567</v>
      </c>
      <c r="W100" s="13">
        <f t="shared" ref="W100" si="65">+V100+W99</f>
        <v>802366964.3362577</v>
      </c>
      <c r="X100" s="13">
        <f t="shared" ref="X100" si="66">+W100+X99</f>
        <v>785712865.24371374</v>
      </c>
      <c r="Y100" s="13">
        <f t="shared" ref="Y100" si="67">+X100+Y99</f>
        <v>769267765.72229612</v>
      </c>
      <c r="Z100" s="13">
        <f t="shared" ref="Z100" si="68">+Y100+Z99</f>
        <v>753029079.15190244</v>
      </c>
      <c r="AA100" s="13">
        <f t="shared" ref="AA100" si="69">+Z100+AA99</f>
        <v>736994251.53792083</v>
      </c>
      <c r="AB100" s="13">
        <f t="shared" ref="AB100" si="70">+AA100+AB99</f>
        <v>721160761.12381268</v>
      </c>
      <c r="AC100" s="13">
        <f t="shared" ref="AC100" si="71">+AB100+AC99</f>
        <v>705526118.00959206</v>
      </c>
      <c r="AD100" s="13">
        <f t="shared" ref="AD100" si="72">+AC100+AD99</f>
        <v>690087863.77620769</v>
      </c>
      <c r="AE100" s="13">
        <f t="shared" ref="AE100" si="73">+AD100+AE99</f>
        <v>674843571.11583912</v>
      </c>
      <c r="AF100" s="13">
        <f t="shared" ref="AF100" si="74">+AE100+AF99</f>
        <v>659790843.46812832</v>
      </c>
      <c r="AG100" s="13">
        <f t="shared" ref="AG100" si="75">+AF100+AG99</f>
        <v>644927314.66237378</v>
      </c>
      <c r="AH100" s="13">
        <f t="shared" ref="AH100" si="76">+AG100+AH99</f>
        <v>630250648.56572652</v>
      </c>
      <c r="AI100" s="13">
        <f t="shared" ref="AI100" si="77">+AH100+AI99</f>
        <v>615758538.73743439</v>
      </c>
      <c r="AJ100" s="13">
        <f t="shared" ref="AJ100" si="78">+AI100+AJ99</f>
        <v>601448708.08919489</v>
      </c>
      <c r="AK100" s="13">
        <f t="shared" ref="AK100" si="79">+AJ100+AK99</f>
        <v>587318908.55168736</v>
      </c>
      <c r="AL100" s="13">
        <f t="shared" ref="AL100" si="80">+AK100+AL99</f>
        <v>573366920.7473706</v>
      </c>
      <c r="AM100" s="13">
        <f t="shared" ref="AM100" si="81">+AL100+AM99</f>
        <v>559590553.66964602</v>
      </c>
      <c r="AN100" s="13">
        <f t="shared" ref="AN100" si="82">+AM100+AN99</f>
        <v>545987644.3685056</v>
      </c>
      <c r="AO100" s="13">
        <f t="shared" ref="AO100" si="83">+AN100+AO99</f>
        <v>532556057.64280033</v>
      </c>
      <c r="AP100" s="13">
        <f t="shared" ref="AP100" si="84">+AO100+AP99</f>
        <v>519293685.73928976</v>
      </c>
      <c r="AQ100" s="13">
        <f t="shared" ref="AQ100" si="85">+AP100+AQ99</f>
        <v>506198448.05865467</v>
      </c>
      <c r="AR100" s="13">
        <f t="shared" ref="AR100" si="86">+AQ100+AR99</f>
        <v>493268290.86868411</v>
      </c>
    </row>
    <row r="101" spans="4:44">
      <c r="G101" s="947"/>
      <c r="H101" s="205" t="s">
        <v>9223</v>
      </c>
      <c r="I101" s="13"/>
      <c r="J101" s="13"/>
      <c r="K101" s="13"/>
      <c r="L101" s="13"/>
      <c r="M101" s="13">
        <f t="shared" ref="M101:N101" si="87">-L100*M103</f>
        <v>0</v>
      </c>
      <c r="N101" s="13">
        <f t="shared" si="87"/>
        <v>-12208632.018639509</v>
      </c>
      <c r="O101" s="13">
        <f t="shared" ref="O101:AR101" si="88">-N100*O103</f>
        <v>-11973495.756135708</v>
      </c>
      <c r="P101" s="13">
        <f t="shared" si="88"/>
        <v>-11741305.875554834</v>
      </c>
      <c r="Q101" s="13">
        <f t="shared" si="88"/>
        <v>-11512025.844347382</v>
      </c>
      <c r="R101" s="13">
        <f t="shared" si="88"/>
        <v>-11285619.588277977</v>
      </c>
      <c r="S101" s="13">
        <f t="shared" si="88"/>
        <v>-11062051.485859035</v>
      </c>
      <c r="T101" s="13">
        <f t="shared" si="88"/>
        <v>-10841286.362860618</v>
      </c>
      <c r="U101" s="13">
        <f t="shared" si="88"/>
        <v>-10623289.486896018</v>
      </c>
      <c r="V101" s="13">
        <f t="shared" si="88"/>
        <v>-10408026.562082546</v>
      </c>
      <c r="W101" s="13">
        <f t="shared" si="88"/>
        <v>-10195463.723777162</v>
      </c>
      <c r="X101" s="13">
        <f t="shared" si="88"/>
        <v>-9985567.5333865434</v>
      </c>
      <c r="Y101" s="13">
        <f t="shared" si="88"/>
        <v>-9778304.973251259</v>
      </c>
      <c r="Z101" s="13">
        <f t="shared" si="88"/>
        <v>-9573643.4416038021</v>
      </c>
      <c r="AA101" s="13">
        <f t="shared" si="88"/>
        <v>-9371550.7476002555</v>
      </c>
      <c r="AB101" s="13">
        <f t="shared" si="88"/>
        <v>-9171995.1064254232</v>
      </c>
      <c r="AC101" s="13">
        <f t="shared" si="88"/>
        <v>-8974945.1344713867</v>
      </c>
      <c r="AD101" s="13">
        <f t="shared" si="88"/>
        <v>-8780369.8445894122</v>
      </c>
      <c r="AE101" s="13">
        <f t="shared" si="88"/>
        <v>-8588238.6414153446</v>
      </c>
      <c r="AF101" s="13">
        <f t="shared" si="88"/>
        <v>-8398521.316768581</v>
      </c>
      <c r="AG101" s="13">
        <f t="shared" si="88"/>
        <v>-8211188.0451249359</v>
      </c>
      <c r="AH101" s="13">
        <f t="shared" si="88"/>
        <v>-8026209.3791636871</v>
      </c>
      <c r="AI101" s="13">
        <f t="shared" si="88"/>
        <v>-7843556.2453893293</v>
      </c>
      <c r="AJ101" s="13">
        <f t="shared" si="88"/>
        <v>-7663199.9398285989</v>
      </c>
      <c r="AK101" s="13">
        <f t="shared" si="88"/>
        <v>-7485112.123803515</v>
      </c>
      <c r="AL101" s="13">
        <f t="shared" si="88"/>
        <v>-7309264.8197813304</v>
      </c>
      <c r="AM101" s="13">
        <f t="shared" si="88"/>
        <v>-7135630.4073024485</v>
      </c>
      <c r="AN101" s="13">
        <f t="shared" si="88"/>
        <v>-6964181.6189875659</v>
      </c>
      <c r="AO101" s="13">
        <f t="shared" si="88"/>
        <v>-6794891.5366255203</v>
      </c>
      <c r="AP101" s="13">
        <f t="shared" si="88"/>
        <v>-6627733.5873435251</v>
      </c>
      <c r="AQ101" s="13">
        <f t="shared" si="88"/>
        <v>-6462681.5398618039</v>
      </c>
      <c r="AR101" s="13">
        <f t="shared" si="88"/>
        <v>-6299709.5008348711</v>
      </c>
    </row>
    <row r="102" spans="4:44">
      <c r="G102" s="947"/>
      <c r="H102" s="205" t="s">
        <v>9224</v>
      </c>
      <c r="I102" s="13"/>
      <c r="J102" s="13"/>
      <c r="K102" s="13"/>
      <c r="L102" s="13"/>
      <c r="M102" s="13">
        <f t="shared" ref="M102" si="89">+M99-M101</f>
        <v>0</v>
      </c>
      <c r="N102" s="13">
        <f t="shared" ref="N102" si="90">+N99-N101</f>
        <v>-6685193.3467938974</v>
      </c>
      <c r="O102" s="13">
        <f t="shared" ref="O102" si="91">+O99-O101</f>
        <v>-6683579.9692428168</v>
      </c>
      <c r="P102" s="13">
        <f t="shared" ref="P102" si="92">+P99-P101</f>
        <v>-6681955.6974861138</v>
      </c>
      <c r="Q102" s="13">
        <f t="shared" ref="Q102" si="93">+Q99-Q101</f>
        <v>-6680320.2373115364</v>
      </c>
      <c r="R102" s="13">
        <f t="shared" ref="R102" si="94">+R99-R101</f>
        <v>-6678673.2834630944</v>
      </c>
      <c r="S102" s="13">
        <f t="shared" ref="S102" si="95">+S99-S101</f>
        <v>-6677014.519083919</v>
      </c>
      <c r="T102" s="13">
        <f t="shared" ref="T102" si="96">+T99-T101</f>
        <v>-6675343.6151235718</v>
      </c>
      <c r="U102" s="13">
        <f t="shared" ref="U102" si="97">+U99-U101</f>
        <v>-6673660.2297069412</v>
      </c>
      <c r="V102" s="13">
        <f t="shared" ref="V102" si="98">+V99-V101</f>
        <v>-6671964.0074616615</v>
      </c>
      <c r="W102" s="13">
        <f t="shared" ref="W102" si="99">+W99-W101</f>
        <v>-6670254.5788008329</v>
      </c>
      <c r="X102" s="13">
        <f t="shared" ref="X102" si="100">+X99-X101</f>
        <v>-6668531.5591574442</v>
      </c>
      <c r="Y102" s="13">
        <f t="shared" ref="Y102" si="101">+Y99-Y101</f>
        <v>-6666794.5481663942</v>
      </c>
      <c r="Z102" s="13">
        <f t="shared" ref="Z102" si="102">+Z99-Z101</f>
        <v>-6665043.1287898906</v>
      </c>
      <c r="AA102" s="13">
        <f t="shared" ref="AA102" si="103">+AA99-AA101</f>
        <v>-6663276.8663813751</v>
      </c>
      <c r="AB102" s="13">
        <f t="shared" ref="AB102" si="104">+AB99-AB101</f>
        <v>-6661495.3076827843</v>
      </c>
      <c r="AC102" s="13">
        <f t="shared" ref="AC102" si="105">+AC99-AC101</f>
        <v>-6659697.9797492437</v>
      </c>
      <c r="AD102" s="13">
        <f t="shared" ref="AD102" si="106">+AD99-AD101</f>
        <v>-6657884.3887949698</v>
      </c>
      <c r="AE102" s="13">
        <f t="shared" ref="AE102" si="107">+AE99-AE101</f>
        <v>-6656054.0189531688</v>
      </c>
      <c r="AF102" s="13">
        <f t="shared" ref="AF102" si="108">+AF99-AF101</f>
        <v>-6654206.330942234</v>
      </c>
      <c r="AG102" s="13">
        <f t="shared" ref="AG102" si="109">+AG99-AG101</f>
        <v>-6652340.7606295897</v>
      </c>
      <c r="AH102" s="13">
        <f t="shared" ref="AH102" si="110">+AH99-AH101</f>
        <v>-6650456.7174835792</v>
      </c>
      <c r="AI102" s="13">
        <f t="shared" ref="AI102" si="111">+AI99-AI101</f>
        <v>-6648553.5829027798</v>
      </c>
      <c r="AJ102" s="13">
        <f t="shared" ref="AJ102" si="112">+AJ99-AJ101</f>
        <v>-6646630.7084108833</v>
      </c>
      <c r="AK102" s="13">
        <f t="shared" ref="AK102" si="113">+AK99-AK101</f>
        <v>-6644687.4137039799</v>
      </c>
      <c r="AL102" s="13">
        <f t="shared" ref="AL102" si="114">+AL99-AL101</f>
        <v>-6642722.9845354529</v>
      </c>
      <c r="AM102" s="13">
        <f t="shared" ref="AM102" si="115">+AM99-AM101</f>
        <v>-6640736.6704220995</v>
      </c>
      <c r="AN102" s="13">
        <f t="shared" ref="AN102" si="116">+AN99-AN101</f>
        <v>-6638727.6821528934</v>
      </c>
      <c r="AO102" s="13">
        <f t="shared" ref="AO102" si="117">+AO99-AO101</f>
        <v>-6636695.1890797717</v>
      </c>
      <c r="AP102" s="13">
        <f t="shared" ref="AP102" si="118">+AP99-AP101</f>
        <v>-6634638.3161670547</v>
      </c>
      <c r="AQ102" s="13">
        <f t="shared" ref="AQ102" si="119">+AQ99-AQ101</f>
        <v>-6632556.140773274</v>
      </c>
      <c r="AR102" s="13">
        <f t="shared" ref="AR102" si="120">+AR99-AR101</f>
        <v>-6630447.6891357023</v>
      </c>
    </row>
    <row r="103" spans="4:44" ht="12.95" thickBot="1">
      <c r="G103" s="948"/>
      <c r="H103" s="167" t="s">
        <v>9225</v>
      </c>
      <c r="I103" s="164"/>
      <c r="J103" s="164"/>
      <c r="K103" s="164"/>
      <c r="L103" s="325"/>
      <c r="M103" s="325">
        <f t="shared" ref="M103:AR103" si="121">+(1+16%)^(0.0833333333333333)-1</f>
        <v>1.2445137919713467E-2</v>
      </c>
      <c r="N103" s="325">
        <f t="shared" si="121"/>
        <v>1.2445137919713467E-2</v>
      </c>
      <c r="O103" s="325">
        <f t="shared" si="121"/>
        <v>1.2445137919713467E-2</v>
      </c>
      <c r="P103" s="325">
        <f t="shared" si="121"/>
        <v>1.2445137919713467E-2</v>
      </c>
      <c r="Q103" s="325">
        <f t="shared" si="121"/>
        <v>1.2445137919713467E-2</v>
      </c>
      <c r="R103" s="325">
        <f t="shared" si="121"/>
        <v>1.2445137919713467E-2</v>
      </c>
      <c r="S103" s="325">
        <f t="shared" si="121"/>
        <v>1.2445137919713467E-2</v>
      </c>
      <c r="T103" s="325">
        <f t="shared" si="121"/>
        <v>1.2445137919713467E-2</v>
      </c>
      <c r="U103" s="325">
        <f t="shared" si="121"/>
        <v>1.2445137919713467E-2</v>
      </c>
      <c r="V103" s="325">
        <f t="shared" si="121"/>
        <v>1.2445137919713467E-2</v>
      </c>
      <c r="W103" s="325">
        <f t="shared" si="121"/>
        <v>1.2445137919713467E-2</v>
      </c>
      <c r="X103" s="325">
        <f t="shared" si="121"/>
        <v>1.2445137919713467E-2</v>
      </c>
      <c r="Y103" s="325">
        <f t="shared" si="121"/>
        <v>1.2445137919713467E-2</v>
      </c>
      <c r="Z103" s="325">
        <f t="shared" si="121"/>
        <v>1.2445137919713467E-2</v>
      </c>
      <c r="AA103" s="325">
        <f t="shared" si="121"/>
        <v>1.2445137919713467E-2</v>
      </c>
      <c r="AB103" s="325">
        <f t="shared" si="121"/>
        <v>1.2445137919713467E-2</v>
      </c>
      <c r="AC103" s="325">
        <f t="shared" si="121"/>
        <v>1.2445137919713467E-2</v>
      </c>
      <c r="AD103" s="325">
        <f t="shared" si="121"/>
        <v>1.2445137919713467E-2</v>
      </c>
      <c r="AE103" s="325">
        <f t="shared" si="121"/>
        <v>1.2445137919713467E-2</v>
      </c>
      <c r="AF103" s="325">
        <f t="shared" si="121"/>
        <v>1.2445137919713467E-2</v>
      </c>
      <c r="AG103" s="325">
        <f t="shared" si="121"/>
        <v>1.2445137919713467E-2</v>
      </c>
      <c r="AH103" s="325">
        <f t="shared" si="121"/>
        <v>1.2445137919713467E-2</v>
      </c>
      <c r="AI103" s="325">
        <f t="shared" si="121"/>
        <v>1.2445137919713467E-2</v>
      </c>
      <c r="AJ103" s="325">
        <f t="shared" si="121"/>
        <v>1.2445137919713467E-2</v>
      </c>
      <c r="AK103" s="325">
        <f t="shared" si="121"/>
        <v>1.2445137919713467E-2</v>
      </c>
      <c r="AL103" s="325">
        <f t="shared" si="121"/>
        <v>1.2445137919713467E-2</v>
      </c>
      <c r="AM103" s="325">
        <f t="shared" si="121"/>
        <v>1.2445137919713467E-2</v>
      </c>
      <c r="AN103" s="325">
        <f t="shared" si="121"/>
        <v>1.2445137919713467E-2</v>
      </c>
      <c r="AO103" s="325">
        <f t="shared" si="121"/>
        <v>1.2445137919713467E-2</v>
      </c>
      <c r="AP103" s="325">
        <f t="shared" si="121"/>
        <v>1.2445137919713467E-2</v>
      </c>
      <c r="AQ103" s="325">
        <f t="shared" si="121"/>
        <v>1.2445137919713467E-2</v>
      </c>
      <c r="AR103" s="325">
        <f t="shared" si="121"/>
        <v>1.2445137919713467E-2</v>
      </c>
    </row>
    <row r="104" spans="4:44" ht="13.5" thickBot="1">
      <c r="G104" s="946" t="s">
        <v>9227</v>
      </c>
      <c r="H104" s="172" t="s">
        <v>9174</v>
      </c>
      <c r="I104" s="173">
        <v>45292</v>
      </c>
      <c r="J104" s="174">
        <v>45323</v>
      </c>
      <c r="K104" s="174">
        <v>45352</v>
      </c>
      <c r="L104" s="174">
        <v>45383</v>
      </c>
      <c r="M104" s="174">
        <v>45413</v>
      </c>
      <c r="N104" s="174">
        <v>45444</v>
      </c>
      <c r="O104" s="174">
        <v>45474</v>
      </c>
      <c r="P104" s="174">
        <v>45505</v>
      </c>
      <c r="Q104" s="174">
        <v>45536</v>
      </c>
      <c r="R104" s="174">
        <v>45566</v>
      </c>
      <c r="S104" s="174">
        <v>45597</v>
      </c>
      <c r="T104" s="174">
        <v>45627</v>
      </c>
      <c r="U104" s="174">
        <v>45658</v>
      </c>
      <c r="V104" s="174">
        <v>45689</v>
      </c>
      <c r="W104" s="174">
        <v>45717</v>
      </c>
      <c r="X104" s="174">
        <v>45748</v>
      </c>
      <c r="Y104" s="174">
        <v>45778</v>
      </c>
      <c r="Z104" s="174">
        <v>45809</v>
      </c>
      <c r="AA104" s="174">
        <v>45839</v>
      </c>
      <c r="AB104" s="174">
        <v>45870</v>
      </c>
      <c r="AC104" s="174">
        <v>45901</v>
      </c>
      <c r="AD104" s="174">
        <v>45931</v>
      </c>
      <c r="AE104" s="174">
        <v>45962</v>
      </c>
      <c r="AF104" s="174">
        <v>45992</v>
      </c>
      <c r="AG104" s="174">
        <v>46023</v>
      </c>
      <c r="AH104" s="174">
        <v>46054</v>
      </c>
      <c r="AI104" s="174">
        <v>46082</v>
      </c>
      <c r="AJ104" s="174">
        <v>46113</v>
      </c>
      <c r="AK104" s="174">
        <v>46143</v>
      </c>
      <c r="AL104" s="174">
        <v>46174</v>
      </c>
      <c r="AM104" s="174">
        <v>46204</v>
      </c>
      <c r="AN104" s="174">
        <v>46235</v>
      </c>
      <c r="AO104" s="174">
        <v>46266</v>
      </c>
      <c r="AP104" s="174">
        <v>46296</v>
      </c>
      <c r="AQ104" s="174">
        <v>46327</v>
      </c>
      <c r="AR104" s="174">
        <v>46357</v>
      </c>
    </row>
    <row r="105" spans="4:44" ht="12.95" thickBot="1">
      <c r="G105" s="947"/>
      <c r="H105" s="163" t="s">
        <v>9221</v>
      </c>
      <c r="I105" s="160"/>
      <c r="J105" s="160"/>
      <c r="L105" s="160"/>
      <c r="M105" s="160"/>
      <c r="N105" s="160"/>
      <c r="O105" s="160"/>
      <c r="P105" s="160"/>
      <c r="Q105" s="160">
        <f>-PMT(Q109,L91,-P106)</f>
        <v>-18893825.365433406</v>
      </c>
      <c r="R105" s="160">
        <f t="shared" ref="R105:AR105" si="122">-PMT(R109,M91,-Q106)</f>
        <v>-18657075.725378525</v>
      </c>
      <c r="S105" s="160">
        <f t="shared" si="122"/>
        <v>-18423261.573040947</v>
      </c>
      <c r="T105" s="160">
        <f t="shared" si="122"/>
        <v>-18192346.081658918</v>
      </c>
      <c r="U105" s="160">
        <f t="shared" si="122"/>
        <v>-17964292.871741071</v>
      </c>
      <c r="V105" s="160">
        <f t="shared" si="122"/>
        <v>-17739066.004942954</v>
      </c>
      <c r="W105" s="160">
        <f t="shared" si="122"/>
        <v>-17516629.97798419</v>
      </c>
      <c r="X105" s="160">
        <f t="shared" si="122"/>
        <v>-17296949.716602959</v>
      </c>
      <c r="Y105" s="160">
        <f t="shared" si="122"/>
        <v>-17079990.569544207</v>
      </c>
      <c r="Z105" s="160">
        <f t="shared" si="122"/>
        <v>-16865718.302577995</v>
      </c>
      <c r="AA105" s="160">
        <f t="shared" si="122"/>
        <v>-16654099.092543988</v>
      </c>
      <c r="AB105" s="160">
        <f t="shared" si="122"/>
        <v>-16445099.521417653</v>
      </c>
      <c r="AC105" s="160">
        <f t="shared" si="122"/>
        <v>-16238686.570393693</v>
      </c>
      <c r="AD105" s="160">
        <f t="shared" si="122"/>
        <v>-16034827.613981631</v>
      </c>
      <c r="AE105" s="160">
        <f t="shared" si="122"/>
        <v>-15833490.414108207</v>
      </c>
      <c r="AF105" s="160">
        <f t="shared" si="122"/>
        <v>-15634643.11422063</v>
      </c>
      <c r="AG105" s="160">
        <f t="shared" si="122"/>
        <v>-15438254.233384382</v>
      </c>
      <c r="AH105" s="160">
        <f t="shared" si="122"/>
        <v>-15244292.660368513</v>
      </c>
      <c r="AI105" s="160">
        <f t="shared" si="122"/>
        <v>-15052727.647710815</v>
      </c>
      <c r="AJ105" s="160">
        <f t="shared" si="122"/>
        <v>-14863528.805754526</v>
      </c>
      <c r="AK105" s="160">
        <f t="shared" si="122"/>
        <v>-14676666.096647266</v>
      </c>
      <c r="AL105" s="160">
        <f t="shared" si="122"/>
        <v>-14492109.828292109</v>
      </c>
      <c r="AM105" s="160">
        <f t="shared" si="122"/>
        <v>-14309830.648239482</v>
      </c>
      <c r="AN105" s="160">
        <f t="shared" si="122"/>
        <v>-14129799.537507495</v>
      </c>
      <c r="AO105" s="160">
        <f t="shared" si="122"/>
        <v>-13951987.804316783</v>
      </c>
      <c r="AP105" s="160">
        <f t="shared" si="122"/>
        <v>-13776367.077724548</v>
      </c>
      <c r="AQ105" s="160">
        <f t="shared" si="122"/>
        <v>-13602909.301140459</v>
      </c>
      <c r="AR105" s="160">
        <f t="shared" si="122"/>
        <v>-13431586.725705292</v>
      </c>
    </row>
    <row r="106" spans="4:44">
      <c r="G106" s="947"/>
      <c r="H106" s="205" t="s">
        <v>9222</v>
      </c>
      <c r="I106" s="13"/>
      <c r="J106" s="13"/>
      <c r="K106" s="160"/>
      <c r="L106" s="13"/>
      <c r="M106" s="13"/>
      <c r="N106" s="13"/>
      <c r="O106" s="13"/>
      <c r="P106" s="13">
        <f>+'Ventas energía PPA'!B54</f>
        <v>980996120.52516294</v>
      </c>
      <c r="Q106" s="13">
        <f t="shared" ref="Q106" si="123">+P106+Q105</f>
        <v>962102295.15972948</v>
      </c>
      <c r="R106" s="13">
        <f t="shared" ref="R106" si="124">+Q106+R105</f>
        <v>943445219.43435097</v>
      </c>
      <c r="S106" s="13">
        <f t="shared" ref="S106" si="125">+R106+S105</f>
        <v>925021957.86131001</v>
      </c>
      <c r="T106" s="13">
        <f t="shared" ref="T106" si="126">+S106+T105</f>
        <v>906829611.77965105</v>
      </c>
      <c r="U106" s="13">
        <f t="shared" ref="U106" si="127">+T106+U105</f>
        <v>888865318.90790999</v>
      </c>
      <c r="V106" s="13">
        <f t="shared" ref="V106" si="128">+U106+V105</f>
        <v>871126252.90296698</v>
      </c>
      <c r="W106" s="13">
        <f t="shared" ref="W106" si="129">+V106+W105</f>
        <v>853609622.92498279</v>
      </c>
      <c r="X106" s="13">
        <f t="shared" ref="X106" si="130">+W106+X105</f>
        <v>836312673.20837986</v>
      </c>
      <c r="Y106" s="13">
        <f t="shared" ref="Y106" si="131">+X106+Y105</f>
        <v>819232682.63883567</v>
      </c>
      <c r="Z106" s="13">
        <f t="shared" ref="Z106" si="132">+Y106+Z105</f>
        <v>802366964.3362577</v>
      </c>
      <c r="AA106" s="13">
        <f t="shared" ref="AA106" si="133">+Z106+AA105</f>
        <v>785712865.24371374</v>
      </c>
      <c r="AB106" s="13">
        <f t="shared" ref="AB106" si="134">+AA106+AB105</f>
        <v>769267765.72229612</v>
      </c>
      <c r="AC106" s="13">
        <f t="shared" ref="AC106" si="135">+AB106+AC105</f>
        <v>753029079.15190244</v>
      </c>
      <c r="AD106" s="13">
        <f t="shared" ref="AD106" si="136">+AC106+AD105</f>
        <v>736994251.53792083</v>
      </c>
      <c r="AE106" s="13">
        <f t="shared" ref="AE106" si="137">+AD106+AE105</f>
        <v>721160761.12381268</v>
      </c>
      <c r="AF106" s="13">
        <f t="shared" ref="AF106" si="138">+AE106+AF105</f>
        <v>705526118.00959206</v>
      </c>
      <c r="AG106" s="13">
        <f t="shared" ref="AG106" si="139">+AF106+AG105</f>
        <v>690087863.77620769</v>
      </c>
      <c r="AH106" s="13">
        <f t="shared" ref="AH106" si="140">+AG106+AH105</f>
        <v>674843571.11583912</v>
      </c>
      <c r="AI106" s="13">
        <f t="shared" ref="AI106" si="141">+AH106+AI105</f>
        <v>659790843.46812832</v>
      </c>
      <c r="AJ106" s="13">
        <f t="shared" ref="AJ106" si="142">+AI106+AJ105</f>
        <v>644927314.66237378</v>
      </c>
      <c r="AK106" s="13">
        <f t="shared" ref="AK106" si="143">+AJ106+AK105</f>
        <v>630250648.56572652</v>
      </c>
      <c r="AL106" s="13">
        <f t="shared" ref="AL106" si="144">+AK106+AL105</f>
        <v>615758538.73743439</v>
      </c>
      <c r="AM106" s="13">
        <f t="shared" ref="AM106" si="145">+AL106+AM105</f>
        <v>601448708.08919489</v>
      </c>
      <c r="AN106" s="13">
        <f t="shared" ref="AN106" si="146">+AM106+AN105</f>
        <v>587318908.55168736</v>
      </c>
      <c r="AO106" s="13">
        <f t="shared" ref="AO106" si="147">+AN106+AO105</f>
        <v>573366920.7473706</v>
      </c>
      <c r="AP106" s="13">
        <f t="shared" ref="AP106" si="148">+AO106+AP105</f>
        <v>559590553.66964602</v>
      </c>
      <c r="AQ106" s="13">
        <f t="shared" ref="AQ106" si="149">+AP106+AQ105</f>
        <v>545987644.3685056</v>
      </c>
      <c r="AR106" s="13">
        <f t="shared" ref="AR106" si="150">+AQ106+AR105</f>
        <v>532556057.64280033</v>
      </c>
    </row>
    <row r="107" spans="4:44">
      <c r="G107" s="947"/>
      <c r="H107" s="205" t="s">
        <v>9223</v>
      </c>
      <c r="I107" s="13"/>
      <c r="J107" s="13"/>
      <c r="K107" s="13"/>
      <c r="L107" s="13"/>
      <c r="M107" s="13"/>
      <c r="N107" s="13"/>
      <c r="O107" s="13"/>
      <c r="P107" s="13"/>
      <c r="Q107" s="13">
        <f t="shared" ref="Q107" si="151">-P106*Q109</f>
        <v>-12208632.018639509</v>
      </c>
      <c r="R107" s="13">
        <f t="shared" ref="R107:AR107" si="152">-Q106*R109</f>
        <v>-11973495.756135708</v>
      </c>
      <c r="S107" s="13">
        <f t="shared" si="152"/>
        <v>-11741305.875554834</v>
      </c>
      <c r="T107" s="13">
        <f t="shared" si="152"/>
        <v>-11512025.844347382</v>
      </c>
      <c r="U107" s="13">
        <f t="shared" si="152"/>
        <v>-11285619.588277977</v>
      </c>
      <c r="V107" s="13">
        <f t="shared" si="152"/>
        <v>-11062051.485859035</v>
      </c>
      <c r="W107" s="13">
        <f t="shared" si="152"/>
        <v>-10841286.362860618</v>
      </c>
      <c r="X107" s="13">
        <f t="shared" si="152"/>
        <v>-10623289.486896018</v>
      </c>
      <c r="Y107" s="13">
        <f t="shared" si="152"/>
        <v>-10408026.562082546</v>
      </c>
      <c r="Z107" s="13">
        <f t="shared" si="152"/>
        <v>-10195463.723777162</v>
      </c>
      <c r="AA107" s="13">
        <f t="shared" si="152"/>
        <v>-9985567.5333865434</v>
      </c>
      <c r="AB107" s="13">
        <f t="shared" si="152"/>
        <v>-9778304.973251259</v>
      </c>
      <c r="AC107" s="13">
        <f t="shared" si="152"/>
        <v>-9573643.4416038021</v>
      </c>
      <c r="AD107" s="13">
        <f t="shared" si="152"/>
        <v>-9371550.7476002555</v>
      </c>
      <c r="AE107" s="13">
        <f t="shared" si="152"/>
        <v>-9171995.1064254232</v>
      </c>
      <c r="AF107" s="13">
        <f t="shared" si="152"/>
        <v>-8974945.1344713867</v>
      </c>
      <c r="AG107" s="13">
        <f t="shared" si="152"/>
        <v>-8780369.8445894122</v>
      </c>
      <c r="AH107" s="13">
        <f t="shared" si="152"/>
        <v>-8588238.6414153446</v>
      </c>
      <c r="AI107" s="13">
        <f t="shared" si="152"/>
        <v>-8398521.316768581</v>
      </c>
      <c r="AJ107" s="13">
        <f t="shared" si="152"/>
        <v>-8211188.0451249359</v>
      </c>
      <c r="AK107" s="13">
        <f t="shared" si="152"/>
        <v>-8026209.3791636871</v>
      </c>
      <c r="AL107" s="13">
        <f t="shared" si="152"/>
        <v>-7843556.2453893293</v>
      </c>
      <c r="AM107" s="13">
        <f t="shared" si="152"/>
        <v>-7663199.9398285989</v>
      </c>
      <c r="AN107" s="13">
        <f t="shared" si="152"/>
        <v>-7485112.123803515</v>
      </c>
      <c r="AO107" s="13">
        <f t="shared" si="152"/>
        <v>-7309264.8197813304</v>
      </c>
      <c r="AP107" s="13">
        <f t="shared" si="152"/>
        <v>-7135630.4073024485</v>
      </c>
      <c r="AQ107" s="13">
        <f t="shared" si="152"/>
        <v>-6964181.6189875659</v>
      </c>
      <c r="AR107" s="13">
        <f t="shared" si="152"/>
        <v>-6794891.5366255203</v>
      </c>
    </row>
    <row r="108" spans="4:44">
      <c r="G108" s="947"/>
      <c r="H108" s="205" t="s">
        <v>9224</v>
      </c>
      <c r="I108" s="13"/>
      <c r="J108" s="13"/>
      <c r="K108" s="13"/>
      <c r="L108" s="13"/>
      <c r="M108" s="13"/>
      <c r="N108" s="13"/>
      <c r="O108" s="13"/>
      <c r="P108" s="13"/>
      <c r="Q108" s="13">
        <f t="shared" ref="Q108" si="153">+Q105-Q107</f>
        <v>-6685193.3467938974</v>
      </c>
      <c r="R108" s="13">
        <f t="shared" ref="R108" si="154">+R105-R107</f>
        <v>-6683579.9692428168</v>
      </c>
      <c r="S108" s="13">
        <f t="shared" ref="S108" si="155">+S105-S107</f>
        <v>-6681955.6974861138</v>
      </c>
      <c r="T108" s="13">
        <f t="shared" ref="T108" si="156">+T105-T107</f>
        <v>-6680320.2373115364</v>
      </c>
      <c r="U108" s="13">
        <f t="shared" ref="U108" si="157">+U105-U107</f>
        <v>-6678673.2834630944</v>
      </c>
      <c r="V108" s="13">
        <f t="shared" ref="V108" si="158">+V105-V107</f>
        <v>-6677014.519083919</v>
      </c>
      <c r="W108" s="13">
        <f t="shared" ref="W108" si="159">+W105-W107</f>
        <v>-6675343.6151235718</v>
      </c>
      <c r="X108" s="13">
        <f t="shared" ref="X108" si="160">+X105-X107</f>
        <v>-6673660.2297069412</v>
      </c>
      <c r="Y108" s="13">
        <f t="shared" ref="Y108" si="161">+Y105-Y107</f>
        <v>-6671964.0074616615</v>
      </c>
      <c r="Z108" s="13">
        <f t="shared" ref="Z108" si="162">+Z105-Z107</f>
        <v>-6670254.5788008329</v>
      </c>
      <c r="AA108" s="13">
        <f t="shared" ref="AA108" si="163">+AA105-AA107</f>
        <v>-6668531.5591574442</v>
      </c>
      <c r="AB108" s="13">
        <f t="shared" ref="AB108" si="164">+AB105-AB107</f>
        <v>-6666794.5481663942</v>
      </c>
      <c r="AC108" s="13">
        <f t="shared" ref="AC108" si="165">+AC105-AC107</f>
        <v>-6665043.1287898906</v>
      </c>
      <c r="AD108" s="13">
        <f t="shared" ref="AD108" si="166">+AD105-AD107</f>
        <v>-6663276.8663813751</v>
      </c>
      <c r="AE108" s="13">
        <f t="shared" ref="AE108" si="167">+AE105-AE107</f>
        <v>-6661495.3076827843</v>
      </c>
      <c r="AF108" s="13">
        <f t="shared" ref="AF108" si="168">+AF105-AF107</f>
        <v>-6659697.9797492437</v>
      </c>
      <c r="AG108" s="13">
        <f t="shared" ref="AG108" si="169">+AG105-AG107</f>
        <v>-6657884.3887949698</v>
      </c>
      <c r="AH108" s="13">
        <f t="shared" ref="AH108" si="170">+AH105-AH107</f>
        <v>-6656054.0189531688</v>
      </c>
      <c r="AI108" s="13">
        <f t="shared" ref="AI108" si="171">+AI105-AI107</f>
        <v>-6654206.330942234</v>
      </c>
      <c r="AJ108" s="13">
        <f t="shared" ref="AJ108" si="172">+AJ105-AJ107</f>
        <v>-6652340.7606295897</v>
      </c>
      <c r="AK108" s="13">
        <f t="shared" ref="AK108" si="173">+AK105-AK107</f>
        <v>-6650456.7174835792</v>
      </c>
      <c r="AL108" s="13">
        <f t="shared" ref="AL108" si="174">+AL105-AL107</f>
        <v>-6648553.5829027798</v>
      </c>
      <c r="AM108" s="13">
        <f t="shared" ref="AM108" si="175">+AM105-AM107</f>
        <v>-6646630.7084108833</v>
      </c>
      <c r="AN108" s="13">
        <f t="shared" ref="AN108" si="176">+AN105-AN107</f>
        <v>-6644687.4137039799</v>
      </c>
      <c r="AO108" s="13">
        <f t="shared" ref="AO108" si="177">+AO105-AO107</f>
        <v>-6642722.9845354529</v>
      </c>
      <c r="AP108" s="13">
        <f t="shared" ref="AP108" si="178">+AP105-AP107</f>
        <v>-6640736.6704220995</v>
      </c>
      <c r="AQ108" s="13">
        <f t="shared" ref="AQ108" si="179">+AQ105-AQ107</f>
        <v>-6638727.6821528934</v>
      </c>
      <c r="AR108" s="13">
        <f t="shared" ref="AR108" si="180">+AR105-AR107</f>
        <v>-6636695.1890797717</v>
      </c>
    </row>
    <row r="109" spans="4:44" ht="12.95" thickBot="1">
      <c r="G109" s="948"/>
      <c r="H109" s="167" t="s">
        <v>9225</v>
      </c>
      <c r="I109" s="164"/>
      <c r="J109" s="164"/>
      <c r="K109" s="164"/>
      <c r="L109" s="325"/>
      <c r="M109" s="325"/>
      <c r="N109" s="325"/>
      <c r="O109" s="325"/>
      <c r="P109" s="325"/>
      <c r="Q109" s="325">
        <f t="shared" ref="Q109:AR109" si="181">+(1+16%)^(0.0833333333333333)-1</f>
        <v>1.2445137919713467E-2</v>
      </c>
      <c r="R109" s="325">
        <f t="shared" si="181"/>
        <v>1.2445137919713467E-2</v>
      </c>
      <c r="S109" s="325">
        <f t="shared" si="181"/>
        <v>1.2445137919713467E-2</v>
      </c>
      <c r="T109" s="325">
        <f t="shared" si="181"/>
        <v>1.2445137919713467E-2</v>
      </c>
      <c r="U109" s="325">
        <f t="shared" si="181"/>
        <v>1.2445137919713467E-2</v>
      </c>
      <c r="V109" s="325">
        <f t="shared" si="181"/>
        <v>1.2445137919713467E-2</v>
      </c>
      <c r="W109" s="325">
        <f t="shared" si="181"/>
        <v>1.2445137919713467E-2</v>
      </c>
      <c r="X109" s="325">
        <f t="shared" si="181"/>
        <v>1.2445137919713467E-2</v>
      </c>
      <c r="Y109" s="325">
        <f t="shared" si="181"/>
        <v>1.2445137919713467E-2</v>
      </c>
      <c r="Z109" s="325">
        <f t="shared" si="181"/>
        <v>1.2445137919713467E-2</v>
      </c>
      <c r="AA109" s="325">
        <f t="shared" si="181"/>
        <v>1.2445137919713467E-2</v>
      </c>
      <c r="AB109" s="325">
        <f t="shared" si="181"/>
        <v>1.2445137919713467E-2</v>
      </c>
      <c r="AC109" s="325">
        <f t="shared" si="181"/>
        <v>1.2445137919713467E-2</v>
      </c>
      <c r="AD109" s="325">
        <f t="shared" si="181"/>
        <v>1.2445137919713467E-2</v>
      </c>
      <c r="AE109" s="325">
        <f t="shared" si="181"/>
        <v>1.2445137919713467E-2</v>
      </c>
      <c r="AF109" s="325">
        <f t="shared" si="181"/>
        <v>1.2445137919713467E-2</v>
      </c>
      <c r="AG109" s="325">
        <f t="shared" si="181"/>
        <v>1.2445137919713467E-2</v>
      </c>
      <c r="AH109" s="325">
        <f t="shared" si="181"/>
        <v>1.2445137919713467E-2</v>
      </c>
      <c r="AI109" s="325">
        <f t="shared" si="181"/>
        <v>1.2445137919713467E-2</v>
      </c>
      <c r="AJ109" s="325">
        <f t="shared" si="181"/>
        <v>1.2445137919713467E-2</v>
      </c>
      <c r="AK109" s="325">
        <f t="shared" si="181"/>
        <v>1.2445137919713467E-2</v>
      </c>
      <c r="AL109" s="325">
        <f t="shared" si="181"/>
        <v>1.2445137919713467E-2</v>
      </c>
      <c r="AM109" s="325">
        <f t="shared" si="181"/>
        <v>1.2445137919713467E-2</v>
      </c>
      <c r="AN109" s="325">
        <f t="shared" si="181"/>
        <v>1.2445137919713467E-2</v>
      </c>
      <c r="AO109" s="325">
        <f t="shared" si="181"/>
        <v>1.2445137919713467E-2</v>
      </c>
      <c r="AP109" s="325">
        <f t="shared" si="181"/>
        <v>1.2445137919713467E-2</v>
      </c>
      <c r="AQ109" s="325">
        <f t="shared" si="181"/>
        <v>1.2445137919713467E-2</v>
      </c>
      <c r="AR109" s="325">
        <f t="shared" si="181"/>
        <v>1.2445137919713467E-2</v>
      </c>
    </row>
    <row r="110" spans="4:44" ht="13.5" thickBot="1">
      <c r="G110" s="946" t="s">
        <v>9228</v>
      </c>
      <c r="H110" s="172" t="s">
        <v>9174</v>
      </c>
      <c r="I110" s="173">
        <v>45292</v>
      </c>
      <c r="J110" s="174">
        <v>45323</v>
      </c>
      <c r="K110" s="174">
        <v>45352</v>
      </c>
      <c r="L110" s="174">
        <v>45383</v>
      </c>
      <c r="M110" s="174">
        <v>45413</v>
      </c>
      <c r="N110" s="174">
        <v>45444</v>
      </c>
      <c r="O110" s="174">
        <v>45474</v>
      </c>
      <c r="P110" s="174">
        <v>45505</v>
      </c>
      <c r="Q110" s="174">
        <v>45536</v>
      </c>
      <c r="R110" s="174">
        <v>45566</v>
      </c>
      <c r="S110" s="174">
        <v>45597</v>
      </c>
      <c r="T110" s="174">
        <v>45627</v>
      </c>
      <c r="U110" s="174">
        <v>45658</v>
      </c>
      <c r="V110" s="174">
        <v>45689</v>
      </c>
      <c r="W110" s="174">
        <v>45717</v>
      </c>
      <c r="X110" s="174">
        <v>45748</v>
      </c>
      <c r="Y110" s="174">
        <v>45778</v>
      </c>
      <c r="Z110" s="174">
        <v>45809</v>
      </c>
      <c r="AA110" s="174">
        <v>45839</v>
      </c>
      <c r="AB110" s="174">
        <v>45870</v>
      </c>
      <c r="AC110" s="174">
        <v>45901</v>
      </c>
      <c r="AD110" s="174">
        <v>45931</v>
      </c>
      <c r="AE110" s="174">
        <v>45962</v>
      </c>
      <c r="AF110" s="174">
        <v>45992</v>
      </c>
      <c r="AG110" s="174">
        <v>46023</v>
      </c>
      <c r="AH110" s="174">
        <v>46054</v>
      </c>
      <c r="AI110" s="174">
        <v>46082</v>
      </c>
      <c r="AJ110" s="174">
        <v>46113</v>
      </c>
      <c r="AK110" s="174">
        <v>46143</v>
      </c>
      <c r="AL110" s="174">
        <v>46174</v>
      </c>
      <c r="AM110" s="174">
        <v>46204</v>
      </c>
      <c r="AN110" s="174">
        <v>46235</v>
      </c>
      <c r="AO110" s="174">
        <v>46266</v>
      </c>
      <c r="AP110" s="174">
        <v>46296</v>
      </c>
      <c r="AQ110" s="174">
        <v>46327</v>
      </c>
      <c r="AR110" s="174">
        <v>46357</v>
      </c>
    </row>
    <row r="111" spans="4:44" ht="12.95" thickBot="1">
      <c r="G111" s="947"/>
      <c r="H111" s="163" t="s">
        <v>9221</v>
      </c>
      <c r="I111" s="160"/>
      <c r="J111" s="160"/>
      <c r="L111" s="160"/>
      <c r="M111" s="160"/>
      <c r="N111" s="160"/>
      <c r="O111" s="160"/>
      <c r="P111" s="160"/>
      <c r="Q111" s="160"/>
      <c r="R111" s="160">
        <f t="shared" ref="R111" si="182">-PMT(R115,P103,-Q112)</f>
        <v>0</v>
      </c>
      <c r="S111" s="160">
        <f>-PMT(S115,L91,-R112)</f>
        <v>-18893825.365433406</v>
      </c>
      <c r="T111" s="160">
        <f t="shared" ref="T111:AR111" si="183">-PMT(T115,M91,-S112)</f>
        <v>-18657075.725378525</v>
      </c>
      <c r="U111" s="160">
        <f t="shared" si="183"/>
        <v>-18423261.573040947</v>
      </c>
      <c r="V111" s="160">
        <f t="shared" si="183"/>
        <v>-18192346.081658918</v>
      </c>
      <c r="W111" s="160">
        <f t="shared" si="183"/>
        <v>-17964292.871741071</v>
      </c>
      <c r="X111" s="160">
        <f t="shared" si="183"/>
        <v>-17739066.004942954</v>
      </c>
      <c r="Y111" s="160">
        <f t="shared" si="183"/>
        <v>-17516629.97798419</v>
      </c>
      <c r="Z111" s="160">
        <f t="shared" si="183"/>
        <v>-17296949.716602959</v>
      </c>
      <c r="AA111" s="160">
        <f t="shared" si="183"/>
        <v>-17079990.569544207</v>
      </c>
      <c r="AB111" s="160">
        <f t="shared" si="183"/>
        <v>-16865718.302577995</v>
      </c>
      <c r="AC111" s="160">
        <f t="shared" si="183"/>
        <v>-16654099.092543988</v>
      </c>
      <c r="AD111" s="160">
        <f t="shared" si="183"/>
        <v>-16445099.521417653</v>
      </c>
      <c r="AE111" s="160">
        <f t="shared" si="183"/>
        <v>-16238686.570393693</v>
      </c>
      <c r="AF111" s="160">
        <f t="shared" si="183"/>
        <v>-16034827.613981631</v>
      </c>
      <c r="AG111" s="160">
        <f t="shared" si="183"/>
        <v>-15833490.414108207</v>
      </c>
      <c r="AH111" s="160">
        <f t="shared" si="183"/>
        <v>-15634643.11422063</v>
      </c>
      <c r="AI111" s="160">
        <f t="shared" si="183"/>
        <v>-15438254.233384382</v>
      </c>
      <c r="AJ111" s="160">
        <f t="shared" si="183"/>
        <v>-15244292.660368513</v>
      </c>
      <c r="AK111" s="160">
        <f t="shared" si="183"/>
        <v>-15052727.647710815</v>
      </c>
      <c r="AL111" s="160">
        <f t="shared" si="183"/>
        <v>-14863528.805754526</v>
      </c>
      <c r="AM111" s="160">
        <f t="shared" si="183"/>
        <v>-14676666.096647266</v>
      </c>
      <c r="AN111" s="160">
        <f t="shared" si="183"/>
        <v>-14492109.828292109</v>
      </c>
      <c r="AO111" s="160">
        <f t="shared" si="183"/>
        <v>-14309830.648239482</v>
      </c>
      <c r="AP111" s="160">
        <f t="shared" si="183"/>
        <v>-14129799.537507495</v>
      </c>
      <c r="AQ111" s="160">
        <f t="shared" si="183"/>
        <v>-13951987.804316783</v>
      </c>
      <c r="AR111" s="160">
        <f t="shared" si="183"/>
        <v>-13776367.077724548</v>
      </c>
    </row>
    <row r="112" spans="4:44">
      <c r="G112" s="947"/>
      <c r="H112" s="205" t="s">
        <v>9222</v>
      </c>
      <c r="I112" s="13"/>
      <c r="J112" s="13"/>
      <c r="K112" s="160"/>
      <c r="L112" s="13"/>
      <c r="M112" s="13"/>
      <c r="N112" s="13"/>
      <c r="O112" s="13"/>
      <c r="P112" s="13"/>
      <c r="Q112" s="13"/>
      <c r="R112" s="13">
        <f>+'Ventas energía PPA'!B56</f>
        <v>980996120.52516294</v>
      </c>
      <c r="S112" s="13">
        <f t="shared" ref="S112" si="184">+R112+S111</f>
        <v>962102295.15972948</v>
      </c>
      <c r="T112" s="13">
        <f t="shared" ref="T112" si="185">+S112+T111</f>
        <v>943445219.43435097</v>
      </c>
      <c r="U112" s="13">
        <f t="shared" ref="U112" si="186">+T112+U111</f>
        <v>925021957.86131001</v>
      </c>
      <c r="V112" s="13">
        <f t="shared" ref="V112" si="187">+U112+V111</f>
        <v>906829611.77965105</v>
      </c>
      <c r="W112" s="13">
        <f t="shared" ref="W112" si="188">+V112+W111</f>
        <v>888865318.90790999</v>
      </c>
      <c r="X112" s="13">
        <f t="shared" ref="X112" si="189">+W112+X111</f>
        <v>871126252.90296698</v>
      </c>
      <c r="Y112" s="13">
        <f t="shared" ref="Y112" si="190">+X112+Y111</f>
        <v>853609622.92498279</v>
      </c>
      <c r="Z112" s="13">
        <f t="shared" ref="Z112" si="191">+Y112+Z111</f>
        <v>836312673.20837986</v>
      </c>
      <c r="AA112" s="13">
        <f t="shared" ref="AA112" si="192">+Z112+AA111</f>
        <v>819232682.63883567</v>
      </c>
      <c r="AB112" s="13">
        <f t="shared" ref="AB112" si="193">+AA112+AB111</f>
        <v>802366964.3362577</v>
      </c>
      <c r="AC112" s="13">
        <f t="shared" ref="AC112" si="194">+AB112+AC111</f>
        <v>785712865.24371374</v>
      </c>
      <c r="AD112" s="13">
        <f t="shared" ref="AD112" si="195">+AC112+AD111</f>
        <v>769267765.72229612</v>
      </c>
      <c r="AE112" s="13">
        <f t="shared" ref="AE112" si="196">+AD112+AE111</f>
        <v>753029079.15190244</v>
      </c>
      <c r="AF112" s="13">
        <f t="shared" ref="AF112" si="197">+AE112+AF111</f>
        <v>736994251.53792083</v>
      </c>
      <c r="AG112" s="13">
        <f t="shared" ref="AG112" si="198">+AF112+AG111</f>
        <v>721160761.12381268</v>
      </c>
      <c r="AH112" s="13">
        <f t="shared" ref="AH112" si="199">+AG112+AH111</f>
        <v>705526118.00959206</v>
      </c>
      <c r="AI112" s="13">
        <f t="shared" ref="AI112" si="200">+AH112+AI111</f>
        <v>690087863.77620769</v>
      </c>
      <c r="AJ112" s="13">
        <f t="shared" ref="AJ112" si="201">+AI112+AJ111</f>
        <v>674843571.11583912</v>
      </c>
      <c r="AK112" s="13">
        <f t="shared" ref="AK112" si="202">+AJ112+AK111</f>
        <v>659790843.46812832</v>
      </c>
      <c r="AL112" s="13">
        <f t="shared" ref="AL112" si="203">+AK112+AL111</f>
        <v>644927314.66237378</v>
      </c>
      <c r="AM112" s="13">
        <f t="shared" ref="AM112" si="204">+AL112+AM111</f>
        <v>630250648.56572652</v>
      </c>
      <c r="AN112" s="13">
        <f t="shared" ref="AN112" si="205">+AM112+AN111</f>
        <v>615758538.73743439</v>
      </c>
      <c r="AO112" s="13">
        <f t="shared" ref="AO112" si="206">+AN112+AO111</f>
        <v>601448708.08919489</v>
      </c>
      <c r="AP112" s="13">
        <f t="shared" ref="AP112" si="207">+AO112+AP111</f>
        <v>587318908.55168736</v>
      </c>
      <c r="AQ112" s="13">
        <f t="shared" ref="AQ112" si="208">+AP112+AQ111</f>
        <v>573366920.7473706</v>
      </c>
      <c r="AR112" s="13">
        <f t="shared" ref="AR112" si="209">+AQ112+AR111</f>
        <v>559590553.66964602</v>
      </c>
    </row>
    <row r="113" spans="7:44">
      <c r="G113" s="947"/>
      <c r="H113" s="205" t="s">
        <v>9223</v>
      </c>
      <c r="I113" s="13"/>
      <c r="J113" s="13"/>
      <c r="K113" s="13"/>
      <c r="L113" s="13"/>
      <c r="M113" s="13"/>
      <c r="N113" s="13"/>
      <c r="O113" s="13"/>
      <c r="P113" s="13"/>
      <c r="Q113" s="13"/>
      <c r="R113" s="13">
        <f t="shared" ref="R113:S113" si="210">-Q112*R115</f>
        <v>0</v>
      </c>
      <c r="S113" s="13">
        <f t="shared" si="210"/>
        <v>-12208632.018639509</v>
      </c>
      <c r="T113" s="13">
        <f t="shared" ref="T113:AR113" si="211">-S112*T115</f>
        <v>-11973495.756135708</v>
      </c>
      <c r="U113" s="13">
        <f t="shared" si="211"/>
        <v>-11741305.875554834</v>
      </c>
      <c r="V113" s="13">
        <f t="shared" si="211"/>
        <v>-11512025.844347382</v>
      </c>
      <c r="W113" s="13">
        <f t="shared" si="211"/>
        <v>-11285619.588277977</v>
      </c>
      <c r="X113" s="13">
        <f t="shared" si="211"/>
        <v>-11062051.485859035</v>
      </c>
      <c r="Y113" s="13">
        <f t="shared" si="211"/>
        <v>-10841286.362860618</v>
      </c>
      <c r="Z113" s="13">
        <f t="shared" si="211"/>
        <v>-10623289.486896018</v>
      </c>
      <c r="AA113" s="13">
        <f t="shared" si="211"/>
        <v>-10408026.562082546</v>
      </c>
      <c r="AB113" s="13">
        <f t="shared" si="211"/>
        <v>-10195463.723777162</v>
      </c>
      <c r="AC113" s="13">
        <f t="shared" si="211"/>
        <v>-9985567.5333865434</v>
      </c>
      <c r="AD113" s="13">
        <f t="shared" si="211"/>
        <v>-9778304.973251259</v>
      </c>
      <c r="AE113" s="13">
        <f t="shared" si="211"/>
        <v>-9573643.4416038021</v>
      </c>
      <c r="AF113" s="13">
        <f t="shared" si="211"/>
        <v>-9371550.7476002555</v>
      </c>
      <c r="AG113" s="13">
        <f t="shared" si="211"/>
        <v>-9171995.1064254232</v>
      </c>
      <c r="AH113" s="13">
        <f t="shared" si="211"/>
        <v>-8974945.1344713867</v>
      </c>
      <c r="AI113" s="13">
        <f t="shared" si="211"/>
        <v>-8780369.8445894122</v>
      </c>
      <c r="AJ113" s="13">
        <f t="shared" si="211"/>
        <v>-8588238.6414153446</v>
      </c>
      <c r="AK113" s="13">
        <f t="shared" si="211"/>
        <v>-8398521.316768581</v>
      </c>
      <c r="AL113" s="13">
        <f t="shared" si="211"/>
        <v>-8211188.0451249359</v>
      </c>
      <c r="AM113" s="13">
        <f t="shared" si="211"/>
        <v>-8026209.3791636871</v>
      </c>
      <c r="AN113" s="13">
        <f t="shared" si="211"/>
        <v>-7843556.2453893293</v>
      </c>
      <c r="AO113" s="13">
        <f t="shared" si="211"/>
        <v>-7663199.9398285989</v>
      </c>
      <c r="AP113" s="13">
        <f t="shared" si="211"/>
        <v>-7485112.123803515</v>
      </c>
      <c r="AQ113" s="13">
        <f t="shared" si="211"/>
        <v>-7309264.8197813304</v>
      </c>
      <c r="AR113" s="13">
        <f t="shared" si="211"/>
        <v>-7135630.4073024485</v>
      </c>
    </row>
    <row r="114" spans="7:44">
      <c r="G114" s="947"/>
      <c r="H114" s="205" t="s">
        <v>9224</v>
      </c>
      <c r="I114" s="13"/>
      <c r="J114" s="13"/>
      <c r="K114" s="13"/>
      <c r="L114" s="13"/>
      <c r="M114" s="13"/>
      <c r="N114" s="13"/>
      <c r="O114" s="13"/>
      <c r="P114" s="13"/>
      <c r="Q114" s="13"/>
      <c r="R114" s="13">
        <f t="shared" ref="R114" si="212">+R111-R113</f>
        <v>0</v>
      </c>
      <c r="S114" s="13">
        <f t="shared" ref="S114" si="213">+S111-S113</f>
        <v>-6685193.3467938974</v>
      </c>
      <c r="T114" s="13">
        <f t="shared" ref="T114" si="214">+T111-T113</f>
        <v>-6683579.9692428168</v>
      </c>
      <c r="U114" s="13">
        <f t="shared" ref="U114" si="215">+U111-U113</f>
        <v>-6681955.6974861138</v>
      </c>
      <c r="V114" s="13">
        <f t="shared" ref="V114" si="216">+V111-V113</f>
        <v>-6680320.2373115364</v>
      </c>
      <c r="W114" s="13">
        <f t="shared" ref="W114" si="217">+W111-W113</f>
        <v>-6678673.2834630944</v>
      </c>
      <c r="X114" s="13">
        <f t="shared" ref="X114" si="218">+X111-X113</f>
        <v>-6677014.519083919</v>
      </c>
      <c r="Y114" s="13">
        <f t="shared" ref="Y114" si="219">+Y111-Y113</f>
        <v>-6675343.6151235718</v>
      </c>
      <c r="Z114" s="13">
        <f t="shared" ref="Z114" si="220">+Z111-Z113</f>
        <v>-6673660.2297069412</v>
      </c>
      <c r="AA114" s="13">
        <f t="shared" ref="AA114" si="221">+AA111-AA113</f>
        <v>-6671964.0074616615</v>
      </c>
      <c r="AB114" s="13">
        <f t="shared" ref="AB114" si="222">+AB111-AB113</f>
        <v>-6670254.5788008329</v>
      </c>
      <c r="AC114" s="13">
        <f t="shared" ref="AC114" si="223">+AC111-AC113</f>
        <v>-6668531.5591574442</v>
      </c>
      <c r="AD114" s="13">
        <f t="shared" ref="AD114" si="224">+AD111-AD113</f>
        <v>-6666794.5481663942</v>
      </c>
      <c r="AE114" s="13">
        <f t="shared" ref="AE114" si="225">+AE111-AE113</f>
        <v>-6665043.1287898906</v>
      </c>
      <c r="AF114" s="13">
        <f t="shared" ref="AF114" si="226">+AF111-AF113</f>
        <v>-6663276.8663813751</v>
      </c>
      <c r="AG114" s="13">
        <f t="shared" ref="AG114" si="227">+AG111-AG113</f>
        <v>-6661495.3076827843</v>
      </c>
      <c r="AH114" s="13">
        <f t="shared" ref="AH114" si="228">+AH111-AH113</f>
        <v>-6659697.9797492437</v>
      </c>
      <c r="AI114" s="13">
        <f t="shared" ref="AI114" si="229">+AI111-AI113</f>
        <v>-6657884.3887949698</v>
      </c>
      <c r="AJ114" s="13">
        <f t="shared" ref="AJ114" si="230">+AJ111-AJ113</f>
        <v>-6656054.0189531688</v>
      </c>
      <c r="AK114" s="13">
        <f t="shared" ref="AK114" si="231">+AK111-AK113</f>
        <v>-6654206.330942234</v>
      </c>
      <c r="AL114" s="13">
        <f t="shared" ref="AL114" si="232">+AL111-AL113</f>
        <v>-6652340.7606295897</v>
      </c>
      <c r="AM114" s="13">
        <f t="shared" ref="AM114" si="233">+AM111-AM113</f>
        <v>-6650456.7174835792</v>
      </c>
      <c r="AN114" s="13">
        <f t="shared" ref="AN114" si="234">+AN111-AN113</f>
        <v>-6648553.5829027798</v>
      </c>
      <c r="AO114" s="13">
        <f t="shared" ref="AO114" si="235">+AO111-AO113</f>
        <v>-6646630.7084108833</v>
      </c>
      <c r="AP114" s="13">
        <f t="shared" ref="AP114" si="236">+AP111-AP113</f>
        <v>-6644687.4137039799</v>
      </c>
      <c r="AQ114" s="13">
        <f t="shared" ref="AQ114" si="237">+AQ111-AQ113</f>
        <v>-6642722.9845354529</v>
      </c>
      <c r="AR114" s="13">
        <f t="shared" ref="AR114" si="238">+AR111-AR113</f>
        <v>-6640736.6704220995</v>
      </c>
    </row>
    <row r="115" spans="7:44" ht="12.95" thickBot="1">
      <c r="G115" s="948"/>
      <c r="H115" s="167" t="s">
        <v>9225</v>
      </c>
      <c r="I115" s="164"/>
      <c r="J115" s="164"/>
      <c r="K115" s="164"/>
      <c r="L115" s="325"/>
      <c r="M115" s="325"/>
      <c r="N115" s="325"/>
      <c r="O115" s="325"/>
      <c r="P115" s="325"/>
      <c r="Q115" s="325"/>
      <c r="R115" s="325">
        <f t="shared" ref="R115:AR115" si="239">+(1+16%)^(0.0833333333333333)-1</f>
        <v>1.2445137919713467E-2</v>
      </c>
      <c r="S115" s="325">
        <f t="shared" si="239"/>
        <v>1.2445137919713467E-2</v>
      </c>
      <c r="T115" s="325">
        <f t="shared" si="239"/>
        <v>1.2445137919713467E-2</v>
      </c>
      <c r="U115" s="325">
        <f t="shared" si="239"/>
        <v>1.2445137919713467E-2</v>
      </c>
      <c r="V115" s="325">
        <f t="shared" si="239"/>
        <v>1.2445137919713467E-2</v>
      </c>
      <c r="W115" s="325">
        <f t="shared" si="239"/>
        <v>1.2445137919713467E-2</v>
      </c>
      <c r="X115" s="325">
        <f t="shared" si="239"/>
        <v>1.2445137919713467E-2</v>
      </c>
      <c r="Y115" s="325">
        <f t="shared" si="239"/>
        <v>1.2445137919713467E-2</v>
      </c>
      <c r="Z115" s="325">
        <f t="shared" si="239"/>
        <v>1.2445137919713467E-2</v>
      </c>
      <c r="AA115" s="325">
        <f t="shared" si="239"/>
        <v>1.2445137919713467E-2</v>
      </c>
      <c r="AB115" s="325">
        <f t="shared" si="239"/>
        <v>1.2445137919713467E-2</v>
      </c>
      <c r="AC115" s="325">
        <f t="shared" si="239"/>
        <v>1.2445137919713467E-2</v>
      </c>
      <c r="AD115" s="325">
        <f t="shared" si="239"/>
        <v>1.2445137919713467E-2</v>
      </c>
      <c r="AE115" s="325">
        <f t="shared" si="239"/>
        <v>1.2445137919713467E-2</v>
      </c>
      <c r="AF115" s="325">
        <f t="shared" si="239"/>
        <v>1.2445137919713467E-2</v>
      </c>
      <c r="AG115" s="325">
        <f t="shared" si="239"/>
        <v>1.2445137919713467E-2</v>
      </c>
      <c r="AH115" s="325">
        <f t="shared" si="239"/>
        <v>1.2445137919713467E-2</v>
      </c>
      <c r="AI115" s="325">
        <f t="shared" si="239"/>
        <v>1.2445137919713467E-2</v>
      </c>
      <c r="AJ115" s="325">
        <f t="shared" si="239"/>
        <v>1.2445137919713467E-2</v>
      </c>
      <c r="AK115" s="325">
        <f t="shared" si="239"/>
        <v>1.2445137919713467E-2</v>
      </c>
      <c r="AL115" s="325">
        <f t="shared" si="239"/>
        <v>1.2445137919713467E-2</v>
      </c>
      <c r="AM115" s="325">
        <f t="shared" si="239"/>
        <v>1.2445137919713467E-2</v>
      </c>
      <c r="AN115" s="325">
        <f t="shared" si="239"/>
        <v>1.2445137919713467E-2</v>
      </c>
      <c r="AO115" s="325">
        <f t="shared" si="239"/>
        <v>1.2445137919713467E-2</v>
      </c>
      <c r="AP115" s="325">
        <f t="shared" si="239"/>
        <v>1.2445137919713467E-2</v>
      </c>
      <c r="AQ115" s="325">
        <f t="shared" si="239"/>
        <v>1.2445137919713467E-2</v>
      </c>
      <c r="AR115" s="325">
        <f t="shared" si="239"/>
        <v>1.2445137919713467E-2</v>
      </c>
    </row>
  </sheetData>
  <mergeCells count="39">
    <mergeCell ref="D13:D14"/>
    <mergeCell ref="D3:D4"/>
    <mergeCell ref="D5:D6"/>
    <mergeCell ref="D7:D8"/>
    <mergeCell ref="D9:D10"/>
    <mergeCell ref="D11:D12"/>
    <mergeCell ref="G5:G6"/>
    <mergeCell ref="G3:G4"/>
    <mergeCell ref="G7:G8"/>
    <mergeCell ref="G9:G10"/>
    <mergeCell ref="G19:G20"/>
    <mergeCell ref="G17:G18"/>
    <mergeCell ref="G15:G16"/>
    <mergeCell ref="D51:D52"/>
    <mergeCell ref="D45:D46"/>
    <mergeCell ref="D49:D50"/>
    <mergeCell ref="D47:D48"/>
    <mergeCell ref="G92:G97"/>
    <mergeCell ref="D63:D66"/>
    <mergeCell ref="D67:D70"/>
    <mergeCell ref="D62:H62"/>
    <mergeCell ref="D83:G86"/>
    <mergeCell ref="D71:D74"/>
    <mergeCell ref="G98:G103"/>
    <mergeCell ref="G104:G109"/>
    <mergeCell ref="G110:G115"/>
    <mergeCell ref="D15:D16"/>
    <mergeCell ref="D17:D18"/>
    <mergeCell ref="D19:D20"/>
    <mergeCell ref="D21:D22"/>
    <mergeCell ref="D37:D38"/>
    <mergeCell ref="D35:D36"/>
    <mergeCell ref="D33:H33"/>
    <mergeCell ref="G21:G22"/>
    <mergeCell ref="D91:H91"/>
    <mergeCell ref="D93:D97"/>
    <mergeCell ref="D39:D40"/>
    <mergeCell ref="D41:D42"/>
    <mergeCell ref="D43:D44"/>
  </mergeCells>
  <pageMargins left="0.7" right="0.7" top="0.75" bottom="0.75" header="0.3" footer="0.3"/>
  <pageSetup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42A03-9BF5-473B-91C6-5EA2EFB2ED23}">
  <dimension ref="A1:AN70"/>
  <sheetViews>
    <sheetView topLeftCell="K31" zoomScale="83" zoomScaleNormal="85" workbookViewId="0">
      <selection activeCell="O82" sqref="O82"/>
    </sheetView>
  </sheetViews>
  <sheetFormatPr defaultColWidth="11.42578125" defaultRowHeight="12.6"/>
  <cols>
    <col min="1" max="1" width="18.7109375" bestFit="1" customWidth="1"/>
    <col min="2" max="2" width="23.28515625" bestFit="1" customWidth="1"/>
    <col min="3" max="3" width="23.140625" bestFit="1" customWidth="1"/>
    <col min="4" max="4" width="35.42578125" bestFit="1" customWidth="1"/>
    <col min="5" max="9" width="13.7109375" bestFit="1" customWidth="1"/>
    <col min="10" max="10" width="15.5703125" bestFit="1" customWidth="1"/>
    <col min="11" max="12" width="13.7109375" bestFit="1" customWidth="1"/>
    <col min="13" max="13" width="16.7109375" bestFit="1" customWidth="1"/>
    <col min="14" max="14" width="13.7109375" bestFit="1" customWidth="1"/>
    <col min="15" max="15" width="16.140625" bestFit="1" customWidth="1"/>
    <col min="16" max="16" width="15.42578125" bestFit="1" customWidth="1"/>
    <col min="17" max="17" width="17.85546875" bestFit="1" customWidth="1"/>
    <col min="18" max="18" width="14.140625" bestFit="1" customWidth="1"/>
    <col min="19" max="24" width="15.5703125" bestFit="1" customWidth="1"/>
    <col min="25" max="25" width="17.140625" bestFit="1" customWidth="1"/>
    <col min="26" max="26" width="15.5703125" bestFit="1" customWidth="1"/>
    <col min="27" max="27" width="16.140625" bestFit="1" customWidth="1"/>
    <col min="28" max="28" width="15.42578125" bestFit="1" customWidth="1"/>
    <col min="29" max="29" width="20.42578125" bestFit="1" customWidth="1"/>
    <col min="30" max="36" width="14.140625" bestFit="1" customWidth="1"/>
    <col min="37" max="37" width="17.140625" bestFit="1" customWidth="1"/>
    <col min="38" max="38" width="14.140625" bestFit="1" customWidth="1"/>
    <col min="39" max="39" width="16.140625" bestFit="1" customWidth="1"/>
    <col min="40" max="40" width="15.42578125" bestFit="1" customWidth="1"/>
  </cols>
  <sheetData>
    <row r="1" spans="1:40">
      <c r="E1" s="84" t="s">
        <v>9229</v>
      </c>
      <c r="F1" s="303">
        <v>0.08</v>
      </c>
    </row>
    <row r="2" spans="1:40">
      <c r="B2" s="995" t="s">
        <v>9230</v>
      </c>
      <c r="C2" s="996"/>
      <c r="D2" s="997"/>
      <c r="E2" s="84" t="s">
        <v>9231</v>
      </c>
      <c r="F2" s="303">
        <v>0.04</v>
      </c>
    </row>
    <row r="3" spans="1:40">
      <c r="B3" s="998"/>
      <c r="C3" s="999"/>
      <c r="D3" s="1000"/>
    </row>
    <row r="4" spans="1:40" ht="12.95">
      <c r="A4" s="122" t="s">
        <v>9232</v>
      </c>
      <c r="B4" s="115" t="s">
        <v>9233</v>
      </c>
      <c r="C4" s="115" t="s">
        <v>9234</v>
      </c>
      <c r="D4" s="115" t="s">
        <v>9235</v>
      </c>
      <c r="E4" s="123">
        <v>45292</v>
      </c>
      <c r="F4" s="123">
        <v>45323</v>
      </c>
      <c r="G4" s="123">
        <v>45352</v>
      </c>
      <c r="H4" s="123">
        <v>45383</v>
      </c>
      <c r="I4" s="123">
        <v>45413</v>
      </c>
      <c r="J4" s="123">
        <v>45444</v>
      </c>
      <c r="K4" s="123">
        <v>45474</v>
      </c>
      <c r="L4" s="123">
        <v>45505</v>
      </c>
      <c r="M4" s="123">
        <v>45536</v>
      </c>
      <c r="N4" s="123">
        <v>45566</v>
      </c>
      <c r="O4" s="123">
        <v>45597</v>
      </c>
      <c r="P4" s="123">
        <v>45627</v>
      </c>
      <c r="Q4" s="123">
        <v>45658</v>
      </c>
      <c r="R4" s="123">
        <v>45689</v>
      </c>
      <c r="S4" s="123">
        <v>45717</v>
      </c>
      <c r="T4" s="123">
        <v>45748</v>
      </c>
      <c r="U4" s="123">
        <v>45778</v>
      </c>
      <c r="V4" s="123">
        <v>45809</v>
      </c>
      <c r="W4" s="123">
        <v>45839</v>
      </c>
      <c r="X4" s="123">
        <v>45870</v>
      </c>
      <c r="Y4" s="123">
        <v>45901</v>
      </c>
      <c r="Z4" s="123">
        <v>45931</v>
      </c>
      <c r="AA4" s="123">
        <v>45962</v>
      </c>
      <c r="AB4" s="123">
        <v>45992</v>
      </c>
      <c r="AC4" s="123">
        <v>46023</v>
      </c>
      <c r="AD4" s="123">
        <v>46054</v>
      </c>
      <c r="AE4" s="123">
        <v>46082</v>
      </c>
      <c r="AF4" s="123">
        <v>46113</v>
      </c>
      <c r="AG4" s="123">
        <v>46143</v>
      </c>
      <c r="AH4" s="123">
        <v>46174</v>
      </c>
      <c r="AI4" s="123">
        <v>46204</v>
      </c>
      <c r="AJ4" s="123">
        <v>46235</v>
      </c>
      <c r="AK4" s="123">
        <v>46266</v>
      </c>
      <c r="AL4" s="123">
        <v>46296</v>
      </c>
      <c r="AM4" s="123">
        <v>46327</v>
      </c>
      <c r="AN4" s="123">
        <v>46357</v>
      </c>
    </row>
    <row r="5" spans="1:40">
      <c r="A5" s="88">
        <v>2022</v>
      </c>
      <c r="B5" s="124">
        <v>285406513</v>
      </c>
      <c r="C5" s="125" t="s">
        <v>9236</v>
      </c>
      <c r="D5" s="126" t="s">
        <v>9237</v>
      </c>
      <c r="E5" s="83">
        <v>2758000</v>
      </c>
      <c r="F5" s="83">
        <f>+E5</f>
        <v>2758000</v>
      </c>
      <c r="G5" s="83">
        <f>+F5</f>
        <v>2758000</v>
      </c>
      <c r="H5" s="83">
        <f t="shared" ref="H5:P5" si="0">+G5</f>
        <v>2758000</v>
      </c>
      <c r="I5" s="83">
        <f t="shared" si="0"/>
        <v>2758000</v>
      </c>
      <c r="J5" s="83">
        <f t="shared" si="0"/>
        <v>2758000</v>
      </c>
      <c r="K5" s="83">
        <f t="shared" si="0"/>
        <v>2758000</v>
      </c>
      <c r="L5" s="83">
        <f t="shared" si="0"/>
        <v>2758000</v>
      </c>
      <c r="M5" s="83">
        <f t="shared" si="0"/>
        <v>2758000</v>
      </c>
      <c r="N5" s="83">
        <f t="shared" si="0"/>
        <v>2758000</v>
      </c>
      <c r="O5" s="83">
        <f t="shared" si="0"/>
        <v>2758000</v>
      </c>
      <c r="P5" s="85">
        <f t="shared" si="0"/>
        <v>2758000</v>
      </c>
      <c r="Q5" s="83">
        <f>+P5*(1+$F$2)</f>
        <v>2868320</v>
      </c>
      <c r="R5" s="83">
        <f>+Q5</f>
        <v>2868320</v>
      </c>
      <c r="S5" s="83">
        <f t="shared" ref="S5:AB5" si="1">+R5</f>
        <v>2868320</v>
      </c>
      <c r="T5" s="83">
        <f t="shared" si="1"/>
        <v>2868320</v>
      </c>
      <c r="U5" s="83">
        <f t="shared" si="1"/>
        <v>2868320</v>
      </c>
      <c r="V5" s="83">
        <f t="shared" si="1"/>
        <v>2868320</v>
      </c>
      <c r="W5" s="83">
        <f t="shared" si="1"/>
        <v>2868320</v>
      </c>
      <c r="X5" s="83">
        <f t="shared" si="1"/>
        <v>2868320</v>
      </c>
      <c r="Y5" s="83">
        <f t="shared" si="1"/>
        <v>2868320</v>
      </c>
      <c r="Z5" s="83">
        <f t="shared" si="1"/>
        <v>2868320</v>
      </c>
      <c r="AA5" s="83">
        <f t="shared" si="1"/>
        <v>2868320</v>
      </c>
      <c r="AB5" s="83">
        <f t="shared" si="1"/>
        <v>2868320</v>
      </c>
      <c r="AC5" s="83">
        <f>+AB5*(1+$F$2)</f>
        <v>2983052.8000000003</v>
      </c>
      <c r="AD5" s="83">
        <f>+AC5</f>
        <v>2983052.8000000003</v>
      </c>
      <c r="AE5" s="83">
        <f t="shared" ref="AE5:AN5" si="2">+AD5</f>
        <v>2983052.8000000003</v>
      </c>
      <c r="AF5" s="83">
        <f t="shared" si="2"/>
        <v>2983052.8000000003</v>
      </c>
      <c r="AG5" s="83">
        <f t="shared" si="2"/>
        <v>2983052.8000000003</v>
      </c>
      <c r="AH5" s="83">
        <f t="shared" si="2"/>
        <v>2983052.8000000003</v>
      </c>
      <c r="AI5" s="83">
        <f t="shared" si="2"/>
        <v>2983052.8000000003</v>
      </c>
      <c r="AJ5" s="83">
        <f t="shared" si="2"/>
        <v>2983052.8000000003</v>
      </c>
      <c r="AK5" s="83">
        <f t="shared" si="2"/>
        <v>2983052.8000000003</v>
      </c>
      <c r="AL5" s="83">
        <f t="shared" si="2"/>
        <v>2983052.8000000003</v>
      </c>
      <c r="AM5" s="83">
        <f t="shared" si="2"/>
        <v>2983052.8000000003</v>
      </c>
      <c r="AN5" s="83">
        <f t="shared" si="2"/>
        <v>2983052.8000000003</v>
      </c>
    </row>
    <row r="6" spans="1:40">
      <c r="A6" s="81"/>
      <c r="B6" s="127"/>
      <c r="C6" s="127"/>
      <c r="D6" s="126" t="s">
        <v>9237</v>
      </c>
      <c r="E6" s="81"/>
      <c r="F6" s="81"/>
      <c r="G6" s="81"/>
      <c r="H6" s="81"/>
      <c r="I6" s="81"/>
      <c r="J6" s="81"/>
      <c r="K6" s="81"/>
      <c r="L6" s="83">
        <v>-3737962.0696663023</v>
      </c>
      <c r="M6" s="81"/>
      <c r="N6" s="81"/>
      <c r="O6" s="81"/>
      <c r="P6" s="300"/>
      <c r="Q6" s="81"/>
      <c r="R6" s="81"/>
      <c r="S6" s="81"/>
      <c r="T6" s="81"/>
      <c r="U6" s="81"/>
      <c r="V6" s="81"/>
      <c r="W6" s="81"/>
      <c r="X6" s="83">
        <f>+L6*(1+F2)</f>
        <v>-3887480.5524529545</v>
      </c>
      <c r="Y6" s="81"/>
      <c r="Z6" s="81"/>
      <c r="AA6" s="81"/>
      <c r="AB6" s="81"/>
      <c r="AC6" s="81"/>
      <c r="AD6" s="81"/>
      <c r="AE6" s="81"/>
      <c r="AF6" s="81"/>
      <c r="AG6" s="81"/>
      <c r="AH6" s="81"/>
      <c r="AI6" s="81"/>
      <c r="AJ6" s="83">
        <f>+X6*(1+R2)</f>
        <v>-3887480.5524529545</v>
      </c>
      <c r="AK6" s="81"/>
      <c r="AL6" s="81"/>
      <c r="AM6" s="81"/>
      <c r="AN6" s="81"/>
    </row>
    <row r="7" spans="1:40">
      <c r="A7" s="88">
        <v>2022</v>
      </c>
      <c r="B7" s="124">
        <v>29741663.6969034</v>
      </c>
      <c r="C7" s="125" t="s">
        <v>9236</v>
      </c>
      <c r="D7" s="128" t="s">
        <v>9238</v>
      </c>
      <c r="E7" s="83">
        <v>443240.40432672011</v>
      </c>
      <c r="F7" s="83">
        <v>443240.40432672011</v>
      </c>
      <c r="G7" s="83">
        <v>443240.40432672011</v>
      </c>
      <c r="H7" s="83">
        <v>443240.40432672011</v>
      </c>
      <c r="I7" s="83">
        <v>443240.40432672011</v>
      </c>
      <c r="J7" s="83">
        <v>443240.40432672011</v>
      </c>
      <c r="K7" s="83">
        <v>443240.40432672011</v>
      </c>
      <c r="L7" s="83">
        <v>443240.40432672011</v>
      </c>
      <c r="M7" s="83">
        <v>443240.40432672011</v>
      </c>
      <c r="N7" s="83">
        <v>443240.40432672011</v>
      </c>
      <c r="O7" s="83">
        <v>443240.40432672011</v>
      </c>
      <c r="P7" s="85">
        <v>443240.40432672011</v>
      </c>
      <c r="Q7" s="83">
        <f>+P7*(1+$F$2)</f>
        <v>460970.02049978892</v>
      </c>
      <c r="R7" s="83">
        <f>+Q7</f>
        <v>460970.02049978892</v>
      </c>
      <c r="S7" s="83">
        <f>+R7</f>
        <v>460970.02049978892</v>
      </c>
      <c r="T7" s="83">
        <f>+S7</f>
        <v>460970.02049978892</v>
      </c>
      <c r="U7" s="83">
        <f t="shared" ref="U7:AB7" si="3">+T7</f>
        <v>460970.02049978892</v>
      </c>
      <c r="V7" s="83">
        <f t="shared" si="3"/>
        <v>460970.02049978892</v>
      </c>
      <c r="W7" s="83">
        <f t="shared" si="3"/>
        <v>460970.02049978892</v>
      </c>
      <c r="X7" s="83">
        <f t="shared" si="3"/>
        <v>460970.02049978892</v>
      </c>
      <c r="Y7" s="83">
        <f t="shared" si="3"/>
        <v>460970.02049978892</v>
      </c>
      <c r="Z7" s="83">
        <f t="shared" si="3"/>
        <v>460970.02049978892</v>
      </c>
      <c r="AA7" s="83">
        <f t="shared" si="3"/>
        <v>460970.02049978892</v>
      </c>
      <c r="AB7" s="83">
        <f t="shared" si="3"/>
        <v>460970.02049978892</v>
      </c>
      <c r="AC7" s="83">
        <f>+AB7*(1+$F$2)</f>
        <v>479408.82131978049</v>
      </c>
      <c r="AD7" s="83">
        <f>+AC7</f>
        <v>479408.82131978049</v>
      </c>
      <c r="AE7" s="83">
        <f>+AD7</f>
        <v>479408.82131978049</v>
      </c>
      <c r="AF7" s="83">
        <f>+AE7</f>
        <v>479408.82131978049</v>
      </c>
      <c r="AG7" s="83">
        <f t="shared" ref="AG7:AN7" si="4">+AF7</f>
        <v>479408.82131978049</v>
      </c>
      <c r="AH7" s="83">
        <f t="shared" si="4"/>
        <v>479408.82131978049</v>
      </c>
      <c r="AI7" s="83">
        <f t="shared" si="4"/>
        <v>479408.82131978049</v>
      </c>
      <c r="AJ7" s="83">
        <f t="shared" si="4"/>
        <v>479408.82131978049</v>
      </c>
      <c r="AK7" s="83">
        <f t="shared" si="4"/>
        <v>479408.82131978049</v>
      </c>
      <c r="AL7" s="83">
        <f t="shared" si="4"/>
        <v>479408.82131978049</v>
      </c>
      <c r="AM7" s="83">
        <f t="shared" si="4"/>
        <v>479408.82131978049</v>
      </c>
      <c r="AN7" s="83">
        <f t="shared" si="4"/>
        <v>479408.82131978049</v>
      </c>
    </row>
    <row r="8" spans="1:40">
      <c r="A8" s="81"/>
      <c r="B8" s="127"/>
      <c r="C8" s="127"/>
      <c r="D8" s="128" t="s">
        <v>9238</v>
      </c>
      <c r="E8" s="81"/>
      <c r="F8" s="81"/>
      <c r="G8" s="81"/>
      <c r="H8" s="81"/>
      <c r="I8" s="81"/>
      <c r="J8" s="81"/>
      <c r="K8" s="81"/>
      <c r="L8" s="81"/>
      <c r="M8" s="83">
        <v>-388188.19457198301</v>
      </c>
      <c r="N8" s="81"/>
      <c r="O8" s="81"/>
      <c r="P8" s="300"/>
      <c r="Q8" s="81"/>
      <c r="R8" s="81"/>
      <c r="S8" s="81"/>
      <c r="T8" s="81"/>
      <c r="U8" s="81"/>
      <c r="V8" s="81"/>
      <c r="W8" s="81"/>
      <c r="X8" s="81"/>
      <c r="Y8" s="83">
        <f>+M8*(1+4%)</f>
        <v>-403715.72235486237</v>
      </c>
      <c r="Z8" s="81"/>
      <c r="AA8" s="81"/>
      <c r="AB8" s="81"/>
      <c r="AC8" s="81"/>
      <c r="AD8" s="81"/>
      <c r="AE8" s="81"/>
      <c r="AF8" s="81"/>
      <c r="AG8" s="81"/>
      <c r="AH8" s="81"/>
      <c r="AI8" s="81"/>
      <c r="AJ8" s="81"/>
      <c r="AK8" s="83">
        <f>+Y8*(1+4%)</f>
        <v>-419864.35124905687</v>
      </c>
      <c r="AL8" s="81"/>
      <c r="AM8" s="81"/>
      <c r="AN8" s="81"/>
    </row>
    <row r="9" spans="1:40">
      <c r="A9" s="88">
        <v>2022</v>
      </c>
      <c r="B9" s="124">
        <v>125707649</v>
      </c>
      <c r="C9" s="125" t="s">
        <v>9236</v>
      </c>
      <c r="D9" s="126" t="s">
        <v>9239</v>
      </c>
      <c r="E9" s="83">
        <v>2203987.9679999999</v>
      </c>
      <c r="F9" s="82">
        <v>2203987.9679999999</v>
      </c>
      <c r="G9" s="83">
        <v>2203987.9679999999</v>
      </c>
      <c r="H9" s="83">
        <v>2203987.9679999999</v>
      </c>
      <c r="I9" s="83">
        <v>2276102.4543129602</v>
      </c>
      <c r="J9" s="83">
        <v>2276102.4543129602</v>
      </c>
      <c r="K9" s="83">
        <v>2276102.4543129602</v>
      </c>
      <c r="L9" s="83">
        <v>2276102.4543129602</v>
      </c>
      <c r="M9" s="83">
        <v>2276102.4543129602</v>
      </c>
      <c r="N9" s="83">
        <v>2276102.4543129602</v>
      </c>
      <c r="O9" s="83">
        <v>2276102.4543129602</v>
      </c>
      <c r="P9" s="85">
        <v>2276102.4543129602</v>
      </c>
      <c r="Q9" s="83">
        <f>+P9*(1+$F$2)</f>
        <v>2367146.5524854786</v>
      </c>
      <c r="R9" s="83">
        <f>+Q9</f>
        <v>2367146.5524854786</v>
      </c>
      <c r="S9" s="83">
        <f t="shared" ref="S9:AB9" si="5">+R9</f>
        <v>2367146.5524854786</v>
      </c>
      <c r="T9" s="83">
        <f t="shared" si="5"/>
        <v>2367146.5524854786</v>
      </c>
      <c r="U9" s="83">
        <f t="shared" si="5"/>
        <v>2367146.5524854786</v>
      </c>
      <c r="V9" s="83">
        <f t="shared" si="5"/>
        <v>2367146.5524854786</v>
      </c>
      <c r="W9" s="83">
        <f t="shared" si="5"/>
        <v>2367146.5524854786</v>
      </c>
      <c r="X9" s="83">
        <f t="shared" si="5"/>
        <v>2367146.5524854786</v>
      </c>
      <c r="Y9" s="83">
        <f t="shared" si="5"/>
        <v>2367146.5524854786</v>
      </c>
      <c r="Z9" s="83">
        <f t="shared" si="5"/>
        <v>2367146.5524854786</v>
      </c>
      <c r="AA9" s="83">
        <f t="shared" si="5"/>
        <v>2367146.5524854786</v>
      </c>
      <c r="AB9" s="83">
        <f t="shared" si="5"/>
        <v>2367146.5524854786</v>
      </c>
      <c r="AC9" s="83">
        <f>+AB9*(1+$F$2)</f>
        <v>2461832.4145848979</v>
      </c>
      <c r="AD9" s="83">
        <f>+AC9</f>
        <v>2461832.4145848979</v>
      </c>
      <c r="AE9" s="83">
        <f t="shared" ref="AE9:AN9" si="6">+AD9</f>
        <v>2461832.4145848979</v>
      </c>
      <c r="AF9" s="83">
        <f t="shared" si="6"/>
        <v>2461832.4145848979</v>
      </c>
      <c r="AG9" s="83">
        <f t="shared" si="6"/>
        <v>2461832.4145848979</v>
      </c>
      <c r="AH9" s="83">
        <f t="shared" si="6"/>
        <v>2461832.4145848979</v>
      </c>
      <c r="AI9" s="83">
        <f t="shared" si="6"/>
        <v>2461832.4145848979</v>
      </c>
      <c r="AJ9" s="83">
        <f t="shared" si="6"/>
        <v>2461832.4145848979</v>
      </c>
      <c r="AK9" s="83">
        <f t="shared" si="6"/>
        <v>2461832.4145848979</v>
      </c>
      <c r="AL9" s="83">
        <f t="shared" si="6"/>
        <v>2461832.4145848979</v>
      </c>
      <c r="AM9" s="83">
        <f t="shared" si="6"/>
        <v>2461832.4145848979</v>
      </c>
      <c r="AN9" s="83">
        <f t="shared" si="6"/>
        <v>2461832.4145848979</v>
      </c>
    </row>
    <row r="10" spans="1:40">
      <c r="A10" s="81"/>
      <c r="B10" s="127"/>
      <c r="C10" s="127"/>
      <c r="D10" s="126" t="s">
        <v>9239</v>
      </c>
      <c r="E10" s="81"/>
      <c r="F10" s="81"/>
      <c r="G10" s="81"/>
      <c r="H10" s="81"/>
      <c r="I10" s="81"/>
      <c r="J10" s="81"/>
      <c r="K10" s="81"/>
      <c r="L10" s="81"/>
      <c r="M10" s="81"/>
      <c r="N10" s="83"/>
      <c r="O10" s="83">
        <v>-2173355.4559935168</v>
      </c>
      <c r="P10" s="300"/>
      <c r="Q10" s="81"/>
      <c r="R10" s="81"/>
      <c r="S10" s="81"/>
      <c r="T10" s="81"/>
      <c r="U10" s="81"/>
      <c r="V10" s="81"/>
      <c r="W10" s="81"/>
      <c r="X10" s="81"/>
      <c r="Y10" s="81"/>
      <c r="Z10" s="81"/>
      <c r="AA10" s="83">
        <f>+O10*(1+4%)</f>
        <v>-2260289.6742332578</v>
      </c>
      <c r="AB10" s="81"/>
      <c r="AC10" s="81"/>
      <c r="AD10" s="81"/>
      <c r="AE10" s="81"/>
      <c r="AF10" s="81"/>
      <c r="AG10" s="81"/>
      <c r="AH10" s="81"/>
      <c r="AI10" s="81"/>
      <c r="AJ10" s="81"/>
      <c r="AK10" s="81"/>
      <c r="AL10" s="81"/>
      <c r="AM10" s="83">
        <f>+AA10*(1+4%)</f>
        <v>-2350701.2612025882</v>
      </c>
      <c r="AN10" s="81"/>
    </row>
    <row r="11" spans="1:40">
      <c r="A11" s="88">
        <v>2022</v>
      </c>
      <c r="B11" s="124">
        <v>327731399</v>
      </c>
      <c r="C11" s="125" t="s">
        <v>9236</v>
      </c>
      <c r="D11" s="126" t="s">
        <v>9240</v>
      </c>
      <c r="E11" s="83">
        <v>4538609.1440000003</v>
      </c>
      <c r="F11" s="83">
        <v>4538609.1440000003</v>
      </c>
      <c r="G11" s="83">
        <v>4538609.1440000003</v>
      </c>
      <c r="H11" s="83">
        <v>4538609.1440000003</v>
      </c>
      <c r="I11" s="83">
        <v>4538609.1440000003</v>
      </c>
      <c r="J11" s="83">
        <v>4687112.4351916807</v>
      </c>
      <c r="K11" s="83">
        <v>4687112.4351916807</v>
      </c>
      <c r="L11" s="83">
        <v>4687112.4351916807</v>
      </c>
      <c r="M11" s="83">
        <v>4687112.4351916807</v>
      </c>
      <c r="N11" s="83">
        <v>4687112.4351916807</v>
      </c>
      <c r="O11" s="83">
        <v>4687112.4351916807</v>
      </c>
      <c r="P11" s="85">
        <v>4687112.4351916807</v>
      </c>
      <c r="Q11" s="83">
        <f>+P11*(1+$F$2)</f>
        <v>4874596.932599348</v>
      </c>
      <c r="R11" s="83">
        <f>+Q11</f>
        <v>4874596.932599348</v>
      </c>
      <c r="S11" s="83">
        <f>+R11</f>
        <v>4874596.932599348</v>
      </c>
      <c r="T11" s="83">
        <f t="shared" ref="T11:AB11" si="7">+S11</f>
        <v>4874596.932599348</v>
      </c>
      <c r="U11" s="83">
        <f t="shared" si="7"/>
        <v>4874596.932599348</v>
      </c>
      <c r="V11" s="83">
        <f t="shared" si="7"/>
        <v>4874596.932599348</v>
      </c>
      <c r="W11" s="83">
        <f t="shared" si="7"/>
        <v>4874596.932599348</v>
      </c>
      <c r="X11" s="83">
        <f t="shared" si="7"/>
        <v>4874596.932599348</v>
      </c>
      <c r="Y11" s="83">
        <f t="shared" si="7"/>
        <v>4874596.932599348</v>
      </c>
      <c r="Z11" s="83">
        <f t="shared" si="7"/>
        <v>4874596.932599348</v>
      </c>
      <c r="AA11" s="83">
        <f t="shared" si="7"/>
        <v>4874596.932599348</v>
      </c>
      <c r="AB11" s="83">
        <f t="shared" si="7"/>
        <v>4874596.932599348</v>
      </c>
      <c r="AC11" s="83">
        <f>+AB11*(1+$F$2)</f>
        <v>5069580.8099033218</v>
      </c>
      <c r="AD11" s="83">
        <f>+AC11</f>
        <v>5069580.8099033218</v>
      </c>
      <c r="AE11" s="83">
        <f>+AD11</f>
        <v>5069580.8099033218</v>
      </c>
      <c r="AF11" s="83">
        <f t="shared" ref="AF11:AN11" si="8">+AE11</f>
        <v>5069580.8099033218</v>
      </c>
      <c r="AG11" s="83">
        <f t="shared" si="8"/>
        <v>5069580.8099033218</v>
      </c>
      <c r="AH11" s="83">
        <f t="shared" si="8"/>
        <v>5069580.8099033218</v>
      </c>
      <c r="AI11" s="83">
        <f t="shared" si="8"/>
        <v>5069580.8099033218</v>
      </c>
      <c r="AJ11" s="83">
        <f t="shared" si="8"/>
        <v>5069580.8099033218</v>
      </c>
      <c r="AK11" s="83">
        <f t="shared" si="8"/>
        <v>5069580.8099033218</v>
      </c>
      <c r="AL11" s="83">
        <f t="shared" si="8"/>
        <v>5069580.8099033218</v>
      </c>
      <c r="AM11" s="83">
        <f t="shared" si="8"/>
        <v>5069580.8099033218</v>
      </c>
      <c r="AN11" s="83">
        <f t="shared" si="8"/>
        <v>5069580.8099033218</v>
      </c>
    </row>
    <row r="12" spans="1:40">
      <c r="A12" s="81"/>
      <c r="B12" s="127"/>
      <c r="C12" s="127"/>
      <c r="D12" s="129" t="s">
        <v>9240</v>
      </c>
      <c r="E12" s="81"/>
      <c r="F12" s="81"/>
      <c r="G12" s="81"/>
      <c r="H12" s="81"/>
      <c r="I12" s="81"/>
      <c r="J12" s="81"/>
      <c r="K12" s="81"/>
      <c r="L12" s="81"/>
      <c r="M12" s="81"/>
      <c r="N12" s="81"/>
      <c r="O12" s="81"/>
      <c r="P12" s="85">
        <v>-4930150.222128056</v>
      </c>
      <c r="Q12" s="81"/>
      <c r="R12" s="81"/>
      <c r="S12" s="81"/>
      <c r="T12" s="81"/>
      <c r="U12" s="81"/>
      <c r="V12" s="81"/>
      <c r="W12" s="81"/>
      <c r="X12" s="81"/>
      <c r="Y12" s="81"/>
      <c r="Z12" s="81"/>
      <c r="AA12" s="81"/>
      <c r="AB12" s="83">
        <f>+P12*(1+4%)</f>
        <v>-5127356.2310131788</v>
      </c>
      <c r="AC12" s="81"/>
      <c r="AD12" s="81"/>
      <c r="AE12" s="81"/>
      <c r="AF12" s="81"/>
      <c r="AG12" s="81"/>
      <c r="AH12" s="81"/>
      <c r="AI12" s="81"/>
      <c r="AJ12" s="81"/>
      <c r="AK12" s="81"/>
      <c r="AL12" s="81"/>
      <c r="AM12" s="81"/>
      <c r="AN12" s="83">
        <f>+AB12*(1+4%)</f>
        <v>-5332450.4802537058</v>
      </c>
    </row>
    <row r="13" spans="1:40">
      <c r="A13" s="88">
        <v>2023</v>
      </c>
      <c r="B13" s="124">
        <v>318561201</v>
      </c>
      <c r="C13" s="125" t="s">
        <v>9236</v>
      </c>
      <c r="D13" s="129" t="s">
        <v>9241</v>
      </c>
      <c r="E13" s="83">
        <v>3531189.2880000002</v>
      </c>
      <c r="F13" s="83">
        <v>3531189.2880000002</v>
      </c>
      <c r="G13" s="83">
        <v>3531189.2880000002</v>
      </c>
      <c r="H13" s="83">
        <v>3531189.2880000002</v>
      </c>
      <c r="I13" s="83">
        <v>3646729.8015033603</v>
      </c>
      <c r="J13" s="83">
        <v>3646729.8015033603</v>
      </c>
      <c r="K13" s="83">
        <v>3646729.8015033603</v>
      </c>
      <c r="L13" s="83">
        <v>3646729.8015033603</v>
      </c>
      <c r="M13" s="83">
        <v>3646729.8015033603</v>
      </c>
      <c r="N13" s="83">
        <v>3646729.8015033603</v>
      </c>
      <c r="O13" s="83">
        <v>3646729.8015033603</v>
      </c>
      <c r="P13" s="85">
        <v>3646729.8015033603</v>
      </c>
      <c r="Q13" s="83">
        <f>+P13*(1+$F$2)</f>
        <v>3792598.9935634946</v>
      </c>
      <c r="R13" s="83">
        <f>+Q13</f>
        <v>3792598.9935634946</v>
      </c>
      <c r="S13" s="83">
        <f>+R13</f>
        <v>3792598.9935634946</v>
      </c>
      <c r="T13" s="83">
        <f t="shared" ref="T13:AB13" si="9">+S13</f>
        <v>3792598.9935634946</v>
      </c>
      <c r="U13" s="83">
        <f t="shared" si="9"/>
        <v>3792598.9935634946</v>
      </c>
      <c r="V13" s="83">
        <f t="shared" si="9"/>
        <v>3792598.9935634946</v>
      </c>
      <c r="W13" s="83">
        <f t="shared" si="9"/>
        <v>3792598.9935634946</v>
      </c>
      <c r="X13" s="83">
        <f t="shared" si="9"/>
        <v>3792598.9935634946</v>
      </c>
      <c r="Y13" s="83">
        <f t="shared" si="9"/>
        <v>3792598.9935634946</v>
      </c>
      <c r="Z13" s="83">
        <f t="shared" si="9"/>
        <v>3792598.9935634946</v>
      </c>
      <c r="AA13" s="83">
        <f t="shared" si="9"/>
        <v>3792598.9935634946</v>
      </c>
      <c r="AB13" s="83">
        <f t="shared" si="9"/>
        <v>3792598.9935634946</v>
      </c>
      <c r="AC13" s="83">
        <f>+AB13*(1+$F$2)</f>
        <v>3944302.9533060347</v>
      </c>
      <c r="AD13" s="83">
        <f>+AC13</f>
        <v>3944302.9533060347</v>
      </c>
      <c r="AE13" s="83">
        <f>+AD13</f>
        <v>3944302.9533060347</v>
      </c>
      <c r="AF13" s="83">
        <f t="shared" ref="AF13:AN13" si="10">+AE13</f>
        <v>3944302.9533060347</v>
      </c>
      <c r="AG13" s="83">
        <f t="shared" si="10"/>
        <v>3944302.9533060347</v>
      </c>
      <c r="AH13" s="83">
        <f t="shared" si="10"/>
        <v>3944302.9533060347</v>
      </c>
      <c r="AI13" s="83">
        <f t="shared" si="10"/>
        <v>3944302.9533060347</v>
      </c>
      <c r="AJ13" s="83">
        <f t="shared" si="10"/>
        <v>3944302.9533060347</v>
      </c>
      <c r="AK13" s="83">
        <f t="shared" si="10"/>
        <v>3944302.9533060347</v>
      </c>
      <c r="AL13" s="83">
        <f t="shared" si="10"/>
        <v>3944302.9533060347</v>
      </c>
      <c r="AM13" s="83">
        <f t="shared" si="10"/>
        <v>3944302.9533060347</v>
      </c>
      <c r="AN13" s="83">
        <f t="shared" si="10"/>
        <v>3944302.9533060347</v>
      </c>
    </row>
    <row r="14" spans="1:40">
      <c r="A14" s="81"/>
      <c r="B14" s="127"/>
      <c r="C14" s="127"/>
      <c r="D14" s="129" t="s">
        <v>9241</v>
      </c>
      <c r="E14" s="83">
        <v>-3510548.2436626474</v>
      </c>
      <c r="F14" s="81"/>
      <c r="G14" s="81"/>
      <c r="H14" s="81"/>
      <c r="I14" s="81"/>
      <c r="J14" s="81"/>
      <c r="K14" s="81"/>
      <c r="L14" s="81"/>
      <c r="M14" s="81"/>
      <c r="N14" s="81"/>
      <c r="O14" s="81"/>
      <c r="P14" s="300"/>
      <c r="Q14" s="83">
        <f>+E14*(1+4%)</f>
        <v>-3650970.1734091532</v>
      </c>
      <c r="R14" s="81"/>
      <c r="S14" s="81"/>
      <c r="T14" s="81"/>
      <c r="U14" s="81"/>
      <c r="V14" s="81"/>
      <c r="W14" s="81"/>
      <c r="X14" s="81"/>
      <c r="Y14" s="81"/>
      <c r="Z14" s="81"/>
      <c r="AA14" s="81"/>
      <c r="AB14" s="81"/>
      <c r="AC14" s="83">
        <f>+Q14*(1+4%)</f>
        <v>-3797008.9803455197</v>
      </c>
      <c r="AD14" s="81"/>
      <c r="AE14" s="81"/>
      <c r="AF14" s="81"/>
      <c r="AG14" s="81"/>
      <c r="AH14" s="81"/>
      <c r="AI14" s="81"/>
      <c r="AJ14" s="81"/>
      <c r="AK14" s="81"/>
      <c r="AL14" s="81"/>
      <c r="AM14" s="81"/>
      <c r="AN14" s="81"/>
    </row>
    <row r="15" spans="1:40">
      <c r="A15" s="88">
        <v>2023</v>
      </c>
      <c r="B15" s="124">
        <v>48384380</v>
      </c>
      <c r="C15" s="125" t="s">
        <v>9236</v>
      </c>
      <c r="D15" s="126" t="s">
        <v>9242</v>
      </c>
      <c r="E15" s="83">
        <v>667456.40436189587</v>
      </c>
      <c r="F15" s="83">
        <v>667456.40436189587</v>
      </c>
      <c r="G15" s="83">
        <f>+F15</f>
        <v>667456.40436189587</v>
      </c>
      <c r="H15" s="83">
        <f t="shared" ref="H15:P15" si="11">+G15</f>
        <v>667456.40436189587</v>
      </c>
      <c r="I15" s="83">
        <f t="shared" si="11"/>
        <v>667456.40436189587</v>
      </c>
      <c r="J15" s="83">
        <f t="shared" si="11"/>
        <v>667456.40436189587</v>
      </c>
      <c r="K15" s="83">
        <f t="shared" si="11"/>
        <v>667456.40436189587</v>
      </c>
      <c r="L15" s="83">
        <f t="shared" si="11"/>
        <v>667456.40436189587</v>
      </c>
      <c r="M15" s="83">
        <f t="shared" si="11"/>
        <v>667456.40436189587</v>
      </c>
      <c r="N15" s="83">
        <f t="shared" si="11"/>
        <v>667456.40436189587</v>
      </c>
      <c r="O15" s="83">
        <f t="shared" si="11"/>
        <v>667456.40436189587</v>
      </c>
      <c r="P15" s="83">
        <f t="shared" si="11"/>
        <v>667456.40436189587</v>
      </c>
      <c r="Q15" s="83">
        <f>+P15*(1+$F$1)</f>
        <v>720852.91671084764</v>
      </c>
      <c r="R15" s="83">
        <f>+Q15</f>
        <v>720852.91671084764</v>
      </c>
      <c r="S15" s="83">
        <f>+R15</f>
        <v>720852.91671084764</v>
      </c>
      <c r="T15" s="83">
        <f t="shared" ref="T15:AB15" si="12">+S15</f>
        <v>720852.91671084764</v>
      </c>
      <c r="U15" s="83">
        <f t="shared" si="12"/>
        <v>720852.91671084764</v>
      </c>
      <c r="V15" s="83">
        <f t="shared" si="12"/>
        <v>720852.91671084764</v>
      </c>
      <c r="W15" s="83">
        <f t="shared" si="12"/>
        <v>720852.91671084764</v>
      </c>
      <c r="X15" s="83">
        <f t="shared" si="12"/>
        <v>720852.91671084764</v>
      </c>
      <c r="Y15" s="83">
        <f t="shared" si="12"/>
        <v>720852.91671084764</v>
      </c>
      <c r="Z15" s="83">
        <f t="shared" si="12"/>
        <v>720852.91671084764</v>
      </c>
      <c r="AA15" s="83">
        <f t="shared" si="12"/>
        <v>720852.91671084764</v>
      </c>
      <c r="AB15" s="83">
        <f t="shared" si="12"/>
        <v>720852.91671084764</v>
      </c>
      <c r="AC15" s="83">
        <f>+AB15*(1+$F$1)</f>
        <v>778521.15004771552</v>
      </c>
      <c r="AD15" s="83">
        <f>+AC15</f>
        <v>778521.15004771552</v>
      </c>
      <c r="AE15" s="83">
        <f>+AD15</f>
        <v>778521.15004771552</v>
      </c>
      <c r="AF15" s="83">
        <f t="shared" ref="AF15:AN15" si="13">+AE15</f>
        <v>778521.15004771552</v>
      </c>
      <c r="AG15" s="83">
        <f t="shared" si="13"/>
        <v>778521.15004771552</v>
      </c>
      <c r="AH15" s="83">
        <f t="shared" si="13"/>
        <v>778521.15004771552</v>
      </c>
      <c r="AI15" s="83">
        <f t="shared" si="13"/>
        <v>778521.15004771552</v>
      </c>
      <c r="AJ15" s="83">
        <f t="shared" si="13"/>
        <v>778521.15004771552</v>
      </c>
      <c r="AK15" s="83">
        <f t="shared" si="13"/>
        <v>778521.15004771552</v>
      </c>
      <c r="AL15" s="83">
        <f t="shared" si="13"/>
        <v>778521.15004771552</v>
      </c>
      <c r="AM15" s="83">
        <f t="shared" si="13"/>
        <v>778521.15004771552</v>
      </c>
      <c r="AN15" s="83">
        <f t="shared" si="13"/>
        <v>778521.15004771552</v>
      </c>
    </row>
    <row r="16" spans="1:40">
      <c r="A16" s="81"/>
      <c r="B16" s="127"/>
      <c r="C16" s="127"/>
      <c r="D16" s="129" t="s">
        <v>9242</v>
      </c>
      <c r="E16" s="81"/>
      <c r="F16" s="83">
        <v>-1249411.5843918761</v>
      </c>
      <c r="G16" s="81"/>
      <c r="H16" s="81"/>
      <c r="I16" s="81"/>
      <c r="J16" s="81"/>
      <c r="K16" s="81"/>
      <c r="L16" s="81"/>
      <c r="M16" s="81"/>
      <c r="N16" s="81"/>
      <c r="O16" s="81"/>
      <c r="P16" s="300"/>
      <c r="Q16" s="81"/>
      <c r="R16" s="83">
        <v>-1249411.5843918761</v>
      </c>
      <c r="S16" s="81"/>
      <c r="T16" s="81"/>
      <c r="U16" s="81"/>
      <c r="V16" s="81"/>
      <c r="W16" s="81"/>
      <c r="X16" s="81"/>
      <c r="Y16" s="81"/>
      <c r="Z16" s="81"/>
      <c r="AA16" s="81"/>
      <c r="AB16" s="81"/>
      <c r="AC16" s="81"/>
      <c r="AD16" s="83">
        <v>-1249411.5843918761</v>
      </c>
      <c r="AE16" s="81"/>
      <c r="AF16" s="81"/>
      <c r="AG16" s="81"/>
      <c r="AH16" s="81"/>
      <c r="AI16" s="81"/>
      <c r="AJ16" s="81"/>
      <c r="AK16" s="81"/>
      <c r="AL16" s="81"/>
      <c r="AM16" s="81"/>
      <c r="AN16" s="81"/>
    </row>
    <row r="17" spans="1:40">
      <c r="A17" s="88">
        <v>2023</v>
      </c>
      <c r="B17" s="124">
        <v>203918396</v>
      </c>
      <c r="C17" s="125" t="s">
        <v>9236</v>
      </c>
      <c r="D17" s="126" t="s">
        <v>9243</v>
      </c>
      <c r="E17" s="83">
        <v>1808102.5</v>
      </c>
      <c r="F17" s="83">
        <v>1808102.5</v>
      </c>
      <c r="G17" s="83">
        <v>1808102.5</v>
      </c>
      <c r="H17" s="83">
        <v>1808102.5</v>
      </c>
      <c r="I17" s="83">
        <v>1808102.5</v>
      </c>
      <c r="J17" s="83">
        <v>1921126.987275</v>
      </c>
      <c r="K17" s="83">
        <v>1921126.987275</v>
      </c>
      <c r="L17" s="83">
        <v>1921126.987275</v>
      </c>
      <c r="M17" s="83">
        <v>1921126.987275</v>
      </c>
      <c r="N17" s="83">
        <v>1921126.987275</v>
      </c>
      <c r="O17" s="83">
        <v>1921126.987275</v>
      </c>
      <c r="P17" s="85">
        <v>1921126.987275</v>
      </c>
      <c r="Q17" s="83">
        <f>+P17*(1+$F$1)</f>
        <v>2074817.146257</v>
      </c>
      <c r="R17" s="83">
        <f>+Q17</f>
        <v>2074817.146257</v>
      </c>
      <c r="S17" s="83">
        <f t="shared" ref="S17:AB17" si="14">+R17</f>
        <v>2074817.146257</v>
      </c>
      <c r="T17" s="83">
        <f t="shared" si="14"/>
        <v>2074817.146257</v>
      </c>
      <c r="U17" s="83">
        <f t="shared" si="14"/>
        <v>2074817.146257</v>
      </c>
      <c r="V17" s="83">
        <f t="shared" si="14"/>
        <v>2074817.146257</v>
      </c>
      <c r="W17" s="83">
        <f t="shared" si="14"/>
        <v>2074817.146257</v>
      </c>
      <c r="X17" s="83">
        <f t="shared" si="14"/>
        <v>2074817.146257</v>
      </c>
      <c r="Y17" s="83">
        <f t="shared" si="14"/>
        <v>2074817.146257</v>
      </c>
      <c r="Z17" s="83">
        <f t="shared" si="14"/>
        <v>2074817.146257</v>
      </c>
      <c r="AA17" s="83">
        <f t="shared" si="14"/>
        <v>2074817.146257</v>
      </c>
      <c r="AB17" s="83">
        <f t="shared" si="14"/>
        <v>2074817.146257</v>
      </c>
      <c r="AC17" s="83">
        <f>+AB17*(1+$F$1)</f>
        <v>2240802.5179575603</v>
      </c>
      <c r="AD17" s="83">
        <f>+AC17</f>
        <v>2240802.5179575603</v>
      </c>
      <c r="AE17" s="83">
        <f t="shared" ref="AE17:AN17" si="15">+AD17</f>
        <v>2240802.5179575603</v>
      </c>
      <c r="AF17" s="83">
        <f t="shared" si="15"/>
        <v>2240802.5179575603</v>
      </c>
      <c r="AG17" s="83">
        <f t="shared" si="15"/>
        <v>2240802.5179575603</v>
      </c>
      <c r="AH17" s="83">
        <f t="shared" si="15"/>
        <v>2240802.5179575603</v>
      </c>
      <c r="AI17" s="83">
        <f t="shared" si="15"/>
        <v>2240802.5179575603</v>
      </c>
      <c r="AJ17" s="83">
        <f t="shared" si="15"/>
        <v>2240802.5179575603</v>
      </c>
      <c r="AK17" s="83">
        <f t="shared" si="15"/>
        <v>2240802.5179575603</v>
      </c>
      <c r="AL17" s="83">
        <f t="shared" si="15"/>
        <v>2240802.5179575603</v>
      </c>
      <c r="AM17" s="83">
        <f t="shared" si="15"/>
        <v>2240802.5179575603</v>
      </c>
      <c r="AN17" s="83">
        <f t="shared" si="15"/>
        <v>2240802.5179575603</v>
      </c>
    </row>
    <row r="18" spans="1:40">
      <c r="A18" s="81"/>
      <c r="B18" s="127"/>
      <c r="C18" s="127"/>
      <c r="D18" s="126" t="s">
        <v>9243</v>
      </c>
      <c r="E18" s="83"/>
      <c r="F18" s="83"/>
      <c r="G18" s="83">
        <v>-2260805.6187019325</v>
      </c>
      <c r="H18" s="83"/>
      <c r="I18" s="83"/>
      <c r="J18" s="83"/>
      <c r="K18" s="83"/>
      <c r="L18" s="83"/>
      <c r="M18" s="83"/>
      <c r="N18" s="83"/>
      <c r="O18" s="83"/>
      <c r="P18" s="85"/>
      <c r="Q18" s="81"/>
      <c r="R18" s="81"/>
      <c r="S18" s="83">
        <f>+G18*(1+$F$2)</f>
        <v>-2351237.8434500098</v>
      </c>
      <c r="T18" s="81"/>
      <c r="U18" s="81"/>
      <c r="V18" s="81"/>
      <c r="W18" s="81"/>
      <c r="X18" s="81"/>
      <c r="Y18" s="81"/>
      <c r="Z18" s="81"/>
      <c r="AA18" s="81"/>
      <c r="AB18" s="81"/>
      <c r="AC18" s="81"/>
      <c r="AD18" s="81"/>
      <c r="AE18" s="83">
        <f>+S18*(1+$F$2)</f>
        <v>-2445287.3571880101</v>
      </c>
      <c r="AF18" s="81"/>
      <c r="AG18" s="81"/>
      <c r="AH18" s="81"/>
      <c r="AI18" s="81"/>
      <c r="AJ18" s="81"/>
      <c r="AK18" s="81"/>
      <c r="AL18" s="81"/>
      <c r="AM18" s="81"/>
      <c r="AN18" s="81"/>
    </row>
    <row r="19" spans="1:40">
      <c r="A19" s="88">
        <v>2023</v>
      </c>
      <c r="B19" s="124">
        <v>220143874</v>
      </c>
      <c r="C19" s="125" t="s">
        <v>9236</v>
      </c>
      <c r="D19" s="126" t="s">
        <v>9244</v>
      </c>
      <c r="E19" s="83">
        <v>1841035.5511441668</v>
      </c>
      <c r="F19" s="83">
        <v>1841035.5511441668</v>
      </c>
      <c r="G19" s="83">
        <v>1841035.5511441668</v>
      </c>
      <c r="H19" s="83">
        <v>1841035.5511441668</v>
      </c>
      <c r="I19" s="83">
        <v>1841035.5511441668</v>
      </c>
      <c r="J19" s="83">
        <v>1956118.6834461887</v>
      </c>
      <c r="K19" s="83">
        <v>1956118.6834461887</v>
      </c>
      <c r="L19" s="83">
        <v>2208316.1752018095</v>
      </c>
      <c r="M19" s="83">
        <v>2208316.1752018095</v>
      </c>
      <c r="N19" s="83">
        <v>2493028.8591009723</v>
      </c>
      <c r="O19" s="83">
        <v>2493028.8591009723</v>
      </c>
      <c r="P19" s="85">
        <v>2814448.8375820159</v>
      </c>
      <c r="Q19" s="83">
        <f>+P19*(1+$F$1)</f>
        <v>3039604.7445885772</v>
      </c>
      <c r="R19" s="83">
        <f>+Q19</f>
        <v>3039604.7445885772</v>
      </c>
      <c r="S19" s="83">
        <f t="shared" ref="S19:AB19" si="16">+R19</f>
        <v>3039604.7445885772</v>
      </c>
      <c r="T19" s="83">
        <f t="shared" si="16"/>
        <v>3039604.7445885772</v>
      </c>
      <c r="U19" s="83">
        <f t="shared" si="16"/>
        <v>3039604.7445885772</v>
      </c>
      <c r="V19" s="83">
        <f t="shared" si="16"/>
        <v>3039604.7445885772</v>
      </c>
      <c r="W19" s="83">
        <f t="shared" si="16"/>
        <v>3039604.7445885772</v>
      </c>
      <c r="X19" s="83">
        <f t="shared" si="16"/>
        <v>3039604.7445885772</v>
      </c>
      <c r="Y19" s="83">
        <f t="shared" si="16"/>
        <v>3039604.7445885772</v>
      </c>
      <c r="Z19" s="83">
        <f t="shared" si="16"/>
        <v>3039604.7445885772</v>
      </c>
      <c r="AA19" s="83">
        <f t="shared" si="16"/>
        <v>3039604.7445885772</v>
      </c>
      <c r="AB19" s="83">
        <f t="shared" si="16"/>
        <v>3039604.7445885772</v>
      </c>
      <c r="AC19" s="83">
        <f>+AB19*(1+$F$1)</f>
        <v>3282773.1241556634</v>
      </c>
      <c r="AD19" s="83">
        <f>+AC19</f>
        <v>3282773.1241556634</v>
      </c>
      <c r="AE19" s="83">
        <f t="shared" ref="AE19:AN19" si="17">+AD19</f>
        <v>3282773.1241556634</v>
      </c>
      <c r="AF19" s="83">
        <f t="shared" si="17"/>
        <v>3282773.1241556634</v>
      </c>
      <c r="AG19" s="83">
        <f t="shared" si="17"/>
        <v>3282773.1241556634</v>
      </c>
      <c r="AH19" s="83">
        <f t="shared" si="17"/>
        <v>3282773.1241556634</v>
      </c>
      <c r="AI19" s="83">
        <f t="shared" si="17"/>
        <v>3282773.1241556634</v>
      </c>
      <c r="AJ19" s="83">
        <f t="shared" si="17"/>
        <v>3282773.1241556634</v>
      </c>
      <c r="AK19" s="83">
        <f t="shared" si="17"/>
        <v>3282773.1241556634</v>
      </c>
      <c r="AL19" s="83">
        <f t="shared" si="17"/>
        <v>3282773.1241556634</v>
      </c>
      <c r="AM19" s="83">
        <f t="shared" si="17"/>
        <v>3282773.1241556634</v>
      </c>
      <c r="AN19" s="83">
        <f t="shared" si="17"/>
        <v>3282773.1241556634</v>
      </c>
    </row>
    <row r="20" spans="1:40">
      <c r="A20" s="81"/>
      <c r="B20" s="127"/>
      <c r="C20" s="127"/>
      <c r="D20" s="126" t="s">
        <v>9244</v>
      </c>
      <c r="E20" s="81"/>
      <c r="F20" s="81"/>
      <c r="G20" s="83">
        <v>-2057175.8778584108</v>
      </c>
      <c r="H20" s="81"/>
      <c r="I20" s="81"/>
      <c r="J20" s="81"/>
      <c r="K20" s="81"/>
      <c r="L20" s="81"/>
      <c r="M20" s="81"/>
      <c r="N20" s="81"/>
      <c r="O20" s="81"/>
      <c r="P20" s="300"/>
      <c r="Q20" s="81"/>
      <c r="R20" s="81"/>
      <c r="S20" s="83">
        <f>-2057175.87785841*(1+F2)</f>
        <v>-2139462.9129727464</v>
      </c>
      <c r="T20" s="81"/>
      <c r="U20" s="81"/>
      <c r="V20" s="81"/>
      <c r="W20" s="81"/>
      <c r="X20" s="81"/>
      <c r="Y20" s="81"/>
      <c r="Z20" s="81"/>
      <c r="AA20" s="81"/>
      <c r="AB20" s="81"/>
      <c r="AC20" s="81"/>
      <c r="AD20" s="81"/>
      <c r="AE20" s="83">
        <f>-2057175.87785841*(1+R2)</f>
        <v>-2057175.8778584099</v>
      </c>
      <c r="AF20" s="81"/>
      <c r="AG20" s="81"/>
      <c r="AH20" s="81"/>
      <c r="AI20" s="81"/>
      <c r="AJ20" s="81"/>
      <c r="AK20" s="81"/>
      <c r="AL20" s="81"/>
      <c r="AM20" s="81"/>
      <c r="AN20" s="81"/>
    </row>
    <row r="21" spans="1:40">
      <c r="A21" s="88">
        <v>2022</v>
      </c>
      <c r="B21" s="124">
        <v>63244600</v>
      </c>
      <c r="C21" s="125" t="s">
        <v>9236</v>
      </c>
      <c r="D21" s="126" t="s">
        <v>9245</v>
      </c>
      <c r="E21" s="83">
        <v>1260884.2558666668</v>
      </c>
      <c r="F21" s="83">
        <v>1260884.2558666668</v>
      </c>
      <c r="G21" s="83">
        <v>1260884.2558666668</v>
      </c>
      <c r="H21" s="83">
        <v>1260884.2558666668</v>
      </c>
      <c r="I21" s="83">
        <v>1260884.2558666668</v>
      </c>
      <c r="J21" s="83">
        <v>1260884.2558666668</v>
      </c>
      <c r="K21" s="83">
        <v>1302140.3887186241</v>
      </c>
      <c r="L21" s="83">
        <v>1302140.3887186241</v>
      </c>
      <c r="M21" s="83">
        <v>1302140.3887186241</v>
      </c>
      <c r="N21" s="83">
        <v>1302140.3887186241</v>
      </c>
      <c r="O21" s="83">
        <v>1302140.3887186241</v>
      </c>
      <c r="P21" s="85">
        <v>1302140.3887186241</v>
      </c>
      <c r="Q21" s="83">
        <f>+P21*(1+$F$1)</f>
        <v>1406311.6198161142</v>
      </c>
      <c r="R21" s="83">
        <f>+Q21</f>
        <v>1406311.6198161142</v>
      </c>
      <c r="S21" s="83">
        <f t="shared" ref="S21:AB21" si="18">+R21</f>
        <v>1406311.6198161142</v>
      </c>
      <c r="T21" s="83">
        <f t="shared" si="18"/>
        <v>1406311.6198161142</v>
      </c>
      <c r="U21" s="83">
        <f t="shared" si="18"/>
        <v>1406311.6198161142</v>
      </c>
      <c r="V21" s="83">
        <f t="shared" si="18"/>
        <v>1406311.6198161142</v>
      </c>
      <c r="W21" s="83">
        <f t="shared" si="18"/>
        <v>1406311.6198161142</v>
      </c>
      <c r="X21" s="83">
        <f t="shared" si="18"/>
        <v>1406311.6198161142</v>
      </c>
      <c r="Y21" s="83">
        <f t="shared" si="18"/>
        <v>1406311.6198161142</v>
      </c>
      <c r="Z21" s="83">
        <f t="shared" si="18"/>
        <v>1406311.6198161142</v>
      </c>
      <c r="AA21" s="83">
        <f t="shared" si="18"/>
        <v>1406311.6198161142</v>
      </c>
      <c r="AB21" s="83">
        <f t="shared" si="18"/>
        <v>1406311.6198161142</v>
      </c>
      <c r="AC21" s="83">
        <f>+AB21*(1+$F$1)</f>
        <v>1518816.5494014034</v>
      </c>
      <c r="AD21" s="83">
        <f>+AC21</f>
        <v>1518816.5494014034</v>
      </c>
      <c r="AE21" s="83">
        <f t="shared" ref="AE21:AN21" si="19">+AD21</f>
        <v>1518816.5494014034</v>
      </c>
      <c r="AF21" s="83">
        <f t="shared" si="19"/>
        <v>1518816.5494014034</v>
      </c>
      <c r="AG21" s="83">
        <f t="shared" si="19"/>
        <v>1518816.5494014034</v>
      </c>
      <c r="AH21" s="83">
        <f t="shared" si="19"/>
        <v>1518816.5494014034</v>
      </c>
      <c r="AI21" s="83">
        <f t="shared" si="19"/>
        <v>1518816.5494014034</v>
      </c>
      <c r="AJ21" s="83">
        <f t="shared" si="19"/>
        <v>1518816.5494014034</v>
      </c>
      <c r="AK21" s="83">
        <f t="shared" si="19"/>
        <v>1518816.5494014034</v>
      </c>
      <c r="AL21" s="83">
        <f t="shared" si="19"/>
        <v>1518816.5494014034</v>
      </c>
      <c r="AM21" s="83">
        <f t="shared" si="19"/>
        <v>1518816.5494014034</v>
      </c>
      <c r="AN21" s="83">
        <f t="shared" si="19"/>
        <v>1518816.5494014034</v>
      </c>
    </row>
    <row r="22" spans="1:40">
      <c r="A22" s="81"/>
      <c r="B22" s="127"/>
      <c r="C22" s="127"/>
      <c r="D22" s="126" t="s">
        <v>9245</v>
      </c>
      <c r="E22" s="81"/>
      <c r="F22" s="81"/>
      <c r="G22" s="81"/>
      <c r="H22" s="83">
        <v>-1270980.7159520478</v>
      </c>
      <c r="I22" s="81"/>
      <c r="J22" s="81"/>
      <c r="K22" s="81"/>
      <c r="L22" s="81"/>
      <c r="M22" s="81"/>
      <c r="N22" s="81"/>
      <c r="O22" s="81"/>
      <c r="P22" s="300"/>
      <c r="Q22" s="81"/>
      <c r="R22" s="81"/>
      <c r="S22" s="81"/>
      <c r="T22" s="83">
        <f>-1270980.71595205*(1+4%)</f>
        <v>-1321819.944590132</v>
      </c>
      <c r="U22" s="81"/>
      <c r="V22" s="81"/>
      <c r="W22" s="81"/>
      <c r="X22" s="81"/>
      <c r="Y22" s="81"/>
      <c r="Z22" s="81"/>
      <c r="AA22" s="81"/>
      <c r="AB22" s="81"/>
      <c r="AC22" s="81"/>
      <c r="AD22" s="81"/>
      <c r="AE22" s="81"/>
      <c r="AF22" s="83">
        <f>-1270980.71595205*(1+4%)</f>
        <v>-1321819.944590132</v>
      </c>
      <c r="AG22" s="81"/>
      <c r="AH22" s="81"/>
      <c r="AI22" s="81"/>
      <c r="AJ22" s="81"/>
      <c r="AK22" s="81"/>
      <c r="AL22" s="81"/>
      <c r="AM22" s="81"/>
      <c r="AN22" s="81"/>
    </row>
    <row r="23" spans="1:40">
      <c r="A23" s="88">
        <v>2022</v>
      </c>
      <c r="B23" s="124">
        <v>107086310</v>
      </c>
      <c r="C23" s="125" t="s">
        <v>9236</v>
      </c>
      <c r="D23" s="126" t="s">
        <v>9246</v>
      </c>
      <c r="E23" s="83">
        <v>2043041.0108625002</v>
      </c>
      <c r="F23" s="83">
        <v>2043041.0108625002</v>
      </c>
      <c r="G23" s="83">
        <v>2043041.0108624999</v>
      </c>
      <c r="H23" s="83">
        <v>2043041.0108624999</v>
      </c>
      <c r="I23" s="83">
        <v>2043041.0108624999</v>
      </c>
      <c r="J23" s="83">
        <v>2043041.0108624999</v>
      </c>
      <c r="K23" s="83">
        <v>2109889.3127379213</v>
      </c>
      <c r="L23" s="83">
        <v>2109889.3127379213</v>
      </c>
      <c r="M23" s="83">
        <v>2250219.3134858855</v>
      </c>
      <c r="N23" s="83">
        <v>2250219.3134858855</v>
      </c>
      <c r="O23" s="83">
        <v>2250219.3134858855</v>
      </c>
      <c r="P23" s="85">
        <v>2250219.3134858855</v>
      </c>
      <c r="Q23" s="83">
        <f>+P23*(1+$F$2)</f>
        <v>2340228.0860253209</v>
      </c>
      <c r="R23" s="83">
        <f>+Q23</f>
        <v>2340228.0860253209</v>
      </c>
      <c r="S23" s="83">
        <f t="shared" ref="S23:AB25" si="20">+R23</f>
        <v>2340228.0860253209</v>
      </c>
      <c r="T23" s="83">
        <f t="shared" si="20"/>
        <v>2340228.0860253209</v>
      </c>
      <c r="U23" s="83">
        <f t="shared" si="20"/>
        <v>2340228.0860253209</v>
      </c>
      <c r="V23" s="83">
        <f t="shared" si="20"/>
        <v>2340228.0860253209</v>
      </c>
      <c r="W23" s="83">
        <f t="shared" si="20"/>
        <v>2340228.0860253209</v>
      </c>
      <c r="X23" s="83">
        <f t="shared" si="20"/>
        <v>2340228.0860253209</v>
      </c>
      <c r="Y23" s="83">
        <f t="shared" si="20"/>
        <v>2340228.0860253209</v>
      </c>
      <c r="Z23" s="83">
        <f t="shared" si="20"/>
        <v>2340228.0860253209</v>
      </c>
      <c r="AA23" s="83">
        <f t="shared" si="20"/>
        <v>2340228.0860253209</v>
      </c>
      <c r="AB23" s="83">
        <f t="shared" si="20"/>
        <v>2340228.0860253209</v>
      </c>
      <c r="AC23" s="83">
        <f>+AB23*(1+$F$2)</f>
        <v>2433837.209466334</v>
      </c>
      <c r="AD23" s="83">
        <f>+AC23</f>
        <v>2433837.209466334</v>
      </c>
      <c r="AE23" s="83">
        <f t="shared" ref="AE23:AN23" si="21">+AD23</f>
        <v>2433837.209466334</v>
      </c>
      <c r="AF23" s="83">
        <f t="shared" si="21"/>
        <v>2433837.209466334</v>
      </c>
      <c r="AG23" s="83">
        <f t="shared" si="21"/>
        <v>2433837.209466334</v>
      </c>
      <c r="AH23" s="83">
        <f t="shared" si="21"/>
        <v>2433837.209466334</v>
      </c>
      <c r="AI23" s="83">
        <f t="shared" si="21"/>
        <v>2433837.209466334</v>
      </c>
      <c r="AJ23" s="83">
        <f t="shared" si="21"/>
        <v>2433837.209466334</v>
      </c>
      <c r="AK23" s="83">
        <f t="shared" si="21"/>
        <v>2433837.209466334</v>
      </c>
      <c r="AL23" s="83">
        <f t="shared" si="21"/>
        <v>2433837.209466334</v>
      </c>
      <c r="AM23" s="83">
        <f t="shared" si="21"/>
        <v>2433837.209466334</v>
      </c>
      <c r="AN23" s="83">
        <f t="shared" si="21"/>
        <v>2433837.209466334</v>
      </c>
    </row>
    <row r="24" spans="1:40">
      <c r="A24" s="81"/>
      <c r="B24" s="127"/>
      <c r="C24" s="127"/>
      <c r="D24" s="126" t="s">
        <v>9246</v>
      </c>
      <c r="E24" s="81"/>
      <c r="F24" s="81"/>
      <c r="G24" s="81"/>
      <c r="H24" s="83">
        <v>-1343933.2028315878</v>
      </c>
      <c r="I24" s="81"/>
      <c r="J24" s="81"/>
      <c r="K24" s="81"/>
      <c r="L24" s="81"/>
      <c r="M24" s="81"/>
      <c r="N24" s="81"/>
      <c r="O24" s="81"/>
      <c r="P24" s="300"/>
      <c r="Q24" s="81"/>
      <c r="R24" s="81"/>
      <c r="S24" s="81"/>
      <c r="T24" s="83">
        <f>+H24*(1+4%)</f>
        <v>-1397690.5309448512</v>
      </c>
      <c r="U24" s="81"/>
      <c r="V24" s="81"/>
      <c r="W24" s="81"/>
      <c r="X24" s="81"/>
      <c r="Y24" s="81"/>
      <c r="Z24" s="81"/>
      <c r="AA24" s="81"/>
      <c r="AB24" s="81"/>
      <c r="AC24" s="81"/>
      <c r="AD24" s="81"/>
      <c r="AE24" s="81"/>
      <c r="AF24" s="83">
        <f>+T24*(1+4%)</f>
        <v>-1453598.1521826454</v>
      </c>
      <c r="AG24" s="81"/>
      <c r="AH24" s="81"/>
      <c r="AI24" s="81"/>
      <c r="AJ24" s="81"/>
      <c r="AK24" s="81"/>
      <c r="AL24" s="81"/>
      <c r="AM24" s="81"/>
      <c r="AN24" s="81"/>
    </row>
    <row r="25" spans="1:40">
      <c r="A25" s="88">
        <v>2023</v>
      </c>
      <c r="B25" s="124">
        <v>380430358</v>
      </c>
      <c r="C25" s="125" t="s">
        <v>9236</v>
      </c>
      <c r="D25" s="126" t="s">
        <v>9247</v>
      </c>
      <c r="E25" s="83">
        <v>4380455.0333333341</v>
      </c>
      <c r="F25" s="83">
        <v>4380455.0333333341</v>
      </c>
      <c r="G25" s="83">
        <v>4380455.0333333341</v>
      </c>
      <c r="H25" s="83">
        <v>4380455.0333333341</v>
      </c>
      <c r="I25" s="83">
        <v>4380455.0333333341</v>
      </c>
      <c r="J25" s="83">
        <v>4380455.0333333341</v>
      </c>
      <c r="K25" s="83">
        <v>4380455.0333333341</v>
      </c>
      <c r="L25" s="83">
        <v>4380455.0333333341</v>
      </c>
      <c r="M25" s="83">
        <v>4523783.522024001</v>
      </c>
      <c r="N25" s="83">
        <v>4523783.522024001</v>
      </c>
      <c r="O25" s="83">
        <v>4523783.522024001</v>
      </c>
      <c r="P25" s="85">
        <v>4523783.522024001</v>
      </c>
      <c r="Q25" s="83">
        <f>+P25*(1+$F$2)</f>
        <v>4704734.8629049612</v>
      </c>
      <c r="R25" s="83">
        <f>+Q25</f>
        <v>4704734.8629049612</v>
      </c>
      <c r="S25" s="83">
        <f t="shared" si="20"/>
        <v>4704734.8629049612</v>
      </c>
      <c r="T25" s="83">
        <f t="shared" si="20"/>
        <v>4704734.8629049612</v>
      </c>
      <c r="U25" s="83">
        <f t="shared" si="20"/>
        <v>4704734.8629049612</v>
      </c>
      <c r="V25" s="83">
        <f t="shared" si="20"/>
        <v>4704734.8629049612</v>
      </c>
      <c r="W25" s="83">
        <f t="shared" si="20"/>
        <v>4704734.8629049612</v>
      </c>
      <c r="X25" s="83">
        <f t="shared" si="20"/>
        <v>4704734.8629049612</v>
      </c>
      <c r="Y25" s="83">
        <f t="shared" si="20"/>
        <v>4704734.8629049612</v>
      </c>
      <c r="Z25" s="83">
        <f t="shared" si="20"/>
        <v>4704734.8629049612</v>
      </c>
      <c r="AA25" s="83">
        <f t="shared" si="20"/>
        <v>4704734.8629049612</v>
      </c>
      <c r="AB25" s="83">
        <f t="shared" si="20"/>
        <v>4704734.8629049612</v>
      </c>
      <c r="AC25" s="83">
        <f>+AB25*(1+$F$2)</f>
        <v>4892924.2574211601</v>
      </c>
      <c r="AD25" s="83">
        <f>+AC25</f>
        <v>4892924.2574211601</v>
      </c>
      <c r="AE25" s="83">
        <f t="shared" ref="AE25:AN25" si="22">+AD25</f>
        <v>4892924.2574211601</v>
      </c>
      <c r="AF25" s="83">
        <f t="shared" si="22"/>
        <v>4892924.2574211601</v>
      </c>
      <c r="AG25" s="83">
        <f t="shared" si="22"/>
        <v>4892924.2574211601</v>
      </c>
      <c r="AH25" s="83">
        <f t="shared" si="22"/>
        <v>4892924.2574211601</v>
      </c>
      <c r="AI25" s="83">
        <f t="shared" si="22"/>
        <v>4892924.2574211601</v>
      </c>
      <c r="AJ25" s="83">
        <f t="shared" si="22"/>
        <v>4892924.2574211601</v>
      </c>
      <c r="AK25" s="83">
        <f t="shared" si="22"/>
        <v>4892924.2574211601</v>
      </c>
      <c r="AL25" s="83">
        <f t="shared" si="22"/>
        <v>4892924.2574211601</v>
      </c>
      <c r="AM25" s="83">
        <f t="shared" si="22"/>
        <v>4892924.2574211601</v>
      </c>
      <c r="AN25" s="83">
        <f t="shared" si="22"/>
        <v>4892924.2574211601</v>
      </c>
    </row>
    <row r="26" spans="1:40">
      <c r="A26" s="81"/>
      <c r="B26" s="127"/>
      <c r="C26" s="127"/>
      <c r="D26" s="126" t="s">
        <v>9247</v>
      </c>
      <c r="E26" s="81"/>
      <c r="F26" s="81"/>
      <c r="G26" s="81"/>
      <c r="H26" s="83"/>
      <c r="I26" s="83">
        <v>-4608607.16</v>
      </c>
      <c r="J26" s="81"/>
      <c r="K26" s="81"/>
      <c r="L26" s="81"/>
      <c r="M26" s="81"/>
      <c r="N26" s="81"/>
      <c r="O26" s="81"/>
      <c r="P26" s="300"/>
      <c r="Q26" s="81"/>
      <c r="R26" s="81"/>
      <c r="S26" s="81"/>
      <c r="T26" s="81"/>
      <c r="U26" s="83">
        <f>-4608607.16*(1+4%)</f>
        <v>-4792951.4464000007</v>
      </c>
      <c r="V26" s="81"/>
      <c r="W26" s="81"/>
      <c r="X26" s="81"/>
      <c r="Y26" s="81"/>
      <c r="Z26" s="81"/>
      <c r="AA26" s="81"/>
      <c r="AB26" s="81"/>
      <c r="AC26" s="81"/>
      <c r="AD26" s="81"/>
      <c r="AE26" s="81"/>
      <c r="AF26" s="81"/>
      <c r="AG26" s="83">
        <f>-4608607.16*(1+4%)</f>
        <v>-4792951.4464000007</v>
      </c>
      <c r="AH26" s="81"/>
      <c r="AI26" s="81"/>
      <c r="AJ26" s="81"/>
      <c r="AK26" s="81"/>
      <c r="AL26" s="81"/>
      <c r="AM26" s="81"/>
      <c r="AN26" s="81"/>
    </row>
    <row r="27" spans="1:40">
      <c r="A27" s="88">
        <v>2023</v>
      </c>
      <c r="B27" s="124">
        <v>751935101.17999995</v>
      </c>
      <c r="C27" s="125" t="s">
        <v>9248</v>
      </c>
      <c r="D27" s="126" t="s">
        <v>9249</v>
      </c>
      <c r="E27" s="83"/>
      <c r="F27" s="83">
        <f>8124298.96666667/2</f>
        <v>4062149.4833333348</v>
      </c>
      <c r="G27" s="83">
        <v>8124298.9666666677</v>
      </c>
      <c r="H27" s="83">
        <v>8124298.9666666677</v>
      </c>
      <c r="I27" s="83">
        <v>8124298.9666666677</v>
      </c>
      <c r="J27" s="83">
        <v>8124298.9666666677</v>
      </c>
      <c r="K27" s="83">
        <v>8124298.9666666677</v>
      </c>
      <c r="L27" s="83">
        <v>8124298.9666666677</v>
      </c>
      <c r="M27" s="83">
        <v>8124298.9666666677</v>
      </c>
      <c r="N27" s="83">
        <v>8124298.9666666677</v>
      </c>
      <c r="O27" s="83">
        <v>8124298.9666666677</v>
      </c>
      <c r="P27" s="85">
        <v>8124298.9666666677</v>
      </c>
      <c r="Q27" s="83">
        <f>+P27*(1+$F$2)</f>
        <v>8449270.9253333341</v>
      </c>
      <c r="R27" s="83">
        <f>+Q27</f>
        <v>8449270.9253333341</v>
      </c>
      <c r="S27" s="83">
        <f t="shared" ref="S27:AB27" si="23">+R27</f>
        <v>8449270.9253333341</v>
      </c>
      <c r="T27" s="83">
        <f t="shared" si="23"/>
        <v>8449270.9253333341</v>
      </c>
      <c r="U27" s="83">
        <f t="shared" si="23"/>
        <v>8449270.9253333341</v>
      </c>
      <c r="V27" s="83">
        <f t="shared" si="23"/>
        <v>8449270.9253333341</v>
      </c>
      <c r="W27" s="83">
        <f t="shared" si="23"/>
        <v>8449270.9253333341</v>
      </c>
      <c r="X27" s="83">
        <f t="shared" si="23"/>
        <v>8449270.9253333341</v>
      </c>
      <c r="Y27" s="83">
        <f t="shared" si="23"/>
        <v>8449270.9253333341</v>
      </c>
      <c r="Z27" s="83">
        <f t="shared" si="23"/>
        <v>8449270.9253333341</v>
      </c>
      <c r="AA27" s="83">
        <f t="shared" si="23"/>
        <v>8449270.9253333341</v>
      </c>
      <c r="AB27" s="83">
        <f t="shared" si="23"/>
        <v>8449270.9253333341</v>
      </c>
      <c r="AC27" s="83">
        <f>+AB27*(1+$F$2)</f>
        <v>8787241.7623466682</v>
      </c>
      <c r="AD27" s="83">
        <f>+AC27</f>
        <v>8787241.7623466682</v>
      </c>
      <c r="AE27" s="83">
        <f t="shared" ref="AE27:AN27" si="24">+AD27</f>
        <v>8787241.7623466682</v>
      </c>
      <c r="AF27" s="83">
        <f t="shared" si="24"/>
        <v>8787241.7623466682</v>
      </c>
      <c r="AG27" s="83">
        <f t="shared" si="24"/>
        <v>8787241.7623466682</v>
      </c>
      <c r="AH27" s="83">
        <f t="shared" si="24"/>
        <v>8787241.7623466682</v>
      </c>
      <c r="AI27" s="83">
        <f t="shared" si="24"/>
        <v>8787241.7623466682</v>
      </c>
      <c r="AJ27" s="83">
        <f t="shared" si="24"/>
        <v>8787241.7623466682</v>
      </c>
      <c r="AK27" s="83">
        <f t="shared" si="24"/>
        <v>8787241.7623466682</v>
      </c>
      <c r="AL27" s="83">
        <f t="shared" si="24"/>
        <v>8787241.7623466682</v>
      </c>
      <c r="AM27" s="83">
        <f t="shared" si="24"/>
        <v>8787241.7623466682</v>
      </c>
      <c r="AN27" s="83">
        <f t="shared" si="24"/>
        <v>8787241.7623466682</v>
      </c>
    </row>
    <row r="28" spans="1:40">
      <c r="A28" s="81"/>
      <c r="B28" s="127"/>
      <c r="C28" s="127"/>
      <c r="D28" s="126" t="s">
        <v>9249</v>
      </c>
      <c r="E28" s="81"/>
      <c r="F28" s="81"/>
      <c r="G28" s="81"/>
      <c r="H28" s="81"/>
      <c r="I28" s="83"/>
      <c r="J28" s="83">
        <v>-7519351.0118429996</v>
      </c>
      <c r="K28" s="81"/>
      <c r="L28" s="81"/>
      <c r="M28" s="81"/>
      <c r="N28" s="81"/>
      <c r="O28" s="81"/>
      <c r="P28" s="300"/>
      <c r="Q28" s="81"/>
      <c r="R28" s="81"/>
      <c r="S28" s="81"/>
      <c r="T28" s="81"/>
      <c r="V28" s="83">
        <f>-4608607.16*(1+4%)</f>
        <v>-4792951.4464000007</v>
      </c>
      <c r="W28" s="81"/>
      <c r="X28" s="81"/>
      <c r="Y28" s="81"/>
      <c r="Z28" s="81"/>
      <c r="AA28" s="81"/>
      <c r="AB28" s="81"/>
      <c r="AC28" s="81"/>
      <c r="AD28" s="81"/>
      <c r="AE28" s="81"/>
      <c r="AF28" s="81"/>
      <c r="AH28" s="83">
        <f>-4608607.16*(1+4%)</f>
        <v>-4792951.4464000007</v>
      </c>
      <c r="AI28" s="81"/>
      <c r="AJ28" s="81"/>
      <c r="AK28" s="81"/>
      <c r="AL28" s="81"/>
      <c r="AM28" s="81"/>
      <c r="AN28" s="81"/>
    </row>
    <row r="29" spans="1:40">
      <c r="A29" s="88">
        <v>2023</v>
      </c>
      <c r="B29" s="124">
        <v>163041582</v>
      </c>
      <c r="C29" s="125" t="s">
        <v>9250</v>
      </c>
      <c r="D29" s="126" t="s">
        <v>9251</v>
      </c>
      <c r="E29" s="83">
        <v>2590067.3749999995</v>
      </c>
      <c r="F29" s="83">
        <v>2590067.3749999995</v>
      </c>
      <c r="G29" s="83">
        <v>2590067.3749999995</v>
      </c>
      <c r="H29" s="83">
        <v>2590067.3749999995</v>
      </c>
      <c r="I29" s="83">
        <v>2590067.3749999995</v>
      </c>
      <c r="J29" s="83">
        <v>2590067.3749999995</v>
      </c>
      <c r="K29" s="83">
        <v>2590067.3749999995</v>
      </c>
      <c r="L29" s="83">
        <v>2590067.3749999995</v>
      </c>
      <c r="M29" s="83">
        <v>2590067.3749999995</v>
      </c>
      <c r="N29" s="83">
        <v>2674814.3795099999</v>
      </c>
      <c r="O29" s="83">
        <v>2674814.3795099999</v>
      </c>
      <c r="P29" s="85">
        <v>2674814.3795099999</v>
      </c>
      <c r="Q29" s="83">
        <f>+P29*(1+$F$2)</f>
        <v>2781806.9546904</v>
      </c>
      <c r="R29" s="83">
        <f>+Q29</f>
        <v>2781806.9546904</v>
      </c>
      <c r="S29" s="83">
        <f t="shared" ref="S29:AB29" si="25">+R29</f>
        <v>2781806.9546904</v>
      </c>
      <c r="T29" s="83">
        <f t="shared" si="25"/>
        <v>2781806.9546904</v>
      </c>
      <c r="U29" s="83">
        <f t="shared" si="25"/>
        <v>2781806.9546904</v>
      </c>
      <c r="V29" s="83">
        <f t="shared" si="25"/>
        <v>2781806.9546904</v>
      </c>
      <c r="W29" s="83">
        <f t="shared" si="25"/>
        <v>2781806.9546904</v>
      </c>
      <c r="X29" s="83">
        <f t="shared" si="25"/>
        <v>2781806.9546904</v>
      </c>
      <c r="Y29" s="83">
        <f t="shared" si="25"/>
        <v>2781806.9546904</v>
      </c>
      <c r="Z29" s="83">
        <f t="shared" si="25"/>
        <v>2781806.9546904</v>
      </c>
      <c r="AA29" s="83">
        <f t="shared" si="25"/>
        <v>2781806.9546904</v>
      </c>
      <c r="AB29" s="83">
        <f t="shared" si="25"/>
        <v>2781806.9546904</v>
      </c>
      <c r="AC29" s="83">
        <f>+AB29*(1+$F$2)</f>
        <v>2893079.2328780163</v>
      </c>
      <c r="AD29" s="83">
        <f>+AC29</f>
        <v>2893079.2328780163</v>
      </c>
      <c r="AE29" s="83">
        <f t="shared" ref="AE29:AN29" si="26">+AD29</f>
        <v>2893079.2328780163</v>
      </c>
      <c r="AF29" s="83">
        <f t="shared" si="26"/>
        <v>2893079.2328780163</v>
      </c>
      <c r="AG29" s="83">
        <f t="shared" si="26"/>
        <v>2893079.2328780163</v>
      </c>
      <c r="AH29" s="83">
        <f t="shared" si="26"/>
        <v>2893079.2328780163</v>
      </c>
      <c r="AI29" s="83">
        <f t="shared" si="26"/>
        <v>2893079.2328780163</v>
      </c>
      <c r="AJ29" s="83">
        <f t="shared" si="26"/>
        <v>2893079.2328780163</v>
      </c>
      <c r="AK29" s="83">
        <f t="shared" si="26"/>
        <v>2893079.2328780163</v>
      </c>
      <c r="AL29" s="83">
        <f t="shared" si="26"/>
        <v>2893079.2328780163</v>
      </c>
      <c r="AM29" s="83">
        <f t="shared" si="26"/>
        <v>2893079.2328780163</v>
      </c>
      <c r="AN29" s="83">
        <f t="shared" si="26"/>
        <v>2893079.2328780163</v>
      </c>
    </row>
    <row r="30" spans="1:40">
      <c r="A30" s="81"/>
      <c r="B30" s="127"/>
      <c r="C30" s="127"/>
      <c r="D30" s="126" t="s">
        <v>9251</v>
      </c>
      <c r="E30" s="81"/>
      <c r="F30" s="81"/>
      <c r="G30" s="81"/>
      <c r="H30" s="81"/>
      <c r="I30" s="81"/>
      <c r="J30" s="81"/>
      <c r="K30" s="83">
        <v>-3260831.64</v>
      </c>
      <c r="L30" s="81"/>
      <c r="M30" s="81"/>
      <c r="N30" s="81"/>
      <c r="O30" s="81"/>
      <c r="P30" s="300"/>
      <c r="Q30" s="81"/>
      <c r="R30" s="81"/>
      <c r="S30" s="81"/>
      <c r="T30" s="81"/>
      <c r="V30" s="83">
        <f>-4608607.16*(1+4%)</f>
        <v>-4792951.4464000007</v>
      </c>
      <c r="W30" s="81"/>
      <c r="X30" s="81"/>
      <c r="Y30" s="81"/>
      <c r="Z30" s="81"/>
      <c r="AA30" s="81"/>
      <c r="AB30" s="81"/>
      <c r="AC30" s="81"/>
      <c r="AD30" s="81"/>
      <c r="AE30" s="81"/>
      <c r="AF30" s="81"/>
      <c r="AH30" s="83">
        <f>-4608607.16*(1+4%)</f>
        <v>-4792951.4464000007</v>
      </c>
      <c r="AI30" s="81"/>
      <c r="AJ30" s="81"/>
      <c r="AK30" s="81"/>
      <c r="AL30" s="81"/>
      <c r="AM30" s="81"/>
      <c r="AN30" s="81"/>
    </row>
    <row r="31" spans="1:40">
      <c r="A31" s="88">
        <v>2023</v>
      </c>
      <c r="B31" s="124">
        <v>88345230</v>
      </c>
      <c r="C31" s="125" t="s">
        <v>9250</v>
      </c>
      <c r="D31" s="126" t="s">
        <v>9252</v>
      </c>
      <c r="E31" s="83">
        <v>997197.76333333331</v>
      </c>
      <c r="F31" s="83">
        <v>997197.76333333331</v>
      </c>
      <c r="G31" s="83">
        <v>997197.76333333331</v>
      </c>
      <c r="H31" s="83">
        <v>997197.76333333331</v>
      </c>
      <c r="I31" s="83">
        <v>997197.76333333331</v>
      </c>
      <c r="J31" s="83">
        <v>997197.76333333331</v>
      </c>
      <c r="K31" s="83">
        <v>997197.76333333331</v>
      </c>
      <c r="L31" s="83">
        <v>997197.76333333331</v>
      </c>
      <c r="M31" s="83">
        <v>1059532.5955193001</v>
      </c>
      <c r="N31" s="83">
        <v>1059532.5955193001</v>
      </c>
      <c r="O31" s="83">
        <v>1059532.5955193001</v>
      </c>
      <c r="P31" s="85">
        <v>1059532.5955193001</v>
      </c>
      <c r="Q31" s="83">
        <f>+P31*(1+$F$1)</f>
        <v>1144295.2031608443</v>
      </c>
      <c r="R31" s="83">
        <f>+Q31</f>
        <v>1144295.2031608443</v>
      </c>
      <c r="S31" s="83">
        <f t="shared" ref="S31:AB31" si="27">+R31</f>
        <v>1144295.2031608443</v>
      </c>
      <c r="T31" s="83">
        <f t="shared" si="27"/>
        <v>1144295.2031608443</v>
      </c>
      <c r="U31" s="83">
        <f t="shared" si="27"/>
        <v>1144295.2031608443</v>
      </c>
      <c r="V31" s="83">
        <f t="shared" si="27"/>
        <v>1144295.2031608443</v>
      </c>
      <c r="W31" s="83">
        <f t="shared" si="27"/>
        <v>1144295.2031608443</v>
      </c>
      <c r="X31" s="83">
        <f t="shared" si="27"/>
        <v>1144295.2031608443</v>
      </c>
      <c r="Y31" s="83">
        <f t="shared" si="27"/>
        <v>1144295.2031608443</v>
      </c>
      <c r="Z31" s="83">
        <f t="shared" si="27"/>
        <v>1144295.2031608443</v>
      </c>
      <c r="AA31" s="83">
        <f t="shared" si="27"/>
        <v>1144295.2031608443</v>
      </c>
      <c r="AB31" s="83">
        <f t="shared" si="27"/>
        <v>1144295.2031608443</v>
      </c>
      <c r="AC31" s="83">
        <f>+AB31*(1+$F$1)</f>
        <v>1235838.819413712</v>
      </c>
      <c r="AD31" s="83">
        <f>+AC31</f>
        <v>1235838.819413712</v>
      </c>
      <c r="AE31" s="83">
        <f t="shared" ref="AE31:AN31" si="28">+AD31</f>
        <v>1235838.819413712</v>
      </c>
      <c r="AF31" s="83">
        <f t="shared" si="28"/>
        <v>1235838.819413712</v>
      </c>
      <c r="AG31" s="83">
        <f t="shared" si="28"/>
        <v>1235838.819413712</v>
      </c>
      <c r="AH31" s="83">
        <f t="shared" si="28"/>
        <v>1235838.819413712</v>
      </c>
      <c r="AI31" s="83">
        <f t="shared" si="28"/>
        <v>1235838.819413712</v>
      </c>
      <c r="AJ31" s="83">
        <f t="shared" si="28"/>
        <v>1235838.819413712</v>
      </c>
      <c r="AK31" s="83">
        <f t="shared" si="28"/>
        <v>1235838.819413712</v>
      </c>
      <c r="AL31" s="83">
        <f t="shared" si="28"/>
        <v>1235838.819413712</v>
      </c>
      <c r="AM31" s="83">
        <f t="shared" si="28"/>
        <v>1235838.819413712</v>
      </c>
      <c r="AN31" s="83">
        <f t="shared" si="28"/>
        <v>1235838.819413712</v>
      </c>
    </row>
    <row r="32" spans="1:40">
      <c r="A32" s="81"/>
      <c r="B32" s="127"/>
      <c r="C32" s="127"/>
      <c r="D32" s="126" t="s">
        <v>9252</v>
      </c>
      <c r="E32" s="81"/>
      <c r="F32" s="81"/>
      <c r="G32" s="81"/>
      <c r="H32" s="81"/>
      <c r="I32" s="81"/>
      <c r="J32" s="81"/>
      <c r="K32" s="83">
        <v>-881826.98239393998</v>
      </c>
      <c r="L32" s="83"/>
      <c r="M32" s="81"/>
      <c r="N32" s="81"/>
      <c r="O32" s="81"/>
      <c r="P32" s="300"/>
      <c r="Q32" s="81"/>
      <c r="R32" s="81"/>
      <c r="S32" s="81"/>
      <c r="T32" s="81"/>
      <c r="V32" s="83">
        <f>+K32*(1+4%)</f>
        <v>-917100.06168969756</v>
      </c>
      <c r="W32" s="81"/>
      <c r="X32" s="81"/>
      <c r="Y32" s="81"/>
      <c r="Z32" s="81"/>
      <c r="AA32" s="81"/>
      <c r="AB32" s="81"/>
      <c r="AC32" s="81"/>
      <c r="AD32" s="81"/>
      <c r="AE32" s="81"/>
      <c r="AF32" s="81"/>
      <c r="AH32" s="83">
        <f>+W32*(1+4%)</f>
        <v>0</v>
      </c>
      <c r="AI32" s="81"/>
      <c r="AJ32" s="81"/>
      <c r="AK32" s="81"/>
      <c r="AL32" s="81"/>
      <c r="AM32" s="81"/>
      <c r="AN32" s="81"/>
    </row>
    <row r="33" spans="1:40">
      <c r="A33" s="88">
        <v>2023</v>
      </c>
      <c r="B33" s="124">
        <v>164356307.162637</v>
      </c>
      <c r="C33" s="125" t="s">
        <v>9250</v>
      </c>
      <c r="D33" s="126" t="s">
        <v>9253</v>
      </c>
      <c r="E33" s="83">
        <f>1786456/2</f>
        <v>893228</v>
      </c>
      <c r="F33" s="91">
        <v>1786456.0000000002</v>
      </c>
      <c r="G33" s="83">
        <v>1786456.0000000002</v>
      </c>
      <c r="H33" s="91">
        <v>1786456.0000000002</v>
      </c>
      <c r="I33" s="83">
        <v>1786456.0000000002</v>
      </c>
      <c r="J33" s="91">
        <v>1786456.0000000002</v>
      </c>
      <c r="K33" s="83">
        <v>1786456.0000000002</v>
      </c>
      <c r="L33" s="91">
        <v>1786456.0000000002</v>
      </c>
      <c r="M33" s="83">
        <v>1786456.0000000002</v>
      </c>
      <c r="N33" s="91">
        <v>1898127.3645600006</v>
      </c>
      <c r="O33" s="83">
        <v>1898127.3645600006</v>
      </c>
      <c r="P33" s="301">
        <v>1898127.3645600006</v>
      </c>
      <c r="Q33" s="83">
        <f>+P33*(1+$F$1)</f>
        <v>2049977.5537248007</v>
      </c>
      <c r="R33" s="83">
        <f>+Q33</f>
        <v>2049977.5537248007</v>
      </c>
      <c r="S33" s="83">
        <f t="shared" ref="S33:AB33" si="29">+R33</f>
        <v>2049977.5537248007</v>
      </c>
      <c r="T33" s="83">
        <f t="shared" si="29"/>
        <v>2049977.5537248007</v>
      </c>
      <c r="U33" s="83">
        <f t="shared" si="29"/>
        <v>2049977.5537248007</v>
      </c>
      <c r="V33" s="83">
        <f t="shared" si="29"/>
        <v>2049977.5537248007</v>
      </c>
      <c r="W33" s="83">
        <f t="shared" si="29"/>
        <v>2049977.5537248007</v>
      </c>
      <c r="X33" s="83">
        <f t="shared" si="29"/>
        <v>2049977.5537248007</v>
      </c>
      <c r="Y33" s="83">
        <f t="shared" si="29"/>
        <v>2049977.5537248007</v>
      </c>
      <c r="Z33" s="83">
        <f t="shared" si="29"/>
        <v>2049977.5537248007</v>
      </c>
      <c r="AA33" s="83">
        <f t="shared" si="29"/>
        <v>2049977.5537248007</v>
      </c>
      <c r="AB33" s="83">
        <f t="shared" si="29"/>
        <v>2049977.5537248007</v>
      </c>
      <c r="AC33" s="83">
        <f>+AB33*(1+$F$1)</f>
        <v>2213975.7580227847</v>
      </c>
      <c r="AD33" s="83">
        <f>+AC33</f>
        <v>2213975.7580227847</v>
      </c>
      <c r="AE33" s="83">
        <f t="shared" ref="AE33:AN33" si="30">+AD33</f>
        <v>2213975.7580227847</v>
      </c>
      <c r="AF33" s="83">
        <f t="shared" si="30"/>
        <v>2213975.7580227847</v>
      </c>
      <c r="AG33" s="83">
        <f t="shared" si="30"/>
        <v>2213975.7580227847</v>
      </c>
      <c r="AH33" s="83">
        <f t="shared" si="30"/>
        <v>2213975.7580227847</v>
      </c>
      <c r="AI33" s="83">
        <f t="shared" si="30"/>
        <v>2213975.7580227847</v>
      </c>
      <c r="AJ33" s="83">
        <f t="shared" si="30"/>
        <v>2213975.7580227847</v>
      </c>
      <c r="AK33" s="83">
        <f t="shared" si="30"/>
        <v>2213975.7580227847</v>
      </c>
      <c r="AL33" s="83">
        <f t="shared" si="30"/>
        <v>2213975.7580227847</v>
      </c>
      <c r="AM33" s="83">
        <f t="shared" si="30"/>
        <v>2213975.7580227847</v>
      </c>
      <c r="AN33" s="83">
        <f t="shared" si="30"/>
        <v>2213975.7580227847</v>
      </c>
    </row>
    <row r="34" spans="1:40">
      <c r="A34" s="81"/>
      <c r="B34" s="127"/>
      <c r="C34" s="127"/>
      <c r="D34" s="126" t="s">
        <v>9253</v>
      </c>
      <c r="E34" s="81"/>
      <c r="F34" s="81"/>
      <c r="G34" s="81"/>
      <c r="H34" s="81"/>
      <c r="I34" s="81"/>
      <c r="J34" s="81"/>
      <c r="K34" s="83"/>
      <c r="L34" s="83"/>
      <c r="M34" s="81"/>
      <c r="N34" s="83">
        <v>-1624435.8149639</v>
      </c>
      <c r="O34" s="81"/>
      <c r="P34" s="300"/>
      <c r="Q34" s="81"/>
      <c r="R34" s="81"/>
      <c r="S34" s="81"/>
      <c r="T34" s="81"/>
      <c r="V34" s="83"/>
      <c r="W34" s="81"/>
      <c r="X34" s="83">
        <f>+N34*(1+$F$2)</f>
        <v>-1689413.2475624562</v>
      </c>
      <c r="Y34" s="81"/>
      <c r="Z34" s="81"/>
      <c r="AA34" s="81"/>
      <c r="AB34" s="81"/>
      <c r="AC34" s="81"/>
      <c r="AD34" s="81"/>
      <c r="AE34" s="81"/>
      <c r="AF34" s="81"/>
      <c r="AH34" s="83"/>
      <c r="AI34" s="81"/>
      <c r="AJ34" s="83">
        <f>+Z34*(1+$F$2)</f>
        <v>0</v>
      </c>
      <c r="AK34" s="81"/>
      <c r="AL34" s="81"/>
      <c r="AM34" s="81"/>
      <c r="AN34" s="81"/>
    </row>
    <row r="35" spans="1:40">
      <c r="A35" s="88">
        <v>2023</v>
      </c>
      <c r="B35" s="124">
        <v>117472018.704357</v>
      </c>
      <c r="C35" s="125" t="s">
        <v>9250</v>
      </c>
      <c r="D35" s="126" t="s">
        <v>9254</v>
      </c>
      <c r="E35" s="83"/>
      <c r="F35" s="91"/>
      <c r="G35" s="83">
        <v>1162484.193</v>
      </c>
      <c r="H35" s="83">
        <f t="shared" ref="H35:P35" si="31">+G35</f>
        <v>1162484.193</v>
      </c>
      <c r="I35" s="83">
        <f t="shared" si="31"/>
        <v>1162484.193</v>
      </c>
      <c r="J35" s="83">
        <f t="shared" si="31"/>
        <v>1162484.193</v>
      </c>
      <c r="K35" s="83">
        <f t="shared" si="31"/>
        <v>1162484.193</v>
      </c>
      <c r="L35" s="83">
        <f t="shared" si="31"/>
        <v>1162484.193</v>
      </c>
      <c r="M35" s="83">
        <f t="shared" si="31"/>
        <v>1162484.193</v>
      </c>
      <c r="N35" s="83">
        <f t="shared" si="31"/>
        <v>1162484.193</v>
      </c>
      <c r="O35" s="83">
        <f t="shared" si="31"/>
        <v>1162484.193</v>
      </c>
      <c r="P35" s="85">
        <f t="shared" si="31"/>
        <v>1162484.193</v>
      </c>
      <c r="Q35" s="83">
        <f>+P35*(1+$F$1)</f>
        <v>1255482.9284400002</v>
      </c>
      <c r="R35" s="83">
        <f>+Q35</f>
        <v>1255482.9284400002</v>
      </c>
      <c r="S35" s="83">
        <f t="shared" ref="S35:AB35" si="32">+R35</f>
        <v>1255482.9284400002</v>
      </c>
      <c r="T35" s="83">
        <f t="shared" si="32"/>
        <v>1255482.9284400002</v>
      </c>
      <c r="U35" s="83">
        <f t="shared" si="32"/>
        <v>1255482.9284400002</v>
      </c>
      <c r="V35" s="83">
        <f t="shared" si="32"/>
        <v>1255482.9284400002</v>
      </c>
      <c r="W35" s="83">
        <f t="shared" si="32"/>
        <v>1255482.9284400002</v>
      </c>
      <c r="X35" s="83">
        <f t="shared" si="32"/>
        <v>1255482.9284400002</v>
      </c>
      <c r="Y35" s="83">
        <f t="shared" si="32"/>
        <v>1255482.9284400002</v>
      </c>
      <c r="Z35" s="83">
        <f t="shared" si="32"/>
        <v>1255482.9284400002</v>
      </c>
      <c r="AA35" s="83">
        <f t="shared" si="32"/>
        <v>1255482.9284400002</v>
      </c>
      <c r="AB35" s="83">
        <f t="shared" si="32"/>
        <v>1255482.9284400002</v>
      </c>
      <c r="AC35" s="83">
        <f>+AB35*(1+$F$1)</f>
        <v>1355921.5627152002</v>
      </c>
      <c r="AD35" s="83">
        <f>+AC35</f>
        <v>1355921.5627152002</v>
      </c>
      <c r="AE35" s="83">
        <f t="shared" ref="AE35:AN35" si="33">+AD35</f>
        <v>1355921.5627152002</v>
      </c>
      <c r="AF35" s="83">
        <f t="shared" si="33"/>
        <v>1355921.5627152002</v>
      </c>
      <c r="AG35" s="83">
        <f t="shared" si="33"/>
        <v>1355921.5627152002</v>
      </c>
      <c r="AH35" s="83">
        <f t="shared" si="33"/>
        <v>1355921.5627152002</v>
      </c>
      <c r="AI35" s="83">
        <f t="shared" si="33"/>
        <v>1355921.5627152002</v>
      </c>
      <c r="AJ35" s="83">
        <f t="shared" si="33"/>
        <v>1355921.5627152002</v>
      </c>
      <c r="AK35" s="83">
        <f t="shared" si="33"/>
        <v>1355921.5627152002</v>
      </c>
      <c r="AL35" s="83">
        <f t="shared" si="33"/>
        <v>1355921.5627152002</v>
      </c>
      <c r="AM35" s="83">
        <f t="shared" si="33"/>
        <v>1355921.5627152002</v>
      </c>
      <c r="AN35" s="83">
        <f t="shared" si="33"/>
        <v>1355921.5627152002</v>
      </c>
    </row>
    <row r="36" spans="1:40">
      <c r="A36" s="81"/>
      <c r="B36" s="127"/>
      <c r="C36" s="127"/>
      <c r="D36" s="126" t="s">
        <v>9254</v>
      </c>
      <c r="E36" s="83"/>
      <c r="F36" s="83"/>
      <c r="G36" s="83"/>
      <c r="H36" s="83"/>
      <c r="I36" s="83"/>
      <c r="J36" s="83"/>
      <c r="K36" s="83"/>
      <c r="L36" s="83"/>
      <c r="M36" s="83"/>
      <c r="N36" s="83"/>
      <c r="O36" s="83">
        <v>-1174720.1870435681</v>
      </c>
      <c r="P36" s="85"/>
      <c r="Q36" s="81"/>
      <c r="R36" s="81"/>
      <c r="S36" s="81"/>
      <c r="T36" s="81"/>
      <c r="V36" s="83"/>
      <c r="W36" s="81"/>
      <c r="X36" s="83"/>
      <c r="Y36" s="81"/>
      <c r="Z36" s="81"/>
      <c r="AA36" s="83">
        <f>+O36*(1+$F$2)</f>
        <v>-1221708.9945253108</v>
      </c>
      <c r="AB36" s="81"/>
      <c r="AC36" s="81"/>
      <c r="AD36" s="81"/>
      <c r="AE36" s="81"/>
      <c r="AF36" s="81"/>
      <c r="AH36" s="83"/>
      <c r="AI36" s="81"/>
      <c r="AJ36" s="83"/>
      <c r="AK36" s="81"/>
      <c r="AL36" s="81"/>
      <c r="AM36" s="83">
        <f>+AA36*(1+$F$2)</f>
        <v>-1270577.3543063232</v>
      </c>
      <c r="AN36" s="81"/>
    </row>
    <row r="37" spans="1:40">
      <c r="A37" s="88">
        <v>2023</v>
      </c>
      <c r="B37" s="124">
        <v>103114078</v>
      </c>
      <c r="C37" s="125" t="s">
        <v>9250</v>
      </c>
      <c r="D37" s="126" t="s">
        <v>9255</v>
      </c>
      <c r="E37" s="83"/>
      <c r="F37" s="91"/>
      <c r="G37" s="83">
        <v>1076844.1814463998</v>
      </c>
      <c r="H37" s="91">
        <f>+G37</f>
        <v>1076844.1814463998</v>
      </c>
      <c r="I37" s="83">
        <v>1076845.1814464</v>
      </c>
      <c r="J37" s="91">
        <f t="shared" ref="J37" si="34">+I37</f>
        <v>1076845.1814464</v>
      </c>
      <c r="K37" s="83">
        <v>1076846.1814464</v>
      </c>
      <c r="L37" s="91">
        <f t="shared" ref="L37" si="35">+K37</f>
        <v>1076846.1814464</v>
      </c>
      <c r="M37" s="83">
        <v>1076847.1814464</v>
      </c>
      <c r="N37" s="91">
        <f t="shared" ref="N37" si="36">+M37</f>
        <v>1076847.1814464</v>
      </c>
      <c r="O37" s="83">
        <v>1076848.1814464</v>
      </c>
      <c r="P37" s="301">
        <f t="shared" ref="P37" si="37">+O37</f>
        <v>1076848.1814464</v>
      </c>
      <c r="Q37" s="83">
        <f>+P37*(1+$F$1)</f>
        <v>1162996.035962112</v>
      </c>
      <c r="R37" s="83">
        <f>+Q37</f>
        <v>1162996.035962112</v>
      </c>
      <c r="S37" s="83">
        <f t="shared" ref="S37:AB37" si="38">+R37</f>
        <v>1162996.035962112</v>
      </c>
      <c r="T37" s="83">
        <f t="shared" si="38"/>
        <v>1162996.035962112</v>
      </c>
      <c r="U37" s="83">
        <f t="shared" si="38"/>
        <v>1162996.035962112</v>
      </c>
      <c r="V37" s="83">
        <f t="shared" si="38"/>
        <v>1162996.035962112</v>
      </c>
      <c r="W37" s="83">
        <f t="shared" si="38"/>
        <v>1162996.035962112</v>
      </c>
      <c r="X37" s="83">
        <f t="shared" si="38"/>
        <v>1162996.035962112</v>
      </c>
      <c r="Y37" s="83">
        <f t="shared" si="38"/>
        <v>1162996.035962112</v>
      </c>
      <c r="Z37" s="83">
        <f t="shared" si="38"/>
        <v>1162996.035962112</v>
      </c>
      <c r="AA37" s="83">
        <f t="shared" si="38"/>
        <v>1162996.035962112</v>
      </c>
      <c r="AB37" s="83">
        <f t="shared" si="38"/>
        <v>1162996.035962112</v>
      </c>
      <c r="AC37" s="83">
        <f>+AB37*(1+$F$1)</f>
        <v>1256035.718839081</v>
      </c>
      <c r="AD37" s="83">
        <f>+AC37</f>
        <v>1256035.718839081</v>
      </c>
      <c r="AE37" s="83">
        <f t="shared" ref="AE37:AN37" si="39">+AD37</f>
        <v>1256035.718839081</v>
      </c>
      <c r="AF37" s="83">
        <f t="shared" si="39"/>
        <v>1256035.718839081</v>
      </c>
      <c r="AG37" s="83">
        <f t="shared" si="39"/>
        <v>1256035.718839081</v>
      </c>
      <c r="AH37" s="83">
        <f t="shared" si="39"/>
        <v>1256035.718839081</v>
      </c>
      <c r="AI37" s="83">
        <f t="shared" si="39"/>
        <v>1256035.718839081</v>
      </c>
      <c r="AJ37" s="83">
        <f t="shared" si="39"/>
        <v>1256035.718839081</v>
      </c>
      <c r="AK37" s="83">
        <f t="shared" si="39"/>
        <v>1256035.718839081</v>
      </c>
      <c r="AL37" s="83">
        <f t="shared" si="39"/>
        <v>1256035.718839081</v>
      </c>
      <c r="AM37" s="83">
        <f t="shared" si="39"/>
        <v>1256035.718839081</v>
      </c>
      <c r="AN37" s="83">
        <f t="shared" si="39"/>
        <v>1256035.718839081</v>
      </c>
    </row>
    <row r="38" spans="1:40">
      <c r="A38" s="81"/>
      <c r="B38" s="127"/>
      <c r="C38" s="127"/>
      <c r="D38" s="126" t="s">
        <v>9255</v>
      </c>
      <c r="E38" s="81"/>
      <c r="F38" s="81"/>
      <c r="G38" s="81"/>
      <c r="H38" s="81"/>
      <c r="I38" s="81"/>
      <c r="J38" s="81"/>
      <c r="K38" s="83"/>
      <c r="L38" s="83"/>
      <c r="M38" s="81"/>
      <c r="N38" s="83"/>
      <c r="O38" s="83">
        <v>-2325222.463328775</v>
      </c>
      <c r="P38" s="300"/>
      <c r="Q38" s="81"/>
      <c r="R38" s="81"/>
      <c r="S38" s="81"/>
      <c r="T38" s="81"/>
      <c r="V38" s="83"/>
      <c r="W38" s="81"/>
      <c r="X38" s="83"/>
      <c r="Y38" s="81"/>
      <c r="Z38" s="81"/>
      <c r="AA38" s="83">
        <f>+O38*(1+$F$2)</f>
        <v>-2418231.361861926</v>
      </c>
      <c r="AB38" s="81"/>
      <c r="AC38" s="81"/>
      <c r="AD38" s="81"/>
      <c r="AE38" s="81"/>
      <c r="AF38" s="81"/>
      <c r="AH38" s="83"/>
      <c r="AI38" s="81"/>
      <c r="AJ38" s="83"/>
      <c r="AK38" s="81"/>
      <c r="AL38" s="81"/>
      <c r="AM38" s="83">
        <f>+AA38*(1+$F$2)</f>
        <v>-2514960.6163364029</v>
      </c>
      <c r="AN38" s="81"/>
    </row>
    <row r="39" spans="1:40">
      <c r="A39" s="88">
        <v>2023</v>
      </c>
      <c r="B39" s="124">
        <v>389134087.76130903</v>
      </c>
      <c r="C39" s="125" t="s">
        <v>9250</v>
      </c>
      <c r="D39" s="126" t="s">
        <v>9256</v>
      </c>
      <c r="E39" s="83"/>
      <c r="F39" s="91"/>
      <c r="G39" s="83"/>
      <c r="H39" s="91"/>
      <c r="I39" s="83">
        <v>6667628.5136999991</v>
      </c>
      <c r="J39" s="91">
        <v>6667628.5136999991</v>
      </c>
      <c r="K39" s="91">
        <v>6667628.5136999991</v>
      </c>
      <c r="L39" s="91">
        <v>6667628.5136999991</v>
      </c>
      <c r="M39" s="91">
        <v>6667628.5136999991</v>
      </c>
      <c r="N39" s="91">
        <v>6667628.5136999991</v>
      </c>
      <c r="O39" s="91">
        <v>6667628.5136999991</v>
      </c>
      <c r="P39" s="301">
        <v>6667628.5136999991</v>
      </c>
      <c r="Q39" s="83">
        <f>+P39*(1+$F$1)</f>
        <v>7201038.7947959993</v>
      </c>
      <c r="R39" s="83">
        <f>+Q39</f>
        <v>7201038.7947959993</v>
      </c>
      <c r="S39" s="83">
        <f t="shared" ref="S39:AB39" si="40">+R39</f>
        <v>7201038.7947959993</v>
      </c>
      <c r="T39" s="83">
        <f t="shared" si="40"/>
        <v>7201038.7947959993</v>
      </c>
      <c r="U39" s="83">
        <f t="shared" si="40"/>
        <v>7201038.7947959993</v>
      </c>
      <c r="V39" s="83">
        <f t="shared" si="40"/>
        <v>7201038.7947959993</v>
      </c>
      <c r="W39" s="83">
        <f t="shared" si="40"/>
        <v>7201038.7947959993</v>
      </c>
      <c r="X39" s="83">
        <f t="shared" si="40"/>
        <v>7201038.7947959993</v>
      </c>
      <c r="Y39" s="83">
        <f t="shared" si="40"/>
        <v>7201038.7947959993</v>
      </c>
      <c r="Z39" s="83">
        <f t="shared" si="40"/>
        <v>7201038.7947959993</v>
      </c>
      <c r="AA39" s="83">
        <f t="shared" si="40"/>
        <v>7201038.7947959993</v>
      </c>
      <c r="AB39" s="83">
        <f t="shared" si="40"/>
        <v>7201038.7947959993</v>
      </c>
      <c r="AC39" s="83">
        <f>+AB39*(1+$F$1)</f>
        <v>7777121.8983796798</v>
      </c>
      <c r="AD39" s="83">
        <f>+AC39</f>
        <v>7777121.8983796798</v>
      </c>
      <c r="AE39" s="83">
        <f t="shared" ref="AE39:AN39" si="41">+AD39</f>
        <v>7777121.8983796798</v>
      </c>
      <c r="AF39" s="83">
        <f t="shared" si="41"/>
        <v>7777121.8983796798</v>
      </c>
      <c r="AG39" s="83">
        <f t="shared" si="41"/>
        <v>7777121.8983796798</v>
      </c>
      <c r="AH39" s="83">
        <f t="shared" si="41"/>
        <v>7777121.8983796798</v>
      </c>
      <c r="AI39" s="83">
        <f t="shared" si="41"/>
        <v>7777121.8983796798</v>
      </c>
      <c r="AJ39" s="83">
        <f t="shared" si="41"/>
        <v>7777121.8983796798</v>
      </c>
      <c r="AK39" s="83">
        <f t="shared" si="41"/>
        <v>7777121.8983796798</v>
      </c>
      <c r="AL39" s="83">
        <f t="shared" si="41"/>
        <v>7777121.8983796798</v>
      </c>
      <c r="AM39" s="83">
        <f t="shared" si="41"/>
        <v>7777121.8983796798</v>
      </c>
      <c r="AN39" s="83">
        <f t="shared" si="41"/>
        <v>7777121.8983796798</v>
      </c>
    </row>
    <row r="40" spans="1:40">
      <c r="A40" s="81"/>
      <c r="B40" s="124"/>
      <c r="C40" s="127"/>
      <c r="D40" s="126" t="s">
        <v>9256</v>
      </c>
      <c r="E40" s="81"/>
      <c r="F40" s="81"/>
      <c r="G40" s="81"/>
      <c r="H40" s="81"/>
      <c r="I40" s="81"/>
      <c r="J40" s="81"/>
      <c r="K40" s="83"/>
      <c r="L40" s="83"/>
      <c r="M40" s="81"/>
      <c r="N40" s="83"/>
      <c r="O40" s="81"/>
      <c r="P40" s="85">
        <v>-8774973.6790175084</v>
      </c>
      <c r="Q40" s="81"/>
      <c r="R40" s="81"/>
      <c r="S40" s="81"/>
      <c r="T40" s="81"/>
      <c r="V40" s="83"/>
      <c r="W40" s="81"/>
      <c r="X40" s="83"/>
      <c r="Y40" s="81"/>
      <c r="Z40" s="81"/>
      <c r="AA40" s="83"/>
      <c r="AB40" s="81">
        <f>+P40*(1+$F$2)</f>
        <v>-9125972.6261782087</v>
      </c>
      <c r="AC40" s="81"/>
      <c r="AD40" s="81"/>
      <c r="AE40" s="81"/>
      <c r="AF40" s="81"/>
      <c r="AH40" s="83"/>
      <c r="AI40" s="81"/>
      <c r="AJ40" s="83"/>
      <c r="AK40" s="81"/>
      <c r="AL40" s="81"/>
      <c r="AM40" s="83"/>
      <c r="AN40" s="81">
        <f>+AB40*(1+$F$2)</f>
        <v>-9491011.5312253367</v>
      </c>
    </row>
    <row r="41" spans="1:40">
      <c r="A41" s="1001">
        <f>+SUM(B41:B56)</f>
        <v>4124459377.4749031</v>
      </c>
      <c r="B41" s="124">
        <f>+(145259683.062103)*90%</f>
        <v>130733714.75589271</v>
      </c>
      <c r="C41" s="125" t="s">
        <v>9250</v>
      </c>
      <c r="D41" s="126" t="s">
        <v>9257</v>
      </c>
      <c r="E41" s="81"/>
      <c r="F41" s="81"/>
      <c r="G41" s="81"/>
      <c r="H41" s="83"/>
      <c r="I41" s="83"/>
      <c r="J41" s="83">
        <v>1916709</v>
      </c>
      <c r="K41" s="83">
        <f>+J41</f>
        <v>1916709</v>
      </c>
      <c r="L41" s="83">
        <f t="shared" ref="L41:P41" si="42">+K41</f>
        <v>1916709</v>
      </c>
      <c r="M41" s="83">
        <f t="shared" si="42"/>
        <v>1916709</v>
      </c>
      <c r="N41" s="83">
        <f t="shared" si="42"/>
        <v>1916709</v>
      </c>
      <c r="O41" s="83">
        <f t="shared" si="42"/>
        <v>1916709</v>
      </c>
      <c r="P41" s="85">
        <f t="shared" si="42"/>
        <v>1916709</v>
      </c>
      <c r="Q41" s="83">
        <f>+P41*(1+$F$1)</f>
        <v>2070045.7200000002</v>
      </c>
      <c r="R41" s="83">
        <f>+Q41</f>
        <v>2070045.7200000002</v>
      </c>
      <c r="S41" s="83">
        <f t="shared" ref="S41:AB41" si="43">+R41</f>
        <v>2070045.7200000002</v>
      </c>
      <c r="T41" s="83">
        <f t="shared" si="43"/>
        <v>2070045.7200000002</v>
      </c>
      <c r="U41" s="83">
        <f t="shared" si="43"/>
        <v>2070045.7200000002</v>
      </c>
      <c r="V41" s="83">
        <f t="shared" si="43"/>
        <v>2070045.7200000002</v>
      </c>
      <c r="W41" s="83">
        <f t="shared" si="43"/>
        <v>2070045.7200000002</v>
      </c>
      <c r="X41" s="83">
        <f t="shared" si="43"/>
        <v>2070045.7200000002</v>
      </c>
      <c r="Y41" s="83">
        <f t="shared" si="43"/>
        <v>2070045.7200000002</v>
      </c>
      <c r="Z41" s="83">
        <f t="shared" si="43"/>
        <v>2070045.7200000002</v>
      </c>
      <c r="AA41" s="83">
        <f t="shared" si="43"/>
        <v>2070045.7200000002</v>
      </c>
      <c r="AB41" s="83">
        <f t="shared" si="43"/>
        <v>2070045.7200000002</v>
      </c>
      <c r="AC41" s="83">
        <f>+AB41*(1+$F$1)</f>
        <v>2235649.3776000002</v>
      </c>
      <c r="AD41" s="83">
        <f>+AC41</f>
        <v>2235649.3776000002</v>
      </c>
      <c r="AE41" s="83">
        <f t="shared" ref="AE41:AN41" si="44">+AD41</f>
        <v>2235649.3776000002</v>
      </c>
      <c r="AF41" s="83">
        <f t="shared" si="44"/>
        <v>2235649.3776000002</v>
      </c>
      <c r="AG41" s="83">
        <f t="shared" si="44"/>
        <v>2235649.3776000002</v>
      </c>
      <c r="AH41" s="83">
        <f t="shared" si="44"/>
        <v>2235649.3776000002</v>
      </c>
      <c r="AI41" s="83">
        <f t="shared" si="44"/>
        <v>2235649.3776000002</v>
      </c>
      <c r="AJ41" s="83">
        <f t="shared" si="44"/>
        <v>2235649.3776000002</v>
      </c>
      <c r="AK41" s="83">
        <f t="shared" si="44"/>
        <v>2235649.3776000002</v>
      </c>
      <c r="AL41" s="83">
        <f t="shared" si="44"/>
        <v>2235649.3776000002</v>
      </c>
      <c r="AM41" s="83">
        <f t="shared" si="44"/>
        <v>2235649.3776000002</v>
      </c>
      <c r="AN41" s="83">
        <f t="shared" si="44"/>
        <v>2235649.3776000002</v>
      </c>
    </row>
    <row r="42" spans="1:40">
      <c r="A42" s="1002"/>
      <c r="B42" s="124"/>
      <c r="C42" s="298"/>
      <c r="D42" s="126" t="s">
        <v>9257</v>
      </c>
      <c r="E42" s="81"/>
      <c r="F42" s="81"/>
      <c r="G42" s="81"/>
      <c r="H42" s="81"/>
      <c r="I42" s="81"/>
      <c r="J42" s="81"/>
      <c r="K42" s="83"/>
      <c r="L42" s="83"/>
      <c r="M42" s="81"/>
      <c r="N42" s="83"/>
      <c r="O42" s="81"/>
      <c r="P42" s="85"/>
      <c r="Q42" s="83">
        <f>-B41*1%*(1+$F$2)</f>
        <v>-1359630.6334612842</v>
      </c>
      <c r="R42" s="81"/>
      <c r="S42" s="81"/>
      <c r="T42" s="81"/>
      <c r="V42" s="83"/>
      <c r="W42" s="81"/>
      <c r="X42" s="83"/>
      <c r="Y42" s="81"/>
      <c r="Z42" s="81"/>
      <c r="AA42" s="83"/>
      <c r="AB42" s="81"/>
      <c r="AC42" s="83">
        <f>-N41*1%*(1+$F$2)</f>
        <v>-19933.7736</v>
      </c>
      <c r="AD42" s="81"/>
      <c r="AE42" s="81"/>
      <c r="AF42" s="81"/>
      <c r="AH42" s="83"/>
      <c r="AI42" s="81"/>
      <c r="AJ42" s="83"/>
      <c r="AK42" s="81"/>
      <c r="AL42" s="81"/>
      <c r="AM42" s="83"/>
      <c r="AN42" s="81"/>
    </row>
    <row r="43" spans="1:40">
      <c r="A43" s="1002"/>
      <c r="B43" s="124">
        <f>+(145642569.18174)*90%</f>
        <v>131078312.26356599</v>
      </c>
      <c r="C43" s="125" t="s">
        <v>9250</v>
      </c>
      <c r="D43" s="126" t="s">
        <v>9258</v>
      </c>
      <c r="E43" s="81"/>
      <c r="F43" s="81"/>
      <c r="G43" s="81"/>
      <c r="H43" s="81"/>
      <c r="I43" s="81"/>
      <c r="J43" s="83"/>
      <c r="K43" s="83">
        <v>1927789.1450399999</v>
      </c>
      <c r="L43" s="83">
        <f>+K43</f>
        <v>1927789.1450399999</v>
      </c>
      <c r="M43" s="83">
        <f>+L43</f>
        <v>1927789.1450399999</v>
      </c>
      <c r="N43" s="83">
        <f>+M43</f>
        <v>1927789.1450399999</v>
      </c>
      <c r="O43" s="83">
        <f>+N43</f>
        <v>1927789.1450399999</v>
      </c>
      <c r="P43" s="85">
        <f>+O43</f>
        <v>1927789.1450399999</v>
      </c>
      <c r="Q43" s="83">
        <f>+P43*(1+$F$1)</f>
        <v>2082012.2766432001</v>
      </c>
      <c r="R43" s="83">
        <f>+Q43</f>
        <v>2082012.2766432001</v>
      </c>
      <c r="S43" s="83">
        <f t="shared" ref="S43:AB43" si="45">+R43</f>
        <v>2082012.2766432001</v>
      </c>
      <c r="T43" s="83">
        <f t="shared" si="45"/>
        <v>2082012.2766432001</v>
      </c>
      <c r="U43" s="83">
        <f t="shared" si="45"/>
        <v>2082012.2766432001</v>
      </c>
      <c r="V43" s="83">
        <f t="shared" si="45"/>
        <v>2082012.2766432001</v>
      </c>
      <c r="W43" s="83">
        <f t="shared" si="45"/>
        <v>2082012.2766432001</v>
      </c>
      <c r="X43" s="83">
        <f t="shared" si="45"/>
        <v>2082012.2766432001</v>
      </c>
      <c r="Y43" s="83">
        <f t="shared" si="45"/>
        <v>2082012.2766432001</v>
      </c>
      <c r="Z43" s="83">
        <f t="shared" si="45"/>
        <v>2082012.2766432001</v>
      </c>
      <c r="AA43" s="83">
        <f t="shared" si="45"/>
        <v>2082012.2766432001</v>
      </c>
      <c r="AB43" s="83">
        <f t="shared" si="45"/>
        <v>2082012.2766432001</v>
      </c>
      <c r="AC43" s="83">
        <f>+AB43*(1+$F$1)</f>
        <v>2248573.2587746563</v>
      </c>
      <c r="AD43" s="83">
        <f>+AC43</f>
        <v>2248573.2587746563</v>
      </c>
      <c r="AE43" s="83">
        <f t="shared" ref="AE43:AN43" si="46">+AD43</f>
        <v>2248573.2587746563</v>
      </c>
      <c r="AF43" s="83">
        <f t="shared" si="46"/>
        <v>2248573.2587746563</v>
      </c>
      <c r="AG43" s="83">
        <f t="shared" si="46"/>
        <v>2248573.2587746563</v>
      </c>
      <c r="AH43" s="83">
        <f t="shared" si="46"/>
        <v>2248573.2587746563</v>
      </c>
      <c r="AI43" s="83">
        <f t="shared" si="46"/>
        <v>2248573.2587746563</v>
      </c>
      <c r="AJ43" s="83">
        <f t="shared" si="46"/>
        <v>2248573.2587746563</v>
      </c>
      <c r="AK43" s="83">
        <f t="shared" si="46"/>
        <v>2248573.2587746563</v>
      </c>
      <c r="AL43" s="83">
        <f t="shared" si="46"/>
        <v>2248573.2587746563</v>
      </c>
      <c r="AM43" s="83">
        <f t="shared" si="46"/>
        <v>2248573.2587746563</v>
      </c>
      <c r="AN43" s="83">
        <f t="shared" si="46"/>
        <v>2248573.2587746563</v>
      </c>
    </row>
    <row r="44" spans="1:40">
      <c r="A44" s="1002"/>
      <c r="B44" s="124"/>
      <c r="C44" s="298"/>
      <c r="D44" s="126" t="s">
        <v>9258</v>
      </c>
      <c r="E44" s="81"/>
      <c r="F44" s="81"/>
      <c r="G44" s="81"/>
      <c r="H44" s="81"/>
      <c r="I44" s="81"/>
      <c r="J44" s="81"/>
      <c r="K44" s="83"/>
      <c r="L44" s="83"/>
      <c r="M44" s="81"/>
      <c r="N44" s="83"/>
      <c r="O44" s="81"/>
      <c r="P44" s="300"/>
      <c r="Q44" s="83">
        <f>-B43*1%*(1+$F$2)</f>
        <v>-1363214.4475410865</v>
      </c>
      <c r="R44" s="81"/>
      <c r="S44" s="81"/>
      <c r="T44" s="81"/>
      <c r="V44" s="83"/>
      <c r="W44" s="81"/>
      <c r="X44" s="83"/>
      <c r="Y44" s="81"/>
      <c r="Z44" s="81"/>
      <c r="AA44" s="83"/>
      <c r="AB44" s="81"/>
      <c r="AC44" s="83">
        <f>-N43*1%*(1+$F$2)</f>
        <v>-20049.007108416001</v>
      </c>
      <c r="AD44" s="81"/>
      <c r="AE44" s="81"/>
      <c r="AF44" s="81"/>
      <c r="AH44" s="83"/>
      <c r="AI44" s="81"/>
      <c r="AJ44" s="83"/>
      <c r="AK44" s="81"/>
      <c r="AL44" s="81"/>
      <c r="AM44" s="83"/>
      <c r="AN44" s="81"/>
    </row>
    <row r="45" spans="1:40">
      <c r="A45" s="1002"/>
      <c r="B45" s="124">
        <f>+(59480550)*90%</f>
        <v>53532495</v>
      </c>
      <c r="C45" s="125" t="s">
        <v>9250</v>
      </c>
      <c r="D45" s="126" t="s">
        <v>64</v>
      </c>
      <c r="E45" s="81"/>
      <c r="F45" s="81"/>
      <c r="G45" s="81"/>
      <c r="H45" s="81"/>
      <c r="I45" s="81"/>
      <c r="J45" s="81"/>
      <c r="K45" s="83"/>
      <c r="L45" s="83">
        <v>690570</v>
      </c>
      <c r="M45" s="83">
        <f>+L45</f>
        <v>690570</v>
      </c>
      <c r="N45" s="83">
        <f>+M45</f>
        <v>690570</v>
      </c>
      <c r="O45" s="83">
        <f>+N45</f>
        <v>690570</v>
      </c>
      <c r="P45" s="85">
        <f>+O45</f>
        <v>690570</v>
      </c>
      <c r="Q45" s="83">
        <f>+P45*(1+$F$1)</f>
        <v>745815.60000000009</v>
      </c>
      <c r="R45" s="83">
        <f>+Q45</f>
        <v>745815.60000000009</v>
      </c>
      <c r="S45" s="83">
        <f t="shared" ref="S45:AB45" si="47">+R45</f>
        <v>745815.60000000009</v>
      </c>
      <c r="T45" s="83">
        <f t="shared" si="47"/>
        <v>745815.60000000009</v>
      </c>
      <c r="U45" s="83">
        <f t="shared" si="47"/>
        <v>745815.60000000009</v>
      </c>
      <c r="V45" s="83">
        <f t="shared" si="47"/>
        <v>745815.60000000009</v>
      </c>
      <c r="W45" s="83">
        <f t="shared" si="47"/>
        <v>745815.60000000009</v>
      </c>
      <c r="X45" s="83">
        <f t="shared" si="47"/>
        <v>745815.60000000009</v>
      </c>
      <c r="Y45" s="83">
        <f t="shared" si="47"/>
        <v>745815.60000000009</v>
      </c>
      <c r="Z45" s="83">
        <f t="shared" si="47"/>
        <v>745815.60000000009</v>
      </c>
      <c r="AA45" s="83">
        <f t="shared" si="47"/>
        <v>745815.60000000009</v>
      </c>
      <c r="AB45" s="83">
        <f t="shared" si="47"/>
        <v>745815.60000000009</v>
      </c>
      <c r="AC45" s="83">
        <f>+AB45*(1+$F$1)</f>
        <v>805480.84800000011</v>
      </c>
      <c r="AD45" s="83">
        <f>+AC45</f>
        <v>805480.84800000011</v>
      </c>
      <c r="AE45" s="83">
        <f t="shared" ref="AE45:AN45" si="48">+AD45</f>
        <v>805480.84800000011</v>
      </c>
      <c r="AF45" s="83">
        <f t="shared" si="48"/>
        <v>805480.84800000011</v>
      </c>
      <c r="AG45" s="83">
        <f t="shared" si="48"/>
        <v>805480.84800000011</v>
      </c>
      <c r="AH45" s="83">
        <f t="shared" si="48"/>
        <v>805480.84800000011</v>
      </c>
      <c r="AI45" s="83">
        <f t="shared" si="48"/>
        <v>805480.84800000011</v>
      </c>
      <c r="AJ45" s="83">
        <f t="shared" si="48"/>
        <v>805480.84800000011</v>
      </c>
      <c r="AK45" s="83">
        <f t="shared" si="48"/>
        <v>805480.84800000011</v>
      </c>
      <c r="AL45" s="83">
        <f t="shared" si="48"/>
        <v>805480.84800000011</v>
      </c>
      <c r="AM45" s="83">
        <f t="shared" si="48"/>
        <v>805480.84800000011</v>
      </c>
      <c r="AN45" s="83">
        <f t="shared" si="48"/>
        <v>805480.84800000011</v>
      </c>
    </row>
    <row r="46" spans="1:40">
      <c r="A46" s="1002"/>
      <c r="B46" s="124"/>
      <c r="C46" s="298"/>
      <c r="D46" s="126" t="s">
        <v>64</v>
      </c>
      <c r="E46" s="81"/>
      <c r="F46" s="81"/>
      <c r="G46" s="81"/>
      <c r="H46" s="81"/>
      <c r="I46" s="81"/>
      <c r="J46" s="81"/>
      <c r="K46" s="83"/>
      <c r="L46" s="83"/>
      <c r="M46" s="81"/>
      <c r="N46" s="83"/>
      <c r="O46" s="81"/>
      <c r="P46" s="300"/>
      <c r="R46" s="81"/>
      <c r="S46" s="83">
        <f>-B45*1%*(1+$F$2)</f>
        <v>-556737.94799999997</v>
      </c>
      <c r="T46" s="81"/>
      <c r="V46" s="83"/>
      <c r="W46" s="81"/>
      <c r="X46" s="83"/>
      <c r="Y46" s="81"/>
      <c r="Z46" s="81"/>
      <c r="AA46" s="83"/>
      <c r="AB46" s="81"/>
      <c r="AD46" s="81"/>
      <c r="AE46" s="83">
        <f>-N45*1%*(1+$F$2)</f>
        <v>-7181.9279999999999</v>
      </c>
      <c r="AF46" s="81"/>
      <c r="AH46" s="83"/>
      <c r="AI46" s="81"/>
      <c r="AJ46" s="83"/>
      <c r="AK46" s="81"/>
      <c r="AL46" s="81"/>
      <c r="AM46" s="83"/>
      <c r="AN46" s="81"/>
    </row>
    <row r="47" spans="1:40">
      <c r="A47" s="1002"/>
      <c r="B47" s="124">
        <f>(129455195.630579+99994599+178505744+38105920)*95%</f>
        <v>423758385.69905001</v>
      </c>
      <c r="C47" s="125" t="s">
        <v>9250</v>
      </c>
      <c r="D47" s="126" t="s">
        <v>66</v>
      </c>
      <c r="E47" s="81"/>
      <c r="F47" s="81"/>
      <c r="G47" s="81"/>
      <c r="H47" s="81"/>
      <c r="I47" s="81"/>
      <c r="J47" s="81"/>
      <c r="K47" s="83"/>
      <c r="L47" s="83">
        <f>1788064+1404907.81493333+2577552.64+468645.935333333</f>
        <v>6239170.3902666634</v>
      </c>
      <c r="M47" s="83">
        <f>+L47</f>
        <v>6239170.3902666634</v>
      </c>
      <c r="N47" s="83">
        <f>+M47</f>
        <v>6239170.3902666634</v>
      </c>
      <c r="O47" s="83">
        <f>+N47</f>
        <v>6239170.3902666634</v>
      </c>
      <c r="P47" s="85">
        <f>+O47</f>
        <v>6239170.3902666634</v>
      </c>
      <c r="Q47" s="83">
        <f>+P47*(1+$F$1)</f>
        <v>6738304.0214879969</v>
      </c>
      <c r="R47" s="83">
        <f>+Q47</f>
        <v>6738304.0214879969</v>
      </c>
      <c r="S47" s="83">
        <f t="shared" ref="S47:AB47" si="49">+R47</f>
        <v>6738304.0214879969</v>
      </c>
      <c r="T47" s="83">
        <f t="shared" si="49"/>
        <v>6738304.0214879969</v>
      </c>
      <c r="U47" s="83">
        <f t="shared" si="49"/>
        <v>6738304.0214879969</v>
      </c>
      <c r="V47" s="83">
        <f t="shared" si="49"/>
        <v>6738304.0214879969</v>
      </c>
      <c r="W47" s="83">
        <f t="shared" si="49"/>
        <v>6738304.0214879969</v>
      </c>
      <c r="X47" s="83">
        <f t="shared" si="49"/>
        <v>6738304.0214879969</v>
      </c>
      <c r="Y47" s="83">
        <f t="shared" si="49"/>
        <v>6738304.0214879969</v>
      </c>
      <c r="Z47" s="83">
        <f t="shared" si="49"/>
        <v>6738304.0214879969</v>
      </c>
      <c r="AA47" s="83">
        <f t="shared" si="49"/>
        <v>6738304.0214879969</v>
      </c>
      <c r="AB47" s="83">
        <f t="shared" si="49"/>
        <v>6738304.0214879969</v>
      </c>
      <c r="AC47" s="83">
        <f>+AB47*(1+$F$1)</f>
        <v>7277368.3432070371</v>
      </c>
      <c r="AD47" s="83">
        <f>+AC47</f>
        <v>7277368.3432070371</v>
      </c>
      <c r="AE47" s="83">
        <f t="shared" ref="AE47:AN47" si="50">+AD47</f>
        <v>7277368.3432070371</v>
      </c>
      <c r="AF47" s="83">
        <f t="shared" si="50"/>
        <v>7277368.3432070371</v>
      </c>
      <c r="AG47" s="83">
        <f t="shared" si="50"/>
        <v>7277368.3432070371</v>
      </c>
      <c r="AH47" s="83">
        <f t="shared" si="50"/>
        <v>7277368.3432070371</v>
      </c>
      <c r="AI47" s="83">
        <f t="shared" si="50"/>
        <v>7277368.3432070371</v>
      </c>
      <c r="AJ47" s="83">
        <f t="shared" si="50"/>
        <v>7277368.3432070371</v>
      </c>
      <c r="AK47" s="83">
        <f t="shared" si="50"/>
        <v>7277368.3432070371</v>
      </c>
      <c r="AL47" s="83">
        <f t="shared" si="50"/>
        <v>7277368.3432070371</v>
      </c>
      <c r="AM47" s="83">
        <f t="shared" si="50"/>
        <v>7277368.3432070371</v>
      </c>
      <c r="AN47" s="83">
        <f t="shared" si="50"/>
        <v>7277368.3432070371</v>
      </c>
    </row>
    <row r="48" spans="1:40">
      <c r="A48" s="1002"/>
      <c r="B48" s="124"/>
      <c r="C48" s="298"/>
      <c r="D48" s="126" t="s">
        <v>66</v>
      </c>
      <c r="E48" s="81"/>
      <c r="F48" s="81"/>
      <c r="G48" s="81"/>
      <c r="H48" s="81"/>
      <c r="I48" s="81"/>
      <c r="J48" s="81"/>
      <c r="K48" s="83"/>
      <c r="L48" s="323"/>
      <c r="M48" s="81"/>
      <c r="N48" s="83"/>
      <c r="O48" s="81"/>
      <c r="P48" s="300"/>
      <c r="R48" s="81"/>
      <c r="S48" s="81"/>
      <c r="T48" s="83">
        <f>-B47*1%*(1+$F$2)</f>
        <v>-4407087.2112701209</v>
      </c>
      <c r="V48" s="83"/>
      <c r="W48" s="81"/>
      <c r="X48" s="83"/>
      <c r="Y48" s="81"/>
      <c r="Z48" s="81"/>
      <c r="AA48" s="83"/>
      <c r="AB48" s="81"/>
      <c r="AD48" s="81"/>
      <c r="AE48" s="81"/>
      <c r="AF48" s="83">
        <f>-N47*1%*(1+$F$2)</f>
        <v>-64887.372058773297</v>
      </c>
      <c r="AH48" s="83"/>
      <c r="AI48" s="81"/>
      <c r="AJ48" s="83"/>
      <c r="AK48" s="81"/>
      <c r="AL48" s="81"/>
      <c r="AM48" s="83"/>
      <c r="AN48" s="81"/>
    </row>
    <row r="49" spans="1:40">
      <c r="A49" s="1002"/>
      <c r="B49" s="124">
        <f>+(465650640.190427)*95%</f>
        <v>442368108.18090564</v>
      </c>
      <c r="C49" s="125" t="s">
        <v>9250</v>
      </c>
      <c r="D49" s="126" t="s">
        <v>68</v>
      </c>
      <c r="E49" s="81"/>
      <c r="F49" s="81"/>
      <c r="G49" s="81"/>
      <c r="H49" s="81"/>
      <c r="I49" s="81"/>
      <c r="J49" s="81"/>
      <c r="K49" s="83"/>
      <c r="L49" s="83"/>
      <c r="M49" s="83">
        <v>9046362.453333335</v>
      </c>
      <c r="N49" s="83">
        <f>+M49</f>
        <v>9046362.453333335</v>
      </c>
      <c r="O49" s="83">
        <f>+N49</f>
        <v>9046362.453333335</v>
      </c>
      <c r="P49" s="85">
        <f>+O49</f>
        <v>9046362.453333335</v>
      </c>
      <c r="Q49" s="83">
        <f>+P49*(1+$F$1)</f>
        <v>9770071.4496000018</v>
      </c>
      <c r="R49" s="83">
        <f>+Q49</f>
        <v>9770071.4496000018</v>
      </c>
      <c r="S49" s="83">
        <f t="shared" ref="S49:AB49" si="51">+R49</f>
        <v>9770071.4496000018</v>
      </c>
      <c r="T49" s="83">
        <f t="shared" si="51"/>
        <v>9770071.4496000018</v>
      </c>
      <c r="U49" s="83">
        <f t="shared" si="51"/>
        <v>9770071.4496000018</v>
      </c>
      <c r="V49" s="83">
        <f t="shared" si="51"/>
        <v>9770071.4496000018</v>
      </c>
      <c r="W49" s="83">
        <f t="shared" si="51"/>
        <v>9770071.4496000018</v>
      </c>
      <c r="X49" s="83">
        <f t="shared" si="51"/>
        <v>9770071.4496000018</v>
      </c>
      <c r="Y49" s="83">
        <f t="shared" si="51"/>
        <v>9770071.4496000018</v>
      </c>
      <c r="Z49" s="83">
        <f t="shared" si="51"/>
        <v>9770071.4496000018</v>
      </c>
      <c r="AA49" s="83">
        <f t="shared" si="51"/>
        <v>9770071.4496000018</v>
      </c>
      <c r="AB49" s="83">
        <f t="shared" si="51"/>
        <v>9770071.4496000018</v>
      </c>
      <c r="AC49" s="83">
        <f>+AB49*(1+$F$1)</f>
        <v>10551677.165568003</v>
      </c>
      <c r="AD49" s="83">
        <f>+AC49</f>
        <v>10551677.165568003</v>
      </c>
      <c r="AE49" s="83">
        <f t="shared" ref="AE49:AN49" si="52">+AD49</f>
        <v>10551677.165568003</v>
      </c>
      <c r="AF49" s="83">
        <f t="shared" si="52"/>
        <v>10551677.165568003</v>
      </c>
      <c r="AG49" s="83">
        <f t="shared" si="52"/>
        <v>10551677.165568003</v>
      </c>
      <c r="AH49" s="83">
        <f t="shared" si="52"/>
        <v>10551677.165568003</v>
      </c>
      <c r="AI49" s="83">
        <f t="shared" si="52"/>
        <v>10551677.165568003</v>
      </c>
      <c r="AJ49" s="83">
        <f t="shared" si="52"/>
        <v>10551677.165568003</v>
      </c>
      <c r="AK49" s="83">
        <f t="shared" si="52"/>
        <v>10551677.165568003</v>
      </c>
      <c r="AL49" s="83">
        <f t="shared" si="52"/>
        <v>10551677.165568003</v>
      </c>
      <c r="AM49" s="83">
        <f t="shared" si="52"/>
        <v>10551677.165568003</v>
      </c>
      <c r="AN49" s="83">
        <f t="shared" si="52"/>
        <v>10551677.165568003</v>
      </c>
    </row>
    <row r="50" spans="1:40">
      <c r="A50" s="1002"/>
      <c r="B50" s="124"/>
      <c r="C50" s="298"/>
      <c r="D50" s="126" t="s">
        <v>68</v>
      </c>
      <c r="E50" s="81"/>
      <c r="F50" s="81"/>
      <c r="G50" s="81"/>
      <c r="H50" s="81"/>
      <c r="I50" s="81"/>
      <c r="J50" s="81"/>
      <c r="K50" s="83"/>
      <c r="L50" s="83"/>
      <c r="M50" s="303"/>
      <c r="N50" s="83"/>
      <c r="O50" s="81"/>
      <c r="P50" s="300"/>
      <c r="R50" s="81"/>
      <c r="S50" s="81"/>
      <c r="T50" s="81"/>
      <c r="U50" s="83">
        <f>-B49*1%*(1+$F$2)</f>
        <v>-4600628.3250814192</v>
      </c>
      <c r="V50" s="83"/>
      <c r="W50" s="81"/>
      <c r="X50" s="83"/>
      <c r="Y50" s="81"/>
      <c r="Z50" s="81"/>
      <c r="AA50" s="83"/>
      <c r="AB50" s="81"/>
      <c r="AD50" s="81"/>
      <c r="AE50" s="81"/>
      <c r="AF50" s="81"/>
      <c r="AG50" s="83">
        <f>-N49*1%*(1+$F$2)</f>
        <v>-94082.16951466669</v>
      </c>
      <c r="AH50" s="83"/>
      <c r="AI50" s="81"/>
      <c r="AJ50" s="83"/>
      <c r="AK50" s="81"/>
      <c r="AL50" s="81"/>
      <c r="AM50" s="83"/>
      <c r="AN50" s="81"/>
    </row>
    <row r="51" spans="1:40">
      <c r="A51" s="1002"/>
      <c r="B51" s="124"/>
      <c r="C51" s="298"/>
      <c r="D51" s="126"/>
      <c r="E51" s="81"/>
      <c r="F51" s="81"/>
      <c r="G51" s="81"/>
      <c r="H51" s="81"/>
      <c r="I51" s="81"/>
      <c r="J51" s="81"/>
      <c r="K51" s="83"/>
      <c r="L51" s="83"/>
      <c r="M51" s="81"/>
      <c r="N51" s="83"/>
      <c r="O51" s="81"/>
      <c r="P51" s="300"/>
      <c r="Q51" s="81"/>
      <c r="R51" s="81"/>
      <c r="S51" s="81"/>
      <c r="T51" s="81"/>
      <c r="U51" s="81"/>
      <c r="V51" s="81"/>
      <c r="W51" s="81"/>
      <c r="X51" s="81"/>
      <c r="Y51" s="81"/>
      <c r="Z51" s="81"/>
      <c r="AA51" s="81"/>
      <c r="AB51" s="81"/>
      <c r="AC51" s="81"/>
      <c r="AD51" s="81"/>
      <c r="AE51" s="81"/>
      <c r="AF51" s="81"/>
      <c r="AG51" s="81"/>
      <c r="AH51" s="81"/>
      <c r="AI51" s="81"/>
      <c r="AJ51" s="81"/>
      <c r="AK51" s="81"/>
      <c r="AL51" s="81"/>
      <c r="AM51" s="81"/>
      <c r="AN51" s="81"/>
    </row>
    <row r="52" spans="1:40">
      <c r="A52" s="1002"/>
      <c r="B52" s="124">
        <f>+'Proyección PPAs'!B4</f>
        <v>980996120.52516294</v>
      </c>
      <c r="C52" s="127" t="s">
        <v>9259</v>
      </c>
      <c r="D52" s="321">
        <f>+B52/120000000</f>
        <v>8.1749676710430244</v>
      </c>
      <c r="E52" s="81"/>
      <c r="F52" s="81"/>
      <c r="G52" s="81"/>
      <c r="H52" s="81"/>
      <c r="I52" s="81"/>
      <c r="J52" s="81"/>
      <c r="K52" s="83"/>
      <c r="L52" s="83"/>
      <c r="M52" s="81"/>
      <c r="N52" s="83"/>
      <c r="O52" s="83">
        <f>+B52*2.68%</f>
        <v>26290696.030074369</v>
      </c>
      <c r="P52" s="85">
        <f>+O52</f>
        <v>26290696.030074369</v>
      </c>
      <c r="Q52" s="83">
        <f>+P52</f>
        <v>26290696.030074369</v>
      </c>
      <c r="R52" s="83">
        <f>+Q52</f>
        <v>26290696.030074369</v>
      </c>
      <c r="S52" s="83">
        <f t="shared" ref="S52:AB52" si="53">+R52</f>
        <v>26290696.030074369</v>
      </c>
      <c r="T52" s="83">
        <f t="shared" si="53"/>
        <v>26290696.030074369</v>
      </c>
      <c r="U52" s="83">
        <f t="shared" si="53"/>
        <v>26290696.030074369</v>
      </c>
      <c r="V52" s="83">
        <f t="shared" si="53"/>
        <v>26290696.030074369</v>
      </c>
      <c r="W52" s="83">
        <f t="shared" si="53"/>
        <v>26290696.030074369</v>
      </c>
      <c r="X52" s="83">
        <f t="shared" si="53"/>
        <v>26290696.030074369</v>
      </c>
      <c r="Y52" s="83">
        <f t="shared" si="53"/>
        <v>26290696.030074369</v>
      </c>
      <c r="Z52" s="83">
        <f t="shared" si="53"/>
        <v>26290696.030074369</v>
      </c>
      <c r="AA52" s="83">
        <f t="shared" si="53"/>
        <v>26290696.030074369</v>
      </c>
      <c r="AB52" s="83">
        <f t="shared" si="53"/>
        <v>26290696.030074369</v>
      </c>
      <c r="AC52" s="83">
        <f>+AB52*(1+$F$2)</f>
        <v>27342323.871277343</v>
      </c>
      <c r="AD52" s="83">
        <f>+AC52</f>
        <v>27342323.871277343</v>
      </c>
      <c r="AE52" s="83">
        <f t="shared" ref="AE52:AN52" si="54">+AD52</f>
        <v>27342323.871277343</v>
      </c>
      <c r="AF52" s="83">
        <f t="shared" si="54"/>
        <v>27342323.871277343</v>
      </c>
      <c r="AG52" s="83">
        <f t="shared" si="54"/>
        <v>27342323.871277343</v>
      </c>
      <c r="AH52" s="83">
        <f t="shared" si="54"/>
        <v>27342323.871277343</v>
      </c>
      <c r="AI52" s="83">
        <f t="shared" si="54"/>
        <v>27342323.871277343</v>
      </c>
      <c r="AJ52" s="83">
        <f t="shared" si="54"/>
        <v>27342323.871277343</v>
      </c>
      <c r="AK52" s="83">
        <f t="shared" si="54"/>
        <v>27342323.871277343</v>
      </c>
      <c r="AL52" s="83">
        <f t="shared" si="54"/>
        <v>27342323.871277343</v>
      </c>
      <c r="AM52" s="83">
        <f t="shared" si="54"/>
        <v>27342323.871277343</v>
      </c>
      <c r="AN52" s="83">
        <f t="shared" si="54"/>
        <v>27342323.871277343</v>
      </c>
    </row>
    <row r="53" spans="1:40">
      <c r="A53" s="1002"/>
      <c r="B53" s="127"/>
      <c r="C53" s="298"/>
      <c r="D53" s="322"/>
      <c r="E53" s="81"/>
      <c r="F53" s="81"/>
      <c r="G53" s="81"/>
      <c r="H53" s="81"/>
      <c r="I53" s="81"/>
      <c r="J53" s="81"/>
      <c r="K53" s="83"/>
      <c r="L53" s="83"/>
      <c r="M53" s="81"/>
      <c r="N53" s="83"/>
      <c r="O53" s="81"/>
      <c r="P53" s="300"/>
      <c r="Q53" s="81"/>
      <c r="R53" s="81"/>
      <c r="S53" s="81"/>
      <c r="T53" s="81"/>
      <c r="U53" s="81"/>
      <c r="V53" s="83">
        <f>-B52*1%</f>
        <v>-9809961.2052516304</v>
      </c>
      <c r="W53" s="81"/>
      <c r="X53" s="81"/>
      <c r="Y53" s="81"/>
      <c r="Z53" s="81"/>
      <c r="AA53" s="81"/>
      <c r="AB53" s="81"/>
      <c r="AC53" s="81"/>
      <c r="AD53" s="81"/>
      <c r="AE53" s="81"/>
      <c r="AF53" s="81"/>
      <c r="AG53" s="81"/>
      <c r="AH53" s="81"/>
      <c r="AI53" s="83">
        <f>V53*(1+$F$2)</f>
        <v>-10202359.653461697</v>
      </c>
      <c r="AJ53" s="81"/>
      <c r="AK53" s="81"/>
      <c r="AL53" s="81"/>
      <c r="AM53" s="81"/>
      <c r="AN53" s="81"/>
    </row>
    <row r="54" spans="1:40">
      <c r="A54" s="1002"/>
      <c r="B54" s="124">
        <f>+'Proyección PPAs'!B6</f>
        <v>980996120.52516294</v>
      </c>
      <c r="C54" s="127" t="s">
        <v>9260</v>
      </c>
      <c r="D54" s="321">
        <f>+B54/120000000</f>
        <v>8.1749676710430244</v>
      </c>
      <c r="E54" s="81"/>
      <c r="F54" s="81"/>
      <c r="G54" s="81"/>
      <c r="H54" s="81"/>
      <c r="I54" s="81"/>
      <c r="J54" s="81"/>
      <c r="K54" s="83"/>
      <c r="L54" s="83"/>
      <c r="M54" s="81"/>
      <c r="N54" s="83"/>
      <c r="O54" s="81"/>
      <c r="P54" s="300"/>
      <c r="Q54" s="83">
        <f>+B54*2.68%</f>
        <v>26290696.030074369</v>
      </c>
      <c r="R54" s="83">
        <f>+Q54</f>
        <v>26290696.030074369</v>
      </c>
      <c r="S54" s="83">
        <f>+R54</f>
        <v>26290696.030074369</v>
      </c>
      <c r="T54" s="83">
        <f t="shared" ref="T54:AB54" si="55">+S54</f>
        <v>26290696.030074369</v>
      </c>
      <c r="U54" s="83">
        <f t="shared" si="55"/>
        <v>26290696.030074369</v>
      </c>
      <c r="V54" s="83">
        <f t="shared" si="55"/>
        <v>26290696.030074369</v>
      </c>
      <c r="W54" s="83">
        <f t="shared" si="55"/>
        <v>26290696.030074369</v>
      </c>
      <c r="X54" s="83">
        <f t="shared" si="55"/>
        <v>26290696.030074369</v>
      </c>
      <c r="Y54" s="83">
        <f t="shared" si="55"/>
        <v>26290696.030074369</v>
      </c>
      <c r="Z54" s="83">
        <f t="shared" si="55"/>
        <v>26290696.030074369</v>
      </c>
      <c r="AA54" s="83">
        <f t="shared" si="55"/>
        <v>26290696.030074369</v>
      </c>
      <c r="AB54" s="83">
        <f t="shared" si="55"/>
        <v>26290696.030074369</v>
      </c>
      <c r="AC54" s="83">
        <f>+AB54*(1+$F$2)</f>
        <v>27342323.871277343</v>
      </c>
      <c r="AD54" s="83">
        <f>+AC54</f>
        <v>27342323.871277343</v>
      </c>
      <c r="AE54" s="83">
        <f t="shared" ref="AE54:AN54" si="56">+AD54</f>
        <v>27342323.871277343</v>
      </c>
      <c r="AF54" s="83">
        <f t="shared" si="56"/>
        <v>27342323.871277343</v>
      </c>
      <c r="AG54" s="83">
        <f t="shared" si="56"/>
        <v>27342323.871277343</v>
      </c>
      <c r="AH54" s="83">
        <f t="shared" si="56"/>
        <v>27342323.871277343</v>
      </c>
      <c r="AI54" s="83">
        <f t="shared" si="56"/>
        <v>27342323.871277343</v>
      </c>
      <c r="AJ54" s="83">
        <f t="shared" si="56"/>
        <v>27342323.871277343</v>
      </c>
      <c r="AK54" s="83">
        <f t="shared" si="56"/>
        <v>27342323.871277343</v>
      </c>
      <c r="AL54" s="83">
        <f t="shared" si="56"/>
        <v>27342323.871277343</v>
      </c>
      <c r="AM54" s="83">
        <f t="shared" si="56"/>
        <v>27342323.871277343</v>
      </c>
      <c r="AN54" s="83">
        <f t="shared" si="56"/>
        <v>27342323.871277343</v>
      </c>
    </row>
    <row r="55" spans="1:40">
      <c r="A55" s="1002"/>
      <c r="B55" s="127"/>
      <c r="C55" s="298"/>
      <c r="D55" s="321"/>
      <c r="E55" s="81"/>
      <c r="F55" s="81"/>
      <c r="G55" s="81"/>
      <c r="H55" s="81"/>
      <c r="I55" s="81"/>
      <c r="J55" s="81"/>
      <c r="K55" s="83"/>
      <c r="L55" s="83"/>
      <c r="M55" s="81"/>
      <c r="N55" s="83"/>
      <c r="O55" s="81"/>
      <c r="P55" s="300"/>
      <c r="Q55" s="81"/>
      <c r="R55" s="81"/>
      <c r="S55" s="81"/>
      <c r="T55" s="81"/>
      <c r="U55" s="81"/>
      <c r="V55" s="81"/>
      <c r="W55" s="83">
        <f>-$B$54*1%</f>
        <v>-9809961.2052516304</v>
      </c>
      <c r="X55" s="81"/>
      <c r="Y55" s="81"/>
      <c r="Z55" s="81"/>
      <c r="AA55" s="81"/>
      <c r="AB55" s="81"/>
      <c r="AC55" s="81"/>
      <c r="AD55" s="81"/>
      <c r="AE55" s="81"/>
      <c r="AF55" s="81"/>
      <c r="AG55" s="81"/>
      <c r="AH55" s="81"/>
      <c r="AI55" s="81"/>
      <c r="AJ55" s="83">
        <f>W55*(1+$F$2)</f>
        <v>-10202359.653461697</v>
      </c>
      <c r="AK55" s="81"/>
      <c r="AL55" s="81"/>
      <c r="AM55" s="81"/>
      <c r="AN55" s="81"/>
    </row>
    <row r="56" spans="1:40">
      <c r="A56" s="1002"/>
      <c r="B56" s="124">
        <f>+'Proyección PPAs'!B8</f>
        <v>980996120.52516294</v>
      </c>
      <c r="C56" s="127" t="s">
        <v>9261</v>
      </c>
      <c r="D56" s="321">
        <f>+B56/120000000</f>
        <v>8.1749676710430244</v>
      </c>
      <c r="E56" s="81"/>
      <c r="F56" s="81"/>
      <c r="G56" s="81"/>
      <c r="H56" s="81"/>
      <c r="I56" s="81"/>
      <c r="J56" s="81"/>
      <c r="K56" s="83"/>
      <c r="L56" s="83"/>
      <c r="M56" s="81"/>
      <c r="N56" s="83"/>
      <c r="O56" s="81"/>
      <c r="P56" s="300"/>
      <c r="Q56" s="81"/>
      <c r="R56" s="81"/>
      <c r="S56" s="83">
        <f>+B56*2.68%</f>
        <v>26290696.030074369</v>
      </c>
      <c r="T56" s="83">
        <f>+S56</f>
        <v>26290696.030074369</v>
      </c>
      <c r="U56" s="83">
        <f t="shared" ref="U56:AA56" si="57">+T56</f>
        <v>26290696.030074369</v>
      </c>
      <c r="V56" s="83">
        <f t="shared" si="57"/>
        <v>26290696.030074369</v>
      </c>
      <c r="W56" s="83">
        <f t="shared" si="57"/>
        <v>26290696.030074369</v>
      </c>
      <c r="X56" s="83">
        <f t="shared" si="57"/>
        <v>26290696.030074369</v>
      </c>
      <c r="Y56" s="83">
        <f t="shared" si="57"/>
        <v>26290696.030074369</v>
      </c>
      <c r="Z56" s="83">
        <f t="shared" si="57"/>
        <v>26290696.030074369</v>
      </c>
      <c r="AA56" s="83">
        <f t="shared" si="57"/>
        <v>26290696.030074369</v>
      </c>
      <c r="AB56" s="85">
        <f>+AA56</f>
        <v>26290696.030074369</v>
      </c>
      <c r="AC56" s="83">
        <f>+AB56*(1+$F$2)</f>
        <v>27342323.871277343</v>
      </c>
      <c r="AD56" s="83">
        <f>+AC56</f>
        <v>27342323.871277343</v>
      </c>
      <c r="AE56" s="83">
        <f t="shared" ref="AE56:AN56" si="58">+AD56</f>
        <v>27342323.871277343</v>
      </c>
      <c r="AF56" s="83">
        <f t="shared" si="58"/>
        <v>27342323.871277343</v>
      </c>
      <c r="AG56" s="83">
        <f t="shared" si="58"/>
        <v>27342323.871277343</v>
      </c>
      <c r="AH56" s="83">
        <f t="shared" si="58"/>
        <v>27342323.871277343</v>
      </c>
      <c r="AI56" s="83">
        <f t="shared" si="58"/>
        <v>27342323.871277343</v>
      </c>
      <c r="AJ56" s="83">
        <f t="shared" si="58"/>
        <v>27342323.871277343</v>
      </c>
      <c r="AK56" s="83">
        <f t="shared" si="58"/>
        <v>27342323.871277343</v>
      </c>
      <c r="AL56" s="83">
        <f t="shared" si="58"/>
        <v>27342323.871277343</v>
      </c>
      <c r="AM56" s="83">
        <f t="shared" si="58"/>
        <v>27342323.871277343</v>
      </c>
      <c r="AN56" s="83">
        <f t="shared" si="58"/>
        <v>27342323.871277343</v>
      </c>
    </row>
    <row r="57" spans="1:40">
      <c r="B57" s="127"/>
      <c r="C57" s="298"/>
      <c r="D57" s="126"/>
      <c r="E57" s="81"/>
      <c r="F57" s="81"/>
      <c r="G57" s="81"/>
      <c r="H57" s="81"/>
      <c r="I57" s="81"/>
      <c r="J57" s="81"/>
      <c r="K57" s="83"/>
      <c r="L57" s="82" t="s">
        <v>9262</v>
      </c>
      <c r="M57" s="81"/>
      <c r="N57" s="83"/>
      <c r="O57" s="81"/>
      <c r="P57" s="300"/>
      <c r="Q57" s="81"/>
      <c r="R57" s="81"/>
      <c r="S57" s="81"/>
      <c r="T57" s="81"/>
      <c r="U57" s="81"/>
      <c r="V57" s="81"/>
      <c r="W57" s="81"/>
      <c r="X57" s="83">
        <f>-$B$54*1%</f>
        <v>-9809961.2052516304</v>
      </c>
      <c r="Y57" s="81"/>
      <c r="Z57" s="81"/>
      <c r="AA57" s="81"/>
      <c r="AB57" s="300"/>
      <c r="AC57" s="81"/>
      <c r="AD57" s="81"/>
      <c r="AE57" s="81"/>
      <c r="AF57" s="81"/>
      <c r="AG57" s="81"/>
      <c r="AH57" s="81"/>
      <c r="AI57" s="81"/>
      <c r="AJ57" s="81"/>
      <c r="AK57" s="83">
        <f>X57*(1+$F$2)</f>
        <v>-10202359.653461697</v>
      </c>
      <c r="AL57" s="81"/>
      <c r="AM57" s="81"/>
      <c r="AN57" s="81"/>
    </row>
    <row r="58" spans="1:40">
      <c r="B58" s="127"/>
      <c r="C58" s="298"/>
      <c r="D58" s="126"/>
      <c r="E58" s="81"/>
      <c r="F58" s="81"/>
      <c r="G58" s="81"/>
      <c r="H58" s="81"/>
      <c r="I58" s="81"/>
      <c r="J58" s="81"/>
      <c r="K58" s="83"/>
      <c r="L58" s="82"/>
      <c r="M58" s="81"/>
      <c r="N58" s="83"/>
      <c r="O58" s="81"/>
      <c r="P58" s="81"/>
      <c r="Q58" s="81"/>
      <c r="R58" s="81"/>
      <c r="S58" s="81"/>
      <c r="T58" s="81"/>
      <c r="U58" s="81"/>
      <c r="V58" s="81"/>
      <c r="W58" s="81"/>
      <c r="X58" s="83"/>
      <c r="Y58" s="81"/>
      <c r="Z58" s="81"/>
      <c r="AA58" s="81"/>
      <c r="AB58" s="300"/>
      <c r="AC58" s="81"/>
      <c r="AD58" s="81"/>
      <c r="AE58" s="81"/>
      <c r="AF58" s="81"/>
      <c r="AG58" s="81"/>
      <c r="AH58" s="81"/>
      <c r="AI58" s="81"/>
      <c r="AJ58" s="81"/>
      <c r="AK58" s="81"/>
      <c r="AL58" s="81"/>
      <c r="AM58" s="81"/>
      <c r="AN58" s="81"/>
    </row>
    <row r="59" spans="1:40" ht="12.95">
      <c r="B59" s="83"/>
      <c r="C59" s="85"/>
      <c r="D59" s="40" t="s">
        <v>9263</v>
      </c>
      <c r="E59" s="81"/>
      <c r="F59" s="81"/>
      <c r="G59" s="81"/>
      <c r="H59" s="81"/>
      <c r="I59" s="81"/>
      <c r="J59" s="81"/>
      <c r="K59" s="81"/>
      <c r="L59" s="81"/>
      <c r="M59" s="81"/>
      <c r="N59" s="81"/>
      <c r="O59" s="81"/>
      <c r="P59" s="81"/>
      <c r="Q59" s="81"/>
      <c r="R59" s="81"/>
      <c r="S59" s="81"/>
      <c r="T59" s="81"/>
      <c r="U59" s="81"/>
      <c r="V59" s="81"/>
      <c r="W59" s="81"/>
      <c r="X59" s="81"/>
      <c r="Y59" s="81"/>
      <c r="Z59" s="81"/>
      <c r="AA59" s="81"/>
      <c r="AB59" s="300"/>
      <c r="AC59" s="81"/>
      <c r="AD59" s="81"/>
      <c r="AE59" s="81"/>
      <c r="AF59" s="81"/>
      <c r="AG59" s="81"/>
      <c r="AH59" s="81"/>
      <c r="AI59" s="81"/>
      <c r="AJ59" s="81"/>
      <c r="AK59" s="81"/>
      <c r="AL59" s="81"/>
      <c r="AM59" s="81"/>
      <c r="AN59" s="81"/>
    </row>
    <row r="60" spans="1:40" ht="12.95">
      <c r="E60" s="87">
        <f t="shared" ref="E60:AN60" si="59">+SUM(E5:E59)</f>
        <v>26445946.454565972</v>
      </c>
      <c r="F60" s="87">
        <f t="shared" si="59"/>
        <v>33662460.597170077</v>
      </c>
      <c r="G60" s="87">
        <f t="shared" si="59"/>
        <v>36895368.542781353</v>
      </c>
      <c r="H60" s="87">
        <f t="shared" si="59"/>
        <v>38598436.120558053</v>
      </c>
      <c r="I60" s="87">
        <f t="shared" si="59"/>
        <v>43460027.392858006</v>
      </c>
      <c r="J60" s="87">
        <f t="shared" si="59"/>
        <v>42842603.451783702</v>
      </c>
      <c r="K60" s="87">
        <f t="shared" si="59"/>
        <v>48255190.421000138</v>
      </c>
      <c r="L60" s="87">
        <f t="shared" si="59"/>
        <v>55841824.855750076</v>
      </c>
      <c r="M60" s="87">
        <f t="shared" si="59"/>
        <v>68583955.505802333</v>
      </c>
      <c r="N60" s="87">
        <f t="shared" si="59"/>
        <v>67828838.938379571</v>
      </c>
      <c r="O60" s="87">
        <f t="shared" si="59"/>
        <v>90070673.677051976</v>
      </c>
      <c r="P60" s="302">
        <f t="shared" si="59"/>
        <v>82360267.860753328</v>
      </c>
      <c r="Q60" s="87">
        <f t="shared" si="59"/>
        <v>120308876.14502683</v>
      </c>
      <c r="R60" s="302">
        <f t="shared" si="59"/>
        <v>125433279.81504649</v>
      </c>
      <c r="S60" s="302">
        <f t="shared" si="59"/>
        <v>147925948.72508997</v>
      </c>
      <c r="T60" s="302">
        <f t="shared" si="59"/>
        <v>145846789.74270761</v>
      </c>
      <c r="U60" s="302">
        <f t="shared" si="59"/>
        <v>143579807.65803131</v>
      </c>
      <c r="V60" s="302">
        <f t="shared" si="59"/>
        <v>132660423.2697714</v>
      </c>
      <c r="W60" s="302">
        <f t="shared" si="59"/>
        <v>143163426.22426111</v>
      </c>
      <c r="X60" s="302">
        <f t="shared" si="59"/>
        <v>137586532.42424569</v>
      </c>
      <c r="Y60" s="302">
        <f t="shared" si="59"/>
        <v>152569671.70715785</v>
      </c>
      <c r="Z60" s="302">
        <f t="shared" si="59"/>
        <v>152973387.42951274</v>
      </c>
      <c r="AA60" s="302">
        <f t="shared" si="59"/>
        <v>147073157.39889222</v>
      </c>
      <c r="AB60" s="302">
        <f t="shared" si="59"/>
        <v>138720058.57232136</v>
      </c>
      <c r="AC60" s="302">
        <f t="shared" si="59"/>
        <v>156913796.20608681</v>
      </c>
      <c r="AD60" s="302">
        <f t="shared" si="59"/>
        <v>159501376.38274887</v>
      </c>
      <c r="AE60" s="302">
        <f t="shared" si="59"/>
        <v>156241142.80409431</v>
      </c>
      <c r="AF60" s="302">
        <f t="shared" si="59"/>
        <v>157910482.4983092</v>
      </c>
      <c r="AG60" s="302">
        <f t="shared" si="59"/>
        <v>155863754.35122606</v>
      </c>
      <c r="AH60" s="302">
        <f t="shared" si="59"/>
        <v>151164885.07434073</v>
      </c>
      <c r="AI60" s="302">
        <f t="shared" si="59"/>
        <v>150548428.31367904</v>
      </c>
      <c r="AJ60" s="302">
        <f t="shared" si="59"/>
        <v>146660947.76122609</v>
      </c>
      <c r="AK60" s="302">
        <f t="shared" si="59"/>
        <v>150128563.96243</v>
      </c>
      <c r="AL60" s="302">
        <f t="shared" si="59"/>
        <v>160750787.96714073</v>
      </c>
      <c r="AM60" s="302">
        <f t="shared" si="59"/>
        <v>154614548.73529544</v>
      </c>
      <c r="AN60" s="302">
        <f t="shared" si="59"/>
        <v>145927325.95566168</v>
      </c>
    </row>
    <row r="62" spans="1:40" ht="12.95">
      <c r="C62" s="13">
        <f>+AVERAGE(E62:AN62)</f>
        <v>-4498059.6123798173</v>
      </c>
      <c r="D62" s="48" t="s">
        <v>9264</v>
      </c>
      <c r="E62" s="13">
        <f t="shared" ref="E62:AN62" si="60">+E6+E8+E10+E12+E14+E16+E18+E20+E22+E24+E26+E28+E30+E32+E34+E36+E38+E40+E42+E44+E46</f>
        <v>-3510548.2436626474</v>
      </c>
      <c r="F62" s="13">
        <f t="shared" si="60"/>
        <v>-1249411.5843918761</v>
      </c>
      <c r="G62" s="13">
        <f t="shared" si="60"/>
        <v>-4317981.4965603435</v>
      </c>
      <c r="H62" s="13">
        <f t="shared" si="60"/>
        <v>-2614913.9187836358</v>
      </c>
      <c r="I62" s="13">
        <f t="shared" si="60"/>
        <v>-4608607.16</v>
      </c>
      <c r="J62" s="13">
        <f t="shared" si="60"/>
        <v>-7519351.0118429996</v>
      </c>
      <c r="K62" s="13">
        <f t="shared" si="60"/>
        <v>-4142658.6223939401</v>
      </c>
      <c r="L62" s="13">
        <f t="shared" si="60"/>
        <v>-3737962.0696663023</v>
      </c>
      <c r="M62" s="13">
        <f t="shared" si="60"/>
        <v>-388188.19457198301</v>
      </c>
      <c r="N62" s="13">
        <f t="shared" si="60"/>
        <v>-1624435.8149639</v>
      </c>
      <c r="O62" s="13">
        <f t="shared" si="60"/>
        <v>-5673298.1063658595</v>
      </c>
      <c r="P62" s="13">
        <f t="shared" si="60"/>
        <v>-13705123.901145564</v>
      </c>
      <c r="Q62" s="13">
        <f t="shared" si="60"/>
        <v>-6373815.2544115242</v>
      </c>
      <c r="R62" s="13">
        <f t="shared" si="60"/>
        <v>-1249411.5843918761</v>
      </c>
      <c r="S62" s="13">
        <f t="shared" si="60"/>
        <v>-5047438.7044227561</v>
      </c>
      <c r="T62" s="13">
        <f t="shared" si="60"/>
        <v>-2719510.475534983</v>
      </c>
      <c r="U62" s="13">
        <f t="shared" si="60"/>
        <v>-4792951.4464000007</v>
      </c>
      <c r="V62" s="13">
        <f t="shared" si="60"/>
        <v>-10503002.954489699</v>
      </c>
      <c r="W62" s="13">
        <f t="shared" si="60"/>
        <v>0</v>
      </c>
      <c r="X62" s="13">
        <f t="shared" si="60"/>
        <v>-5576893.8000154104</v>
      </c>
      <c r="Y62" s="13">
        <f t="shared" si="60"/>
        <v>-403715.72235486237</v>
      </c>
      <c r="Z62" s="13">
        <f t="shared" si="60"/>
        <v>0</v>
      </c>
      <c r="AA62" s="13">
        <f t="shared" si="60"/>
        <v>-5900230.0306204949</v>
      </c>
      <c r="AB62" s="13">
        <f t="shared" si="60"/>
        <v>-14253328.857191388</v>
      </c>
      <c r="AC62" s="13">
        <f t="shared" si="60"/>
        <v>-3836991.7610539356</v>
      </c>
      <c r="AD62" s="13">
        <f t="shared" si="60"/>
        <v>-1249411.5843918761</v>
      </c>
      <c r="AE62" s="13">
        <f t="shared" si="60"/>
        <v>-4509645.1630464206</v>
      </c>
      <c r="AF62" s="13">
        <f t="shared" si="60"/>
        <v>-2775418.0967727774</v>
      </c>
      <c r="AG62" s="13">
        <f t="shared" si="60"/>
        <v>-4792951.4464000007</v>
      </c>
      <c r="AH62" s="13">
        <f t="shared" si="60"/>
        <v>-9585902.8928000014</v>
      </c>
      <c r="AI62" s="13">
        <f t="shared" si="60"/>
        <v>0</v>
      </c>
      <c r="AJ62" s="13">
        <f t="shared" si="60"/>
        <v>-3887480.5524529545</v>
      </c>
      <c r="AK62" s="13">
        <f t="shared" si="60"/>
        <v>-419864.35124905687</v>
      </c>
      <c r="AL62" s="13">
        <f t="shared" si="60"/>
        <v>0</v>
      </c>
      <c r="AM62" s="13">
        <f t="shared" si="60"/>
        <v>-6136239.2318453137</v>
      </c>
      <c r="AN62" s="13">
        <f t="shared" si="60"/>
        <v>-14823462.011479042</v>
      </c>
    </row>
    <row r="63" spans="1:40" ht="12.95">
      <c r="D63" s="40" t="s">
        <v>9265</v>
      </c>
      <c r="E63" s="83">
        <f t="shared" ref="E63:AN63" si="61">+E5+E7+E9+E11+E13+E15+E17+E19+E21+E23+E25+E27+E29+E35+E37+E39+E41+E43+E45+E47+E49</f>
        <v>28066068.934895284</v>
      </c>
      <c r="F63" s="83">
        <f t="shared" si="61"/>
        <v>32128218.418228619</v>
      </c>
      <c r="G63" s="83">
        <f t="shared" si="61"/>
        <v>38429696.276008353</v>
      </c>
      <c r="H63" s="83">
        <f t="shared" si="61"/>
        <v>38429696.276008353</v>
      </c>
      <c r="I63" s="83">
        <f t="shared" si="61"/>
        <v>45284980.789524682</v>
      </c>
      <c r="J63" s="83">
        <f t="shared" si="61"/>
        <v>47578300.70029337</v>
      </c>
      <c r="K63" s="83">
        <f t="shared" si="61"/>
        <v>49614195.280060753</v>
      </c>
      <c r="L63" s="83">
        <f t="shared" si="61"/>
        <v>56796133.162083037</v>
      </c>
      <c r="M63" s="83">
        <f t="shared" si="61"/>
        <v>66126155.104855008</v>
      </c>
      <c r="N63" s="83">
        <f t="shared" si="61"/>
        <v>66495614.793264173</v>
      </c>
      <c r="O63" s="83">
        <f t="shared" si="61"/>
        <v>66495615.793264173</v>
      </c>
      <c r="P63" s="83">
        <f t="shared" si="61"/>
        <v>66817035.771745212</v>
      </c>
      <c r="Q63" s="83">
        <f t="shared" si="61"/>
        <v>70907026.582403973</v>
      </c>
      <c r="R63" s="83">
        <f t="shared" si="61"/>
        <v>70907026.582403973</v>
      </c>
      <c r="S63" s="83">
        <f t="shared" si="61"/>
        <v>70907026.582403973</v>
      </c>
      <c r="T63" s="83">
        <f t="shared" si="61"/>
        <v>70907026.582403973</v>
      </c>
      <c r="U63" s="83">
        <f t="shared" si="61"/>
        <v>70907026.582403973</v>
      </c>
      <c r="V63" s="83">
        <f t="shared" si="61"/>
        <v>70907026.582403973</v>
      </c>
      <c r="W63" s="83">
        <f t="shared" si="61"/>
        <v>70907026.582403973</v>
      </c>
      <c r="X63" s="83">
        <f t="shared" si="61"/>
        <v>70907026.582403973</v>
      </c>
      <c r="Y63" s="83">
        <f t="shared" si="61"/>
        <v>70907026.582403973</v>
      </c>
      <c r="Z63" s="83">
        <f t="shared" si="61"/>
        <v>70907026.582403973</v>
      </c>
      <c r="AA63" s="83">
        <f t="shared" si="61"/>
        <v>70907026.582403973</v>
      </c>
      <c r="AB63" s="83">
        <f t="shared" si="61"/>
        <v>70907026.582403973</v>
      </c>
      <c r="AC63" s="83">
        <f t="shared" si="61"/>
        <v>75274001.775872216</v>
      </c>
      <c r="AD63" s="83">
        <f t="shared" si="61"/>
        <v>75274001.775872216</v>
      </c>
      <c r="AE63" s="83">
        <f t="shared" si="61"/>
        <v>75274001.775872216</v>
      </c>
      <c r="AF63" s="83">
        <f t="shared" si="61"/>
        <v>75274001.775872216</v>
      </c>
      <c r="AG63" s="83">
        <f t="shared" si="61"/>
        <v>75274001.775872216</v>
      </c>
      <c r="AH63" s="83">
        <f t="shared" si="61"/>
        <v>75274001.775872216</v>
      </c>
      <c r="AI63" s="83">
        <f t="shared" si="61"/>
        <v>75274001.775872216</v>
      </c>
      <c r="AJ63" s="83">
        <f t="shared" si="61"/>
        <v>75274001.775872216</v>
      </c>
      <c r="AK63" s="83">
        <f t="shared" si="61"/>
        <v>75274001.775872216</v>
      </c>
      <c r="AL63" s="83">
        <f t="shared" si="61"/>
        <v>75274001.775872216</v>
      </c>
      <c r="AM63" s="83">
        <f t="shared" si="61"/>
        <v>75274001.775872216</v>
      </c>
      <c r="AN63" s="83">
        <f t="shared" si="61"/>
        <v>75274001.775872216</v>
      </c>
    </row>
    <row r="66" spans="3:24">
      <c r="D66" s="37" t="s">
        <v>9266</v>
      </c>
      <c r="E66" s="13">
        <f t="shared" ref="E66:X66" si="62">+E63+E52+E54+E56</f>
        <v>28066068.934895284</v>
      </c>
      <c r="F66" s="13">
        <f t="shared" si="62"/>
        <v>32128218.418228619</v>
      </c>
      <c r="G66" s="13">
        <f t="shared" si="62"/>
        <v>38429696.276008353</v>
      </c>
      <c r="H66" s="13">
        <f t="shared" si="62"/>
        <v>38429696.276008353</v>
      </c>
      <c r="I66" s="13">
        <f t="shared" si="62"/>
        <v>45284980.789524682</v>
      </c>
      <c r="J66" s="13">
        <f t="shared" si="62"/>
        <v>47578300.70029337</v>
      </c>
      <c r="K66" s="13">
        <f t="shared" si="62"/>
        <v>49614195.280060753</v>
      </c>
      <c r="L66" s="13">
        <f t="shared" si="62"/>
        <v>56796133.162083037</v>
      </c>
      <c r="M66" s="13">
        <f t="shared" si="62"/>
        <v>66126155.104855008</v>
      </c>
      <c r="N66" s="13">
        <f t="shared" si="62"/>
        <v>66495614.793264173</v>
      </c>
      <c r="O66" s="13">
        <f t="shared" si="62"/>
        <v>92786311.823338538</v>
      </c>
      <c r="P66" s="13">
        <f t="shared" si="62"/>
        <v>93107731.801819578</v>
      </c>
      <c r="Q66" s="13">
        <f t="shared" si="62"/>
        <v>123488418.64255272</v>
      </c>
      <c r="R66" s="13">
        <f t="shared" si="62"/>
        <v>123488418.64255272</v>
      </c>
      <c r="S66" s="13">
        <f t="shared" si="62"/>
        <v>149779114.67262709</v>
      </c>
      <c r="T66" s="13">
        <f t="shared" si="62"/>
        <v>149779114.67262709</v>
      </c>
      <c r="U66" s="13">
        <f t="shared" si="62"/>
        <v>149779114.67262709</v>
      </c>
      <c r="V66" s="13">
        <f t="shared" si="62"/>
        <v>149779114.67262709</v>
      </c>
      <c r="W66" s="13">
        <f t="shared" si="62"/>
        <v>149779114.67262709</v>
      </c>
      <c r="X66" s="13">
        <f t="shared" si="62"/>
        <v>149779114.67262709</v>
      </c>
    </row>
    <row r="67" spans="3:24">
      <c r="C67" s="13">
        <v>-7830450</v>
      </c>
      <c r="D67" s="37" t="s">
        <v>9267</v>
      </c>
      <c r="E67" s="13">
        <f t="shared" ref="E67:K67" si="63">+E62+E53+E55+E57</f>
        <v>-3510548.2436626474</v>
      </c>
      <c r="F67" s="13">
        <f t="shared" si="63"/>
        <v>-1249411.5843918761</v>
      </c>
      <c r="G67" s="13">
        <f t="shared" si="63"/>
        <v>-4317981.4965603435</v>
      </c>
      <c r="H67" s="13">
        <f t="shared" si="63"/>
        <v>-2614913.9187836358</v>
      </c>
      <c r="I67" s="13">
        <f t="shared" si="63"/>
        <v>-4608607.16</v>
      </c>
      <c r="J67" s="13">
        <f t="shared" si="63"/>
        <v>-7519351.0118429996</v>
      </c>
      <c r="K67" s="13">
        <f t="shared" si="63"/>
        <v>-4142658.6223939401</v>
      </c>
      <c r="L67" s="13">
        <f>+K67</f>
        <v>-4142658.6223939401</v>
      </c>
      <c r="M67" s="13">
        <f>+M62+M53+M55+M57</f>
        <v>-388188.19457198301</v>
      </c>
      <c r="N67" s="13">
        <f>+N62+N53+N55+N57</f>
        <v>-1624435.8149639</v>
      </c>
      <c r="O67" s="13">
        <f>+O62+O53+O55+O57</f>
        <v>-5673298.1063658595</v>
      </c>
      <c r="P67" s="13">
        <f>+P62+P53+P55+P57</f>
        <v>-13705123.901145564</v>
      </c>
    </row>
    <row r="70" spans="3:24">
      <c r="D70" s="37" t="s">
        <v>87</v>
      </c>
      <c r="E70" s="13">
        <f>+E66-E63</f>
        <v>0</v>
      </c>
      <c r="F70" s="13">
        <f t="shared" ref="F70:P70" si="64">+F66-F63</f>
        <v>0</v>
      </c>
      <c r="G70" s="13">
        <f t="shared" si="64"/>
        <v>0</v>
      </c>
      <c r="H70" s="13">
        <f t="shared" si="64"/>
        <v>0</v>
      </c>
      <c r="I70" s="13">
        <f t="shared" si="64"/>
        <v>0</v>
      </c>
      <c r="J70" s="13">
        <f t="shared" si="64"/>
        <v>0</v>
      </c>
      <c r="K70" s="13">
        <f t="shared" si="64"/>
        <v>0</v>
      </c>
      <c r="L70" s="13">
        <f t="shared" si="64"/>
        <v>0</v>
      </c>
      <c r="M70" s="13">
        <f t="shared" si="64"/>
        <v>0</v>
      </c>
      <c r="N70" s="13">
        <f t="shared" si="64"/>
        <v>0</v>
      </c>
      <c r="O70" s="13">
        <f t="shared" si="64"/>
        <v>26290696.030074365</v>
      </c>
      <c r="P70" s="13">
        <f t="shared" si="64"/>
        <v>26290696.030074365</v>
      </c>
    </row>
  </sheetData>
  <mergeCells count="2">
    <mergeCell ref="B2:D3"/>
    <mergeCell ref="A41:A56"/>
  </mergeCells>
  <phoneticPr fontId="1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0E95E-A0B6-42CA-AB3B-8109467F0B49}">
  <dimension ref="A4:CA41"/>
  <sheetViews>
    <sheetView topLeftCell="C1" workbookViewId="0">
      <selection activeCell="F16" sqref="F16"/>
    </sheetView>
  </sheetViews>
  <sheetFormatPr defaultColWidth="11.42578125" defaultRowHeight="12.6"/>
  <cols>
    <col min="1" max="1" width="22.140625" bestFit="1" customWidth="1"/>
    <col min="2" max="2" width="15.28515625" bestFit="1" customWidth="1"/>
    <col min="3" max="3" width="24.28515625" bestFit="1" customWidth="1"/>
    <col min="4" max="4" width="14.42578125" bestFit="1" customWidth="1"/>
    <col min="5" max="5" width="3.7109375" style="111" customWidth="1"/>
    <col min="6" max="6" width="15.28515625" bestFit="1" customWidth="1"/>
    <col min="7" max="9" width="15.85546875" bestFit="1" customWidth="1"/>
    <col min="10" max="10" width="15.28515625" bestFit="1" customWidth="1"/>
    <col min="11" max="12" width="13.7109375" bestFit="1" customWidth="1"/>
    <col min="13" max="13" width="15.28515625" bestFit="1" customWidth="1"/>
    <col min="14" max="14" width="15.7109375" bestFit="1" customWidth="1"/>
    <col min="15" max="15" width="13.7109375" bestFit="1" customWidth="1"/>
    <col min="16" max="17" width="15.28515625" bestFit="1" customWidth="1"/>
    <col min="18" max="18" width="13.7109375" bestFit="1" customWidth="1"/>
    <col min="19" max="19" width="15.28515625" bestFit="1" customWidth="1"/>
    <col min="20" max="23" width="13.7109375" bestFit="1" customWidth="1"/>
    <col min="25" max="25" width="11.5703125" bestFit="1" customWidth="1"/>
    <col min="26" max="26" width="15.7109375" bestFit="1" customWidth="1"/>
    <col min="27" max="27" width="12.42578125" bestFit="1" customWidth="1"/>
    <col min="28" max="28" width="15.28515625" bestFit="1" customWidth="1"/>
    <col min="29" max="29" width="14.7109375" bestFit="1" customWidth="1"/>
    <col min="30" max="79" width="11.42578125" style="6"/>
  </cols>
  <sheetData>
    <row r="4" spans="1:29" ht="13.5" thickBot="1">
      <c r="A4" s="133" t="s">
        <v>9268</v>
      </c>
      <c r="B4" s="134" t="s">
        <v>9269</v>
      </c>
      <c r="C4" s="152" t="s">
        <v>9270</v>
      </c>
      <c r="D4" s="153">
        <v>2022</v>
      </c>
      <c r="E4" s="154"/>
      <c r="F4" s="155">
        <v>44927</v>
      </c>
      <c r="G4" s="135">
        <v>44958</v>
      </c>
      <c r="H4" s="136">
        <v>44986</v>
      </c>
      <c r="I4" s="136">
        <v>45017</v>
      </c>
      <c r="J4" s="136">
        <v>45047</v>
      </c>
      <c r="K4" s="137">
        <v>45078</v>
      </c>
      <c r="L4" s="137">
        <v>45108</v>
      </c>
      <c r="M4" s="137">
        <v>45139</v>
      </c>
      <c r="N4" s="137">
        <v>45170</v>
      </c>
      <c r="O4" s="137">
        <v>45200</v>
      </c>
      <c r="P4" s="137">
        <v>45231</v>
      </c>
      <c r="Q4" s="137">
        <v>45261</v>
      </c>
      <c r="R4" s="137">
        <v>45292</v>
      </c>
      <c r="S4" s="137">
        <v>45323</v>
      </c>
      <c r="T4" s="137">
        <v>45352</v>
      </c>
      <c r="U4" s="137">
        <v>45383</v>
      </c>
      <c r="V4" s="137">
        <v>45413</v>
      </c>
      <c r="W4" s="137">
        <v>45444</v>
      </c>
      <c r="X4" s="137">
        <v>45474</v>
      </c>
      <c r="Y4" s="137">
        <v>45505</v>
      </c>
      <c r="Z4" s="137">
        <v>45536</v>
      </c>
      <c r="AA4" s="137">
        <v>45566</v>
      </c>
      <c r="AB4" s="137">
        <v>45597</v>
      </c>
      <c r="AC4" s="138">
        <v>45627</v>
      </c>
    </row>
    <row r="5" spans="1:29">
      <c r="A5" s="114">
        <v>69.760000000000005</v>
      </c>
      <c r="B5" s="2">
        <f>+SUM(D5:Q5)</f>
        <v>285406513</v>
      </c>
      <c r="C5" s="6" t="s">
        <v>9237</v>
      </c>
      <c r="D5" s="2">
        <v>285406513</v>
      </c>
      <c r="F5" s="6"/>
      <c r="G5" s="6"/>
      <c r="H5" s="6"/>
      <c r="I5" s="6"/>
      <c r="J5" s="6"/>
      <c r="K5" s="6"/>
      <c r="L5" s="6"/>
      <c r="M5" s="6"/>
      <c r="N5" s="6"/>
      <c r="O5" s="6"/>
      <c r="P5" s="6"/>
      <c r="Q5" s="6"/>
      <c r="R5" s="6"/>
      <c r="S5" s="6"/>
      <c r="T5" s="6"/>
      <c r="U5" s="6"/>
      <c r="V5" s="6"/>
      <c r="W5" s="6"/>
      <c r="X5" s="6"/>
      <c r="Y5" s="6"/>
      <c r="Z5" s="6"/>
      <c r="AA5" s="6"/>
      <c r="AB5" s="6"/>
      <c r="AC5" s="6"/>
    </row>
    <row r="6" spans="1:29">
      <c r="A6" s="114">
        <v>5.99</v>
      </c>
      <c r="B6" s="2">
        <f t="shared" ref="B6:B20" si="0">+SUM(D6:Q6)</f>
        <v>29741663.6969034</v>
      </c>
      <c r="C6" s="6" t="s">
        <v>9238</v>
      </c>
      <c r="D6" s="2">
        <v>29741663.6969034</v>
      </c>
      <c r="F6" s="6"/>
      <c r="G6" s="6"/>
      <c r="H6" s="6"/>
      <c r="I6" s="6"/>
      <c r="J6" s="6"/>
      <c r="K6" s="6"/>
      <c r="L6" s="6"/>
      <c r="M6" s="6"/>
      <c r="N6" s="6"/>
      <c r="O6" s="6"/>
      <c r="P6" s="6"/>
      <c r="Q6" s="6"/>
      <c r="R6" s="6"/>
      <c r="S6" s="6"/>
      <c r="T6" s="6"/>
      <c r="U6" s="6"/>
      <c r="V6" s="6"/>
      <c r="W6" s="6"/>
      <c r="X6" s="6"/>
      <c r="Y6" s="6"/>
      <c r="Z6" s="6"/>
      <c r="AA6" s="6"/>
      <c r="AB6" s="6"/>
      <c r="AC6" s="6"/>
    </row>
    <row r="7" spans="1:29">
      <c r="A7" s="114">
        <v>42.12</v>
      </c>
      <c r="B7" s="2">
        <f t="shared" si="0"/>
        <v>125707649</v>
      </c>
      <c r="C7" s="6" t="s">
        <v>9239</v>
      </c>
      <c r="D7" s="2">
        <v>125707649</v>
      </c>
      <c r="F7" s="2"/>
      <c r="G7" s="2"/>
      <c r="H7" s="2"/>
      <c r="I7" s="2"/>
      <c r="J7" s="2"/>
      <c r="K7" s="6"/>
      <c r="L7" s="6"/>
      <c r="M7" s="6"/>
      <c r="N7" s="6"/>
      <c r="O7" s="6"/>
      <c r="P7" s="6"/>
      <c r="Q7" s="6"/>
      <c r="R7" s="6"/>
      <c r="S7" s="6"/>
      <c r="T7" s="6"/>
      <c r="U7" s="6"/>
      <c r="V7" s="6"/>
      <c r="W7" s="6"/>
      <c r="X7" s="6"/>
      <c r="Y7" s="6"/>
      <c r="Z7" s="6"/>
      <c r="AA7" s="6"/>
      <c r="AB7" s="6"/>
      <c r="AC7" s="6"/>
    </row>
    <row r="8" spans="1:29">
      <c r="A8" s="114">
        <v>80.66</v>
      </c>
      <c r="B8" s="2">
        <f t="shared" si="0"/>
        <v>327731398.99999976</v>
      </c>
      <c r="C8" s="6" t="s">
        <v>9240</v>
      </c>
      <c r="D8" s="2">
        <f>295651552.161683+1889261.93</f>
        <v>297540814.09168303</v>
      </c>
      <c r="F8" s="2">
        <v>14810979.220530462</v>
      </c>
      <c r="G8" s="2">
        <v>8476204.7537203226</v>
      </c>
      <c r="H8" s="2">
        <v>2374003.9340659338</v>
      </c>
      <c r="I8" s="2">
        <v>4044655</v>
      </c>
      <c r="J8" s="2">
        <v>484742</v>
      </c>
      <c r="K8" s="6"/>
      <c r="L8" s="6"/>
      <c r="M8" s="6"/>
      <c r="N8" s="6"/>
      <c r="O8" s="6"/>
      <c r="P8" s="6"/>
      <c r="Q8" s="6"/>
      <c r="R8" s="6"/>
      <c r="S8" s="6"/>
      <c r="T8" s="6"/>
      <c r="U8" s="6"/>
      <c r="V8" s="6"/>
      <c r="W8" s="6"/>
      <c r="X8" s="6"/>
      <c r="Y8" s="6"/>
      <c r="Z8" s="6"/>
      <c r="AA8" s="6"/>
      <c r="AB8" s="6"/>
      <c r="AC8" s="6"/>
    </row>
    <row r="9" spans="1:29">
      <c r="A9" s="114">
        <v>53.96</v>
      </c>
      <c r="B9" s="2">
        <f t="shared" si="0"/>
        <v>318561200.99687994</v>
      </c>
      <c r="C9" s="6" t="s">
        <v>9241</v>
      </c>
      <c r="D9" s="2">
        <f>77998777.56-1889261.93-2070000</f>
        <v>74039515.629999995</v>
      </c>
      <c r="F9" s="2">
        <v>20997142.758549862</v>
      </c>
      <c r="G9" s="2">
        <v>60672995.106791601</v>
      </c>
      <c r="H9" s="2">
        <v>90860134.211538464</v>
      </c>
      <c r="I9" s="2">
        <f>1570595+21875677.04</f>
        <v>23446272.039999999</v>
      </c>
      <c r="J9" s="2">
        <f>503100+48042041.25</f>
        <v>48545141.25</v>
      </c>
      <c r="K9" s="6"/>
      <c r="L9" s="6"/>
      <c r="M9" s="6"/>
      <c r="N9" s="6"/>
      <c r="O9" s="6"/>
      <c r="P9" s="6"/>
      <c r="Q9" s="6"/>
      <c r="R9" s="6"/>
      <c r="S9" s="6"/>
      <c r="T9" s="6"/>
      <c r="U9" s="6"/>
      <c r="V9" s="6"/>
      <c r="W9" s="6"/>
      <c r="X9" s="6"/>
      <c r="Y9" s="6"/>
      <c r="Z9" s="6"/>
      <c r="AA9" s="6"/>
      <c r="AB9" s="6"/>
      <c r="AC9" s="6"/>
    </row>
    <row r="10" spans="1:29">
      <c r="A10" s="114">
        <v>6</v>
      </c>
      <c r="B10" s="2">
        <f>+SUM(D10:Q10)</f>
        <v>48384380.0045821</v>
      </c>
      <c r="C10" s="6" t="s">
        <v>9242</v>
      </c>
      <c r="D10" s="2">
        <v>8407689.6886622738</v>
      </c>
      <c r="F10" s="2">
        <v>16039679.090644993</v>
      </c>
      <c r="G10" s="2">
        <v>7395460.4152748268</v>
      </c>
      <c r="H10" s="2">
        <v>701600</v>
      </c>
      <c r="I10" s="2">
        <f>728900+15111050.81-210000</f>
        <v>15629950.810000001</v>
      </c>
      <c r="J10" s="2">
        <v>210000</v>
      </c>
      <c r="K10" s="6"/>
      <c r="L10" s="6"/>
      <c r="M10" s="6"/>
      <c r="N10" s="6"/>
      <c r="O10" s="6"/>
      <c r="P10" s="6"/>
      <c r="Q10" s="6"/>
      <c r="R10" s="6"/>
      <c r="S10" s="6"/>
      <c r="T10" s="6"/>
      <c r="U10" s="6"/>
      <c r="V10" s="6"/>
      <c r="W10" s="6"/>
      <c r="X10" s="6"/>
      <c r="Y10" s="6"/>
      <c r="Z10" s="6"/>
      <c r="AA10" s="6"/>
      <c r="AB10" s="6"/>
      <c r="AC10" s="6"/>
    </row>
    <row r="11" spans="1:29">
      <c r="A11" s="114">
        <v>37.06</v>
      </c>
      <c r="B11" s="2">
        <f t="shared" si="0"/>
        <v>203918395.99838084</v>
      </c>
      <c r="C11" s="6" t="s">
        <v>9243</v>
      </c>
      <c r="D11" s="2">
        <v>18618529.965</v>
      </c>
      <c r="F11" s="2">
        <v>90933833.263700157</v>
      </c>
      <c r="G11" s="2">
        <v>21509373.079680685</v>
      </c>
      <c r="H11" s="2">
        <f>3743976.66+64053153.03</f>
        <v>67797129.689999998</v>
      </c>
      <c r="I11" s="2">
        <f>5059530-577618</f>
        <v>4481912</v>
      </c>
      <c r="J11" s="2">
        <v>577618</v>
      </c>
      <c r="K11" s="6"/>
      <c r="L11" s="6"/>
      <c r="M11" s="6"/>
      <c r="N11" s="6"/>
      <c r="O11" s="6"/>
      <c r="P11" s="6"/>
      <c r="Q11" s="6"/>
      <c r="R11" s="6"/>
      <c r="S11" s="6"/>
      <c r="T11" s="6"/>
      <c r="U11" s="6"/>
      <c r="V11" s="6"/>
      <c r="W11" s="6"/>
      <c r="X11" s="6"/>
      <c r="Y11" s="6"/>
      <c r="Z11" s="6"/>
      <c r="AA11" s="6"/>
      <c r="AB11" s="6"/>
      <c r="AC11" s="6"/>
    </row>
    <row r="12" spans="1:29">
      <c r="A12" s="114">
        <v>35.75</v>
      </c>
      <c r="B12" s="2">
        <f t="shared" si="0"/>
        <v>220143873.99541357</v>
      </c>
      <c r="C12" s="6" t="s">
        <v>9244</v>
      </c>
      <c r="D12" s="2">
        <v>18618529.965</v>
      </c>
      <c r="F12" s="2">
        <v>88580915.836264417</v>
      </c>
      <c r="G12" s="2">
        <v>16896840.65414916</v>
      </c>
      <c r="H12" s="2">
        <f>9786845.88+19432366.97+1000000</f>
        <v>30219212.850000001</v>
      </c>
      <c r="I12" s="2">
        <f>368000+66460374.69-1972623</f>
        <v>64855751.689999998</v>
      </c>
      <c r="J12" s="2">
        <v>972623</v>
      </c>
      <c r="K12" s="6"/>
      <c r="L12" s="6"/>
      <c r="M12" s="6"/>
      <c r="N12" s="6"/>
      <c r="O12" s="6"/>
      <c r="P12" s="6"/>
      <c r="Q12" s="6"/>
      <c r="R12" s="6"/>
      <c r="S12" s="6"/>
      <c r="T12" s="6"/>
      <c r="U12" s="6"/>
      <c r="V12" s="6"/>
      <c r="W12" s="6"/>
      <c r="X12" s="6"/>
      <c r="Y12" s="6"/>
      <c r="Z12" s="6"/>
      <c r="AA12" s="6"/>
      <c r="AB12" s="6"/>
      <c r="AC12" s="6"/>
    </row>
    <row r="13" spans="1:29">
      <c r="A13" s="114">
        <v>19.079999999999998</v>
      </c>
      <c r="B13" s="2">
        <f t="shared" si="0"/>
        <v>63244599.997692287</v>
      </c>
      <c r="C13" s="6" t="s">
        <v>9245</v>
      </c>
      <c r="D13" s="2">
        <f>38917979.588942+2070000</f>
        <v>40987979.588941999</v>
      </c>
      <c r="F13" s="102">
        <v>2422670.8803101061</v>
      </c>
      <c r="G13" s="2">
        <v>15569759.220747884</v>
      </c>
      <c r="H13" s="2">
        <v>4034190.307692308</v>
      </c>
      <c r="I13" s="2">
        <v>230000</v>
      </c>
      <c r="J13" s="2"/>
      <c r="K13" s="6"/>
      <c r="L13" s="6"/>
      <c r="M13" s="6"/>
      <c r="N13" s="6"/>
      <c r="O13" s="6"/>
      <c r="P13" s="6"/>
      <c r="Q13" s="6"/>
      <c r="R13" s="6"/>
      <c r="S13" s="6"/>
      <c r="T13" s="6"/>
      <c r="U13" s="6"/>
      <c r="V13" s="6"/>
      <c r="W13" s="6"/>
      <c r="X13" s="6"/>
      <c r="Y13" s="6"/>
      <c r="Z13" s="6"/>
      <c r="AA13" s="6"/>
      <c r="AB13" s="6"/>
      <c r="AC13" s="6"/>
    </row>
    <row r="14" spans="1:29">
      <c r="A14" s="114">
        <v>24.15</v>
      </c>
      <c r="B14" s="2">
        <f t="shared" si="0"/>
        <v>107086309.99998534</v>
      </c>
      <c r="C14" s="6" t="s">
        <v>9246</v>
      </c>
      <c r="D14" s="6"/>
      <c r="F14" s="2"/>
      <c r="G14" s="2">
        <v>988087.99998533144</v>
      </c>
      <c r="H14" s="2"/>
      <c r="I14" s="2">
        <v>19934377.100000001</v>
      </c>
      <c r="J14" s="2">
        <v>64241399.490000002</v>
      </c>
      <c r="K14" s="217">
        <v>21922445.41</v>
      </c>
      <c r="L14" s="6"/>
      <c r="M14" s="6"/>
      <c r="N14" s="6"/>
      <c r="O14" s="6"/>
      <c r="P14" s="6"/>
      <c r="Q14" s="6"/>
      <c r="R14" s="6"/>
      <c r="S14" s="6"/>
      <c r="T14" s="6"/>
      <c r="U14" s="6"/>
      <c r="V14" s="6"/>
      <c r="W14" s="6"/>
      <c r="X14" s="6"/>
      <c r="Y14" s="6"/>
      <c r="Z14" s="6"/>
      <c r="AA14" s="6"/>
      <c r="AB14" s="6"/>
      <c r="AC14" s="6"/>
    </row>
    <row r="15" spans="1:29">
      <c r="A15" s="114">
        <v>129.71</v>
      </c>
      <c r="B15" s="2">
        <f t="shared" si="0"/>
        <v>349191342.96299165</v>
      </c>
      <c r="C15" s="6" t="s">
        <v>9247</v>
      </c>
      <c r="D15" s="6"/>
      <c r="F15" s="2"/>
      <c r="G15" s="2">
        <v>23015708.619658321</v>
      </c>
      <c r="H15" s="2">
        <v>47083037.933333337</v>
      </c>
      <c r="I15" s="2">
        <v>1472978</v>
      </c>
      <c r="J15" s="2">
        <v>194845390.25</v>
      </c>
      <c r="K15" s="2">
        <v>33760984.960000001</v>
      </c>
      <c r="L15" s="2">
        <v>29013243.199999999</v>
      </c>
      <c r="M15" s="2">
        <v>20000000</v>
      </c>
      <c r="N15" s="6"/>
      <c r="O15" s="6"/>
      <c r="P15" s="6"/>
      <c r="Q15" s="6"/>
      <c r="R15" s="6"/>
      <c r="S15" s="6"/>
      <c r="T15" s="6"/>
      <c r="U15" s="6"/>
      <c r="V15" s="6"/>
      <c r="W15" s="6"/>
      <c r="X15" s="6"/>
      <c r="Y15" s="6"/>
      <c r="Z15" s="6"/>
      <c r="AA15" s="6"/>
      <c r="AB15" s="6"/>
      <c r="AC15" s="6"/>
    </row>
    <row r="16" spans="1:29">
      <c r="A16" s="114">
        <v>121</v>
      </c>
      <c r="B16" s="2">
        <f t="shared" si="0"/>
        <v>726389106.75</v>
      </c>
      <c r="C16" s="6" t="s">
        <v>9249</v>
      </c>
      <c r="D16" s="2"/>
      <c r="E16" s="139"/>
      <c r="F16" s="2"/>
      <c r="G16" s="2"/>
      <c r="H16" s="2">
        <v>122790917.62179486</v>
      </c>
      <c r="I16" s="2">
        <v>84772107.099999994</v>
      </c>
      <c r="J16" s="2">
        <v>333769517.13</v>
      </c>
      <c r="K16" s="2">
        <v>54454005.57</v>
      </c>
      <c r="L16" s="2">
        <v>75550000</v>
      </c>
      <c r="M16" s="2">
        <v>55052559.328205109</v>
      </c>
      <c r="N16" s="6"/>
      <c r="O16" s="6"/>
      <c r="P16" s="6"/>
      <c r="Q16" s="6"/>
      <c r="R16" s="6"/>
      <c r="S16" s="6"/>
      <c r="T16" s="6"/>
      <c r="U16" s="6"/>
      <c r="V16" s="6"/>
      <c r="W16" s="6"/>
      <c r="X16" s="6"/>
      <c r="Y16" s="6"/>
      <c r="Z16" s="6"/>
      <c r="AA16" s="6"/>
      <c r="AB16" s="6"/>
      <c r="AC16" s="6"/>
    </row>
    <row r="17" spans="1:29">
      <c r="A17" s="114">
        <v>38.15</v>
      </c>
      <c r="B17" s="2">
        <f t="shared" si="0"/>
        <v>105630450</v>
      </c>
      <c r="C17" s="6" t="s">
        <v>9251</v>
      </c>
      <c r="D17" s="6"/>
      <c r="F17" s="2"/>
      <c r="G17" s="2"/>
      <c r="H17" s="2"/>
      <c r="I17" s="2"/>
      <c r="J17" s="2">
        <v>85630450</v>
      </c>
      <c r="K17" s="2"/>
      <c r="L17" s="2">
        <v>20000000</v>
      </c>
      <c r="M17" s="6"/>
      <c r="N17" s="6"/>
      <c r="O17" s="6"/>
      <c r="P17" s="6"/>
      <c r="Q17" s="6"/>
      <c r="R17" s="6"/>
      <c r="S17" s="6"/>
      <c r="T17" s="6"/>
      <c r="U17" s="6"/>
      <c r="V17" s="6"/>
      <c r="W17" s="6"/>
      <c r="X17" s="6"/>
      <c r="Y17" s="6"/>
      <c r="Z17" s="6"/>
      <c r="AA17" s="6"/>
      <c r="AB17" s="6"/>
      <c r="AC17" s="6"/>
    </row>
    <row r="18" spans="1:29">
      <c r="A18" s="114">
        <v>15.26</v>
      </c>
      <c r="B18" s="2">
        <f t="shared" si="0"/>
        <v>55908259.07</v>
      </c>
      <c r="C18" s="6" t="s">
        <v>9252</v>
      </c>
      <c r="D18" s="6"/>
      <c r="F18" s="2"/>
      <c r="G18" s="2"/>
      <c r="H18" s="2"/>
      <c r="I18" s="2">
        <v>785800</v>
      </c>
      <c r="J18" s="2">
        <v>36513687.799999997</v>
      </c>
      <c r="K18" s="2">
        <v>17563029.07</v>
      </c>
      <c r="L18" s="2">
        <v>1045742.2</v>
      </c>
      <c r="M18" s="6"/>
      <c r="N18" s="6"/>
      <c r="O18" s="6"/>
      <c r="P18" s="6"/>
      <c r="Q18" s="6"/>
      <c r="R18" s="6"/>
      <c r="S18" s="6"/>
      <c r="T18" s="6"/>
      <c r="U18" s="6"/>
      <c r="V18" s="6"/>
      <c r="W18" s="6"/>
      <c r="X18" s="6"/>
      <c r="Y18" s="6"/>
      <c r="Z18" s="6"/>
      <c r="AA18" s="6"/>
      <c r="AB18" s="6"/>
      <c r="AC18" s="6"/>
    </row>
    <row r="19" spans="1:29">
      <c r="A19" s="114">
        <v>27.6</v>
      </c>
      <c r="B19" s="2">
        <f t="shared" si="0"/>
        <v>87813783.697582185</v>
      </c>
      <c r="C19" s="6" t="s">
        <v>9271</v>
      </c>
      <c r="D19" s="6"/>
      <c r="F19" s="2"/>
      <c r="G19" s="2"/>
      <c r="H19" s="2"/>
      <c r="I19" s="2"/>
      <c r="J19" s="2"/>
      <c r="K19" s="2"/>
      <c r="L19" s="2">
        <v>21953445.92439555</v>
      </c>
      <c r="M19" s="2">
        <v>21953445.92439555</v>
      </c>
      <c r="N19" s="2">
        <v>36589076.540659249</v>
      </c>
      <c r="O19" s="2">
        <v>7317815.3081318503</v>
      </c>
      <c r="P19" s="6"/>
      <c r="Q19" s="6"/>
      <c r="R19" s="6"/>
      <c r="S19" s="6"/>
      <c r="T19" s="6"/>
      <c r="U19" s="6"/>
      <c r="V19" s="6"/>
      <c r="W19" s="6"/>
      <c r="X19" s="6"/>
      <c r="Y19" s="6"/>
      <c r="Z19" s="6"/>
      <c r="AA19" s="6"/>
      <c r="AB19" s="6"/>
      <c r="AC19" s="6"/>
    </row>
    <row r="20" spans="1:29">
      <c r="A20" s="114">
        <v>32.200000000000003</v>
      </c>
      <c r="B20" s="2">
        <f t="shared" si="0"/>
        <v>174921406.29758221</v>
      </c>
      <c r="C20" s="6" t="s">
        <v>9272</v>
      </c>
      <c r="D20" s="6"/>
      <c r="F20" s="6"/>
      <c r="G20" s="6"/>
      <c r="H20" s="6"/>
      <c r="I20" s="6"/>
      <c r="J20" s="6"/>
      <c r="K20" s="2">
        <v>76307622</v>
      </c>
      <c r="L20" s="2">
        <v>24653446.074395549</v>
      </c>
      <c r="M20" s="2">
        <v>24653446.074395549</v>
      </c>
      <c r="N20" s="2">
        <v>41089076.790659249</v>
      </c>
      <c r="O20" s="2">
        <v>8217815.3581318501</v>
      </c>
      <c r="P20" s="6"/>
      <c r="Q20" s="6"/>
      <c r="R20" s="6"/>
      <c r="S20" s="6"/>
      <c r="T20" s="6"/>
      <c r="U20" s="6"/>
      <c r="V20" s="6"/>
      <c r="W20" s="6"/>
      <c r="X20" s="6"/>
      <c r="Y20" s="6"/>
      <c r="Z20" s="6"/>
      <c r="AA20" s="6"/>
      <c r="AB20" s="6"/>
      <c r="AC20" s="6"/>
    </row>
    <row r="21" spans="1:29" ht="12.95" thickBot="1">
      <c r="A21" s="113"/>
      <c r="B21" s="6"/>
      <c r="C21" s="58"/>
      <c r="D21" s="6"/>
      <c r="F21" s="6"/>
      <c r="G21" s="6"/>
      <c r="H21" s="6"/>
      <c r="I21" s="2"/>
      <c r="J21" s="2"/>
      <c r="K21" s="2"/>
      <c r="L21" s="2"/>
      <c r="M21" s="2"/>
      <c r="N21" s="2"/>
      <c r="O21" s="2"/>
      <c r="P21" s="6"/>
      <c r="Q21" s="6"/>
      <c r="R21" s="6"/>
      <c r="S21" s="6"/>
      <c r="T21" s="6"/>
      <c r="U21" s="6"/>
      <c r="V21" s="6"/>
      <c r="W21" s="6"/>
      <c r="X21" s="6"/>
      <c r="Y21" s="6"/>
      <c r="Z21" s="6"/>
      <c r="AA21" s="6"/>
      <c r="AB21" s="6"/>
      <c r="AC21" s="6"/>
    </row>
    <row r="22" spans="1:29" ht="13.5" thickBot="1">
      <c r="A22" s="157"/>
      <c r="B22" s="158"/>
      <c r="C22" s="1009" t="s">
        <v>9273</v>
      </c>
      <c r="D22" s="1010"/>
      <c r="E22" s="1010"/>
      <c r="F22" s="1010"/>
      <c r="G22" s="1010"/>
      <c r="H22" s="1010"/>
      <c r="I22" s="1010"/>
      <c r="J22" s="1010"/>
      <c r="K22" s="1010"/>
      <c r="L22" s="1010"/>
      <c r="M22" s="1010"/>
      <c r="N22" s="1010"/>
      <c r="O22" s="1010"/>
      <c r="P22" s="1010"/>
      <c r="Q22" s="1010"/>
      <c r="R22" s="1010"/>
      <c r="S22" s="1010"/>
      <c r="T22" s="1010"/>
      <c r="U22" s="1010"/>
      <c r="V22" s="1010"/>
      <c r="W22" s="1010"/>
      <c r="X22" s="1010"/>
      <c r="Y22" s="1010"/>
      <c r="Z22" s="1010"/>
      <c r="AA22" s="1010"/>
      <c r="AB22" s="1010"/>
      <c r="AC22" s="1011"/>
    </row>
    <row r="23" spans="1:29" ht="13.5" thickBot="1">
      <c r="A23" s="113"/>
      <c r="B23" s="6"/>
      <c r="C23" s="132"/>
      <c r="D23" s="132"/>
      <c r="E23" s="156"/>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row>
    <row r="24" spans="1:29">
      <c r="A24" s="114">
        <v>214.5</v>
      </c>
      <c r="B24" s="91">
        <f>+SUM(G24:P24)</f>
        <v>820500373.86999178</v>
      </c>
      <c r="C24" s="92" t="s">
        <v>9274</v>
      </c>
      <c r="D24" s="141"/>
      <c r="E24" s="143"/>
      <c r="F24" s="142"/>
      <c r="G24" s="91">
        <v>546487.99999188713</v>
      </c>
      <c r="H24" s="92"/>
      <c r="I24" s="91">
        <v>730488</v>
      </c>
      <c r="J24" s="91"/>
      <c r="K24" s="91"/>
      <c r="L24" s="91">
        <v>327689359.148</v>
      </c>
      <c r="M24" s="91">
        <v>122883509.68049997</v>
      </c>
      <c r="N24" s="91">
        <v>122883509.68049997</v>
      </c>
      <c r="O24" s="91">
        <v>204805849.46749997</v>
      </c>
      <c r="P24" s="91">
        <v>40961169.8935</v>
      </c>
      <c r="Q24" s="91"/>
      <c r="R24" s="92"/>
      <c r="S24" s="92"/>
      <c r="T24" s="92"/>
      <c r="U24" s="92"/>
      <c r="V24" s="92"/>
      <c r="W24" s="92"/>
      <c r="X24" s="6"/>
      <c r="Y24" s="6"/>
      <c r="Z24" s="6"/>
      <c r="AA24" s="6"/>
      <c r="AB24" s="6"/>
      <c r="AC24" s="6"/>
    </row>
    <row r="25" spans="1:29">
      <c r="A25" s="114"/>
      <c r="B25" s="91"/>
      <c r="C25" s="92"/>
      <c r="D25" s="141"/>
      <c r="E25" s="144"/>
      <c r="F25" s="142"/>
      <c r="G25" s="91"/>
      <c r="H25" s="92"/>
      <c r="I25" s="91"/>
      <c r="J25" s="91"/>
      <c r="K25" s="91"/>
      <c r="L25" s="91"/>
      <c r="M25" s="91"/>
      <c r="N25" s="91"/>
      <c r="O25" s="91"/>
      <c r="P25" s="91"/>
      <c r="Q25" s="91"/>
      <c r="R25" s="92"/>
      <c r="S25" s="92"/>
      <c r="T25" s="92"/>
      <c r="U25" s="92"/>
      <c r="V25" s="92"/>
      <c r="W25" s="92"/>
      <c r="X25" s="6"/>
      <c r="Y25" s="6"/>
      <c r="Z25" s="6"/>
      <c r="AA25" s="6"/>
      <c r="AB25" s="6"/>
      <c r="AC25" s="6"/>
    </row>
    <row r="26" spans="1:29">
      <c r="A26" s="114"/>
      <c r="B26" s="91"/>
      <c r="C26" s="130" t="s">
        <v>9275</v>
      </c>
      <c r="D26" s="141"/>
      <c r="E26" s="144"/>
      <c r="F26" s="142"/>
      <c r="G26" s="91"/>
      <c r="H26" s="92"/>
      <c r="I26" s="91"/>
      <c r="J26" s="91"/>
      <c r="K26" s="91"/>
      <c r="L26" s="91"/>
      <c r="M26" s="131">
        <v>0.3</v>
      </c>
      <c r="N26" s="131">
        <v>0.2</v>
      </c>
      <c r="O26" s="131">
        <v>0.1</v>
      </c>
      <c r="P26" s="131">
        <v>0.1</v>
      </c>
      <c r="Q26" s="131">
        <v>0.1</v>
      </c>
      <c r="R26" s="131">
        <v>0.1</v>
      </c>
      <c r="S26" s="131">
        <v>0.1</v>
      </c>
      <c r="T26" s="92"/>
      <c r="U26" s="92"/>
      <c r="V26" s="92"/>
      <c r="W26" s="92"/>
      <c r="X26" s="6"/>
      <c r="Y26" s="6"/>
      <c r="Z26" s="6"/>
      <c r="AA26" s="6"/>
      <c r="AB26" s="6"/>
      <c r="AC26" s="6"/>
    </row>
    <row r="27" spans="1:29">
      <c r="A27" s="114" t="e">
        <f>+B27/4500000</f>
        <v>#REF!</v>
      </c>
      <c r="B27" s="91" t="e">
        <f>+'Ventas energía PPA'!#REF!</f>
        <v>#REF!</v>
      </c>
      <c r="C27" s="130" t="s">
        <v>9276</v>
      </c>
      <c r="D27" s="141"/>
      <c r="E27" s="144"/>
      <c r="F27" s="142"/>
      <c r="G27" s="91"/>
      <c r="H27" s="92"/>
      <c r="I27" s="91"/>
      <c r="J27" s="91"/>
      <c r="K27" s="91"/>
      <c r="L27" s="91"/>
      <c r="M27" s="91" t="e">
        <f>+M26*$B$27</f>
        <v>#REF!</v>
      </c>
      <c r="N27" s="91" t="e">
        <f>+N26*$B$27</f>
        <v>#REF!</v>
      </c>
      <c r="O27" s="91" t="e">
        <f t="shared" ref="O27:S27" si="1">+O26*$B$27</f>
        <v>#REF!</v>
      </c>
      <c r="P27" s="91" t="e">
        <f t="shared" si="1"/>
        <v>#REF!</v>
      </c>
      <c r="Q27" s="91" t="e">
        <f t="shared" si="1"/>
        <v>#REF!</v>
      </c>
      <c r="R27" s="91" t="e">
        <f t="shared" si="1"/>
        <v>#REF!</v>
      </c>
      <c r="S27" s="91" t="e">
        <f t="shared" si="1"/>
        <v>#REF!</v>
      </c>
      <c r="T27" s="92"/>
      <c r="U27" s="92"/>
      <c r="V27" s="92"/>
      <c r="W27" s="92"/>
      <c r="X27" s="6"/>
      <c r="Y27" s="6"/>
      <c r="Z27" s="6"/>
      <c r="AA27" s="6"/>
      <c r="AB27" s="6"/>
      <c r="AC27" s="6"/>
    </row>
    <row r="28" spans="1:29">
      <c r="A28" s="114"/>
      <c r="B28" s="91"/>
      <c r="C28" s="130" t="s">
        <v>9275</v>
      </c>
      <c r="D28" s="141"/>
      <c r="E28" s="144"/>
      <c r="F28" s="142"/>
      <c r="G28" s="91"/>
      <c r="H28" s="92"/>
      <c r="I28" s="91"/>
      <c r="J28" s="91"/>
      <c r="K28" s="91"/>
      <c r="L28" s="91"/>
      <c r="M28" s="91"/>
      <c r="N28" s="91"/>
      <c r="O28" s="91"/>
      <c r="P28" s="131"/>
      <c r="Q28" s="131">
        <v>0.3</v>
      </c>
      <c r="R28" s="131">
        <v>0.2</v>
      </c>
      <c r="S28" s="131">
        <v>0.1</v>
      </c>
      <c r="T28" s="131">
        <v>0.1</v>
      </c>
      <c r="U28" s="131">
        <v>0.1</v>
      </c>
      <c r="V28" s="131">
        <v>0.1</v>
      </c>
      <c r="W28" s="131">
        <v>0.1</v>
      </c>
      <c r="X28" s="6"/>
      <c r="Y28" s="6"/>
      <c r="Z28" s="6"/>
      <c r="AA28" s="6"/>
      <c r="AB28" s="6"/>
      <c r="AC28" s="6"/>
    </row>
    <row r="29" spans="1:29" ht="12.95" thickBot="1">
      <c r="A29" s="114" t="e">
        <f>+B29/4500000</f>
        <v>#REF!</v>
      </c>
      <c r="B29" s="91" t="e">
        <f>+'Ventas energía PPA'!#REF!</f>
        <v>#REF!</v>
      </c>
      <c r="C29" s="130" t="s">
        <v>9277</v>
      </c>
      <c r="D29" s="141"/>
      <c r="E29" s="146"/>
      <c r="F29" s="142"/>
      <c r="G29" s="91"/>
      <c r="H29" s="92"/>
      <c r="I29" s="91"/>
      <c r="J29" s="91"/>
      <c r="K29" s="91"/>
      <c r="L29" s="91"/>
      <c r="M29" s="91" t="e">
        <f>+M28*$B$29</f>
        <v>#REF!</v>
      </c>
      <c r="N29" s="91" t="e">
        <f t="shared" ref="N29:W29" si="2">+N28*$B$29</f>
        <v>#REF!</v>
      </c>
      <c r="O29" s="91" t="e">
        <f t="shared" si="2"/>
        <v>#REF!</v>
      </c>
      <c r="P29" s="91" t="e">
        <f t="shared" si="2"/>
        <v>#REF!</v>
      </c>
      <c r="Q29" s="91" t="e">
        <f t="shared" si="2"/>
        <v>#REF!</v>
      </c>
      <c r="R29" s="91" t="e">
        <f t="shared" si="2"/>
        <v>#REF!</v>
      </c>
      <c r="S29" s="91" t="e">
        <f t="shared" si="2"/>
        <v>#REF!</v>
      </c>
      <c r="T29" s="91" t="e">
        <f t="shared" si="2"/>
        <v>#REF!</v>
      </c>
      <c r="U29" s="91" t="e">
        <f t="shared" si="2"/>
        <v>#REF!</v>
      </c>
      <c r="V29" s="91" t="e">
        <f t="shared" si="2"/>
        <v>#REF!</v>
      </c>
      <c r="W29" s="91" t="e">
        <f t="shared" si="2"/>
        <v>#REF!</v>
      </c>
      <c r="X29" s="6"/>
      <c r="Y29" s="6"/>
      <c r="Z29" s="6"/>
      <c r="AA29" s="6"/>
      <c r="AB29" s="6"/>
      <c r="AC29" s="6"/>
    </row>
    <row r="34" spans="1:29" s="6" customFormat="1" ht="13.5" thickBot="1">
      <c r="A34" s="2"/>
      <c r="B34" s="2"/>
      <c r="C34" s="98" t="s">
        <v>9278</v>
      </c>
      <c r="D34" s="147">
        <f>+SUM(D5:D20)</f>
        <v>899068884.62619078</v>
      </c>
      <c r="E34" s="150"/>
      <c r="F34" s="99">
        <f t="shared" ref="F34:O34" si="3">+SUM(F5:F20)+F27+F29+F24</f>
        <v>233785221.05000001</v>
      </c>
      <c r="G34" s="99">
        <f t="shared" si="3"/>
        <v>155070917.85000002</v>
      </c>
      <c r="H34" s="99">
        <f t="shared" si="3"/>
        <v>365860226.5484249</v>
      </c>
      <c r="I34" s="99">
        <f t="shared" si="3"/>
        <v>220384291.73999998</v>
      </c>
      <c r="J34" s="99">
        <f>+SUM(J5:J20)+J27+J29+J24</f>
        <v>765790568.91999996</v>
      </c>
      <c r="K34" s="99">
        <f t="shared" si="3"/>
        <v>204008087.00999999</v>
      </c>
      <c r="L34" s="99">
        <f t="shared" si="3"/>
        <v>499905236.54679108</v>
      </c>
      <c r="M34" s="99" t="e">
        <f t="shared" si="3"/>
        <v>#REF!</v>
      </c>
      <c r="N34" s="99" t="e">
        <f t="shared" si="3"/>
        <v>#REF!</v>
      </c>
      <c r="O34" s="99" t="e">
        <f t="shared" si="3"/>
        <v>#REF!</v>
      </c>
      <c r="P34" s="99" t="e">
        <f>+SUM(P5:P20)+P27+P29+P24</f>
        <v>#REF!</v>
      </c>
      <c r="Q34" s="99" t="e">
        <f>+Q27+Q29</f>
        <v>#REF!</v>
      </c>
      <c r="R34" s="99" t="e">
        <f>+R27+R29</f>
        <v>#REF!</v>
      </c>
      <c r="S34" s="99" t="e">
        <f t="shared" ref="S34:W34" si="4">+S27+S29</f>
        <v>#REF!</v>
      </c>
      <c r="T34" s="99" t="e">
        <f t="shared" si="4"/>
        <v>#REF!</v>
      </c>
      <c r="U34" s="99" t="e">
        <f t="shared" si="4"/>
        <v>#REF!</v>
      </c>
      <c r="V34" s="99" t="e">
        <f t="shared" si="4"/>
        <v>#REF!</v>
      </c>
      <c r="W34" s="99" t="e">
        <f t="shared" si="4"/>
        <v>#REF!</v>
      </c>
      <c r="X34" s="149">
        <f t="shared" ref="X34:AC34" si="5">+SUM(X5:X20)+SUM(X24:X33)</f>
        <v>0</v>
      </c>
      <c r="Y34" s="148">
        <f t="shared" si="5"/>
        <v>0</v>
      </c>
      <c r="Z34" s="148">
        <f t="shared" si="5"/>
        <v>0</v>
      </c>
      <c r="AA34" s="99">
        <f t="shared" si="5"/>
        <v>0</v>
      </c>
      <c r="AB34" s="99">
        <f t="shared" si="5"/>
        <v>0</v>
      </c>
      <c r="AC34" s="99">
        <f t="shared" si="5"/>
        <v>0</v>
      </c>
    </row>
    <row r="35" spans="1:29" s="6" customFormat="1">
      <c r="B35" s="2"/>
      <c r="C35" s="6" t="s">
        <v>9279</v>
      </c>
      <c r="E35" s="111"/>
      <c r="J35" s="2"/>
      <c r="K35" s="2"/>
      <c r="L35" s="2"/>
      <c r="M35" s="2"/>
      <c r="N35" s="2"/>
      <c r="O35" s="2"/>
      <c r="P35" s="2"/>
      <c r="Q35" s="2"/>
      <c r="R35" s="2"/>
      <c r="S35" s="2"/>
      <c r="T35" s="2"/>
      <c r="U35" s="2"/>
      <c r="V35" s="2"/>
      <c r="W35" s="2"/>
    </row>
    <row r="36" spans="1:29" s="6" customFormat="1">
      <c r="E36" s="111"/>
      <c r="F36" s="2"/>
      <c r="G36" s="2"/>
      <c r="H36" s="2"/>
      <c r="I36" s="2"/>
      <c r="J36" s="2"/>
    </row>
    <row r="37" spans="1:29" s="6" customFormat="1">
      <c r="B37" s="2"/>
      <c r="D37" s="2"/>
      <c r="E37" s="111"/>
      <c r="F37" s="2"/>
      <c r="G37" s="2"/>
      <c r="H37" s="2"/>
      <c r="I37" s="2"/>
      <c r="J37" s="2"/>
      <c r="K37" s="2"/>
      <c r="L37" s="2"/>
      <c r="M37" s="2"/>
      <c r="N37" s="2"/>
      <c r="O37" s="2"/>
      <c r="P37" s="2"/>
    </row>
    <row r="38" spans="1:29" s="6" customFormat="1" ht="12.75" customHeight="1">
      <c r="A38" s="1012" t="s">
        <v>9280</v>
      </c>
      <c r="B38" s="1013"/>
      <c r="C38" s="1014"/>
      <c r="D38" s="1006">
        <v>0.1</v>
      </c>
      <c r="E38" s="140"/>
      <c r="F38" s="1003"/>
      <c r="G38" s="1003"/>
      <c r="H38" s="1003"/>
      <c r="I38" s="1003"/>
      <c r="J38" s="1003"/>
      <c r="K38" s="1003">
        <f>+D38*B9+B14*D38</f>
        <v>42564751.099686526</v>
      </c>
      <c r="L38" s="1003">
        <f>+B15*D38</f>
        <v>34919134.296299167</v>
      </c>
      <c r="M38" s="1003">
        <f>+D38*B16</f>
        <v>72638910.674999997</v>
      </c>
      <c r="N38" s="1003">
        <f>+D38*B17+D38*B18</f>
        <v>16153870.907000002</v>
      </c>
      <c r="O38" s="1003">
        <f>+D38*B19+D38*B20</f>
        <v>26273518.999516439</v>
      </c>
      <c r="P38" s="1003">
        <f>+B24*D38</f>
        <v>82050037.38699919</v>
      </c>
      <c r="Q38" s="1003" t="e">
        <f>+B27*D38*40%</f>
        <v>#REF!</v>
      </c>
      <c r="R38" s="1003" t="e">
        <f>+B27*D38*40%</f>
        <v>#REF!</v>
      </c>
      <c r="S38" s="1003" t="e">
        <f>+B27*D38*20%+B29*D38*40%</f>
        <v>#REF!</v>
      </c>
      <c r="T38" s="1003" t="e">
        <f>+D38*B29*40%</f>
        <v>#REF!</v>
      </c>
      <c r="U38" s="1003" t="e">
        <f>+D38*B29*20%</f>
        <v>#REF!</v>
      </c>
      <c r="V38" s="1003"/>
      <c r="W38" s="1003"/>
    </row>
    <row r="39" spans="1:29" s="6" customFormat="1">
      <c r="A39" s="1015"/>
      <c r="B39" s="1016"/>
      <c r="C39" s="1017"/>
      <c r="D39" s="1007"/>
      <c r="E39" s="140"/>
      <c r="F39" s="1004"/>
      <c r="G39" s="1004"/>
      <c r="H39" s="1004"/>
      <c r="I39" s="1004"/>
      <c r="J39" s="1004"/>
      <c r="K39" s="1004"/>
      <c r="L39" s="1004"/>
      <c r="M39" s="1004"/>
      <c r="N39" s="1004"/>
      <c r="O39" s="1004"/>
      <c r="P39" s="1004"/>
      <c r="Q39" s="1004"/>
      <c r="R39" s="1004"/>
      <c r="S39" s="1004"/>
      <c r="T39" s="1004"/>
      <c r="U39" s="1004"/>
      <c r="V39" s="1004"/>
      <c r="W39" s="1004"/>
    </row>
    <row r="40" spans="1:29" s="6" customFormat="1">
      <c r="A40" s="1018"/>
      <c r="B40" s="1019"/>
      <c r="C40" s="1020"/>
      <c r="D40" s="1008"/>
      <c r="E40" s="140"/>
      <c r="F40" s="1005"/>
      <c r="G40" s="1005"/>
      <c r="H40" s="1005"/>
      <c r="I40" s="1005"/>
      <c r="J40" s="1005"/>
      <c r="K40" s="1005"/>
      <c r="L40" s="1005"/>
      <c r="M40" s="1005"/>
      <c r="N40" s="1005"/>
      <c r="O40" s="1005"/>
      <c r="P40" s="1005"/>
      <c r="Q40" s="1005"/>
      <c r="R40" s="1005"/>
      <c r="S40" s="1005"/>
      <c r="T40" s="1005"/>
      <c r="U40" s="1005"/>
      <c r="V40" s="1005"/>
      <c r="W40" s="1005"/>
    </row>
    <row r="41" spans="1:29" s="6" customFormat="1">
      <c r="E41" s="140"/>
      <c r="F41" s="2"/>
      <c r="G41" s="2"/>
      <c r="H41" s="2"/>
      <c r="I41" s="2"/>
      <c r="J41" s="2"/>
      <c r="K41" s="2">
        <f t="shared" ref="K41:W41" si="6">+K38</f>
        <v>42564751.099686526</v>
      </c>
      <c r="L41" s="2">
        <f t="shared" si="6"/>
        <v>34919134.296299167</v>
      </c>
      <c r="M41" s="2">
        <f t="shared" si="6"/>
        <v>72638910.674999997</v>
      </c>
      <c r="N41" s="2">
        <f t="shared" si="6"/>
        <v>16153870.907000002</v>
      </c>
      <c r="O41" s="2">
        <f t="shared" si="6"/>
        <v>26273518.999516439</v>
      </c>
      <c r="P41" s="2">
        <f t="shared" si="6"/>
        <v>82050037.38699919</v>
      </c>
      <c r="Q41" s="2" t="e">
        <f t="shared" si="6"/>
        <v>#REF!</v>
      </c>
      <c r="R41" s="2" t="e">
        <f t="shared" si="6"/>
        <v>#REF!</v>
      </c>
      <c r="S41" s="2" t="e">
        <f t="shared" si="6"/>
        <v>#REF!</v>
      </c>
      <c r="T41" s="2" t="e">
        <f t="shared" si="6"/>
        <v>#REF!</v>
      </c>
      <c r="U41" s="2" t="e">
        <f t="shared" si="6"/>
        <v>#REF!</v>
      </c>
      <c r="V41" s="2">
        <f t="shared" si="6"/>
        <v>0</v>
      </c>
      <c r="W41" s="2">
        <f t="shared" si="6"/>
        <v>0</v>
      </c>
    </row>
  </sheetData>
  <mergeCells count="21">
    <mergeCell ref="C22:AC22"/>
    <mergeCell ref="S38:S40"/>
    <mergeCell ref="T38:T40"/>
    <mergeCell ref="U38:U40"/>
    <mergeCell ref="V38:V40"/>
    <mergeCell ref="W38:W40"/>
    <mergeCell ref="A38:C40"/>
    <mergeCell ref="R38:R40"/>
    <mergeCell ref="Q38:Q40"/>
    <mergeCell ref="P38:P40"/>
    <mergeCell ref="O38:O40"/>
    <mergeCell ref="N38:N40"/>
    <mergeCell ref="M38:M40"/>
    <mergeCell ref="L38:L40"/>
    <mergeCell ref="K38:K40"/>
    <mergeCell ref="J38:J40"/>
    <mergeCell ref="I38:I40"/>
    <mergeCell ref="H38:H40"/>
    <mergeCell ref="G38:G40"/>
    <mergeCell ref="F38:F40"/>
    <mergeCell ref="D38:D40"/>
  </mergeCells>
  <pageMargins left="0.7" right="0.7" top="0.75" bottom="0.75" header="0.3" footer="0.3"/>
  <pageSetup orientation="portrait" horizont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9EF9B-03BE-434E-9AAF-1EA0EA67A058}">
  <dimension ref="A2:N47"/>
  <sheetViews>
    <sheetView topLeftCell="D1" zoomScale="94" workbookViewId="0">
      <selection activeCell="K45" sqref="K45:N45"/>
    </sheetView>
  </sheetViews>
  <sheetFormatPr defaultColWidth="11.42578125" defaultRowHeight="14.45"/>
  <cols>
    <col min="1" max="1" width="11.42578125" style="71"/>
    <col min="2" max="2" width="36.140625" style="71" bestFit="1" customWidth="1"/>
    <col min="3" max="3" width="12.5703125" style="71" customWidth="1"/>
    <col min="4" max="4" width="14.85546875" style="71" customWidth="1"/>
    <col min="5" max="5" width="13.5703125" style="71" bestFit="1" customWidth="1"/>
    <col min="6" max="8" width="16.85546875" style="71" bestFit="1" customWidth="1"/>
    <col min="9" max="9" width="17.42578125" style="71" bestFit="1" customWidth="1"/>
    <col min="10" max="10" width="15.42578125" style="71" bestFit="1" customWidth="1"/>
    <col min="11" max="11" width="16.28515625" style="71" bestFit="1" customWidth="1"/>
    <col min="12" max="12" width="17.5703125" style="71" bestFit="1" customWidth="1"/>
    <col min="13" max="13" width="16.28515625" style="71" bestFit="1" customWidth="1"/>
    <col min="14" max="14" width="16.85546875" style="71" bestFit="1" customWidth="1"/>
    <col min="15" max="16384" width="11.42578125" style="71"/>
  </cols>
  <sheetData>
    <row r="2" spans="1:14" ht="15" thickBot="1">
      <c r="F2" s="1025" t="s">
        <v>9281</v>
      </c>
      <c r="G2" s="1026"/>
      <c r="H2" s="1026"/>
      <c r="I2" s="1026"/>
      <c r="J2" s="1026"/>
      <c r="K2" s="1026"/>
      <c r="L2" s="1026"/>
      <c r="M2" s="1026"/>
      <c r="N2" s="1026"/>
    </row>
    <row r="3" spans="1:14" ht="15" thickBot="1">
      <c r="C3" s="393">
        <v>45292</v>
      </c>
      <c r="D3" s="393">
        <v>45323</v>
      </c>
      <c r="E3" s="393">
        <v>45352</v>
      </c>
      <c r="F3" s="79">
        <v>45383</v>
      </c>
      <c r="G3" s="393">
        <v>45413</v>
      </c>
      <c r="H3" s="79">
        <v>45444</v>
      </c>
      <c r="I3" s="393">
        <v>45474</v>
      </c>
      <c r="J3" s="79">
        <v>45505</v>
      </c>
      <c r="K3" s="393">
        <v>45536</v>
      </c>
      <c r="L3" s="79">
        <v>45566</v>
      </c>
      <c r="M3" s="393">
        <v>45597</v>
      </c>
      <c r="N3" s="79">
        <v>45627</v>
      </c>
    </row>
    <row r="4" spans="1:14">
      <c r="B4" s="619" t="s">
        <v>9282</v>
      </c>
      <c r="C4" s="620"/>
      <c r="D4" s="620"/>
      <c r="E4" s="620"/>
      <c r="F4" s="101">
        <v>4200000000</v>
      </c>
      <c r="G4" s="101">
        <v>4000000000</v>
      </c>
      <c r="H4" s="100"/>
      <c r="I4" s="101"/>
      <c r="J4" s="101"/>
      <c r="K4" s="101"/>
      <c r="L4" s="101"/>
      <c r="M4" s="110"/>
      <c r="N4" s="621"/>
    </row>
    <row r="5" spans="1:14">
      <c r="B5" s="622" t="s">
        <v>9283</v>
      </c>
      <c r="C5" s="623"/>
      <c r="D5" s="623"/>
      <c r="E5" s="623"/>
      <c r="F5" s="75">
        <f>+F4*(1-F6)</f>
        <v>3360000000</v>
      </c>
      <c r="G5" s="75">
        <f>+G4*(1-G6)</f>
        <v>3200000000</v>
      </c>
      <c r="H5" s="78"/>
      <c r="I5" s="75"/>
      <c r="J5" s="75"/>
      <c r="K5" s="75"/>
      <c r="L5" s="75"/>
      <c r="M5" s="110"/>
      <c r="N5" s="624"/>
    </row>
    <row r="6" spans="1:14" ht="15" thickBot="1">
      <c r="B6" s="625" t="s">
        <v>9284</v>
      </c>
      <c r="C6" s="626"/>
      <c r="D6" s="626"/>
      <c r="E6" s="626"/>
      <c r="F6" s="80">
        <v>0.2</v>
      </c>
      <c r="G6" s="80">
        <v>0.2</v>
      </c>
      <c r="H6" s="80"/>
      <c r="I6" s="80"/>
      <c r="J6" s="80"/>
      <c r="K6" s="80"/>
      <c r="L6" s="80"/>
      <c r="M6" s="110"/>
      <c r="N6" s="627">
        <v>0.2</v>
      </c>
    </row>
    <row r="7" spans="1:14">
      <c r="B7" s="628"/>
      <c r="C7" s="628"/>
      <c r="D7" s="628"/>
      <c r="E7" s="628"/>
      <c r="F7" s="73"/>
      <c r="G7" s="73"/>
      <c r="H7" s="73"/>
      <c r="I7" s="73"/>
      <c r="J7" s="73"/>
      <c r="K7" s="73"/>
      <c r="L7" s="73"/>
    </row>
    <row r="8" spans="1:14">
      <c r="F8" s="1023" t="s">
        <v>9285</v>
      </c>
      <c r="G8" s="1024"/>
      <c r="H8" s="1024"/>
      <c r="I8" s="1024"/>
      <c r="J8" s="1024"/>
      <c r="K8" s="1024"/>
      <c r="L8" s="1024"/>
      <c r="M8" s="1024"/>
      <c r="N8" s="1024"/>
    </row>
    <row r="9" spans="1:14">
      <c r="C9" s="393">
        <v>45292</v>
      </c>
      <c r="D9" s="393">
        <v>45323</v>
      </c>
      <c r="E9" s="393">
        <v>45352</v>
      </c>
      <c r="F9" s="79">
        <v>45383</v>
      </c>
      <c r="G9" s="393">
        <v>45413</v>
      </c>
      <c r="H9" s="79">
        <v>45444</v>
      </c>
      <c r="I9" s="393">
        <v>45474</v>
      </c>
      <c r="J9" s="79">
        <v>45505</v>
      </c>
      <c r="K9" s="393">
        <v>45536</v>
      </c>
      <c r="L9" s="79">
        <v>45566</v>
      </c>
      <c r="M9" s="393">
        <v>45597</v>
      </c>
      <c r="N9" s="79">
        <v>45627</v>
      </c>
    </row>
    <row r="10" spans="1:14">
      <c r="A10" s="121" t="s">
        <v>9286</v>
      </c>
      <c r="B10" s="76" t="s">
        <v>9286</v>
      </c>
      <c r="C10" s="76"/>
      <c r="D10" s="74">
        <v>6600000</v>
      </c>
      <c r="E10" s="74">
        <v>3250000</v>
      </c>
      <c r="F10" s="624"/>
      <c r="G10" s="624"/>
      <c r="H10" s="624"/>
      <c r="I10" s="624"/>
      <c r="J10" s="75"/>
      <c r="K10" s="119"/>
      <c r="L10" s="75"/>
      <c r="M10" s="624"/>
      <c r="N10" s="624"/>
    </row>
    <row r="11" spans="1:14">
      <c r="A11" s="121" t="s">
        <v>9287</v>
      </c>
      <c r="B11" s="76" t="s">
        <v>9287</v>
      </c>
      <c r="C11" s="76"/>
      <c r="D11" s="74"/>
      <c r="E11" s="74">
        <v>8000000</v>
      </c>
      <c r="F11" s="624">
        <v>4500000</v>
      </c>
      <c r="G11" s="624">
        <v>8800000</v>
      </c>
      <c r="H11" s="624">
        <v>15027000</v>
      </c>
      <c r="I11" s="624">
        <v>1250000</v>
      </c>
      <c r="J11" s="75">
        <v>2750000</v>
      </c>
      <c r="K11" s="119"/>
      <c r="L11" s="75"/>
      <c r="M11" s="624"/>
      <c r="N11" s="624"/>
    </row>
    <row r="12" spans="1:14">
      <c r="A12" s="121" t="s">
        <v>9288</v>
      </c>
      <c r="B12" s="76" t="s">
        <v>9288</v>
      </c>
      <c r="C12" s="76"/>
      <c r="D12" s="74"/>
      <c r="E12" s="74">
        <v>3000000</v>
      </c>
      <c r="F12" s="624">
        <v>4500000</v>
      </c>
      <c r="G12" s="624">
        <v>3000000</v>
      </c>
      <c r="H12" s="624">
        <v>4500000</v>
      </c>
      <c r="I12" s="624">
        <v>3000000</v>
      </c>
      <c r="J12" s="75">
        <v>1500000</v>
      </c>
      <c r="K12" s="119">
        <v>1500000</v>
      </c>
      <c r="L12" s="75">
        <v>1500000</v>
      </c>
      <c r="M12" s="624">
        <v>1500000</v>
      </c>
      <c r="N12" s="624">
        <v>1500000</v>
      </c>
    </row>
    <row r="13" spans="1:14">
      <c r="A13" s="121" t="s">
        <v>9289</v>
      </c>
      <c r="B13" s="76" t="s">
        <v>9289</v>
      </c>
      <c r="C13" s="76"/>
      <c r="D13" s="74">
        <v>10253500</v>
      </c>
      <c r="E13" s="74">
        <v>4216000</v>
      </c>
      <c r="F13" s="624"/>
      <c r="G13" s="624"/>
      <c r="H13" s="624"/>
      <c r="I13" s="624"/>
      <c r="J13" s="75">
        <v>1300000</v>
      </c>
      <c r="K13" s="119"/>
      <c r="L13" s="75"/>
      <c r="M13" s="624"/>
      <c r="N13" s="624"/>
    </row>
    <row r="14" spans="1:14">
      <c r="A14" s="121" t="s">
        <v>9290</v>
      </c>
      <c r="B14" s="76" t="s">
        <v>9290</v>
      </c>
      <c r="C14" s="76"/>
      <c r="D14" s="74">
        <v>17277000</v>
      </c>
      <c r="E14" s="74">
        <v>14800000</v>
      </c>
      <c r="F14" s="624"/>
      <c r="G14" s="624"/>
      <c r="H14" s="624"/>
      <c r="I14" s="624"/>
      <c r="J14" s="75"/>
      <c r="K14" s="119"/>
      <c r="L14" s="75"/>
      <c r="M14" s="624"/>
      <c r="N14" s="624">
        <v>1300000</v>
      </c>
    </row>
    <row r="15" spans="1:14" ht="15" customHeight="1">
      <c r="A15" s="121" t="s">
        <v>9291</v>
      </c>
      <c r="B15" s="76" t="s">
        <v>9291</v>
      </c>
      <c r="C15" s="76"/>
      <c r="D15" s="74"/>
      <c r="E15" s="74"/>
      <c r="F15" s="624"/>
      <c r="G15" s="624">
        <v>10120000</v>
      </c>
      <c r="H15" s="624"/>
      <c r="I15" s="624">
        <v>31426050</v>
      </c>
      <c r="J15" s="624">
        <v>12937500</v>
      </c>
      <c r="K15" s="119">
        <v>1437500</v>
      </c>
      <c r="L15" s="75"/>
      <c r="M15" s="75"/>
      <c r="N15" s="624"/>
    </row>
    <row r="16" spans="1:14">
      <c r="A16" s="121" t="s">
        <v>9292</v>
      </c>
      <c r="B16" s="76" t="s">
        <v>9292</v>
      </c>
      <c r="C16" s="76"/>
      <c r="D16" s="74"/>
      <c r="E16" s="74"/>
      <c r="F16" s="624"/>
      <c r="G16" s="624"/>
      <c r="H16" s="624"/>
      <c r="I16" s="624"/>
      <c r="J16" s="624"/>
      <c r="K16" s="629">
        <v>13528025</v>
      </c>
      <c r="L16" s="75">
        <v>19968025</v>
      </c>
      <c r="M16" s="75">
        <v>20987500</v>
      </c>
      <c r="N16" s="75">
        <v>1437500</v>
      </c>
    </row>
    <row r="17" spans="1:14">
      <c r="A17" s="121" t="s">
        <v>9293</v>
      </c>
      <c r="B17" s="76" t="s">
        <v>9293</v>
      </c>
      <c r="C17" s="76"/>
      <c r="D17" s="74"/>
      <c r="E17" s="74"/>
      <c r="F17" s="74"/>
      <c r="G17" s="74"/>
      <c r="H17" s="74"/>
      <c r="I17" s="74"/>
      <c r="J17" s="74"/>
      <c r="K17" s="74">
        <v>13528025</v>
      </c>
      <c r="L17" s="74">
        <v>12493025</v>
      </c>
      <c r="M17" s="75">
        <v>21850000</v>
      </c>
      <c r="N17" s="75">
        <v>8050000</v>
      </c>
    </row>
    <row r="18" spans="1:14">
      <c r="A18" s="120"/>
      <c r="B18" s="105"/>
      <c r="C18" s="105"/>
      <c r="D18" s="105"/>
      <c r="E18" s="105" t="s">
        <v>9262</v>
      </c>
      <c r="F18" s="73"/>
      <c r="G18" s="73"/>
      <c r="H18" s="630"/>
      <c r="I18" s="73"/>
      <c r="J18" s="73"/>
      <c r="K18" s="73"/>
      <c r="L18" s="73"/>
    </row>
    <row r="19" spans="1:14">
      <c r="A19" s="1027" t="s">
        <v>11</v>
      </c>
      <c r="B19" s="1027"/>
      <c r="C19" s="372">
        <f>+SUM(C10:C16)</f>
        <v>0</v>
      </c>
      <c r="D19" s="399">
        <f>+SUM(D10:D17)</f>
        <v>34130500</v>
      </c>
      <c r="E19" s="399">
        <f>+SUM(E10:E17)</f>
        <v>33266000</v>
      </c>
      <c r="F19" s="399">
        <f>+SUM(F10:F17)</f>
        <v>9000000</v>
      </c>
      <c r="G19" s="399">
        <f>+SUM(G10:G17)</f>
        <v>21920000</v>
      </c>
      <c r="H19" s="399">
        <f t="shared" ref="H19:N19" si="0">+SUM(H10:H17)</f>
        <v>19527000</v>
      </c>
      <c r="I19" s="399">
        <f t="shared" si="0"/>
        <v>35676050</v>
      </c>
      <c r="J19" s="399">
        <f t="shared" si="0"/>
        <v>18487500</v>
      </c>
      <c r="K19" s="399">
        <f t="shared" si="0"/>
        <v>29993550</v>
      </c>
      <c r="L19" s="399">
        <f t="shared" si="0"/>
        <v>33961050</v>
      </c>
      <c r="M19" s="399">
        <f t="shared" si="0"/>
        <v>44337500</v>
      </c>
      <c r="N19" s="399">
        <f t="shared" si="0"/>
        <v>12287500</v>
      </c>
    </row>
    <row r="20" spans="1:14">
      <c r="B20" s="628"/>
      <c r="C20" s="628"/>
      <c r="D20" s="628"/>
      <c r="E20" s="628"/>
      <c r="F20" s="73"/>
      <c r="G20" s="73"/>
      <c r="H20" s="73"/>
      <c r="I20" s="73"/>
      <c r="J20" s="73"/>
      <c r="K20" s="73"/>
      <c r="L20" s="73"/>
    </row>
    <row r="22" spans="1:14">
      <c r="F22" s="1023" t="s">
        <v>9294</v>
      </c>
      <c r="G22" s="1024"/>
      <c r="H22" s="1024"/>
      <c r="I22" s="1024"/>
      <c r="J22" s="1024"/>
      <c r="K22" s="1024"/>
      <c r="L22" s="1024"/>
      <c r="M22" s="1024"/>
      <c r="N22" s="1024"/>
    </row>
    <row r="23" spans="1:14">
      <c r="C23" s="393">
        <v>45292</v>
      </c>
      <c r="D23" s="393">
        <v>45323</v>
      </c>
      <c r="E23" s="393">
        <v>45352</v>
      </c>
      <c r="F23" s="79">
        <v>45383</v>
      </c>
      <c r="G23" s="393">
        <v>45413</v>
      </c>
      <c r="H23" s="79">
        <v>45444</v>
      </c>
      <c r="I23" s="393">
        <v>45474</v>
      </c>
      <c r="J23" s="79">
        <v>45505</v>
      </c>
      <c r="K23" s="393">
        <v>45536</v>
      </c>
      <c r="L23" s="79">
        <v>45566</v>
      </c>
      <c r="M23" s="393">
        <v>45597</v>
      </c>
      <c r="N23" s="79">
        <v>45627</v>
      </c>
    </row>
    <row r="24" spans="1:14">
      <c r="A24" s="1028" t="s">
        <v>9295</v>
      </c>
      <c r="B24" s="76" t="s">
        <v>9296</v>
      </c>
      <c r="C24" s="76"/>
      <c r="D24" s="76"/>
      <c r="E24" s="76"/>
      <c r="F24" s="78">
        <v>0.6</v>
      </c>
      <c r="G24" s="78">
        <v>0.4</v>
      </c>
      <c r="H24" s="78"/>
      <c r="I24" s="78"/>
      <c r="J24" s="78"/>
      <c r="L24" s="116"/>
      <c r="M24" s="78"/>
      <c r="N24" s="110"/>
    </row>
    <row r="25" spans="1:14">
      <c r="A25" s="1028"/>
      <c r="B25" s="76" t="s">
        <v>9297</v>
      </c>
      <c r="C25" s="76"/>
      <c r="D25" s="76"/>
      <c r="E25" s="76"/>
      <c r="F25" s="78">
        <v>0.3</v>
      </c>
      <c r="G25" s="78">
        <v>0.3</v>
      </c>
      <c r="H25" s="631">
        <v>0.2</v>
      </c>
      <c r="I25" s="78">
        <v>0.1</v>
      </c>
      <c r="J25" s="78">
        <v>0.1</v>
      </c>
      <c r="L25" s="116"/>
      <c r="M25" s="78"/>
      <c r="N25" s="110"/>
    </row>
    <row r="26" spans="1:14">
      <c r="A26" s="1021" t="s">
        <v>9298</v>
      </c>
      <c r="B26" s="76" t="s">
        <v>9296</v>
      </c>
      <c r="C26" s="76"/>
      <c r="D26" s="76"/>
      <c r="E26" s="76"/>
      <c r="F26" s="78"/>
      <c r="G26" s="78">
        <v>0.6</v>
      </c>
      <c r="H26" s="78">
        <v>0.4</v>
      </c>
      <c r="I26" s="78"/>
      <c r="J26" s="78"/>
      <c r="K26" s="78"/>
      <c r="L26" s="78"/>
      <c r="M26" s="78"/>
      <c r="N26" s="78"/>
    </row>
    <row r="27" spans="1:14">
      <c r="A27" s="1022"/>
      <c r="B27" s="76" t="s">
        <v>9297</v>
      </c>
      <c r="C27" s="76"/>
      <c r="D27" s="76"/>
      <c r="E27" s="76"/>
      <c r="F27" s="78"/>
      <c r="G27" s="78">
        <v>0.3</v>
      </c>
      <c r="H27" s="78">
        <v>0.3</v>
      </c>
      <c r="I27" s="631">
        <v>0.2</v>
      </c>
      <c r="J27" s="78">
        <v>0.1</v>
      </c>
      <c r="K27" s="78">
        <v>0.1</v>
      </c>
      <c r="L27" s="78"/>
      <c r="M27" s="78"/>
      <c r="N27" s="631"/>
    </row>
    <row r="28" spans="1:14">
      <c r="A28" s="1021" t="s">
        <v>9299</v>
      </c>
      <c r="B28" s="76" t="s">
        <v>9296</v>
      </c>
      <c r="C28" s="76"/>
      <c r="D28" s="76"/>
      <c r="E28" s="76"/>
      <c r="F28" s="78"/>
      <c r="G28" s="78"/>
      <c r="H28" s="631"/>
      <c r="I28" s="78"/>
      <c r="J28" s="78"/>
      <c r="K28" s="116"/>
      <c r="L28" s="78"/>
      <c r="M28" s="632"/>
      <c r="N28" s="78">
        <v>0.6</v>
      </c>
    </row>
    <row r="29" spans="1:14">
      <c r="A29" s="1022"/>
      <c r="B29" s="76" t="s">
        <v>9297</v>
      </c>
      <c r="C29" s="76"/>
      <c r="D29" s="76"/>
      <c r="E29" s="76"/>
      <c r="F29" s="78"/>
      <c r="G29" s="78"/>
      <c r="H29" s="631"/>
      <c r="I29" s="78"/>
      <c r="J29" s="78"/>
      <c r="K29" s="116"/>
      <c r="L29" s="78"/>
      <c r="M29" s="632"/>
      <c r="N29" s="78">
        <v>0.3</v>
      </c>
    </row>
    <row r="30" spans="1:14">
      <c r="A30" s="117"/>
      <c r="B30" s="105"/>
      <c r="C30" s="105"/>
      <c r="D30" s="105"/>
      <c r="E30" s="105"/>
      <c r="F30" s="73"/>
      <c r="G30" s="73"/>
      <c r="H30" s="630"/>
      <c r="I30" s="73"/>
      <c r="J30" s="73"/>
      <c r="K30" s="73"/>
      <c r="L30" s="73"/>
    </row>
    <row r="31" spans="1:14">
      <c r="B31" s="105"/>
      <c r="C31" s="105"/>
      <c r="D31" s="105"/>
      <c r="E31" s="105"/>
      <c r="F31" s="73"/>
      <c r="G31" s="73"/>
      <c r="H31" s="630"/>
      <c r="I31" s="73"/>
      <c r="J31" s="73"/>
      <c r="K31" s="73"/>
      <c r="L31" s="73"/>
    </row>
    <row r="32" spans="1:14">
      <c r="F32" s="1023" t="s">
        <v>9294</v>
      </c>
      <c r="G32" s="1024"/>
      <c r="H32" s="1024"/>
      <c r="I32" s="1024"/>
      <c r="J32" s="1024"/>
      <c r="K32" s="1024"/>
      <c r="L32" s="1024"/>
      <c r="M32" s="1024"/>
      <c r="N32" s="1024"/>
    </row>
    <row r="33" spans="1:14">
      <c r="C33" s="393">
        <v>45292</v>
      </c>
      <c r="D33" s="393">
        <v>45323</v>
      </c>
      <c r="E33" s="393">
        <v>45352</v>
      </c>
      <c r="F33" s="79">
        <v>45383</v>
      </c>
      <c r="G33" s="393">
        <v>45413</v>
      </c>
      <c r="H33" s="79">
        <v>45444</v>
      </c>
      <c r="I33" s="393">
        <v>45474</v>
      </c>
      <c r="J33" s="79">
        <v>45505</v>
      </c>
      <c r="K33" s="393">
        <v>45536</v>
      </c>
      <c r="L33" s="79">
        <v>45566</v>
      </c>
      <c r="M33" s="393">
        <v>45597</v>
      </c>
      <c r="N33" s="79">
        <v>45627</v>
      </c>
    </row>
    <row r="34" spans="1:14" ht="15" customHeight="1">
      <c r="A34" s="1028" t="s">
        <v>9295</v>
      </c>
      <c r="B34" s="76" t="s">
        <v>9300</v>
      </c>
      <c r="C34" s="76"/>
      <c r="D34" s="76"/>
      <c r="E34" s="76"/>
      <c r="F34" s="75">
        <f>$F$4*F24</f>
        <v>2520000000</v>
      </c>
      <c r="G34" s="75">
        <f t="shared" ref="G34:J34" si="1">$F$4*G24</f>
        <v>1680000000</v>
      </c>
      <c r="H34" s="75">
        <f t="shared" si="1"/>
        <v>0</v>
      </c>
      <c r="I34" s="75">
        <f t="shared" si="1"/>
        <v>0</v>
      </c>
      <c r="J34" s="75">
        <f t="shared" si="1"/>
        <v>0</v>
      </c>
      <c r="K34" s="75">
        <f t="shared" ref="K34:N34" si="2">$F$4*K24</f>
        <v>0</v>
      </c>
      <c r="L34" s="75">
        <f t="shared" si="2"/>
        <v>0</v>
      </c>
      <c r="M34" s="75">
        <f t="shared" si="2"/>
        <v>0</v>
      </c>
      <c r="N34" s="75">
        <f t="shared" si="2"/>
        <v>0</v>
      </c>
    </row>
    <row r="35" spans="1:14">
      <c r="A35" s="1028"/>
      <c r="B35" s="76" t="s">
        <v>9297</v>
      </c>
      <c r="C35" s="76"/>
      <c r="D35" s="76"/>
      <c r="E35" s="76"/>
      <c r="F35" s="75">
        <f>$F$5*F25</f>
        <v>1008000000</v>
      </c>
      <c r="G35" s="75">
        <f t="shared" ref="G35:J35" si="3">$F$5*G25</f>
        <v>1008000000</v>
      </c>
      <c r="H35" s="75">
        <f t="shared" si="3"/>
        <v>672000000</v>
      </c>
      <c r="I35" s="75">
        <f t="shared" si="3"/>
        <v>336000000</v>
      </c>
      <c r="J35" s="75">
        <f t="shared" si="3"/>
        <v>336000000</v>
      </c>
      <c r="K35" s="75">
        <f t="shared" ref="K35:N35" si="4">$F$5*K25</f>
        <v>0</v>
      </c>
      <c r="L35" s="75">
        <f t="shared" si="4"/>
        <v>0</v>
      </c>
      <c r="M35" s="75">
        <f t="shared" si="4"/>
        <v>0</v>
      </c>
      <c r="N35" s="75">
        <f t="shared" si="4"/>
        <v>0</v>
      </c>
    </row>
    <row r="36" spans="1:14">
      <c r="A36" s="1021" t="s">
        <v>9298</v>
      </c>
      <c r="B36" s="76" t="s">
        <v>9301</v>
      </c>
      <c r="C36" s="76"/>
      <c r="D36" s="76"/>
      <c r="E36" s="76"/>
      <c r="F36" s="78"/>
      <c r="G36" s="75">
        <f>$G$4*G26</f>
        <v>2400000000</v>
      </c>
      <c r="H36" s="75">
        <f>$G$4*H26</f>
        <v>1600000000</v>
      </c>
      <c r="I36" s="75">
        <f t="shared" ref="I36:J36" si="5">$F$4*I26</f>
        <v>0</v>
      </c>
      <c r="J36" s="75">
        <f t="shared" si="5"/>
        <v>0</v>
      </c>
      <c r="K36" s="75">
        <f t="shared" ref="K36:N36" si="6">$F$4*K26</f>
        <v>0</v>
      </c>
      <c r="L36" s="75">
        <f t="shared" si="6"/>
        <v>0</v>
      </c>
      <c r="M36" s="75">
        <f t="shared" si="6"/>
        <v>0</v>
      </c>
      <c r="N36" s="75">
        <f t="shared" si="6"/>
        <v>0</v>
      </c>
    </row>
    <row r="37" spans="1:14">
      <c r="A37" s="1022"/>
      <c r="B37" s="76" t="s">
        <v>9297</v>
      </c>
      <c r="C37" s="76"/>
      <c r="D37" s="76"/>
      <c r="E37" s="76"/>
      <c r="F37" s="78"/>
      <c r="G37" s="75">
        <f>$G$5*G27</f>
        <v>960000000</v>
      </c>
      <c r="H37" s="75">
        <f t="shared" ref="H37:J37" si="7">$G$5*H27</f>
        <v>960000000</v>
      </c>
      <c r="I37" s="75">
        <f t="shared" si="7"/>
        <v>640000000</v>
      </c>
      <c r="J37" s="75">
        <f t="shared" si="7"/>
        <v>320000000</v>
      </c>
      <c r="K37" s="75">
        <f t="shared" ref="K37:N37" si="8">$G$5*K27</f>
        <v>320000000</v>
      </c>
      <c r="L37" s="75">
        <f t="shared" si="8"/>
        <v>0</v>
      </c>
      <c r="M37" s="75">
        <f t="shared" si="8"/>
        <v>0</v>
      </c>
      <c r="N37" s="75">
        <f t="shared" si="8"/>
        <v>0</v>
      </c>
    </row>
    <row r="38" spans="1:14">
      <c r="A38" s="1021" t="s">
        <v>9299</v>
      </c>
      <c r="B38" s="76" t="s">
        <v>9302</v>
      </c>
      <c r="C38" s="76"/>
      <c r="D38" s="76"/>
      <c r="E38" s="76"/>
      <c r="F38" s="78"/>
      <c r="G38" s="78"/>
      <c r="H38" s="631"/>
      <c r="I38" s="78"/>
      <c r="J38" s="78"/>
      <c r="K38" s="116"/>
      <c r="L38" s="78"/>
      <c r="M38" s="75">
        <f>$F$4*M28</f>
        <v>0</v>
      </c>
      <c r="N38" s="75">
        <f>$N$4*N28</f>
        <v>0</v>
      </c>
    </row>
    <row r="39" spans="1:14">
      <c r="A39" s="1022"/>
      <c r="B39" s="76" t="s">
        <v>9297</v>
      </c>
      <c r="C39" s="76"/>
      <c r="D39" s="76"/>
      <c r="E39" s="76"/>
      <c r="F39" s="78"/>
      <c r="G39" s="78"/>
      <c r="H39" s="631"/>
      <c r="I39" s="78"/>
      <c r="J39" s="78"/>
      <c r="K39" s="116"/>
      <c r="L39" s="78"/>
      <c r="M39" s="75">
        <f>$G$5*M29</f>
        <v>0</v>
      </c>
      <c r="N39" s="75">
        <f>$N$5*N29</f>
        <v>0</v>
      </c>
    </row>
    <row r="40" spans="1:14" s="398" customFormat="1">
      <c r="A40" s="394"/>
      <c r="B40" s="395"/>
      <c r="C40" s="395"/>
      <c r="D40" s="395"/>
      <c r="E40" s="395"/>
      <c r="F40" s="396"/>
      <c r="G40" s="396"/>
      <c r="H40" s="633"/>
      <c r="I40" s="396"/>
      <c r="J40" s="396"/>
      <c r="K40" s="397"/>
      <c r="L40" s="396"/>
    </row>
    <row r="41" spans="1:14">
      <c r="B41" s="76" t="s">
        <v>9303</v>
      </c>
      <c r="C41" s="76"/>
      <c r="D41" s="76"/>
      <c r="E41" s="76"/>
      <c r="F41" s="75">
        <f t="shared" ref="F41:N41" si="9">F34+F36+F38</f>
        <v>2520000000</v>
      </c>
      <c r="G41" s="75">
        <f t="shared" si="9"/>
        <v>4080000000</v>
      </c>
      <c r="H41" s="75">
        <f t="shared" si="9"/>
        <v>1600000000</v>
      </c>
      <c r="I41" s="75">
        <f t="shared" si="9"/>
        <v>0</v>
      </c>
      <c r="J41" s="75">
        <f t="shared" si="9"/>
        <v>0</v>
      </c>
      <c r="K41" s="75">
        <f t="shared" si="9"/>
        <v>0</v>
      </c>
      <c r="L41" s="75">
        <f t="shared" si="9"/>
        <v>0</v>
      </c>
      <c r="M41" s="75">
        <f t="shared" si="9"/>
        <v>0</v>
      </c>
      <c r="N41" s="75">
        <f t="shared" si="9"/>
        <v>0</v>
      </c>
    </row>
    <row r="42" spans="1:14">
      <c r="B42" s="76" t="s">
        <v>9304</v>
      </c>
      <c r="C42" s="76"/>
      <c r="D42" s="76"/>
      <c r="E42" s="76"/>
      <c r="F42" s="75">
        <f t="shared" ref="F42:N42" si="10">-F35-F37-F39</f>
        <v>-1008000000</v>
      </c>
      <c r="G42" s="75">
        <f t="shared" si="10"/>
        <v>-1968000000</v>
      </c>
      <c r="H42" s="75">
        <f t="shared" si="10"/>
        <v>-1632000000</v>
      </c>
      <c r="I42" s="75">
        <f t="shared" si="10"/>
        <v>-976000000</v>
      </c>
      <c r="J42" s="75">
        <f t="shared" si="10"/>
        <v>-656000000</v>
      </c>
      <c r="K42" s="75">
        <f t="shared" si="10"/>
        <v>-320000000</v>
      </c>
      <c r="L42" s="75">
        <f t="shared" si="10"/>
        <v>0</v>
      </c>
      <c r="M42" s="75">
        <f t="shared" si="10"/>
        <v>0</v>
      </c>
      <c r="N42" s="75">
        <f t="shared" si="10"/>
        <v>0</v>
      </c>
    </row>
    <row r="43" spans="1:14">
      <c r="B43" s="76" t="s">
        <v>9305</v>
      </c>
      <c r="C43" s="76"/>
      <c r="D43" s="76"/>
      <c r="E43" s="76"/>
      <c r="F43" s="74">
        <f>+SUM(F41:F42)</f>
        <v>1512000000</v>
      </c>
      <c r="G43" s="74">
        <f t="shared" ref="G43:N43" si="11">+SUM(G41:G42)</f>
        <v>2112000000</v>
      </c>
      <c r="H43" s="74">
        <f t="shared" si="11"/>
        <v>-32000000</v>
      </c>
      <c r="I43" s="74">
        <f t="shared" si="11"/>
        <v>-976000000</v>
      </c>
      <c r="J43" s="74">
        <f t="shared" si="11"/>
        <v>-656000000</v>
      </c>
      <c r="K43" s="74">
        <f t="shared" si="11"/>
        <v>-320000000</v>
      </c>
      <c r="L43" s="74">
        <f t="shared" si="11"/>
        <v>0</v>
      </c>
      <c r="M43" s="74">
        <f t="shared" si="11"/>
        <v>0</v>
      </c>
      <c r="N43" s="74">
        <f t="shared" si="11"/>
        <v>0</v>
      </c>
    </row>
    <row r="44" spans="1:14">
      <c r="B44" s="76"/>
      <c r="C44" s="76"/>
      <c r="D44" s="76"/>
      <c r="E44" s="76"/>
      <c r="F44" s="74"/>
      <c r="G44" s="74"/>
      <c r="H44" s="74"/>
      <c r="I44" s="74"/>
      <c r="J44" s="74"/>
      <c r="K44" s="74"/>
      <c r="L44" s="74"/>
      <c r="M44" s="74"/>
      <c r="N44" s="74"/>
    </row>
    <row r="45" spans="1:14">
      <c r="B45" s="76" t="s">
        <v>5051</v>
      </c>
      <c r="C45" s="76"/>
      <c r="D45" s="76"/>
      <c r="E45" s="76"/>
      <c r="F45" s="74"/>
      <c r="G45" s="74"/>
      <c r="H45" s="74"/>
      <c r="I45" s="74"/>
      <c r="J45" s="74"/>
      <c r="K45" s="74">
        <f>+SUM(F34:K34)</f>
        <v>4200000000</v>
      </c>
      <c r="L45" s="74">
        <f>+SUM(G36:K36)</f>
        <v>4000000000</v>
      </c>
      <c r="M45" s="74"/>
      <c r="N45" s="74">
        <f>+N4*30%</f>
        <v>0</v>
      </c>
    </row>
    <row r="46" spans="1:14">
      <c r="B46" s="76" t="s">
        <v>9010</v>
      </c>
      <c r="C46" s="76"/>
      <c r="D46" s="76"/>
      <c r="E46" s="76"/>
      <c r="F46" s="110"/>
      <c r="G46" s="110"/>
      <c r="H46" s="110"/>
      <c r="I46" s="110"/>
      <c r="J46" s="110"/>
      <c r="K46" s="74">
        <f>+SUM(F35:K35)</f>
        <v>3360000000</v>
      </c>
      <c r="L46" s="74">
        <f>+SUM(G37:K37)</f>
        <v>3200000000</v>
      </c>
      <c r="M46" s="110"/>
      <c r="N46" s="110"/>
    </row>
    <row r="47" spans="1:14">
      <c r="B47" s="76" t="s">
        <v>9306</v>
      </c>
      <c r="C47" s="110"/>
      <c r="D47" s="110"/>
      <c r="E47" s="110"/>
      <c r="F47" s="75"/>
      <c r="G47" s="110"/>
      <c r="H47" s="110"/>
      <c r="I47" s="75"/>
      <c r="J47" s="110"/>
      <c r="K47" s="75">
        <f>+K45-K46</f>
        <v>840000000</v>
      </c>
      <c r="L47" s="75">
        <f>+L45-L46</f>
        <v>800000000</v>
      </c>
      <c r="M47" s="110"/>
      <c r="N47" s="624">
        <f>+N45-N46</f>
        <v>0</v>
      </c>
    </row>
  </sheetData>
  <mergeCells count="11">
    <mergeCell ref="A38:A39"/>
    <mergeCell ref="F22:N22"/>
    <mergeCell ref="F2:N2"/>
    <mergeCell ref="F32:N32"/>
    <mergeCell ref="F8:N8"/>
    <mergeCell ref="A19:B19"/>
    <mergeCell ref="A24:A25"/>
    <mergeCell ref="A26:A27"/>
    <mergeCell ref="A28:A29"/>
    <mergeCell ref="A34:A35"/>
    <mergeCell ref="A36:A37"/>
  </mergeCells>
  <phoneticPr fontId="23" type="noConversion"/>
  <pageMargins left="0.7" right="0.7" top="0.75" bottom="0.75" header="0.3" footer="0.3"/>
  <pageSetup orientation="portrait" horizontalDpi="4294967293"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E7B41-2880-4F50-9407-C8C0ACE90F32}">
  <dimension ref="A1:AA99"/>
  <sheetViews>
    <sheetView workbookViewId="0">
      <selection activeCell="B36" sqref="B36"/>
    </sheetView>
  </sheetViews>
  <sheetFormatPr defaultColWidth="11.42578125" defaultRowHeight="12.6"/>
  <cols>
    <col min="1" max="1" width="22.140625" bestFit="1" customWidth="1"/>
    <col min="2" max="2" width="15.28515625" bestFit="1" customWidth="1"/>
    <col min="3" max="3" width="24.28515625" bestFit="1" customWidth="1"/>
    <col min="4" max="4" width="17.85546875" style="6" bestFit="1" customWidth="1"/>
    <col min="5" max="5" width="15.42578125" bestFit="1" customWidth="1"/>
    <col min="6" max="8" width="16" bestFit="1" customWidth="1"/>
    <col min="9" max="9" width="15.42578125" bestFit="1" customWidth="1"/>
    <col min="10" max="10" width="15.85546875" bestFit="1" customWidth="1"/>
    <col min="11" max="11" width="15.28515625" bestFit="1" customWidth="1"/>
    <col min="12" max="12" width="15.42578125" bestFit="1" customWidth="1"/>
    <col min="13" max="13" width="15.85546875" bestFit="1" customWidth="1"/>
    <col min="14" max="14" width="14.42578125" bestFit="1" customWidth="1"/>
    <col min="15" max="17" width="15.85546875" bestFit="1" customWidth="1"/>
    <col min="18" max="18" width="15.28515625" bestFit="1" customWidth="1"/>
    <col min="19" max="22" width="13.7109375" bestFit="1" customWidth="1"/>
    <col min="25" max="25" width="15.28515625" bestFit="1" customWidth="1"/>
  </cols>
  <sheetData>
    <row r="1" spans="1:17" s="6" customFormat="1" ht="12.95" thickBot="1">
      <c r="A1" s="81" t="s">
        <v>9307</v>
      </c>
      <c r="B1" s="84" t="s">
        <v>9308</v>
      </c>
    </row>
    <row r="2" spans="1:17" ht="13.5" thickBot="1">
      <c r="A2" s="113"/>
      <c r="B2" s="6"/>
      <c r="C2" s="132"/>
      <c r="D2" s="156"/>
      <c r="E2" s="155">
        <v>45292</v>
      </c>
      <c r="F2" s="135">
        <v>45323</v>
      </c>
      <c r="G2" s="155">
        <v>45352</v>
      </c>
      <c r="H2" s="135">
        <v>45383</v>
      </c>
      <c r="I2" s="155">
        <v>45413</v>
      </c>
      <c r="J2" s="135">
        <v>45444</v>
      </c>
      <c r="K2" s="155">
        <v>45474</v>
      </c>
      <c r="L2" s="135">
        <v>45505</v>
      </c>
      <c r="M2" s="155">
        <v>45536</v>
      </c>
      <c r="N2" s="135">
        <v>45566</v>
      </c>
      <c r="O2" s="155">
        <v>45597</v>
      </c>
      <c r="P2" s="135">
        <v>45627</v>
      </c>
    </row>
    <row r="3" spans="1:17">
      <c r="A3" s="114"/>
      <c r="B3" s="91"/>
      <c r="C3" s="400" t="s">
        <v>9275</v>
      </c>
      <c r="D3" s="144"/>
      <c r="E3" s="142"/>
      <c r="F3" s="91"/>
      <c r="G3" s="92"/>
      <c r="H3" s="131">
        <v>0.3</v>
      </c>
      <c r="I3" s="131">
        <v>0.2</v>
      </c>
      <c r="J3" s="131">
        <v>0.1</v>
      </c>
      <c r="K3" s="131">
        <v>0.1</v>
      </c>
      <c r="L3" s="131">
        <v>0.1</v>
      </c>
      <c r="M3" s="131">
        <v>0.1</v>
      </c>
      <c r="N3" s="131">
        <v>0.1</v>
      </c>
      <c r="O3" s="92"/>
      <c r="P3" s="92"/>
    </row>
    <row r="4" spans="1:17">
      <c r="A4" s="114"/>
      <c r="B4" s="91">
        <f>IF(B1="SI",1154113082.97078*(1-15%),1154113082.97078)</f>
        <v>980996120.52516294</v>
      </c>
      <c r="C4" s="400" t="s">
        <v>9226</v>
      </c>
      <c r="D4" s="144"/>
      <c r="E4" s="142"/>
      <c r="F4" s="91"/>
      <c r="G4" s="92"/>
      <c r="H4" s="91">
        <f>+H3*$B$4</f>
        <v>294298836.15754884</v>
      </c>
      <c r="I4" s="91">
        <f>+I3*$B$4</f>
        <v>196199224.10503259</v>
      </c>
      <c r="J4" s="91">
        <f t="shared" ref="J4:N4" si="0">+J3*$B$4</f>
        <v>98099612.052516297</v>
      </c>
      <c r="K4" s="91">
        <f t="shared" si="0"/>
        <v>98099612.052516297</v>
      </c>
      <c r="L4" s="91">
        <f t="shared" si="0"/>
        <v>98099612.052516297</v>
      </c>
      <c r="M4" s="91">
        <f t="shared" si="0"/>
        <v>98099612.052516297</v>
      </c>
      <c r="N4" s="91">
        <f t="shared" si="0"/>
        <v>98099612.052516297</v>
      </c>
      <c r="O4" s="92"/>
      <c r="P4" s="92"/>
    </row>
    <row r="5" spans="1:17">
      <c r="A5" s="114"/>
      <c r="B5" s="91"/>
      <c r="C5" s="400" t="s">
        <v>9275</v>
      </c>
      <c r="D5" s="144"/>
      <c r="E5" s="142"/>
      <c r="F5" s="91"/>
      <c r="G5" s="92"/>
      <c r="H5" s="91"/>
      <c r="I5" s="91"/>
      <c r="J5" s="91"/>
      <c r="K5" s="131">
        <v>0.3</v>
      </c>
      <c r="L5" s="131">
        <v>0.2</v>
      </c>
      <c r="M5" s="131">
        <v>0.1</v>
      </c>
      <c r="N5" s="131">
        <v>0.1</v>
      </c>
      <c r="O5" s="131">
        <v>0.1</v>
      </c>
      <c r="P5" s="131">
        <v>0.1</v>
      </c>
    </row>
    <row r="6" spans="1:17">
      <c r="A6" s="114"/>
      <c r="B6" s="91">
        <f>IF(B1="SI",1154113082.97078*(1-15%),1154113082.97078)</f>
        <v>980996120.52516294</v>
      </c>
      <c r="C6" s="400" t="s">
        <v>9227</v>
      </c>
      <c r="D6" s="144"/>
      <c r="E6" s="142"/>
      <c r="F6" s="91"/>
      <c r="G6" s="92"/>
      <c r="H6" s="91"/>
      <c r="I6" s="91"/>
      <c r="J6" s="91"/>
      <c r="K6" s="91">
        <f>+K5*$B$4</f>
        <v>294298836.15754884</v>
      </c>
      <c r="L6" s="91">
        <f>+L5*$B$4</f>
        <v>196199224.10503259</v>
      </c>
      <c r="M6" s="91">
        <f t="shared" ref="M6:O6" si="1">+M5*$B$4</f>
        <v>98099612.052516297</v>
      </c>
      <c r="N6" s="91">
        <f t="shared" si="1"/>
        <v>98099612.052516297</v>
      </c>
      <c r="O6" s="91">
        <f t="shared" si="1"/>
        <v>98099612.052516297</v>
      </c>
      <c r="P6" s="91">
        <f t="shared" ref="P6" si="2">+P5*$B$4</f>
        <v>98099612.052516297</v>
      </c>
    </row>
    <row r="7" spans="1:17">
      <c r="A7" s="114"/>
      <c r="B7" s="91"/>
      <c r="C7" s="400" t="s">
        <v>9275</v>
      </c>
      <c r="D7" s="144"/>
      <c r="E7" s="142"/>
      <c r="F7" s="91"/>
      <c r="G7" s="92"/>
      <c r="H7" s="91"/>
      <c r="I7" s="91"/>
      <c r="J7" s="91"/>
      <c r="K7" s="131"/>
      <c r="L7" s="81"/>
      <c r="M7" s="81"/>
      <c r="N7" s="131">
        <v>0.3</v>
      </c>
      <c r="O7" s="131">
        <v>0.2</v>
      </c>
      <c r="P7" s="131">
        <v>0.1</v>
      </c>
    </row>
    <row r="8" spans="1:17" ht="12.95" thickBot="1">
      <c r="A8" s="114"/>
      <c r="B8" s="91">
        <f>IF(B3="",1154113082.97078*(1-15%),1154113082.97078)</f>
        <v>980996120.52516294</v>
      </c>
      <c r="C8" s="400" t="s">
        <v>9228</v>
      </c>
      <c r="D8" s="146"/>
      <c r="E8" s="142"/>
      <c r="F8" s="91"/>
      <c r="G8" s="92"/>
      <c r="H8" s="91"/>
      <c r="I8" s="91"/>
      <c r="J8" s="91"/>
      <c r="K8" s="91"/>
      <c r="L8" s="81"/>
      <c r="M8" s="81"/>
      <c r="N8" s="91">
        <f>+N7*$B$8</f>
        <v>294298836.15754884</v>
      </c>
      <c r="O8" s="91">
        <f>+O7*$B$8</f>
        <v>196199224.10503259</v>
      </c>
      <c r="P8" s="91">
        <f>+P7*$B$8</f>
        <v>98099612.052516297</v>
      </c>
    </row>
    <row r="9" spans="1:17">
      <c r="A9" s="114"/>
      <c r="B9" s="2"/>
      <c r="C9" s="58"/>
      <c r="D9" s="145"/>
      <c r="E9" s="6"/>
      <c r="F9" s="6"/>
      <c r="G9" s="6"/>
      <c r="H9" s="2"/>
      <c r="I9" s="2"/>
      <c r="J9" s="2"/>
      <c r="K9" s="2"/>
      <c r="L9" s="2"/>
      <c r="M9" s="2"/>
      <c r="N9" s="2"/>
      <c r="O9" s="2"/>
      <c r="P9" s="2"/>
    </row>
    <row r="10" spans="1:17" s="6" customFormat="1">
      <c r="B10" s="2"/>
      <c r="C10" s="58"/>
      <c r="D10" s="145"/>
      <c r="H10" s="2"/>
      <c r="I10" s="2"/>
      <c r="J10" s="2"/>
      <c r="K10" s="2"/>
      <c r="L10" s="2"/>
      <c r="M10" s="2"/>
      <c r="N10" s="2"/>
    </row>
    <row r="11" spans="1:17" s="6" customFormat="1">
      <c r="C11" s="58"/>
      <c r="D11" s="145"/>
      <c r="H11" s="2"/>
      <c r="I11" s="2"/>
      <c r="J11" s="2"/>
      <c r="K11" s="2"/>
      <c r="L11" s="2"/>
      <c r="M11" s="2"/>
    </row>
    <row r="12" spans="1:17" s="6" customFormat="1">
      <c r="C12" s="58"/>
      <c r="D12" s="145"/>
    </row>
    <row r="13" spans="1:17" s="6" customFormat="1" ht="13.5" thickBot="1">
      <c r="A13" s="2">
        <f>+B13/4000000</f>
        <v>735.74709039387221</v>
      </c>
      <c r="B13" s="2">
        <f>+SUM(B4:B8)</f>
        <v>2942988361.575489</v>
      </c>
      <c r="C13" s="98" t="s">
        <v>9278</v>
      </c>
      <c r="D13" s="402"/>
      <c r="E13" s="99">
        <f>+SUM(E3:E8)</f>
        <v>0</v>
      </c>
      <c r="F13" s="99">
        <f>+SUM(F3:F8)</f>
        <v>0</v>
      </c>
      <c r="G13" s="99">
        <f t="shared" ref="G13" si="3">+SUM(G3:G8)</f>
        <v>0</v>
      </c>
      <c r="H13" s="99">
        <f>-H4-H6-H8</f>
        <v>-294298836.15754884</v>
      </c>
      <c r="I13" s="99">
        <f>-I4-I6-I8</f>
        <v>-196199224.10503259</v>
      </c>
      <c r="J13" s="99">
        <f t="shared" ref="J13:P13" si="4">-J4-J6-J8</f>
        <v>-98099612.052516297</v>
      </c>
      <c r="K13" s="99">
        <f t="shared" si="4"/>
        <v>-392398448.21006513</v>
      </c>
      <c r="L13" s="99">
        <f t="shared" si="4"/>
        <v>-294298836.1575489</v>
      </c>
      <c r="M13" s="99">
        <f t="shared" si="4"/>
        <v>-196199224.10503259</v>
      </c>
      <c r="N13" s="99">
        <f t="shared" si="4"/>
        <v>-490498060.26258147</v>
      </c>
      <c r="O13" s="99">
        <f t="shared" si="4"/>
        <v>-294298836.1575489</v>
      </c>
      <c r="P13" s="99">
        <f t="shared" si="4"/>
        <v>-196199224.10503259</v>
      </c>
    </row>
    <row r="14" spans="1:17" s="6" customFormat="1">
      <c r="A14" s="2">
        <f>+A13/(0.8*0.545)</f>
        <v>1687.4933265914499</v>
      </c>
      <c r="B14" s="2"/>
      <c r="I14" s="2"/>
      <c r="J14" s="2"/>
      <c r="K14" s="2"/>
      <c r="L14" s="2"/>
      <c r="M14" s="2"/>
      <c r="N14" s="2"/>
      <c r="O14" s="2"/>
      <c r="P14" s="2"/>
    </row>
    <row r="15" spans="1:17" s="6" customFormat="1">
      <c r="B15" s="2"/>
      <c r="I15" s="2"/>
      <c r="J15" s="2"/>
      <c r="K15" s="2"/>
      <c r="L15" s="2"/>
      <c r="M15" s="2"/>
      <c r="N15" s="2"/>
      <c r="O15" s="2"/>
      <c r="P15" s="2"/>
    </row>
    <row r="16" spans="1:17" s="6" customFormat="1">
      <c r="B16" s="2"/>
      <c r="E16" s="2"/>
      <c r="F16" s="91">
        <v>385748006.33762026</v>
      </c>
      <c r="G16" s="91">
        <v>-215371471.56845891</v>
      </c>
      <c r="H16" s="91">
        <v>-598853063.42289448</v>
      </c>
      <c r="I16" s="91">
        <v>787380578.51458383</v>
      </c>
      <c r="J16" s="91">
        <v>2683732909.2776985</v>
      </c>
      <c r="K16" s="91">
        <v>5663987539.9152851</v>
      </c>
      <c r="L16" s="91">
        <v>1151064169.9310246</v>
      </c>
      <c r="M16" s="91">
        <v>947093161.53678834</v>
      </c>
      <c r="N16" s="91">
        <v>-317557476.27138615</v>
      </c>
      <c r="O16" s="91">
        <v>-385738044.86885059</v>
      </c>
      <c r="P16" s="91">
        <v>-237388454.41108215</v>
      </c>
      <c r="Q16" s="91">
        <v>-200000000</v>
      </c>
    </row>
    <row r="17" spans="1:17" s="6" customFormat="1">
      <c r="E17" s="2"/>
      <c r="F17" s="91">
        <f>+'Proyección 2024'!H39</f>
        <v>385748006.33762026</v>
      </c>
      <c r="G17" s="91">
        <f>+'Proyección 2024'!I39</f>
        <v>-430750563.43486083</v>
      </c>
      <c r="H17" s="91">
        <f>+'Proyección 2024'!J39</f>
        <v>-216762612.02720538</v>
      </c>
      <c r="I17" s="91">
        <f>+'Proyección 2024'!K39</f>
        <v>564019995.72605824</v>
      </c>
      <c r="J17" s="91">
        <f>+'Proyección 2024'!L39</f>
        <v>2659609933.8493633</v>
      </c>
      <c r="K17" s="91">
        <f>+'Proyección 2024'!M39</f>
        <v>2806641058.9072599</v>
      </c>
      <c r="L17" s="91">
        <f>+'Proyección 2024'!N39</f>
        <v>1424057968.1876757</v>
      </c>
      <c r="M17" s="91">
        <f>+'Proyección 2024'!O39</f>
        <v>1727164969.0315161</v>
      </c>
      <c r="N17" s="91">
        <f>+'Proyección 2024'!P39</f>
        <v>2281431773.3530416</v>
      </c>
      <c r="O17" s="91">
        <f>+'Proyección 2024'!Q39</f>
        <v>1795361795.2472079</v>
      </c>
      <c r="P17" s="91">
        <f>+'Proyección 2024'!R39</f>
        <v>2473896567.8437152</v>
      </c>
      <c r="Q17" s="91">
        <f>+'Proyección 2024'!S39</f>
        <v>4918002796.6632786</v>
      </c>
    </row>
    <row r="18" spans="1:17" s="6" customFormat="1" ht="12.95" thickBot="1">
      <c r="B18" s="2"/>
      <c r="E18" s="2"/>
      <c r="F18" s="2"/>
      <c r="G18" s="2"/>
      <c r="H18" s="2"/>
      <c r="I18" s="2"/>
      <c r="J18" s="2"/>
      <c r="K18" s="2"/>
      <c r="L18" s="2"/>
    </row>
    <row r="19" spans="1:17" s="6" customFormat="1" ht="12.95" thickBot="1">
      <c r="D19" s="404" t="s">
        <v>9309</v>
      </c>
      <c r="E19" s="403" t="str">
        <f t="shared" ref="E19:O19" si="5">+IF(F16&lt;0,"SI","NO")</f>
        <v>NO</v>
      </c>
      <c r="F19" s="403" t="str">
        <f>+IF(G16&lt;0,"SI","NO")</f>
        <v>SI</v>
      </c>
      <c r="G19" s="403" t="str">
        <f>+IF(H16&lt;0,"SI","NO")</f>
        <v>SI</v>
      </c>
      <c r="H19" s="403" t="str">
        <f>+IF(I16&lt;0,"SI","NO")</f>
        <v>NO</v>
      </c>
      <c r="I19" s="403" t="str">
        <f t="shared" si="5"/>
        <v>NO</v>
      </c>
      <c r="J19" s="403" t="str">
        <f t="shared" si="5"/>
        <v>NO</v>
      </c>
      <c r="K19" s="403" t="str">
        <f t="shared" si="5"/>
        <v>NO</v>
      </c>
      <c r="L19" s="403" t="str">
        <f t="shared" si="5"/>
        <v>NO</v>
      </c>
      <c r="M19" s="405" t="str">
        <f t="shared" si="5"/>
        <v>SI</v>
      </c>
      <c r="N19" s="403" t="str">
        <f t="shared" si="5"/>
        <v>SI</v>
      </c>
      <c r="O19" s="403" t="str">
        <f t="shared" si="5"/>
        <v>SI</v>
      </c>
      <c r="P19" s="403" t="str">
        <f>+IF(Q16&lt;0,"SI","NO")</f>
        <v>SI</v>
      </c>
    </row>
    <row r="20" spans="1:17" s="6" customFormat="1">
      <c r="C20" s="58"/>
      <c r="D20" s="58"/>
      <c r="E20" s="2"/>
      <c r="F20" s="2"/>
      <c r="G20" s="2"/>
      <c r="H20" s="2"/>
    </row>
    <row r="21" spans="1:17" s="6" customFormat="1">
      <c r="A21" s="2"/>
      <c r="B21" s="2"/>
      <c r="E21" s="2"/>
      <c r="F21" s="2"/>
      <c r="G21" s="2"/>
      <c r="H21" s="2"/>
    </row>
    <row r="22" spans="1:17" s="6" customFormat="1" ht="12.95" thickBot="1">
      <c r="A22" s="2"/>
      <c r="B22" s="2"/>
      <c r="C22" s="58"/>
    </row>
    <row r="23" spans="1:17" s="6" customFormat="1">
      <c r="A23" t="s">
        <v>9310</v>
      </c>
      <c r="B23" s="329" t="s">
        <v>9181</v>
      </c>
      <c r="C23" s="369">
        <v>0.16</v>
      </c>
      <c r="D23" s="406" t="s">
        <v>9171</v>
      </c>
      <c r="E23" s="235">
        <f>+IF(E19="SI",-E13,0)</f>
        <v>0</v>
      </c>
      <c r="F23" s="235">
        <f t="shared" ref="F23:P23" si="6">+E23+F25</f>
        <v>0</v>
      </c>
      <c r="G23" s="235">
        <f t="shared" si="6"/>
        <v>0</v>
      </c>
      <c r="H23" s="235">
        <f t="shared" si="6"/>
        <v>0</v>
      </c>
      <c r="I23" s="235">
        <f t="shared" si="6"/>
        <v>0</v>
      </c>
      <c r="J23" s="235">
        <f t="shared" si="6"/>
        <v>0</v>
      </c>
      <c r="K23" s="235">
        <f t="shared" si="6"/>
        <v>0</v>
      </c>
      <c r="L23" s="235">
        <f t="shared" si="6"/>
        <v>0</v>
      </c>
      <c r="M23" s="235">
        <f t="shared" si="6"/>
        <v>0</v>
      </c>
      <c r="N23" s="235">
        <f t="shared" si="6"/>
        <v>0</v>
      </c>
      <c r="O23" s="235">
        <f t="shared" si="6"/>
        <v>0</v>
      </c>
      <c r="P23" s="235">
        <f t="shared" si="6"/>
        <v>0</v>
      </c>
    </row>
    <row r="24" spans="1:17" s="6" customFormat="1">
      <c r="A24"/>
      <c r="B24" s="113"/>
      <c r="C24" s="409"/>
      <c r="D24" s="407"/>
      <c r="E24" s="2">
        <f>+E23</f>
        <v>0</v>
      </c>
      <c r="F24" s="2"/>
      <c r="G24" s="2"/>
      <c r="H24" s="2"/>
      <c r="I24" s="2"/>
      <c r="J24" s="2"/>
      <c r="K24" s="2"/>
      <c r="L24" s="2"/>
      <c r="M24" s="2"/>
      <c r="N24" s="2"/>
      <c r="O24" s="2"/>
      <c r="P24" s="2"/>
    </row>
    <row r="25" spans="1:17" s="6" customFormat="1">
      <c r="A25" s="2"/>
      <c r="B25" s="113"/>
      <c r="C25" s="381">
        <f>+(C23+1)^(0.0833333333333333)-1</f>
        <v>1.2445137919713467E-2</v>
      </c>
      <c r="D25" s="407" t="s">
        <v>9211</v>
      </c>
      <c r="E25" s="2"/>
      <c r="F25" s="2">
        <f t="shared" ref="F25:P25" si="7">+PMT($C$25,E27,E23)-F26</f>
        <v>0</v>
      </c>
      <c r="G25" s="2">
        <f t="shared" si="7"/>
        <v>0</v>
      </c>
      <c r="H25" s="2">
        <f t="shared" si="7"/>
        <v>0</v>
      </c>
      <c r="I25" s="2">
        <f t="shared" si="7"/>
        <v>0</v>
      </c>
      <c r="J25" s="2">
        <f t="shared" si="7"/>
        <v>0</v>
      </c>
      <c r="K25" s="2">
        <f t="shared" si="7"/>
        <v>0</v>
      </c>
      <c r="L25" s="2">
        <f t="shared" si="7"/>
        <v>0</v>
      </c>
      <c r="M25" s="2">
        <f t="shared" si="7"/>
        <v>0</v>
      </c>
      <c r="N25" s="2">
        <f t="shared" si="7"/>
        <v>0</v>
      </c>
      <c r="O25" s="2">
        <f t="shared" si="7"/>
        <v>0</v>
      </c>
      <c r="P25" s="2">
        <f t="shared" si="7"/>
        <v>0</v>
      </c>
    </row>
    <row r="26" spans="1:17" s="6" customFormat="1">
      <c r="A26" s="2"/>
      <c r="B26" s="113"/>
      <c r="C26" s="381"/>
      <c r="D26" s="407" t="s">
        <v>9165</v>
      </c>
      <c r="E26" s="2"/>
      <c r="F26" s="2">
        <f t="shared" ref="F26:P26" si="8">-E23*$C$25</f>
        <v>0</v>
      </c>
      <c r="G26" s="2">
        <f t="shared" si="8"/>
        <v>0</v>
      </c>
      <c r="H26" s="2">
        <f t="shared" si="8"/>
        <v>0</v>
      </c>
      <c r="I26" s="2">
        <f t="shared" si="8"/>
        <v>0</v>
      </c>
      <c r="J26" s="2">
        <f t="shared" si="8"/>
        <v>0</v>
      </c>
      <c r="K26" s="2">
        <f t="shared" si="8"/>
        <v>0</v>
      </c>
      <c r="L26" s="2">
        <f t="shared" si="8"/>
        <v>0</v>
      </c>
      <c r="M26" s="2">
        <f t="shared" si="8"/>
        <v>0</v>
      </c>
      <c r="N26" s="2">
        <f t="shared" si="8"/>
        <v>0</v>
      </c>
      <c r="O26" s="2">
        <f t="shared" si="8"/>
        <v>0</v>
      </c>
      <c r="P26" s="2">
        <f t="shared" si="8"/>
        <v>0</v>
      </c>
    </row>
    <row r="27" spans="1:17" s="6" customFormat="1" ht="12.95" thickBot="1">
      <c r="A27" s="236"/>
      <c r="B27" s="330">
        <f>7*12</f>
        <v>84</v>
      </c>
      <c r="C27" s="376"/>
      <c r="D27" s="408" t="s">
        <v>9213</v>
      </c>
      <c r="E27" s="236">
        <f>+B27</f>
        <v>84</v>
      </c>
      <c r="F27" s="236">
        <v>83</v>
      </c>
      <c r="G27" s="236">
        <v>84</v>
      </c>
      <c r="H27" s="236">
        <v>85</v>
      </c>
      <c r="I27" s="236">
        <v>86</v>
      </c>
      <c r="J27" s="236">
        <v>87</v>
      </c>
      <c r="K27" s="236">
        <v>88</v>
      </c>
      <c r="L27" s="236">
        <v>89</v>
      </c>
      <c r="M27" s="236">
        <v>90</v>
      </c>
      <c r="N27" s="236">
        <v>91</v>
      </c>
      <c r="O27" s="236">
        <v>92</v>
      </c>
      <c r="P27" s="236">
        <v>93</v>
      </c>
    </row>
    <row r="28" spans="1:17" s="6" customFormat="1" ht="12.95" thickBot="1"/>
    <row r="29" spans="1:17" s="6" customFormat="1">
      <c r="A29" s="235" t="s">
        <v>9311</v>
      </c>
      <c r="B29" s="329" t="s">
        <v>9181</v>
      </c>
      <c r="C29" s="369">
        <v>0.16</v>
      </c>
      <c r="D29" s="406" t="s">
        <v>9171</v>
      </c>
      <c r="E29" s="111"/>
      <c r="F29" s="235">
        <f>+IF($E22="SI",-SUM($E$13:$F$13),0)</f>
        <v>0</v>
      </c>
      <c r="G29" s="235">
        <f t="shared" ref="G29:Q29" si="9">+F29+G31</f>
        <v>0</v>
      </c>
      <c r="H29" s="235">
        <f t="shared" si="9"/>
        <v>0</v>
      </c>
      <c r="I29" s="235">
        <f t="shared" si="9"/>
        <v>0</v>
      </c>
      <c r="J29" s="235">
        <f t="shared" si="9"/>
        <v>0</v>
      </c>
      <c r="K29" s="235">
        <f t="shared" si="9"/>
        <v>0</v>
      </c>
      <c r="L29" s="235">
        <f t="shared" si="9"/>
        <v>0</v>
      </c>
      <c r="M29" s="235">
        <f t="shared" si="9"/>
        <v>0</v>
      </c>
      <c r="N29" s="235">
        <f t="shared" si="9"/>
        <v>0</v>
      </c>
      <c r="O29" s="235">
        <f t="shared" si="9"/>
        <v>0</v>
      </c>
      <c r="P29" s="235">
        <f t="shared" si="9"/>
        <v>0</v>
      </c>
      <c r="Q29" s="235">
        <f t="shared" si="9"/>
        <v>0</v>
      </c>
    </row>
    <row r="30" spans="1:17" s="6" customFormat="1">
      <c r="A30" s="2"/>
      <c r="B30" s="113"/>
      <c r="C30" s="409"/>
      <c r="D30" s="407"/>
      <c r="E30" s="111"/>
      <c r="F30" s="2">
        <f>+F29</f>
        <v>0</v>
      </c>
      <c r="G30" s="2"/>
      <c r="H30" s="2"/>
      <c r="I30" s="2"/>
      <c r="J30" s="2"/>
      <c r="K30" s="2"/>
      <c r="L30" s="2"/>
      <c r="M30" s="2"/>
      <c r="N30" s="2"/>
      <c r="O30" s="2"/>
      <c r="P30" s="2"/>
      <c r="Q30" s="2"/>
    </row>
    <row r="31" spans="1:17">
      <c r="A31" s="2"/>
      <c r="B31" s="113"/>
      <c r="C31" s="381">
        <f>+(C29+1)^(0.0833333333333333)-1</f>
        <v>1.2445137919713467E-2</v>
      </c>
      <c r="D31" s="407" t="s">
        <v>9211</v>
      </c>
      <c r="E31" s="111"/>
      <c r="F31" s="2"/>
      <c r="G31" s="2">
        <f t="shared" ref="G31:Q31" si="10">+PMT($C$31,F33,F29)-G32</f>
        <v>0</v>
      </c>
      <c r="H31" s="2">
        <f t="shared" si="10"/>
        <v>0</v>
      </c>
      <c r="I31" s="2">
        <f t="shared" si="10"/>
        <v>0</v>
      </c>
      <c r="J31" s="2">
        <f t="shared" si="10"/>
        <v>0</v>
      </c>
      <c r="K31" s="2">
        <f t="shared" si="10"/>
        <v>0</v>
      </c>
      <c r="L31" s="2">
        <f t="shared" si="10"/>
        <v>0</v>
      </c>
      <c r="M31" s="2">
        <f t="shared" si="10"/>
        <v>0</v>
      </c>
      <c r="N31" s="2">
        <f t="shared" si="10"/>
        <v>0</v>
      </c>
      <c r="O31" s="2">
        <f t="shared" si="10"/>
        <v>0</v>
      </c>
      <c r="P31" s="2">
        <f t="shared" si="10"/>
        <v>0</v>
      </c>
      <c r="Q31" s="2">
        <f t="shared" si="10"/>
        <v>0</v>
      </c>
    </row>
    <row r="32" spans="1:17">
      <c r="A32" s="2"/>
      <c r="B32" s="113"/>
      <c r="C32" s="381"/>
      <c r="D32" s="407" t="s">
        <v>9165</v>
      </c>
      <c r="E32" s="111"/>
      <c r="F32" s="2"/>
      <c r="G32" s="2">
        <f t="shared" ref="G32:Q32" si="11">-F29*$C$31</f>
        <v>0</v>
      </c>
      <c r="H32" s="2">
        <f t="shared" si="11"/>
        <v>0</v>
      </c>
      <c r="I32" s="2">
        <f t="shared" si="11"/>
        <v>0</v>
      </c>
      <c r="J32" s="2">
        <f t="shared" si="11"/>
        <v>0</v>
      </c>
      <c r="K32" s="2">
        <f t="shared" si="11"/>
        <v>0</v>
      </c>
      <c r="L32" s="2">
        <f t="shared" si="11"/>
        <v>0</v>
      </c>
      <c r="M32" s="2">
        <f t="shared" si="11"/>
        <v>0</v>
      </c>
      <c r="N32" s="2">
        <f t="shared" si="11"/>
        <v>0</v>
      </c>
      <c r="O32" s="2">
        <f t="shared" si="11"/>
        <v>0</v>
      </c>
      <c r="P32" s="2">
        <f t="shared" si="11"/>
        <v>0</v>
      </c>
      <c r="Q32" s="2">
        <f t="shared" si="11"/>
        <v>0</v>
      </c>
    </row>
    <row r="33" spans="1:20" ht="12.95" thickBot="1">
      <c r="A33" s="236"/>
      <c r="B33" s="330">
        <f>7*12</f>
        <v>84</v>
      </c>
      <c r="C33" s="376"/>
      <c r="D33" s="408" t="s">
        <v>9213</v>
      </c>
      <c r="E33" s="111"/>
      <c r="F33" s="236">
        <f>+B33</f>
        <v>84</v>
      </c>
      <c r="G33" s="236">
        <f t="shared" ref="G33:Q33" si="12">+F33-1</f>
        <v>83</v>
      </c>
      <c r="H33" s="236">
        <f t="shared" si="12"/>
        <v>82</v>
      </c>
      <c r="I33" s="236">
        <f t="shared" si="12"/>
        <v>81</v>
      </c>
      <c r="J33" s="236">
        <f t="shared" si="12"/>
        <v>80</v>
      </c>
      <c r="K33" s="236">
        <f t="shared" si="12"/>
        <v>79</v>
      </c>
      <c r="L33" s="236">
        <f t="shared" si="12"/>
        <v>78</v>
      </c>
      <c r="M33" s="236">
        <f t="shared" si="12"/>
        <v>77</v>
      </c>
      <c r="N33" s="236">
        <f t="shared" si="12"/>
        <v>76</v>
      </c>
      <c r="O33" s="236">
        <f t="shared" si="12"/>
        <v>75</v>
      </c>
      <c r="P33" s="236">
        <f t="shared" si="12"/>
        <v>74</v>
      </c>
      <c r="Q33" s="236">
        <f t="shared" si="12"/>
        <v>73</v>
      </c>
    </row>
    <row r="34" spans="1:20" ht="12.95" thickBot="1"/>
    <row r="35" spans="1:20">
      <c r="A35" s="235" t="s">
        <v>9311</v>
      </c>
      <c r="B35" s="329" t="s">
        <v>9181</v>
      </c>
      <c r="C35" s="369">
        <v>0.16</v>
      </c>
      <c r="D35" s="406" t="s">
        <v>9171</v>
      </c>
      <c r="E35" s="111"/>
      <c r="F35" s="111"/>
      <c r="G35" s="235">
        <f>+IF($G19="SI",-SUM($E$13:$G$13),0)</f>
        <v>0</v>
      </c>
      <c r="H35" s="235">
        <f t="shared" ref="H35:R35" si="13">+G35+H37</f>
        <v>0</v>
      </c>
      <c r="I35" s="235">
        <f t="shared" si="13"/>
        <v>0</v>
      </c>
      <c r="J35" s="235">
        <f t="shared" si="13"/>
        <v>0</v>
      </c>
      <c r="K35" s="235">
        <f t="shared" si="13"/>
        <v>0</v>
      </c>
      <c r="L35" s="235">
        <f t="shared" si="13"/>
        <v>0</v>
      </c>
      <c r="M35" s="235">
        <f t="shared" si="13"/>
        <v>0</v>
      </c>
      <c r="N35" s="235">
        <f t="shared" si="13"/>
        <v>0</v>
      </c>
      <c r="O35" s="235">
        <f t="shared" si="13"/>
        <v>0</v>
      </c>
      <c r="P35" s="235">
        <f t="shared" si="13"/>
        <v>0</v>
      </c>
      <c r="Q35" s="235">
        <f t="shared" si="13"/>
        <v>0</v>
      </c>
      <c r="R35" s="235">
        <f t="shared" si="13"/>
        <v>0</v>
      </c>
    </row>
    <row r="36" spans="1:20">
      <c r="A36" s="2"/>
      <c r="B36" s="113"/>
      <c r="C36" s="409"/>
      <c r="D36" s="407"/>
      <c r="E36" s="111"/>
      <c r="F36" s="111"/>
      <c r="G36" s="2">
        <f>+G35</f>
        <v>0</v>
      </c>
      <c r="H36" s="2"/>
      <c r="I36" s="2"/>
      <c r="J36" s="2"/>
      <c r="K36" s="2"/>
      <c r="L36" s="2"/>
      <c r="M36" s="2"/>
      <c r="N36" s="2"/>
      <c r="O36" s="2"/>
      <c r="P36" s="2"/>
      <c r="Q36" s="2"/>
      <c r="R36" s="2"/>
    </row>
    <row r="37" spans="1:20">
      <c r="A37" s="2"/>
      <c r="B37" s="113"/>
      <c r="C37" s="381">
        <f>+(C35+1)^(0.0833333333333333)-1</f>
        <v>1.2445137919713467E-2</v>
      </c>
      <c r="D37" s="407" t="s">
        <v>9211</v>
      </c>
      <c r="E37" s="111"/>
      <c r="F37" s="111"/>
      <c r="G37" s="2"/>
      <c r="H37" s="2">
        <f t="shared" ref="H37:R37" si="14">+PMT($C$37,G39,G35)-H38</f>
        <v>0</v>
      </c>
      <c r="I37" s="2">
        <f t="shared" si="14"/>
        <v>0</v>
      </c>
      <c r="J37" s="2">
        <f t="shared" si="14"/>
        <v>0</v>
      </c>
      <c r="K37" s="2">
        <f t="shared" si="14"/>
        <v>0</v>
      </c>
      <c r="L37" s="2">
        <f t="shared" si="14"/>
        <v>0</v>
      </c>
      <c r="M37" s="2">
        <f t="shared" si="14"/>
        <v>0</v>
      </c>
      <c r="N37" s="2">
        <f t="shared" si="14"/>
        <v>0</v>
      </c>
      <c r="O37" s="2">
        <f t="shared" si="14"/>
        <v>0</v>
      </c>
      <c r="P37" s="2">
        <f t="shared" si="14"/>
        <v>0</v>
      </c>
      <c r="Q37" s="2">
        <f t="shared" si="14"/>
        <v>0</v>
      </c>
      <c r="R37" s="2">
        <f t="shared" si="14"/>
        <v>0</v>
      </c>
    </row>
    <row r="38" spans="1:20">
      <c r="A38" s="2"/>
      <c r="B38" s="113"/>
      <c r="C38" s="381"/>
      <c r="D38" s="407" t="s">
        <v>9165</v>
      </c>
      <c r="E38" s="111"/>
      <c r="F38" s="111"/>
      <c r="G38" s="2"/>
      <c r="H38" s="2">
        <f t="shared" ref="H38:R38" si="15">-G35*$C$37</f>
        <v>0</v>
      </c>
      <c r="I38" s="2">
        <f t="shared" si="15"/>
        <v>0</v>
      </c>
      <c r="J38" s="2">
        <f t="shared" si="15"/>
        <v>0</v>
      </c>
      <c r="K38" s="2">
        <f t="shared" si="15"/>
        <v>0</v>
      </c>
      <c r="L38" s="2">
        <f t="shared" si="15"/>
        <v>0</v>
      </c>
      <c r="M38" s="2">
        <f t="shared" si="15"/>
        <v>0</v>
      </c>
      <c r="N38" s="2">
        <f t="shared" si="15"/>
        <v>0</v>
      </c>
      <c r="O38" s="2">
        <f t="shared" si="15"/>
        <v>0</v>
      </c>
      <c r="P38" s="2">
        <f t="shared" si="15"/>
        <v>0</v>
      </c>
      <c r="Q38" s="2">
        <f t="shared" si="15"/>
        <v>0</v>
      </c>
      <c r="R38" s="2">
        <f t="shared" si="15"/>
        <v>0</v>
      </c>
    </row>
    <row r="39" spans="1:20" ht="12.95" thickBot="1">
      <c r="A39" s="236"/>
      <c r="B39" s="330">
        <f>7*12</f>
        <v>84</v>
      </c>
      <c r="C39" s="376"/>
      <c r="D39" s="408" t="s">
        <v>9213</v>
      </c>
      <c r="E39" s="111"/>
      <c r="F39" s="111"/>
      <c r="G39" s="236">
        <f>+B39</f>
        <v>84</v>
      </c>
      <c r="H39" s="236">
        <f t="shared" ref="H39:R39" si="16">+G39-1</f>
        <v>83</v>
      </c>
      <c r="I39" s="236">
        <f t="shared" si="16"/>
        <v>82</v>
      </c>
      <c r="J39" s="236">
        <f t="shared" si="16"/>
        <v>81</v>
      </c>
      <c r="K39" s="236">
        <f t="shared" si="16"/>
        <v>80</v>
      </c>
      <c r="L39" s="236">
        <f t="shared" si="16"/>
        <v>79</v>
      </c>
      <c r="M39" s="236">
        <f t="shared" si="16"/>
        <v>78</v>
      </c>
      <c r="N39" s="236">
        <f t="shared" si="16"/>
        <v>77</v>
      </c>
      <c r="O39" s="236">
        <f t="shared" si="16"/>
        <v>76</v>
      </c>
      <c r="P39" s="236">
        <f t="shared" si="16"/>
        <v>75</v>
      </c>
      <c r="Q39" s="236">
        <f t="shared" si="16"/>
        <v>74</v>
      </c>
      <c r="R39" s="236">
        <f t="shared" si="16"/>
        <v>73</v>
      </c>
    </row>
    <row r="40" spans="1:20" ht="12.95" thickBot="1"/>
    <row r="41" spans="1:20">
      <c r="A41" s="235" t="s">
        <v>9312</v>
      </c>
      <c r="B41" s="329" t="s">
        <v>9181</v>
      </c>
      <c r="C41" s="369">
        <v>0.16</v>
      </c>
      <c r="D41" s="406" t="s">
        <v>9171</v>
      </c>
      <c r="E41" s="111"/>
      <c r="F41" s="111"/>
      <c r="G41" s="111"/>
      <c r="H41" s="235">
        <f>+IF($H19="SI",-SUM($G$13:$H$13),0)</f>
        <v>0</v>
      </c>
      <c r="I41" s="235">
        <f t="shared" ref="I41:S41" si="17">+H41+I43</f>
        <v>0</v>
      </c>
      <c r="J41" s="235">
        <f t="shared" si="17"/>
        <v>0</v>
      </c>
      <c r="K41" s="235">
        <f t="shared" si="17"/>
        <v>0</v>
      </c>
      <c r="L41" s="235">
        <f t="shared" si="17"/>
        <v>0</v>
      </c>
      <c r="M41" s="235">
        <f t="shared" si="17"/>
        <v>0</v>
      </c>
      <c r="N41" s="235">
        <f t="shared" si="17"/>
        <v>0</v>
      </c>
      <c r="O41" s="235">
        <f t="shared" si="17"/>
        <v>0</v>
      </c>
      <c r="P41" s="235">
        <f t="shared" si="17"/>
        <v>0</v>
      </c>
      <c r="Q41" s="235">
        <f t="shared" si="17"/>
        <v>0</v>
      </c>
      <c r="R41" s="235">
        <f t="shared" si="17"/>
        <v>0</v>
      </c>
      <c r="S41" s="235">
        <f t="shared" si="17"/>
        <v>0</v>
      </c>
    </row>
    <row r="42" spans="1:20">
      <c r="A42" s="2"/>
      <c r="B42" s="113"/>
      <c r="C42" s="409"/>
      <c r="D42" s="407"/>
      <c r="E42" s="111"/>
      <c r="F42" s="111"/>
      <c r="G42" s="111"/>
      <c r="H42" s="2">
        <f>+H41</f>
        <v>0</v>
      </c>
      <c r="I42" s="2"/>
      <c r="J42" s="2"/>
      <c r="K42" s="2"/>
      <c r="L42" s="2"/>
      <c r="M42" s="2"/>
      <c r="N42" s="2"/>
      <c r="O42" s="2"/>
      <c r="P42" s="2"/>
      <c r="Q42" s="2"/>
      <c r="R42" s="2"/>
      <c r="S42" s="2"/>
    </row>
    <row r="43" spans="1:20">
      <c r="A43" s="2"/>
      <c r="B43" s="113"/>
      <c r="C43" s="381">
        <f>+(C41+1)^(0.0833333333333333)-1</f>
        <v>1.2445137919713467E-2</v>
      </c>
      <c r="D43" s="407" t="s">
        <v>9211</v>
      </c>
      <c r="E43" s="111"/>
      <c r="F43" s="111"/>
      <c r="G43" s="111"/>
      <c r="H43" s="2"/>
      <c r="I43" s="2">
        <f t="shared" ref="I43:S43" si="18">+PMT($C$43,H45,H41)-I44</f>
        <v>0</v>
      </c>
      <c r="J43" s="2">
        <f t="shared" si="18"/>
        <v>0</v>
      </c>
      <c r="K43" s="2">
        <f t="shared" si="18"/>
        <v>0</v>
      </c>
      <c r="L43" s="2">
        <f t="shared" si="18"/>
        <v>0</v>
      </c>
      <c r="M43" s="2">
        <f t="shared" si="18"/>
        <v>0</v>
      </c>
      <c r="N43" s="2">
        <f t="shared" si="18"/>
        <v>0</v>
      </c>
      <c r="O43" s="2">
        <f t="shared" si="18"/>
        <v>0</v>
      </c>
      <c r="P43" s="2">
        <f t="shared" si="18"/>
        <v>0</v>
      </c>
      <c r="Q43" s="2">
        <f t="shared" si="18"/>
        <v>0</v>
      </c>
      <c r="R43" s="2">
        <f t="shared" si="18"/>
        <v>0</v>
      </c>
      <c r="S43" s="2">
        <f t="shared" si="18"/>
        <v>0</v>
      </c>
    </row>
    <row r="44" spans="1:20">
      <c r="A44" s="2"/>
      <c r="B44" s="113"/>
      <c r="C44" s="381"/>
      <c r="D44" s="407" t="s">
        <v>9165</v>
      </c>
      <c r="E44" s="111"/>
      <c r="F44" s="111"/>
      <c r="G44" s="111"/>
      <c r="H44" s="2"/>
      <c r="I44" s="2">
        <f t="shared" ref="I44:S44" si="19">-H41*$C$43</f>
        <v>0</v>
      </c>
      <c r="J44" s="2">
        <f t="shared" si="19"/>
        <v>0</v>
      </c>
      <c r="K44" s="2">
        <f t="shared" si="19"/>
        <v>0</v>
      </c>
      <c r="L44" s="2">
        <f t="shared" si="19"/>
        <v>0</v>
      </c>
      <c r="M44" s="2">
        <f t="shared" si="19"/>
        <v>0</v>
      </c>
      <c r="N44" s="2">
        <f t="shared" si="19"/>
        <v>0</v>
      </c>
      <c r="O44" s="2">
        <f t="shared" si="19"/>
        <v>0</v>
      </c>
      <c r="P44" s="2">
        <f t="shared" si="19"/>
        <v>0</v>
      </c>
      <c r="Q44" s="2">
        <f t="shared" si="19"/>
        <v>0</v>
      </c>
      <c r="R44" s="2">
        <f t="shared" si="19"/>
        <v>0</v>
      </c>
      <c r="S44" s="2">
        <f t="shared" si="19"/>
        <v>0</v>
      </c>
    </row>
    <row r="45" spans="1:20" ht="12.95" thickBot="1">
      <c r="A45" s="236"/>
      <c r="B45" s="330">
        <f>7*12</f>
        <v>84</v>
      </c>
      <c r="C45" s="376"/>
      <c r="D45" s="408" t="s">
        <v>9213</v>
      </c>
      <c r="E45" s="111"/>
      <c r="F45" s="111"/>
      <c r="G45" s="111"/>
      <c r="H45" s="236">
        <f>+B45</f>
        <v>84</v>
      </c>
      <c r="I45" s="236">
        <f t="shared" ref="I45:S45" si="20">+H45-1</f>
        <v>83</v>
      </c>
      <c r="J45" s="236">
        <f t="shared" si="20"/>
        <v>82</v>
      </c>
      <c r="K45" s="236">
        <f t="shared" si="20"/>
        <v>81</v>
      </c>
      <c r="L45" s="236">
        <f t="shared" si="20"/>
        <v>80</v>
      </c>
      <c r="M45" s="236">
        <f t="shared" si="20"/>
        <v>79</v>
      </c>
      <c r="N45" s="236">
        <f t="shared" si="20"/>
        <v>78</v>
      </c>
      <c r="O45" s="236">
        <f t="shared" si="20"/>
        <v>77</v>
      </c>
      <c r="P45" s="236">
        <f t="shared" si="20"/>
        <v>76</v>
      </c>
      <c r="Q45" s="236">
        <f t="shared" si="20"/>
        <v>75</v>
      </c>
      <c r="R45" s="236">
        <f t="shared" si="20"/>
        <v>74</v>
      </c>
      <c r="S45" s="236">
        <f t="shared" si="20"/>
        <v>73</v>
      </c>
    </row>
    <row r="46" spans="1:20" ht="12.95" thickBot="1"/>
    <row r="47" spans="1:20">
      <c r="A47" s="235" t="s">
        <v>9313</v>
      </c>
      <c r="B47" s="329" t="s">
        <v>9181</v>
      </c>
      <c r="C47" s="369">
        <v>0.16</v>
      </c>
      <c r="D47" s="406" t="s">
        <v>9171</v>
      </c>
      <c r="E47" s="111"/>
      <c r="F47" s="111"/>
      <c r="G47" s="111"/>
      <c r="H47" s="111"/>
      <c r="I47" s="235">
        <f>+IF(I$19="SI",-SUM($H$13:$I$13),0)</f>
        <v>0</v>
      </c>
      <c r="J47" s="235">
        <f t="shared" ref="J47:T47" si="21">+I47+J49</f>
        <v>0</v>
      </c>
      <c r="K47" s="235">
        <f t="shared" si="21"/>
        <v>0</v>
      </c>
      <c r="L47" s="235">
        <f t="shared" si="21"/>
        <v>0</v>
      </c>
      <c r="M47" s="235">
        <f t="shared" si="21"/>
        <v>0</v>
      </c>
      <c r="N47" s="235">
        <f t="shared" si="21"/>
        <v>0</v>
      </c>
      <c r="O47" s="235">
        <f t="shared" si="21"/>
        <v>0</v>
      </c>
      <c r="P47" s="235">
        <f t="shared" si="21"/>
        <v>0</v>
      </c>
      <c r="Q47" s="235">
        <f t="shared" si="21"/>
        <v>0</v>
      </c>
      <c r="R47" s="235">
        <f t="shared" si="21"/>
        <v>0</v>
      </c>
      <c r="S47" s="235">
        <f t="shared" si="21"/>
        <v>0</v>
      </c>
      <c r="T47" s="235">
        <f t="shared" si="21"/>
        <v>0</v>
      </c>
    </row>
    <row r="48" spans="1:20">
      <c r="A48" s="2"/>
      <c r="B48" s="113"/>
      <c r="C48" s="409"/>
      <c r="D48" s="407"/>
      <c r="E48" s="111"/>
      <c r="F48" s="111"/>
      <c r="G48" s="111"/>
      <c r="H48" s="111"/>
      <c r="I48" s="2">
        <f>+I47</f>
        <v>0</v>
      </c>
      <c r="J48" s="2"/>
      <c r="K48" s="2"/>
      <c r="L48" s="2"/>
      <c r="M48" s="2"/>
      <c r="N48" s="2"/>
      <c r="O48" s="2"/>
      <c r="P48" s="2"/>
      <c r="Q48" s="2"/>
      <c r="R48" s="2"/>
      <c r="S48" s="2"/>
      <c r="T48" s="2"/>
    </row>
    <row r="49" spans="1:22">
      <c r="A49" s="2"/>
      <c r="B49" s="113"/>
      <c r="C49" s="381">
        <f>+(C47+1)^(0.0833333333333333)-1</f>
        <v>1.2445137919713467E-2</v>
      </c>
      <c r="D49" s="407" t="s">
        <v>9211</v>
      </c>
      <c r="E49" s="111"/>
      <c r="F49" s="111"/>
      <c r="G49" s="111"/>
      <c r="H49" s="111"/>
      <c r="I49" s="2"/>
      <c r="J49" s="2">
        <f t="shared" ref="J49:T49" si="22">+PMT($C$49,I51,I47)-J50</f>
        <v>0</v>
      </c>
      <c r="K49" s="2">
        <f t="shared" si="22"/>
        <v>0</v>
      </c>
      <c r="L49" s="2">
        <f t="shared" si="22"/>
        <v>0</v>
      </c>
      <c r="M49" s="2">
        <f t="shared" si="22"/>
        <v>0</v>
      </c>
      <c r="N49" s="2">
        <f t="shared" si="22"/>
        <v>0</v>
      </c>
      <c r="O49" s="2">
        <f t="shared" si="22"/>
        <v>0</v>
      </c>
      <c r="P49" s="2">
        <f t="shared" si="22"/>
        <v>0</v>
      </c>
      <c r="Q49" s="2">
        <f t="shared" si="22"/>
        <v>0</v>
      </c>
      <c r="R49" s="2">
        <f t="shared" si="22"/>
        <v>0</v>
      </c>
      <c r="S49" s="2">
        <f t="shared" si="22"/>
        <v>0</v>
      </c>
      <c r="T49" s="2">
        <f t="shared" si="22"/>
        <v>0</v>
      </c>
    </row>
    <row r="50" spans="1:22">
      <c r="A50" s="2"/>
      <c r="B50" s="113"/>
      <c r="C50" s="381"/>
      <c r="D50" s="407" t="s">
        <v>9165</v>
      </c>
      <c r="E50" s="111"/>
      <c r="F50" s="111"/>
      <c r="G50" s="111"/>
      <c r="H50" s="111"/>
      <c r="I50" s="2"/>
      <c r="J50" s="2">
        <f t="shared" ref="J50:T50" si="23">-I47*$C$49</f>
        <v>0</v>
      </c>
      <c r="K50" s="2">
        <f t="shared" si="23"/>
        <v>0</v>
      </c>
      <c r="L50" s="2">
        <f t="shared" si="23"/>
        <v>0</v>
      </c>
      <c r="M50" s="2">
        <f t="shared" si="23"/>
        <v>0</v>
      </c>
      <c r="N50" s="2">
        <f t="shared" si="23"/>
        <v>0</v>
      </c>
      <c r="O50" s="2">
        <f t="shared" si="23"/>
        <v>0</v>
      </c>
      <c r="P50" s="2">
        <f t="shared" si="23"/>
        <v>0</v>
      </c>
      <c r="Q50" s="2">
        <f t="shared" si="23"/>
        <v>0</v>
      </c>
      <c r="R50" s="2">
        <f t="shared" si="23"/>
        <v>0</v>
      </c>
      <c r="S50" s="2">
        <f t="shared" si="23"/>
        <v>0</v>
      </c>
      <c r="T50" s="2">
        <f t="shared" si="23"/>
        <v>0</v>
      </c>
    </row>
    <row r="51" spans="1:22" ht="12.95" thickBot="1">
      <c r="A51" s="236"/>
      <c r="B51" s="330">
        <f>7*12</f>
        <v>84</v>
      </c>
      <c r="C51" s="376"/>
      <c r="D51" s="408" t="s">
        <v>9213</v>
      </c>
      <c r="E51" s="111"/>
      <c r="F51" s="111"/>
      <c r="G51" s="111"/>
      <c r="H51" s="111"/>
      <c r="I51" s="236">
        <f>+B51</f>
        <v>84</v>
      </c>
      <c r="J51" s="236">
        <f t="shared" ref="J51:T51" si="24">+I51-1</f>
        <v>83</v>
      </c>
      <c r="K51" s="236">
        <f t="shared" si="24"/>
        <v>82</v>
      </c>
      <c r="L51" s="236">
        <f t="shared" si="24"/>
        <v>81</v>
      </c>
      <c r="M51" s="236">
        <f t="shared" si="24"/>
        <v>80</v>
      </c>
      <c r="N51" s="236">
        <f t="shared" si="24"/>
        <v>79</v>
      </c>
      <c r="O51" s="236">
        <f t="shared" si="24"/>
        <v>78</v>
      </c>
      <c r="P51" s="236">
        <f t="shared" si="24"/>
        <v>77</v>
      </c>
      <c r="Q51" s="236">
        <f t="shared" si="24"/>
        <v>76</v>
      </c>
      <c r="R51" s="236">
        <f t="shared" si="24"/>
        <v>75</v>
      </c>
      <c r="S51" s="236">
        <f t="shared" si="24"/>
        <v>74</v>
      </c>
      <c r="T51" s="236">
        <f t="shared" si="24"/>
        <v>73</v>
      </c>
    </row>
    <row r="52" spans="1:22" ht="12.95" thickBot="1"/>
    <row r="53" spans="1:22">
      <c r="A53" s="235" t="s">
        <v>9314</v>
      </c>
      <c r="B53" s="329" t="s">
        <v>9181</v>
      </c>
      <c r="C53" s="369">
        <v>0.16</v>
      </c>
      <c r="D53" s="406" t="s">
        <v>9171</v>
      </c>
      <c r="E53" s="111"/>
      <c r="F53" s="111"/>
      <c r="G53" s="111"/>
      <c r="H53" s="111"/>
      <c r="I53" s="111"/>
      <c r="J53" s="235">
        <f>+IF($J$19="SI",-SUM($I$13:$J$13),0)</f>
        <v>0</v>
      </c>
      <c r="K53" s="235">
        <f t="shared" ref="K53:U53" si="25">+J53+K55</f>
        <v>0</v>
      </c>
      <c r="L53" s="235">
        <f t="shared" si="25"/>
        <v>0</v>
      </c>
      <c r="M53" s="235">
        <f t="shared" si="25"/>
        <v>0</v>
      </c>
      <c r="N53" s="235">
        <f t="shared" si="25"/>
        <v>0</v>
      </c>
      <c r="O53" s="235">
        <f t="shared" si="25"/>
        <v>0</v>
      </c>
      <c r="P53" s="235">
        <f t="shared" si="25"/>
        <v>0</v>
      </c>
      <c r="Q53" s="235">
        <f t="shared" si="25"/>
        <v>0</v>
      </c>
      <c r="R53" s="235">
        <f t="shared" si="25"/>
        <v>0</v>
      </c>
      <c r="S53" s="235">
        <f t="shared" si="25"/>
        <v>0</v>
      </c>
      <c r="T53" s="235">
        <f t="shared" si="25"/>
        <v>0</v>
      </c>
      <c r="U53" s="235">
        <f t="shared" si="25"/>
        <v>0</v>
      </c>
    </row>
    <row r="54" spans="1:22">
      <c r="A54" s="2"/>
      <c r="B54" s="113"/>
      <c r="C54" s="409"/>
      <c r="D54" s="407"/>
      <c r="E54" s="111"/>
      <c r="F54" s="111"/>
      <c r="G54" s="111"/>
      <c r="H54" s="111"/>
      <c r="I54" s="111"/>
      <c r="J54" s="2">
        <f>+J53</f>
        <v>0</v>
      </c>
      <c r="K54" s="2"/>
      <c r="L54" s="2"/>
      <c r="M54" s="2"/>
      <c r="N54" s="2"/>
      <c r="O54" s="2"/>
      <c r="P54" s="2"/>
      <c r="Q54" s="2"/>
      <c r="R54" s="2"/>
      <c r="S54" s="2"/>
      <c r="T54" s="2"/>
      <c r="U54" s="2"/>
    </row>
    <row r="55" spans="1:22">
      <c r="A55" s="2"/>
      <c r="B55" s="113"/>
      <c r="C55" s="381">
        <f>+(C53+1)^(0.0833333333333333)-1</f>
        <v>1.2445137919713467E-2</v>
      </c>
      <c r="D55" s="407" t="s">
        <v>9211</v>
      </c>
      <c r="E55" s="111"/>
      <c r="F55" s="111"/>
      <c r="G55" s="111"/>
      <c r="H55" s="111"/>
      <c r="I55" s="111"/>
      <c r="J55" s="2"/>
      <c r="K55" s="2">
        <f t="shared" ref="K55:U55" si="26">+PMT($C$55,J57,J53)-K56</f>
        <v>0</v>
      </c>
      <c r="L55" s="2">
        <f t="shared" si="26"/>
        <v>0</v>
      </c>
      <c r="M55" s="2">
        <f t="shared" si="26"/>
        <v>0</v>
      </c>
      <c r="N55" s="2">
        <f t="shared" si="26"/>
        <v>0</v>
      </c>
      <c r="O55" s="2">
        <f t="shared" si="26"/>
        <v>0</v>
      </c>
      <c r="P55" s="2">
        <f t="shared" si="26"/>
        <v>0</v>
      </c>
      <c r="Q55" s="2">
        <f t="shared" si="26"/>
        <v>0</v>
      </c>
      <c r="R55" s="2">
        <f t="shared" si="26"/>
        <v>0</v>
      </c>
      <c r="S55" s="2">
        <f t="shared" si="26"/>
        <v>0</v>
      </c>
      <c r="T55" s="2">
        <f t="shared" si="26"/>
        <v>0</v>
      </c>
      <c r="U55" s="2">
        <f t="shared" si="26"/>
        <v>0</v>
      </c>
    </row>
    <row r="56" spans="1:22">
      <c r="A56" s="2"/>
      <c r="B56" s="113"/>
      <c r="C56" s="381"/>
      <c r="D56" s="407" t="s">
        <v>9165</v>
      </c>
      <c r="E56" s="111"/>
      <c r="F56" s="111"/>
      <c r="G56" s="111"/>
      <c r="H56" s="111"/>
      <c r="I56" s="111"/>
      <c r="J56" s="2"/>
      <c r="K56" s="2">
        <f t="shared" ref="K56:U56" si="27">-J53*$C$55</f>
        <v>0</v>
      </c>
      <c r="L56" s="2">
        <f t="shared" si="27"/>
        <v>0</v>
      </c>
      <c r="M56" s="2">
        <f t="shared" si="27"/>
        <v>0</v>
      </c>
      <c r="N56" s="2">
        <f t="shared" si="27"/>
        <v>0</v>
      </c>
      <c r="O56" s="2">
        <f t="shared" si="27"/>
        <v>0</v>
      </c>
      <c r="P56" s="2">
        <f t="shared" si="27"/>
        <v>0</v>
      </c>
      <c r="Q56" s="2">
        <f t="shared" si="27"/>
        <v>0</v>
      </c>
      <c r="R56" s="2">
        <f t="shared" si="27"/>
        <v>0</v>
      </c>
      <c r="S56" s="2">
        <f t="shared" si="27"/>
        <v>0</v>
      </c>
      <c r="T56" s="2">
        <f t="shared" si="27"/>
        <v>0</v>
      </c>
      <c r="U56" s="2">
        <f t="shared" si="27"/>
        <v>0</v>
      </c>
    </row>
    <row r="57" spans="1:22" ht="12.95" thickBot="1">
      <c r="A57" s="236"/>
      <c r="B57" s="330">
        <f>7*12</f>
        <v>84</v>
      </c>
      <c r="C57" s="376"/>
      <c r="D57" s="408" t="s">
        <v>9213</v>
      </c>
      <c r="E57" s="111"/>
      <c r="F57" s="111"/>
      <c r="G57" s="111"/>
      <c r="H57" s="111"/>
      <c r="I57" s="111"/>
      <c r="J57" s="236">
        <f>+B57</f>
        <v>84</v>
      </c>
      <c r="K57" s="236">
        <f t="shared" ref="K57:U57" si="28">+J57-1</f>
        <v>83</v>
      </c>
      <c r="L57" s="236">
        <f t="shared" si="28"/>
        <v>82</v>
      </c>
      <c r="M57" s="236">
        <f t="shared" si="28"/>
        <v>81</v>
      </c>
      <c r="N57" s="236">
        <f t="shared" si="28"/>
        <v>80</v>
      </c>
      <c r="O57" s="236">
        <f t="shared" si="28"/>
        <v>79</v>
      </c>
      <c r="P57" s="236">
        <f t="shared" si="28"/>
        <v>78</v>
      </c>
      <c r="Q57" s="236">
        <f t="shared" si="28"/>
        <v>77</v>
      </c>
      <c r="R57" s="236">
        <f t="shared" si="28"/>
        <v>76</v>
      </c>
      <c r="S57" s="236">
        <f t="shared" si="28"/>
        <v>75</v>
      </c>
      <c r="T57" s="236">
        <f t="shared" si="28"/>
        <v>74</v>
      </c>
      <c r="U57" s="236">
        <f t="shared" si="28"/>
        <v>73</v>
      </c>
    </row>
    <row r="58" spans="1:22" ht="12.95" thickBot="1"/>
    <row r="59" spans="1:22">
      <c r="A59" s="235" t="s">
        <v>9315</v>
      </c>
      <c r="B59" s="329" t="s">
        <v>9181</v>
      </c>
      <c r="C59" s="369">
        <v>0.16</v>
      </c>
      <c r="D59" s="406" t="s">
        <v>9171</v>
      </c>
      <c r="E59" s="111"/>
      <c r="F59" s="111"/>
      <c r="G59" s="111"/>
      <c r="H59" s="111"/>
      <c r="I59" s="111"/>
      <c r="J59" s="111"/>
      <c r="K59" s="235">
        <f>+IF($K$19="SI",-SUM($J$13:$K$13),0)</f>
        <v>0</v>
      </c>
      <c r="L59" s="235">
        <f t="shared" ref="L59:V59" si="29">+K59+L61</f>
        <v>0</v>
      </c>
      <c r="M59" s="235">
        <f t="shared" si="29"/>
        <v>0</v>
      </c>
      <c r="N59" s="235">
        <f t="shared" si="29"/>
        <v>0</v>
      </c>
      <c r="O59" s="235">
        <f t="shared" si="29"/>
        <v>0</v>
      </c>
      <c r="P59" s="235">
        <f t="shared" si="29"/>
        <v>0</v>
      </c>
      <c r="Q59" s="235">
        <f t="shared" si="29"/>
        <v>0</v>
      </c>
      <c r="R59" s="235">
        <f t="shared" si="29"/>
        <v>0</v>
      </c>
      <c r="S59" s="235">
        <f t="shared" si="29"/>
        <v>0</v>
      </c>
      <c r="T59" s="235">
        <f t="shared" si="29"/>
        <v>0</v>
      </c>
      <c r="U59" s="235">
        <f t="shared" si="29"/>
        <v>0</v>
      </c>
      <c r="V59" s="235">
        <f t="shared" si="29"/>
        <v>0</v>
      </c>
    </row>
    <row r="60" spans="1:22">
      <c r="A60" s="2"/>
      <c r="B60" s="113"/>
      <c r="C60" s="409"/>
      <c r="D60" s="407"/>
      <c r="E60" s="111"/>
      <c r="F60" s="111"/>
      <c r="G60" s="111"/>
      <c r="H60" s="111"/>
      <c r="I60" s="111"/>
      <c r="J60" s="111"/>
      <c r="K60" s="2">
        <f>+K59</f>
        <v>0</v>
      </c>
      <c r="L60" s="2"/>
      <c r="M60" s="2"/>
      <c r="N60" s="2"/>
      <c r="O60" s="2"/>
      <c r="P60" s="2"/>
      <c r="Q60" s="2"/>
      <c r="R60" s="2"/>
      <c r="S60" s="2"/>
      <c r="T60" s="2"/>
      <c r="U60" s="2"/>
      <c r="V60" s="2"/>
    </row>
    <row r="61" spans="1:22">
      <c r="A61" s="2"/>
      <c r="B61" s="113"/>
      <c r="C61" s="381">
        <f>+(C59+1)^(0.0833333333333333)-1</f>
        <v>1.2445137919713467E-2</v>
      </c>
      <c r="D61" s="407" t="s">
        <v>9211</v>
      </c>
      <c r="E61" s="111"/>
      <c r="F61" s="111"/>
      <c r="G61" s="111"/>
      <c r="H61" s="111"/>
      <c r="I61" s="111"/>
      <c r="J61" s="111"/>
      <c r="K61" s="2"/>
      <c r="L61" s="2">
        <f t="shared" ref="L61:V61" si="30">+PMT($C$61,K63,K59)-L62</f>
        <v>0</v>
      </c>
      <c r="M61" s="2">
        <f t="shared" si="30"/>
        <v>0</v>
      </c>
      <c r="N61" s="2">
        <f t="shared" si="30"/>
        <v>0</v>
      </c>
      <c r="O61" s="2">
        <f t="shared" si="30"/>
        <v>0</v>
      </c>
      <c r="P61" s="2">
        <f t="shared" si="30"/>
        <v>0</v>
      </c>
      <c r="Q61" s="2">
        <f t="shared" si="30"/>
        <v>0</v>
      </c>
      <c r="R61" s="2">
        <f t="shared" si="30"/>
        <v>0</v>
      </c>
      <c r="S61" s="2">
        <f t="shared" si="30"/>
        <v>0</v>
      </c>
      <c r="T61" s="2">
        <f t="shared" si="30"/>
        <v>0</v>
      </c>
      <c r="U61" s="2">
        <f t="shared" si="30"/>
        <v>0</v>
      </c>
      <c r="V61" s="2">
        <f t="shared" si="30"/>
        <v>0</v>
      </c>
    </row>
    <row r="62" spans="1:22">
      <c r="A62" s="2"/>
      <c r="B62" s="113"/>
      <c r="C62" s="381"/>
      <c r="D62" s="407" t="s">
        <v>9165</v>
      </c>
      <c r="E62" s="111"/>
      <c r="F62" s="111"/>
      <c r="G62" s="111"/>
      <c r="H62" s="111"/>
      <c r="I62" s="111"/>
      <c r="J62" s="111"/>
      <c r="K62" s="2"/>
      <c r="L62" s="2">
        <f>-K59*C61</f>
        <v>0</v>
      </c>
      <c r="M62" s="2">
        <f t="shared" ref="M62:V62" si="31">-L59*$C$61</f>
        <v>0</v>
      </c>
      <c r="N62" s="2">
        <f t="shared" si="31"/>
        <v>0</v>
      </c>
      <c r="O62" s="2">
        <f t="shared" si="31"/>
        <v>0</v>
      </c>
      <c r="P62" s="2">
        <f t="shared" si="31"/>
        <v>0</v>
      </c>
      <c r="Q62" s="2">
        <f t="shared" si="31"/>
        <v>0</v>
      </c>
      <c r="R62" s="2">
        <f t="shared" si="31"/>
        <v>0</v>
      </c>
      <c r="S62" s="2">
        <f t="shared" si="31"/>
        <v>0</v>
      </c>
      <c r="T62" s="2">
        <f t="shared" si="31"/>
        <v>0</v>
      </c>
      <c r="U62" s="2">
        <f t="shared" si="31"/>
        <v>0</v>
      </c>
      <c r="V62" s="2">
        <f t="shared" si="31"/>
        <v>0</v>
      </c>
    </row>
    <row r="63" spans="1:22" ht="12.95" thickBot="1">
      <c r="A63" s="236"/>
      <c r="B63" s="330">
        <f>7*12</f>
        <v>84</v>
      </c>
      <c r="C63" s="376"/>
      <c r="D63" s="408" t="s">
        <v>9213</v>
      </c>
      <c r="E63" s="111"/>
      <c r="F63" s="111"/>
      <c r="G63" s="111"/>
      <c r="H63" s="111"/>
      <c r="I63" s="111"/>
      <c r="J63" s="111"/>
      <c r="K63" s="236">
        <f>+B63</f>
        <v>84</v>
      </c>
      <c r="L63" s="236">
        <f t="shared" ref="L63:V63" si="32">+K63-1</f>
        <v>83</v>
      </c>
      <c r="M63" s="236">
        <f t="shared" si="32"/>
        <v>82</v>
      </c>
      <c r="N63" s="236">
        <f t="shared" si="32"/>
        <v>81</v>
      </c>
      <c r="O63" s="236">
        <f t="shared" si="32"/>
        <v>80</v>
      </c>
      <c r="P63" s="236">
        <f t="shared" si="32"/>
        <v>79</v>
      </c>
      <c r="Q63" s="236">
        <f t="shared" si="32"/>
        <v>78</v>
      </c>
      <c r="R63" s="236">
        <f t="shared" si="32"/>
        <v>77</v>
      </c>
      <c r="S63" s="236">
        <f t="shared" si="32"/>
        <v>76</v>
      </c>
      <c r="T63" s="236">
        <f t="shared" si="32"/>
        <v>75</v>
      </c>
      <c r="U63" s="236">
        <f t="shared" si="32"/>
        <v>74</v>
      </c>
      <c r="V63" s="236">
        <f t="shared" si="32"/>
        <v>73</v>
      </c>
    </row>
    <row r="65" spans="1:25">
      <c r="A65" s="235" t="s">
        <v>9316</v>
      </c>
      <c r="B65" s="329" t="s">
        <v>9181</v>
      </c>
      <c r="C65" s="369">
        <v>0.16</v>
      </c>
      <c r="D65" s="406" t="s">
        <v>9171</v>
      </c>
      <c r="E65" s="111"/>
      <c r="F65" s="111"/>
      <c r="G65" s="111"/>
      <c r="H65" s="111"/>
      <c r="I65" s="111"/>
      <c r="J65" s="111"/>
      <c r="K65" s="111"/>
      <c r="L65" s="235">
        <f>+IF($L19="SI",-SUM($K$13:$L$13),0)</f>
        <v>0</v>
      </c>
      <c r="M65" s="235">
        <f t="shared" ref="M65:W65" si="33">+L65+M67</f>
        <v>0</v>
      </c>
      <c r="N65" s="235">
        <f t="shared" si="33"/>
        <v>0</v>
      </c>
      <c r="O65" s="235">
        <f t="shared" si="33"/>
        <v>0</v>
      </c>
      <c r="P65" s="235">
        <f t="shared" si="33"/>
        <v>0</v>
      </c>
      <c r="Q65" s="235">
        <f t="shared" si="33"/>
        <v>0</v>
      </c>
      <c r="R65" s="235">
        <f t="shared" si="33"/>
        <v>0</v>
      </c>
      <c r="S65" s="235">
        <f t="shared" si="33"/>
        <v>0</v>
      </c>
      <c r="T65" s="235">
        <f t="shared" si="33"/>
        <v>0</v>
      </c>
      <c r="U65" s="235">
        <f t="shared" si="33"/>
        <v>0</v>
      </c>
      <c r="V65" s="235">
        <f t="shared" si="33"/>
        <v>0</v>
      </c>
      <c r="W65" s="235">
        <f t="shared" si="33"/>
        <v>0</v>
      </c>
    </row>
    <row r="66" spans="1:25">
      <c r="A66" s="2"/>
      <c r="B66" s="113"/>
      <c r="C66" s="409"/>
      <c r="D66" s="407"/>
      <c r="E66" s="111"/>
      <c r="F66" s="111"/>
      <c r="G66" s="111"/>
      <c r="H66" s="111"/>
      <c r="I66" s="111"/>
      <c r="J66" s="111"/>
      <c r="K66" s="111"/>
      <c r="L66" s="2">
        <f>+L65</f>
        <v>0</v>
      </c>
      <c r="M66" s="2"/>
      <c r="N66" s="2"/>
      <c r="O66" s="2"/>
      <c r="P66" s="2"/>
      <c r="Q66" s="2"/>
      <c r="R66" s="2"/>
      <c r="S66" s="2"/>
      <c r="T66" s="2"/>
      <c r="U66" s="2"/>
      <c r="V66" s="2"/>
      <c r="W66" s="2"/>
    </row>
    <row r="67" spans="1:25">
      <c r="A67" s="2"/>
      <c r="B67" s="113"/>
      <c r="C67" s="381">
        <f>+(C65+1)^(0.0833333333333333)-1</f>
        <v>1.2445137919713467E-2</v>
      </c>
      <c r="D67" s="407" t="s">
        <v>9211</v>
      </c>
      <c r="E67" s="111"/>
      <c r="F67" s="111"/>
      <c r="G67" s="111"/>
      <c r="H67" s="111"/>
      <c r="I67" s="111"/>
      <c r="J67" s="111"/>
      <c r="K67" s="111"/>
      <c r="L67" s="2"/>
      <c r="M67" s="2">
        <f t="shared" ref="M67:W67" si="34">+PMT($C$67,L69,L65)-M68</f>
        <v>0</v>
      </c>
      <c r="N67" s="2">
        <f t="shared" si="34"/>
        <v>0</v>
      </c>
      <c r="O67" s="2">
        <f t="shared" si="34"/>
        <v>0</v>
      </c>
      <c r="P67" s="2">
        <f t="shared" si="34"/>
        <v>0</v>
      </c>
      <c r="Q67" s="2">
        <f t="shared" si="34"/>
        <v>0</v>
      </c>
      <c r="R67" s="2">
        <f t="shared" si="34"/>
        <v>0</v>
      </c>
      <c r="S67" s="2">
        <f t="shared" si="34"/>
        <v>0</v>
      </c>
      <c r="T67" s="2">
        <f t="shared" si="34"/>
        <v>0</v>
      </c>
      <c r="U67" s="2">
        <f t="shared" si="34"/>
        <v>0</v>
      </c>
      <c r="V67" s="2">
        <f t="shared" si="34"/>
        <v>0</v>
      </c>
      <c r="W67" s="2">
        <f t="shared" si="34"/>
        <v>0</v>
      </c>
    </row>
    <row r="68" spans="1:25">
      <c r="A68" s="2"/>
      <c r="B68" s="113"/>
      <c r="C68" s="381"/>
      <c r="D68" s="407" t="s">
        <v>9165</v>
      </c>
      <c r="E68" s="111"/>
      <c r="F68" s="111"/>
      <c r="G68" s="111"/>
      <c r="H68" s="111"/>
      <c r="I68" s="111"/>
      <c r="J68" s="111"/>
      <c r="K68" s="111"/>
      <c r="L68" s="2"/>
      <c r="M68" s="2">
        <f t="shared" ref="M68:W68" si="35">-L65*$C$67</f>
        <v>0</v>
      </c>
      <c r="N68" s="2">
        <f t="shared" si="35"/>
        <v>0</v>
      </c>
      <c r="O68" s="2">
        <f t="shared" si="35"/>
        <v>0</v>
      </c>
      <c r="P68" s="2">
        <f t="shared" si="35"/>
        <v>0</v>
      </c>
      <c r="Q68" s="2">
        <f t="shared" si="35"/>
        <v>0</v>
      </c>
      <c r="R68" s="2">
        <f t="shared" si="35"/>
        <v>0</v>
      </c>
      <c r="S68" s="2">
        <f t="shared" si="35"/>
        <v>0</v>
      </c>
      <c r="T68" s="2">
        <f t="shared" si="35"/>
        <v>0</v>
      </c>
      <c r="U68" s="2">
        <f t="shared" si="35"/>
        <v>0</v>
      </c>
      <c r="V68" s="2">
        <f t="shared" si="35"/>
        <v>0</v>
      </c>
      <c r="W68" s="2">
        <f t="shared" si="35"/>
        <v>0</v>
      </c>
    </row>
    <row r="69" spans="1:25" ht="12.95" thickBot="1">
      <c r="A69" s="236"/>
      <c r="B69" s="330">
        <f>7*12</f>
        <v>84</v>
      </c>
      <c r="C69" s="376"/>
      <c r="D69" s="408" t="s">
        <v>9213</v>
      </c>
      <c r="E69" s="111"/>
      <c r="F69" s="111"/>
      <c r="G69" s="111"/>
      <c r="H69" s="111"/>
      <c r="I69" s="111"/>
      <c r="J69" s="111"/>
      <c r="K69" s="111"/>
      <c r="L69" s="236">
        <f>+B69</f>
        <v>84</v>
      </c>
      <c r="M69" s="236">
        <f t="shared" ref="M69:W69" si="36">+L69-1</f>
        <v>83</v>
      </c>
      <c r="N69" s="236">
        <f t="shared" si="36"/>
        <v>82</v>
      </c>
      <c r="O69" s="236">
        <f t="shared" si="36"/>
        <v>81</v>
      </c>
      <c r="P69" s="236">
        <f t="shared" si="36"/>
        <v>80</v>
      </c>
      <c r="Q69" s="236">
        <f t="shared" si="36"/>
        <v>79</v>
      </c>
      <c r="R69" s="236">
        <f t="shared" si="36"/>
        <v>78</v>
      </c>
      <c r="S69" s="236">
        <f t="shared" si="36"/>
        <v>77</v>
      </c>
      <c r="T69" s="236">
        <f t="shared" si="36"/>
        <v>76</v>
      </c>
      <c r="U69" s="236">
        <f t="shared" si="36"/>
        <v>75</v>
      </c>
      <c r="V69" s="236">
        <f t="shared" si="36"/>
        <v>74</v>
      </c>
      <c r="W69" s="236">
        <f t="shared" si="36"/>
        <v>73</v>
      </c>
    </row>
    <row r="70" spans="1:25" ht="12.95" thickBot="1"/>
    <row r="71" spans="1:25">
      <c r="A71" s="235" t="s">
        <v>9317</v>
      </c>
      <c r="B71" s="329" t="s">
        <v>9181</v>
      </c>
      <c r="C71" s="369">
        <v>0.16</v>
      </c>
      <c r="D71" s="406" t="s">
        <v>9171</v>
      </c>
      <c r="E71" s="111"/>
      <c r="F71" s="111"/>
      <c r="G71" s="111"/>
      <c r="H71" s="111"/>
      <c r="I71" s="111"/>
      <c r="J71" s="111"/>
      <c r="K71" s="111"/>
      <c r="L71" s="111"/>
      <c r="M71" s="235">
        <f>+IF($M19="SI",-SUM($L$13:$M$13),0)</f>
        <v>490498060.26258147</v>
      </c>
      <c r="N71" s="235">
        <f t="shared" ref="N71:X71" si="37">+M71+N73</f>
        <v>487155463.58918452</v>
      </c>
      <c r="O71" s="235">
        <f t="shared" si="37"/>
        <v>483771267.83917719</v>
      </c>
      <c r="P71" s="235">
        <f t="shared" si="37"/>
        <v>480344955.30631369</v>
      </c>
      <c r="Q71" s="235">
        <f t="shared" si="37"/>
        <v>476876001.84142268</v>
      </c>
      <c r="R71" s="235">
        <f t="shared" si="37"/>
        <v>473363876.77222401</v>
      </c>
      <c r="S71" s="235">
        <f t="shared" si="37"/>
        <v>469808042.82214791</v>
      </c>
      <c r="T71" s="235">
        <f t="shared" si="37"/>
        <v>466207956.02814347</v>
      </c>
      <c r="U71" s="235">
        <f t="shared" si="37"/>
        <v>462563065.65746474</v>
      </c>
      <c r="V71" s="235">
        <f t="shared" si="37"/>
        <v>458872814.12342066</v>
      </c>
      <c r="W71" s="235">
        <f t="shared" si="37"/>
        <v>455136636.90007699</v>
      </c>
      <c r="X71" s="235">
        <f t="shared" si="37"/>
        <v>451353962.43589628</v>
      </c>
    </row>
    <row r="72" spans="1:25">
      <c r="A72" s="2"/>
      <c r="B72" s="113"/>
      <c r="C72" s="409"/>
      <c r="D72" s="407"/>
      <c r="E72" s="111"/>
      <c r="F72" s="111"/>
      <c r="G72" s="111"/>
      <c r="H72" s="111"/>
      <c r="I72" s="111"/>
      <c r="J72" s="111"/>
      <c r="K72" s="111"/>
      <c r="L72" s="111"/>
      <c r="M72" s="2">
        <f>+M71</f>
        <v>490498060.26258147</v>
      </c>
      <c r="N72" s="2"/>
      <c r="O72" s="2"/>
      <c r="P72" s="2"/>
      <c r="Q72" s="2"/>
      <c r="R72" s="2"/>
      <c r="S72" s="2"/>
      <c r="T72" s="2"/>
      <c r="U72" s="2"/>
      <c r="V72" s="2"/>
      <c r="W72" s="2"/>
      <c r="X72" s="2"/>
    </row>
    <row r="73" spans="1:25">
      <c r="A73" s="2"/>
      <c r="B73" s="113"/>
      <c r="C73" s="381">
        <f>+(C71+1)^(0.0833333333333333)-1</f>
        <v>1.2445137919713467E-2</v>
      </c>
      <c r="D73" s="407" t="s">
        <v>9211</v>
      </c>
      <c r="E73" s="111"/>
      <c r="F73" s="111"/>
      <c r="G73" s="111"/>
      <c r="H73" s="111"/>
      <c r="I73" s="111"/>
      <c r="J73" s="111"/>
      <c r="K73" s="111"/>
      <c r="L73" s="111"/>
      <c r="M73" s="2"/>
      <c r="N73" s="2">
        <f t="shared" ref="N73:X73" si="38">+PMT($C$73,M75,M71)-N74</f>
        <v>-3342596.6733969487</v>
      </c>
      <c r="O73" s="2">
        <f t="shared" si="38"/>
        <v>-3384195.7500073472</v>
      </c>
      <c r="P73" s="2">
        <f t="shared" si="38"/>
        <v>-3426312.5328634968</v>
      </c>
      <c r="Q73" s="2">
        <f t="shared" si="38"/>
        <v>-3468953.4648910277</v>
      </c>
      <c r="R73" s="2">
        <f t="shared" si="38"/>
        <v>-3512125.0691986643</v>
      </c>
      <c r="S73" s="2">
        <f t="shared" si="38"/>
        <v>-3555833.9500761274</v>
      </c>
      <c r="T73" s="2">
        <f t="shared" si="38"/>
        <v>-3600086.7940044198</v>
      </c>
      <c r="U73" s="2">
        <f t="shared" si="38"/>
        <v>-3644890.3706787443</v>
      </c>
      <c r="V73" s="2">
        <f t="shared" si="38"/>
        <v>-3690251.5340440804</v>
      </c>
      <c r="W73" s="2">
        <f t="shared" si="38"/>
        <v>-3736177.2233436927</v>
      </c>
      <c r="X73" s="2">
        <f t="shared" si="38"/>
        <v>-3782674.4641806949</v>
      </c>
    </row>
    <row r="74" spans="1:25">
      <c r="A74" s="2"/>
      <c r="B74" s="113"/>
      <c r="C74" s="381"/>
      <c r="D74" s="407" t="s">
        <v>9165</v>
      </c>
      <c r="E74" s="111"/>
      <c r="F74" s="111"/>
      <c r="G74" s="111"/>
      <c r="H74" s="111"/>
      <c r="I74" s="111"/>
      <c r="J74" s="111"/>
      <c r="K74" s="111"/>
      <c r="L74" s="111"/>
      <c r="M74" s="2"/>
      <c r="N74" s="2">
        <f t="shared" ref="N74:X74" si="39">-M71*$C$73</f>
        <v>-6104316.0093197543</v>
      </c>
      <c r="O74" s="2">
        <f t="shared" si="39"/>
        <v>-6062716.932709354</v>
      </c>
      <c r="P74" s="2">
        <f t="shared" si="39"/>
        <v>-6020600.1498532044</v>
      </c>
      <c r="Q74" s="2">
        <f t="shared" si="39"/>
        <v>-5977959.2178256754</v>
      </c>
      <c r="R74" s="2">
        <f t="shared" si="39"/>
        <v>-5934787.6135180388</v>
      </c>
      <c r="S74" s="2">
        <f t="shared" si="39"/>
        <v>-5891078.7326405775</v>
      </c>
      <c r="T74" s="2">
        <f t="shared" si="39"/>
        <v>-5846825.8887122814</v>
      </c>
      <c r="U74" s="2">
        <f t="shared" si="39"/>
        <v>-5802022.3120379569</v>
      </c>
      <c r="V74" s="2">
        <f t="shared" si="39"/>
        <v>-5756661.1486726245</v>
      </c>
      <c r="W74" s="2">
        <f t="shared" si="39"/>
        <v>-5710735.4593730122</v>
      </c>
      <c r="X74" s="2">
        <f t="shared" si="39"/>
        <v>-5664238.2185360081</v>
      </c>
    </row>
    <row r="75" spans="1:25" ht="12.95" thickBot="1">
      <c r="A75" s="236"/>
      <c r="B75" s="330">
        <f>7*12</f>
        <v>84</v>
      </c>
      <c r="C75" s="376"/>
      <c r="D75" s="408" t="s">
        <v>9213</v>
      </c>
      <c r="E75" s="111"/>
      <c r="F75" s="111"/>
      <c r="G75" s="111"/>
      <c r="H75" s="111"/>
      <c r="I75" s="111"/>
      <c r="J75" s="111"/>
      <c r="K75" s="111"/>
      <c r="L75" s="111"/>
      <c r="M75" s="236">
        <f>+B75</f>
        <v>84</v>
      </c>
      <c r="N75" s="236">
        <f t="shared" ref="N75:X75" si="40">+M75-1</f>
        <v>83</v>
      </c>
      <c r="O75" s="236">
        <f t="shared" si="40"/>
        <v>82</v>
      </c>
      <c r="P75" s="236">
        <f t="shared" si="40"/>
        <v>81</v>
      </c>
      <c r="Q75" s="236">
        <f t="shared" si="40"/>
        <v>80</v>
      </c>
      <c r="R75" s="236">
        <f t="shared" si="40"/>
        <v>79</v>
      </c>
      <c r="S75" s="236">
        <f t="shared" si="40"/>
        <v>78</v>
      </c>
      <c r="T75" s="236">
        <f t="shared" si="40"/>
        <v>77</v>
      </c>
      <c r="U75" s="236">
        <f t="shared" si="40"/>
        <v>76</v>
      </c>
      <c r="V75" s="236">
        <f t="shared" si="40"/>
        <v>75</v>
      </c>
      <c r="W75" s="236">
        <f t="shared" si="40"/>
        <v>74</v>
      </c>
      <c r="X75" s="236">
        <f t="shared" si="40"/>
        <v>73</v>
      </c>
    </row>
    <row r="76" spans="1:25" ht="12.95" thickBot="1"/>
    <row r="77" spans="1:25">
      <c r="A77" s="235" t="s">
        <v>9318</v>
      </c>
      <c r="B77" s="329" t="s">
        <v>9181</v>
      </c>
      <c r="C77" s="369">
        <v>0.16</v>
      </c>
      <c r="D77" s="406" t="s">
        <v>9171</v>
      </c>
      <c r="E77" s="111"/>
      <c r="F77" s="111"/>
      <c r="G77" s="111"/>
      <c r="H77" s="111"/>
      <c r="I77" s="111"/>
      <c r="J77" s="111"/>
      <c r="K77" s="111"/>
      <c r="L77" s="111"/>
      <c r="M77" s="111"/>
      <c r="N77" s="235">
        <f>+IF($N19="SI",-SUM($M$13:$N$13),0)</f>
        <v>686697284.36761403</v>
      </c>
      <c r="O77" s="235">
        <f t="shared" ref="O77:Y77" si="41">+N77+O79</f>
        <v>682017649.02485836</v>
      </c>
      <c r="P77" s="235">
        <f t="shared" si="41"/>
        <v>677279774.97484803</v>
      </c>
      <c r="Q77" s="235">
        <f t="shared" si="41"/>
        <v>672482937.42883909</v>
      </c>
      <c r="R77" s="235">
        <f t="shared" si="41"/>
        <v>667626402.5779916</v>
      </c>
      <c r="S77" s="235">
        <f t="shared" si="41"/>
        <v>662709427.48111343</v>
      </c>
      <c r="T77" s="235">
        <f t="shared" si="41"/>
        <v>657731259.95100689</v>
      </c>
      <c r="U77" s="235">
        <f t="shared" si="41"/>
        <v>652691138.43940067</v>
      </c>
      <c r="V77" s="235">
        <f t="shared" si="41"/>
        <v>647588291.92045045</v>
      </c>
      <c r="W77" s="235">
        <f t="shared" si="41"/>
        <v>642421939.77278876</v>
      </c>
      <c r="X77" s="235">
        <f t="shared" si="41"/>
        <v>637191291.66010761</v>
      </c>
      <c r="Y77" s="235">
        <f t="shared" si="41"/>
        <v>631895547.4102546</v>
      </c>
    </row>
    <row r="78" spans="1:25">
      <c r="A78" s="2"/>
      <c r="B78" s="113"/>
      <c r="C78" s="409"/>
      <c r="D78" s="407"/>
      <c r="E78" s="111"/>
      <c r="F78" s="111"/>
      <c r="G78" s="111"/>
      <c r="H78" s="111"/>
      <c r="I78" s="111"/>
      <c r="J78" s="111"/>
      <c r="K78" s="111"/>
      <c r="L78" s="111"/>
      <c r="M78" s="111"/>
      <c r="N78" s="2">
        <f>+N77</f>
        <v>686697284.36761403</v>
      </c>
      <c r="O78" s="2"/>
      <c r="P78" s="2"/>
      <c r="Q78" s="2"/>
      <c r="R78" s="2"/>
      <c r="S78" s="2"/>
      <c r="T78" s="2"/>
      <c r="U78" s="2"/>
      <c r="V78" s="2"/>
      <c r="W78" s="2"/>
      <c r="X78" s="2"/>
      <c r="Y78" s="2"/>
    </row>
    <row r="79" spans="1:25">
      <c r="A79" s="2"/>
      <c r="B79" s="113"/>
      <c r="C79" s="381">
        <f>+(C77+1)^(0.0833333333333333)-1</f>
        <v>1.2445137919713467E-2</v>
      </c>
      <c r="D79" s="407" t="s">
        <v>9211</v>
      </c>
      <c r="E79" s="111"/>
      <c r="F79" s="111"/>
      <c r="G79" s="111"/>
      <c r="H79" s="111"/>
      <c r="I79" s="111"/>
      <c r="J79" s="111"/>
      <c r="K79" s="111"/>
      <c r="L79" s="111"/>
      <c r="M79" s="111"/>
      <c r="N79" s="2"/>
      <c r="O79" s="2">
        <f t="shared" ref="O79:Y79" si="42">+PMT($C$79,N81,N77)-O80</f>
        <v>-4679635.3427557293</v>
      </c>
      <c r="P79" s="2">
        <f t="shared" si="42"/>
        <v>-4737874.0500102863</v>
      </c>
      <c r="Q79" s="2">
        <f t="shared" si="42"/>
        <v>-4796837.5460088961</v>
      </c>
      <c r="R79" s="2">
        <f t="shared" si="42"/>
        <v>-4856534.850847438</v>
      </c>
      <c r="S79" s="2">
        <f t="shared" si="42"/>
        <v>-4916975.09687813</v>
      </c>
      <c r="T79" s="2">
        <f t="shared" si="42"/>
        <v>-4978167.5301065752</v>
      </c>
      <c r="U79" s="2">
        <f t="shared" si="42"/>
        <v>-5040121.5116061885</v>
      </c>
      <c r="V79" s="2">
        <f t="shared" si="42"/>
        <v>-5102846.5189502425</v>
      </c>
      <c r="W79" s="2">
        <f t="shared" si="42"/>
        <v>-5166352.1476617102</v>
      </c>
      <c r="X79" s="2">
        <f t="shared" si="42"/>
        <v>-5230648.1126811672</v>
      </c>
      <c r="Y79" s="2">
        <f t="shared" si="42"/>
        <v>-5295744.249852973</v>
      </c>
    </row>
    <row r="80" spans="1:25">
      <c r="A80" s="2"/>
      <c r="B80" s="113"/>
      <c r="C80" s="381"/>
      <c r="D80" s="407" t="s">
        <v>9165</v>
      </c>
      <c r="E80" s="111"/>
      <c r="F80" s="111"/>
      <c r="G80" s="111"/>
      <c r="H80" s="111"/>
      <c r="I80" s="111"/>
      <c r="J80" s="111"/>
      <c r="K80" s="111"/>
      <c r="L80" s="111"/>
      <c r="M80" s="111"/>
      <c r="N80" s="2"/>
      <c r="O80" s="2">
        <f t="shared" ref="O80:Y80" si="43">-N77*$C$79</f>
        <v>-8546042.4130476546</v>
      </c>
      <c r="P80" s="2">
        <f t="shared" si="43"/>
        <v>-8487803.7057930958</v>
      </c>
      <c r="Q80" s="2">
        <f t="shared" si="43"/>
        <v>-8428840.2097944859</v>
      </c>
      <c r="R80" s="2">
        <f t="shared" si="43"/>
        <v>-8369142.904955944</v>
      </c>
      <c r="S80" s="2">
        <f t="shared" si="43"/>
        <v>-8308702.658925252</v>
      </c>
      <c r="T80" s="2">
        <f t="shared" si="43"/>
        <v>-8247510.2256968068</v>
      </c>
      <c r="U80" s="2">
        <f t="shared" si="43"/>
        <v>-8185556.2441971917</v>
      </c>
      <c r="V80" s="2">
        <f t="shared" si="43"/>
        <v>-8122831.2368531376</v>
      </c>
      <c r="W80" s="2">
        <f t="shared" si="43"/>
        <v>-8059325.6081416719</v>
      </c>
      <c r="X80" s="2">
        <f t="shared" si="43"/>
        <v>-7995029.6431222148</v>
      </c>
      <c r="Y80" s="2">
        <f t="shared" si="43"/>
        <v>-7929933.505950409</v>
      </c>
    </row>
    <row r="81" spans="1:27" ht="12.95" thickBot="1">
      <c r="A81" s="236"/>
      <c r="B81" s="330">
        <f>7*12</f>
        <v>84</v>
      </c>
      <c r="C81" s="376"/>
      <c r="D81" s="408" t="s">
        <v>9213</v>
      </c>
      <c r="E81" s="111"/>
      <c r="F81" s="111"/>
      <c r="G81" s="111"/>
      <c r="H81" s="111"/>
      <c r="I81" s="111"/>
      <c r="J81" s="111"/>
      <c r="K81" s="111"/>
      <c r="L81" s="111"/>
      <c r="M81" s="111"/>
      <c r="N81" s="236">
        <f>+B81</f>
        <v>84</v>
      </c>
      <c r="O81" s="236">
        <f t="shared" ref="O81:Y81" si="44">+N81-1</f>
        <v>83</v>
      </c>
      <c r="P81" s="236">
        <f t="shared" si="44"/>
        <v>82</v>
      </c>
      <c r="Q81" s="236">
        <f t="shared" si="44"/>
        <v>81</v>
      </c>
      <c r="R81" s="236">
        <f t="shared" si="44"/>
        <v>80</v>
      </c>
      <c r="S81" s="236">
        <f t="shared" si="44"/>
        <v>79</v>
      </c>
      <c r="T81" s="236">
        <f t="shared" si="44"/>
        <v>78</v>
      </c>
      <c r="U81" s="236">
        <f t="shared" si="44"/>
        <v>77</v>
      </c>
      <c r="V81" s="236">
        <f t="shared" si="44"/>
        <v>76</v>
      </c>
      <c r="W81" s="236">
        <f t="shared" si="44"/>
        <v>75</v>
      </c>
      <c r="X81" s="236">
        <f t="shared" si="44"/>
        <v>74</v>
      </c>
      <c r="Y81" s="236">
        <f t="shared" si="44"/>
        <v>73</v>
      </c>
    </row>
    <row r="82" spans="1:27" ht="12.95" thickBot="1"/>
    <row r="83" spans="1:27">
      <c r="A83" s="235" t="s">
        <v>9319</v>
      </c>
      <c r="B83" s="329" t="s">
        <v>9181</v>
      </c>
      <c r="C83" s="369">
        <v>0.16</v>
      </c>
      <c r="D83" s="406" t="s">
        <v>9171</v>
      </c>
      <c r="E83" s="111"/>
      <c r="F83" s="111"/>
      <c r="G83" s="111"/>
      <c r="H83" s="111"/>
      <c r="I83" s="111"/>
      <c r="J83" s="111"/>
      <c r="K83" s="111"/>
      <c r="L83" s="111"/>
      <c r="M83" s="111"/>
      <c r="N83" s="111"/>
      <c r="O83" s="235">
        <f>+IF($O19="SI",-SUM($N$13:$O$13),0)</f>
        <v>784796896.42013037</v>
      </c>
      <c r="P83" s="235">
        <f t="shared" ref="P83:Z83" si="45">+O83+P85</f>
        <v>779448741.74269521</v>
      </c>
      <c r="Q83" s="235">
        <f t="shared" si="45"/>
        <v>774034028.54268348</v>
      </c>
      <c r="R83" s="235">
        <f t="shared" si="45"/>
        <v>768551928.49010193</v>
      </c>
      <c r="S83" s="235">
        <f t="shared" si="45"/>
        <v>763001602.94627631</v>
      </c>
      <c r="T83" s="235">
        <f t="shared" si="45"/>
        <v>757382202.83555841</v>
      </c>
      <c r="U83" s="235">
        <f t="shared" si="45"/>
        <v>751692868.51543665</v>
      </c>
      <c r="V83" s="235">
        <f t="shared" si="45"/>
        <v>745932729.64502954</v>
      </c>
      <c r="W83" s="235">
        <f t="shared" si="45"/>
        <v>740100905.05194354</v>
      </c>
      <c r="X83" s="235">
        <f t="shared" si="45"/>
        <v>734196502.59747303</v>
      </c>
      <c r="Y83" s="235">
        <f t="shared" si="45"/>
        <v>728218619.04012311</v>
      </c>
      <c r="Z83" s="235">
        <f t="shared" si="45"/>
        <v>722166339.897434</v>
      </c>
    </row>
    <row r="84" spans="1:27">
      <c r="A84" s="2"/>
      <c r="B84" s="113"/>
      <c r="C84" s="409"/>
      <c r="D84" s="407"/>
      <c r="E84" s="111"/>
      <c r="F84" s="111"/>
      <c r="G84" s="111"/>
      <c r="H84" s="111"/>
      <c r="I84" s="111"/>
      <c r="J84" s="111"/>
      <c r="K84" s="111"/>
      <c r="L84" s="111"/>
      <c r="M84" s="111"/>
      <c r="N84" s="111"/>
      <c r="O84" s="2">
        <f>+O83</f>
        <v>784796896.42013037</v>
      </c>
      <c r="P84" s="2"/>
      <c r="Q84" s="2"/>
      <c r="R84" s="2"/>
      <c r="S84" s="2"/>
      <c r="T84" s="2"/>
      <c r="U84" s="2"/>
      <c r="V84" s="2"/>
      <c r="W84" s="2"/>
      <c r="X84" s="2"/>
      <c r="Y84" s="2"/>
      <c r="Z84" s="2"/>
    </row>
    <row r="85" spans="1:27">
      <c r="A85" s="2"/>
      <c r="B85" s="113"/>
      <c r="C85" s="381">
        <f>+(C83+1)^(0.0833333333333333)-1</f>
        <v>1.2445137919713467E-2</v>
      </c>
      <c r="D85" s="407" t="s">
        <v>9211</v>
      </c>
      <c r="E85" s="111"/>
      <c r="F85" s="111"/>
      <c r="G85" s="111"/>
      <c r="H85" s="111"/>
      <c r="I85" s="111"/>
      <c r="J85" s="111"/>
      <c r="K85" s="111"/>
      <c r="L85" s="111"/>
      <c r="M85" s="111"/>
      <c r="N85" s="111"/>
      <c r="O85" s="2"/>
      <c r="P85" s="2">
        <f t="shared" ref="P85:Z85" si="46">+PMT($C$85,O87,O83)-P86</f>
        <v>-5348154.6774351206</v>
      </c>
      <c r="Q85" s="2">
        <f t="shared" si="46"/>
        <v>-5414713.2000117581</v>
      </c>
      <c r="R85" s="2">
        <f t="shared" si="46"/>
        <v>-5482100.0525815971</v>
      </c>
      <c r="S85" s="2">
        <f t="shared" si="46"/>
        <v>-5550325.5438256431</v>
      </c>
      <c r="T85" s="2">
        <f t="shared" si="46"/>
        <v>-5619400.1107178647</v>
      </c>
      <c r="U85" s="2">
        <f t="shared" si="46"/>
        <v>-5689334.3201218024</v>
      </c>
      <c r="V85" s="2">
        <f t="shared" si="46"/>
        <v>-5760138.8704070728</v>
      </c>
      <c r="W85" s="2">
        <f t="shared" si="46"/>
        <v>-5831824.5930859931</v>
      </c>
      <c r="X85" s="2">
        <f t="shared" si="46"/>
        <v>-5904402.4544705283</v>
      </c>
      <c r="Y85" s="2">
        <f t="shared" si="46"/>
        <v>-5977883.5573499091</v>
      </c>
      <c r="Z85" s="2">
        <f t="shared" si="46"/>
        <v>-6052279.1426891126</v>
      </c>
    </row>
    <row r="86" spans="1:27">
      <c r="A86" s="2"/>
      <c r="B86" s="113"/>
      <c r="C86" s="381"/>
      <c r="D86" s="407" t="s">
        <v>9165</v>
      </c>
      <c r="E86" s="111"/>
      <c r="F86" s="111"/>
      <c r="G86" s="111"/>
      <c r="H86" s="111"/>
      <c r="I86" s="111"/>
      <c r="J86" s="111"/>
      <c r="K86" s="111"/>
      <c r="L86" s="111"/>
      <c r="M86" s="111"/>
      <c r="N86" s="111"/>
      <c r="O86" s="2"/>
      <c r="P86" s="2">
        <f t="shared" ref="P86:Z86" si="47">-O83*$C$85</f>
        <v>-9766905.6149116065</v>
      </c>
      <c r="Q86" s="2">
        <f t="shared" si="47"/>
        <v>-9700347.0923349652</v>
      </c>
      <c r="R86" s="2">
        <f t="shared" si="47"/>
        <v>-9632960.2397651263</v>
      </c>
      <c r="S86" s="2">
        <f t="shared" si="47"/>
        <v>-9564734.7485210802</v>
      </c>
      <c r="T86" s="2">
        <f t="shared" si="47"/>
        <v>-9495660.1816288624</v>
      </c>
      <c r="U86" s="2">
        <f t="shared" si="47"/>
        <v>-9425725.9722249247</v>
      </c>
      <c r="V86" s="2">
        <f t="shared" si="47"/>
        <v>-9354921.4219396506</v>
      </c>
      <c r="W86" s="2">
        <f t="shared" si="47"/>
        <v>-9283235.6992607303</v>
      </c>
      <c r="X86" s="2">
        <f t="shared" si="47"/>
        <v>-9210657.8378761988</v>
      </c>
      <c r="Y86" s="2">
        <f t="shared" si="47"/>
        <v>-9137176.734996818</v>
      </c>
      <c r="Z86" s="2">
        <f t="shared" si="47"/>
        <v>-9062781.1496576108</v>
      </c>
    </row>
    <row r="87" spans="1:27" ht="12.95" thickBot="1">
      <c r="A87" s="236"/>
      <c r="B87" s="330">
        <f>7*12</f>
        <v>84</v>
      </c>
      <c r="C87" s="376"/>
      <c r="D87" s="408" t="s">
        <v>9213</v>
      </c>
      <c r="E87" s="111"/>
      <c r="F87" s="111"/>
      <c r="G87" s="111"/>
      <c r="H87" s="111"/>
      <c r="I87" s="111"/>
      <c r="J87" s="111"/>
      <c r="K87" s="111"/>
      <c r="L87" s="111"/>
      <c r="M87" s="111"/>
      <c r="N87" s="111"/>
      <c r="O87" s="236">
        <f>+B87</f>
        <v>84</v>
      </c>
      <c r="P87" s="236">
        <f t="shared" ref="P87:Z87" si="48">+O87-1</f>
        <v>83</v>
      </c>
      <c r="Q87" s="236">
        <f t="shared" si="48"/>
        <v>82</v>
      </c>
      <c r="R87" s="236">
        <f t="shared" si="48"/>
        <v>81</v>
      </c>
      <c r="S87" s="236">
        <f t="shared" si="48"/>
        <v>80</v>
      </c>
      <c r="T87" s="236">
        <f t="shared" si="48"/>
        <v>79</v>
      </c>
      <c r="U87" s="236">
        <f t="shared" si="48"/>
        <v>78</v>
      </c>
      <c r="V87" s="236">
        <f t="shared" si="48"/>
        <v>77</v>
      </c>
      <c r="W87" s="236">
        <f t="shared" si="48"/>
        <v>76</v>
      </c>
      <c r="X87" s="236">
        <f t="shared" si="48"/>
        <v>75</v>
      </c>
      <c r="Y87" s="236">
        <f t="shared" si="48"/>
        <v>74</v>
      </c>
      <c r="Z87" s="236">
        <f t="shared" si="48"/>
        <v>73</v>
      </c>
    </row>
    <row r="88" spans="1:27" ht="12.95" thickBot="1"/>
    <row r="89" spans="1:27">
      <c r="A89" s="235" t="s">
        <v>9320</v>
      </c>
      <c r="B89" s="329" t="s">
        <v>9181</v>
      </c>
      <c r="C89" s="369">
        <v>0.16</v>
      </c>
      <c r="D89" s="406" t="s">
        <v>9171</v>
      </c>
      <c r="E89" s="111"/>
      <c r="F89" s="111"/>
      <c r="G89" s="111"/>
      <c r="H89" s="111"/>
      <c r="I89" s="111"/>
      <c r="J89" s="111"/>
      <c r="K89" s="111"/>
      <c r="L89" s="111"/>
      <c r="M89" s="111"/>
      <c r="N89" s="111"/>
      <c r="O89" s="111"/>
      <c r="P89" s="235">
        <f>+IF($P19="SI",-SUM($O$13:$P$13),0)</f>
        <v>490498060.26258147</v>
      </c>
      <c r="Q89" s="235">
        <f t="shared" ref="Q89:AA89" si="49">+P89+Q91</f>
        <v>487155463.58918452</v>
      </c>
      <c r="R89" s="235">
        <f t="shared" si="49"/>
        <v>483771267.83917719</v>
      </c>
      <c r="S89" s="235">
        <f t="shared" si="49"/>
        <v>480344955.30631369</v>
      </c>
      <c r="T89" s="235">
        <f t="shared" si="49"/>
        <v>476876001.84142268</v>
      </c>
      <c r="U89" s="235">
        <f t="shared" si="49"/>
        <v>473363876.77222401</v>
      </c>
      <c r="V89" s="235">
        <f t="shared" si="49"/>
        <v>469808042.82214791</v>
      </c>
      <c r="W89" s="235">
        <f t="shared" si="49"/>
        <v>466207956.02814347</v>
      </c>
      <c r="X89" s="235">
        <f t="shared" si="49"/>
        <v>462563065.65746474</v>
      </c>
      <c r="Y89" s="235">
        <f t="shared" si="49"/>
        <v>458872814.12342066</v>
      </c>
      <c r="Z89" s="235">
        <f t="shared" si="49"/>
        <v>455136636.90007699</v>
      </c>
      <c r="AA89" s="235">
        <f t="shared" si="49"/>
        <v>451353962.43589628</v>
      </c>
    </row>
    <row r="90" spans="1:27">
      <c r="A90" s="2"/>
      <c r="B90" s="113"/>
      <c r="C90" s="409"/>
      <c r="D90" s="407"/>
      <c r="E90" s="111"/>
      <c r="F90" s="111"/>
      <c r="G90" s="111"/>
      <c r="H90" s="111"/>
      <c r="I90" s="111"/>
      <c r="J90" s="111"/>
      <c r="K90" s="111"/>
      <c r="L90" s="111"/>
      <c r="M90" s="111"/>
      <c r="N90" s="111"/>
      <c r="O90" s="111"/>
      <c r="P90" s="2">
        <f>+P89</f>
        <v>490498060.26258147</v>
      </c>
      <c r="Q90" s="2"/>
      <c r="R90" s="2"/>
      <c r="S90" s="2"/>
      <c r="T90" s="2"/>
      <c r="U90" s="2"/>
      <c r="V90" s="2"/>
      <c r="W90" s="2"/>
      <c r="X90" s="2"/>
      <c r="Y90" s="2"/>
      <c r="Z90" s="2"/>
      <c r="AA90" s="2"/>
    </row>
    <row r="91" spans="1:27">
      <c r="A91" s="2"/>
      <c r="B91" s="113"/>
      <c r="C91" s="381">
        <f>+(C89+1)^(0.0833333333333333)-1</f>
        <v>1.2445137919713467E-2</v>
      </c>
      <c r="D91" s="407" t="s">
        <v>9211</v>
      </c>
      <c r="E91" s="111"/>
      <c r="F91" s="111"/>
      <c r="G91" s="111"/>
      <c r="H91" s="111"/>
      <c r="I91" s="111"/>
      <c r="J91" s="111"/>
      <c r="K91" s="111"/>
      <c r="L91" s="111"/>
      <c r="M91" s="111"/>
      <c r="N91" s="111"/>
      <c r="O91" s="111"/>
      <c r="P91" s="2"/>
      <c r="Q91" s="2">
        <f t="shared" ref="Q91:AA91" si="50">+PMT($C$91,P93,P89)-Q92</f>
        <v>-3342596.6733969487</v>
      </c>
      <c r="R91" s="2">
        <f t="shared" si="50"/>
        <v>-3384195.7500073472</v>
      </c>
      <c r="S91" s="2">
        <f t="shared" si="50"/>
        <v>-3426312.5328634968</v>
      </c>
      <c r="T91" s="2">
        <f t="shared" si="50"/>
        <v>-3468953.4648910277</v>
      </c>
      <c r="U91" s="2">
        <f t="shared" si="50"/>
        <v>-3512125.0691986643</v>
      </c>
      <c r="V91" s="2">
        <f t="shared" si="50"/>
        <v>-3555833.9500761274</v>
      </c>
      <c r="W91" s="2">
        <f t="shared" si="50"/>
        <v>-3600086.7940044198</v>
      </c>
      <c r="X91" s="2">
        <f t="shared" si="50"/>
        <v>-3644890.3706787443</v>
      </c>
      <c r="Y91" s="2">
        <f t="shared" si="50"/>
        <v>-3690251.5340440804</v>
      </c>
      <c r="Z91" s="2">
        <f t="shared" si="50"/>
        <v>-3736177.2233436927</v>
      </c>
      <c r="AA91" s="2">
        <f t="shared" si="50"/>
        <v>-3782674.4641806949</v>
      </c>
    </row>
    <row r="92" spans="1:27">
      <c r="A92" s="2"/>
      <c r="B92" s="113"/>
      <c r="C92" s="381"/>
      <c r="D92" s="407" t="s">
        <v>9165</v>
      </c>
      <c r="E92" s="111"/>
      <c r="F92" s="111"/>
      <c r="G92" s="111"/>
      <c r="H92" s="111"/>
      <c r="I92" s="111"/>
      <c r="J92" s="111"/>
      <c r="K92" s="111"/>
      <c r="L92" s="111"/>
      <c r="M92" s="111"/>
      <c r="N92" s="111"/>
      <c r="O92" s="111"/>
      <c r="P92" s="2"/>
      <c r="Q92" s="2">
        <f t="shared" ref="Q92:AA92" si="51">-P89*$C$91</f>
        <v>-6104316.0093197543</v>
      </c>
      <c r="R92" s="2">
        <f t="shared" si="51"/>
        <v>-6062716.932709354</v>
      </c>
      <c r="S92" s="2">
        <f t="shared" si="51"/>
        <v>-6020600.1498532044</v>
      </c>
      <c r="T92" s="2">
        <f t="shared" si="51"/>
        <v>-5977959.2178256754</v>
      </c>
      <c r="U92" s="2">
        <f t="shared" si="51"/>
        <v>-5934787.6135180388</v>
      </c>
      <c r="V92" s="2">
        <f t="shared" si="51"/>
        <v>-5891078.7326405775</v>
      </c>
      <c r="W92" s="2">
        <f t="shared" si="51"/>
        <v>-5846825.8887122814</v>
      </c>
      <c r="X92" s="2">
        <f t="shared" si="51"/>
        <v>-5802022.3120379569</v>
      </c>
      <c r="Y92" s="2">
        <f t="shared" si="51"/>
        <v>-5756661.1486726245</v>
      </c>
      <c r="Z92" s="2">
        <f t="shared" si="51"/>
        <v>-5710735.4593730122</v>
      </c>
      <c r="AA92" s="2">
        <f t="shared" si="51"/>
        <v>-5664238.2185360081</v>
      </c>
    </row>
    <row r="93" spans="1:27" ht="12.95" thickBot="1">
      <c r="A93" s="236"/>
      <c r="B93" s="330">
        <f>7*12</f>
        <v>84</v>
      </c>
      <c r="C93" s="376"/>
      <c r="D93" s="408" t="s">
        <v>9213</v>
      </c>
      <c r="E93" s="111"/>
      <c r="F93" s="111"/>
      <c r="G93" s="111"/>
      <c r="H93" s="111"/>
      <c r="I93" s="111"/>
      <c r="J93" s="111"/>
      <c r="K93" s="111"/>
      <c r="L93" s="111"/>
      <c r="M93" s="111"/>
      <c r="N93" s="111"/>
      <c r="O93" s="111"/>
      <c r="P93" s="236">
        <f>+B93</f>
        <v>84</v>
      </c>
      <c r="Q93" s="236">
        <f t="shared" ref="Q93:AA93" si="52">+P93-1</f>
        <v>83</v>
      </c>
      <c r="R93" s="236">
        <f t="shared" si="52"/>
        <v>82</v>
      </c>
      <c r="S93" s="236">
        <f t="shared" si="52"/>
        <v>81</v>
      </c>
      <c r="T93" s="236">
        <f t="shared" si="52"/>
        <v>80</v>
      </c>
      <c r="U93" s="236">
        <f t="shared" si="52"/>
        <v>79</v>
      </c>
      <c r="V93" s="236">
        <f t="shared" si="52"/>
        <v>78</v>
      </c>
      <c r="W93" s="236">
        <f t="shared" si="52"/>
        <v>77</v>
      </c>
      <c r="X93" s="236">
        <f t="shared" si="52"/>
        <v>76</v>
      </c>
      <c r="Y93" s="236">
        <f t="shared" si="52"/>
        <v>75</v>
      </c>
      <c r="Z93" s="236">
        <f t="shared" si="52"/>
        <v>74</v>
      </c>
      <c r="AA93" s="236">
        <f t="shared" si="52"/>
        <v>73</v>
      </c>
    </row>
    <row r="94" spans="1:27" ht="12.95" thickBot="1"/>
    <row r="95" spans="1:27" ht="13.5" thickBot="1">
      <c r="E95" s="155">
        <v>45292</v>
      </c>
      <c r="F95" s="135">
        <v>45323</v>
      </c>
      <c r="G95" s="155">
        <v>45352</v>
      </c>
      <c r="H95" s="135">
        <v>45383</v>
      </c>
      <c r="I95" s="155">
        <v>45413</v>
      </c>
      <c r="J95" s="135">
        <v>45444</v>
      </c>
      <c r="K95" s="155">
        <v>45474</v>
      </c>
      <c r="L95" s="135">
        <v>45505</v>
      </c>
      <c r="M95" s="155">
        <v>45536</v>
      </c>
      <c r="N95" s="135">
        <v>45566</v>
      </c>
      <c r="O95" s="155">
        <v>45597</v>
      </c>
      <c r="P95" s="135">
        <v>45627</v>
      </c>
    </row>
    <row r="96" spans="1:27" ht="12.95">
      <c r="D96" s="219" t="s">
        <v>9215</v>
      </c>
      <c r="E96" s="220">
        <f t="shared" ref="E96:V96" si="53">+E24+E30+E36+E42+E48+E54+E60+E66+E72+E78+E84+E90</f>
        <v>0</v>
      </c>
      <c r="F96" s="220">
        <f t="shared" si="53"/>
        <v>0</v>
      </c>
      <c r="G96" s="220">
        <f t="shared" si="53"/>
        <v>0</v>
      </c>
      <c r="H96" s="220">
        <f t="shared" si="53"/>
        <v>0</v>
      </c>
      <c r="I96" s="220">
        <f t="shared" si="53"/>
        <v>0</v>
      </c>
      <c r="J96" s="220">
        <f t="shared" si="53"/>
        <v>0</v>
      </c>
      <c r="K96" s="220">
        <f t="shared" si="53"/>
        <v>0</v>
      </c>
      <c r="L96" s="220">
        <f t="shared" si="53"/>
        <v>0</v>
      </c>
      <c r="M96" s="220">
        <f t="shared" si="53"/>
        <v>490498060.26258147</v>
      </c>
      <c r="N96" s="220">
        <f t="shared" si="53"/>
        <v>686697284.36761403</v>
      </c>
      <c r="O96" s="220">
        <f t="shared" si="53"/>
        <v>784796896.42013037</v>
      </c>
      <c r="P96" s="220">
        <f t="shared" si="53"/>
        <v>490498060.26258147</v>
      </c>
      <c r="Q96" s="220">
        <f t="shared" si="53"/>
        <v>0</v>
      </c>
      <c r="R96" s="220">
        <f t="shared" si="53"/>
        <v>0</v>
      </c>
      <c r="S96" s="220">
        <f t="shared" si="53"/>
        <v>0</v>
      </c>
      <c r="T96" s="220">
        <f t="shared" si="53"/>
        <v>0</v>
      </c>
      <c r="U96" s="220">
        <f t="shared" si="53"/>
        <v>0</v>
      </c>
      <c r="V96" s="220">
        <f t="shared" si="53"/>
        <v>0</v>
      </c>
    </row>
    <row r="97" spans="4:22" ht="12.95">
      <c r="D97" s="384" t="s">
        <v>9216</v>
      </c>
      <c r="E97" s="210">
        <f t="shared" ref="E97:V97" si="54">+E25+E31+E37+E43+E49+E55+E61+E67+E73+E79+E85+E91</f>
        <v>0</v>
      </c>
      <c r="F97" s="210">
        <f t="shared" si="54"/>
        <v>0</v>
      </c>
      <c r="G97" s="210">
        <f t="shared" si="54"/>
        <v>0</v>
      </c>
      <c r="H97" s="210">
        <f t="shared" si="54"/>
        <v>0</v>
      </c>
      <c r="I97" s="210">
        <f t="shared" si="54"/>
        <v>0</v>
      </c>
      <c r="J97" s="210">
        <f t="shared" si="54"/>
        <v>0</v>
      </c>
      <c r="K97" s="210">
        <f t="shared" si="54"/>
        <v>0</v>
      </c>
      <c r="L97" s="210">
        <f t="shared" si="54"/>
        <v>0</v>
      </c>
      <c r="M97" s="210">
        <f t="shared" si="54"/>
        <v>0</v>
      </c>
      <c r="N97" s="210">
        <f t="shared" si="54"/>
        <v>-3342596.6733969487</v>
      </c>
      <c r="O97" s="210">
        <f t="shared" si="54"/>
        <v>-8063831.0927630765</v>
      </c>
      <c r="P97" s="210">
        <f t="shared" si="54"/>
        <v>-13512341.260308903</v>
      </c>
      <c r="Q97" s="210">
        <f t="shared" si="54"/>
        <v>-17023100.884308629</v>
      </c>
      <c r="R97" s="210">
        <f t="shared" si="54"/>
        <v>-17234955.722635046</v>
      </c>
      <c r="S97" s="210">
        <f t="shared" si="54"/>
        <v>-17449447.123643398</v>
      </c>
      <c r="T97" s="210">
        <f t="shared" si="54"/>
        <v>-17666607.899719886</v>
      </c>
      <c r="U97" s="210">
        <f t="shared" si="54"/>
        <v>-17886471.271605399</v>
      </c>
      <c r="V97" s="210">
        <f t="shared" si="54"/>
        <v>-18109070.873477522</v>
      </c>
    </row>
    <row r="98" spans="4:22" ht="12.95">
      <c r="D98" s="384" t="s">
        <v>9217</v>
      </c>
      <c r="E98" s="210">
        <f t="shared" ref="E98:V98" si="55">+E96+E97</f>
        <v>0</v>
      </c>
      <c r="F98" s="210">
        <f t="shared" si="55"/>
        <v>0</v>
      </c>
      <c r="G98" s="210">
        <f t="shared" si="55"/>
        <v>0</v>
      </c>
      <c r="H98" s="210">
        <f t="shared" si="55"/>
        <v>0</v>
      </c>
      <c r="I98" s="210">
        <f t="shared" si="55"/>
        <v>0</v>
      </c>
      <c r="J98" s="210">
        <f t="shared" si="55"/>
        <v>0</v>
      </c>
      <c r="K98" s="210">
        <f t="shared" si="55"/>
        <v>0</v>
      </c>
      <c r="L98" s="210">
        <f t="shared" si="55"/>
        <v>0</v>
      </c>
      <c r="M98" s="210">
        <f t="shared" si="55"/>
        <v>490498060.26258147</v>
      </c>
      <c r="N98" s="210">
        <f t="shared" si="55"/>
        <v>683354687.69421709</v>
      </c>
      <c r="O98" s="210">
        <f t="shared" si="55"/>
        <v>776733065.32736731</v>
      </c>
      <c r="P98" s="210">
        <f t="shared" si="55"/>
        <v>476985719.00227255</v>
      </c>
      <c r="Q98" s="210">
        <f t="shared" si="55"/>
        <v>-17023100.884308629</v>
      </c>
      <c r="R98" s="210">
        <f t="shared" si="55"/>
        <v>-17234955.722635046</v>
      </c>
      <c r="S98" s="210">
        <f t="shared" si="55"/>
        <v>-17449447.123643398</v>
      </c>
      <c r="T98" s="210">
        <f t="shared" si="55"/>
        <v>-17666607.899719886</v>
      </c>
      <c r="U98" s="210">
        <f t="shared" si="55"/>
        <v>-17886471.271605399</v>
      </c>
      <c r="V98" s="210">
        <f t="shared" si="55"/>
        <v>-18109070.873477522</v>
      </c>
    </row>
    <row r="99" spans="4:22" ht="13.5" thickBot="1">
      <c r="D99" s="386" t="s">
        <v>315</v>
      </c>
      <c r="E99" s="210">
        <f t="shared" ref="E99:V99" si="56">+E26+E32+E38+E44+E50+E56+E62+E68+E74+E80+E86+E92</f>
        <v>0</v>
      </c>
      <c r="F99" s="210">
        <f t="shared" si="56"/>
        <v>0</v>
      </c>
      <c r="G99" s="210">
        <f t="shared" si="56"/>
        <v>0</v>
      </c>
      <c r="H99" s="210">
        <f t="shared" si="56"/>
        <v>0</v>
      </c>
      <c r="I99" s="210">
        <f t="shared" si="56"/>
        <v>0</v>
      </c>
      <c r="J99" s="210">
        <f t="shared" si="56"/>
        <v>0</v>
      </c>
      <c r="K99" s="210">
        <f t="shared" si="56"/>
        <v>0</v>
      </c>
      <c r="L99" s="210">
        <f t="shared" si="56"/>
        <v>0</v>
      </c>
      <c r="M99" s="210">
        <f t="shared" si="56"/>
        <v>0</v>
      </c>
      <c r="N99" s="210">
        <f t="shared" si="56"/>
        <v>-6104316.0093197543</v>
      </c>
      <c r="O99" s="210">
        <f t="shared" si="56"/>
        <v>-14608759.345757008</v>
      </c>
      <c r="P99" s="210">
        <f t="shared" si="56"/>
        <v>-24275309.470557906</v>
      </c>
      <c r="Q99" s="210">
        <f t="shared" si="56"/>
        <v>-30211462.529274881</v>
      </c>
      <c r="R99" s="210">
        <f t="shared" si="56"/>
        <v>-29999607.690948464</v>
      </c>
      <c r="S99" s="210">
        <f t="shared" si="56"/>
        <v>-29785116.289940115</v>
      </c>
      <c r="T99" s="210">
        <f t="shared" si="56"/>
        <v>-29567955.513863623</v>
      </c>
      <c r="U99" s="210">
        <f t="shared" si="56"/>
        <v>-29348092.141978115</v>
      </c>
      <c r="V99" s="210">
        <f t="shared" si="56"/>
        <v>-29125492.540105991</v>
      </c>
    </row>
  </sheetData>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FF8BD-ACD4-472D-90B8-14F5BEAF8BD4}">
  <dimension ref="B2:N76"/>
  <sheetViews>
    <sheetView topLeftCell="B1" zoomScale="97" zoomScaleNormal="23" workbookViewId="0">
      <selection activeCell="B89" sqref="B89"/>
    </sheetView>
  </sheetViews>
  <sheetFormatPr defaultColWidth="11.42578125" defaultRowHeight="14.45"/>
  <cols>
    <col min="1" max="1" width="11.42578125" style="71"/>
    <col min="2" max="2" width="29.140625" style="71" bestFit="1" customWidth="1"/>
    <col min="3" max="4" width="16.140625" style="71" bestFit="1" customWidth="1"/>
    <col min="5" max="8" width="15.28515625" style="71" bestFit="1" customWidth="1"/>
    <col min="9" max="9" width="17.42578125" style="71" bestFit="1" customWidth="1"/>
    <col min="10" max="14" width="15.7109375" style="71" bestFit="1" customWidth="1"/>
    <col min="15" max="16384" width="11.42578125" style="71"/>
  </cols>
  <sheetData>
    <row r="2" spans="2:14" ht="15" thickBot="1">
      <c r="C2" s="1025" t="s">
        <v>9281</v>
      </c>
      <c r="D2" s="1026"/>
      <c r="E2" s="1026"/>
      <c r="F2" s="1026"/>
      <c r="G2" s="1026"/>
      <c r="H2" s="1026"/>
      <c r="I2" s="1026"/>
      <c r="J2" s="1026"/>
      <c r="K2" s="1026"/>
      <c r="L2" s="1026"/>
      <c r="M2" s="1026"/>
      <c r="N2" s="1026"/>
    </row>
    <row r="3" spans="2:14" ht="15" thickBot="1">
      <c r="C3" s="108">
        <v>45292</v>
      </c>
      <c r="D3" s="109">
        <v>45323</v>
      </c>
      <c r="E3" s="108">
        <v>45352</v>
      </c>
      <c r="F3" s="109">
        <v>45383</v>
      </c>
      <c r="G3" s="108">
        <v>45413</v>
      </c>
      <c r="H3" s="109">
        <v>45444</v>
      </c>
      <c r="I3" s="108">
        <v>45474</v>
      </c>
      <c r="J3" s="109">
        <v>45505</v>
      </c>
      <c r="K3" s="108">
        <v>45536</v>
      </c>
      <c r="L3" s="109">
        <v>45566</v>
      </c>
      <c r="M3" s="108">
        <v>45597</v>
      </c>
      <c r="N3" s="109">
        <v>45627</v>
      </c>
    </row>
    <row r="4" spans="2:14">
      <c r="B4" s="619" t="s">
        <v>9321</v>
      </c>
      <c r="C4" s="100"/>
      <c r="D4" s="100"/>
      <c r="E4" s="101"/>
      <c r="F4" s="101"/>
      <c r="G4" s="101"/>
      <c r="H4" s="621">
        <v>350000000</v>
      </c>
      <c r="I4" s="101">
        <f t="shared" ref="I4:J4" si="0">+H4</f>
        <v>350000000</v>
      </c>
      <c r="J4" s="101">
        <f t="shared" si="0"/>
        <v>350000000</v>
      </c>
      <c r="K4" s="101">
        <f>+J4</f>
        <v>350000000</v>
      </c>
      <c r="L4" s="101">
        <f>+K4</f>
        <v>350000000</v>
      </c>
      <c r="M4" s="101">
        <f>+L4</f>
        <v>350000000</v>
      </c>
      <c r="N4" s="101">
        <f>+M4</f>
        <v>350000000</v>
      </c>
    </row>
    <row r="5" spans="2:14">
      <c r="B5" s="622" t="s">
        <v>9322</v>
      </c>
      <c r="C5" s="78"/>
      <c r="D5" s="78"/>
      <c r="E5" s="78"/>
      <c r="F5" s="75">
        <f>+F4*(1-F6)</f>
        <v>0</v>
      </c>
      <c r="G5" s="75">
        <f>+G4*(1-G6)</f>
        <v>0</v>
      </c>
      <c r="H5" s="75">
        <f>+H4*(1-H6)</f>
        <v>262500000</v>
      </c>
      <c r="I5" s="75">
        <f t="shared" ref="I5:N5" si="1">+I4*(1-I6)</f>
        <v>262500000</v>
      </c>
      <c r="J5" s="75">
        <f t="shared" si="1"/>
        <v>262500000</v>
      </c>
      <c r="K5" s="75">
        <f t="shared" si="1"/>
        <v>262500000</v>
      </c>
      <c r="L5" s="75">
        <f t="shared" si="1"/>
        <v>262500000</v>
      </c>
      <c r="M5" s="75">
        <f t="shared" si="1"/>
        <v>262500000</v>
      </c>
      <c r="N5" s="75">
        <f t="shared" si="1"/>
        <v>262500000</v>
      </c>
    </row>
    <row r="6" spans="2:14" ht="15" thickBot="1">
      <c r="B6" s="625" t="s">
        <v>9284</v>
      </c>
      <c r="C6" s="80"/>
      <c r="D6" s="80"/>
      <c r="E6" s="80"/>
      <c r="F6" s="80">
        <v>0.25</v>
      </c>
      <c r="G6" s="80">
        <v>0.25</v>
      </c>
      <c r="H6" s="80">
        <v>0.25</v>
      </c>
      <c r="I6" s="80">
        <v>0.25</v>
      </c>
      <c r="J6" s="80">
        <v>0.25</v>
      </c>
      <c r="K6" s="80">
        <v>0.25</v>
      </c>
      <c r="L6" s="80">
        <v>0.25</v>
      </c>
      <c r="M6" s="80">
        <v>0.25</v>
      </c>
      <c r="N6" s="80">
        <v>0.25</v>
      </c>
    </row>
    <row r="7" spans="2:14">
      <c r="B7" s="628"/>
      <c r="C7" s="73"/>
      <c r="D7" s="73"/>
      <c r="E7" s="73"/>
      <c r="F7" s="73"/>
      <c r="G7" s="73"/>
      <c r="H7" s="73"/>
      <c r="I7" s="73"/>
    </row>
    <row r="8" spans="2:14">
      <c r="H8" s="628"/>
      <c r="I8" s="628"/>
      <c r="J8" s="628"/>
    </row>
    <row r="9" spans="2:14">
      <c r="B9" s="105"/>
      <c r="C9" s="73"/>
      <c r="D9" s="73"/>
      <c r="E9" s="630"/>
      <c r="F9" s="73"/>
      <c r="G9" s="73"/>
      <c r="H9" s="73"/>
      <c r="I9" s="73"/>
    </row>
    <row r="10" spans="2:14" ht="15" thickBot="1">
      <c r="B10" s="105"/>
      <c r="C10" s="73"/>
      <c r="D10" s="73"/>
      <c r="E10" s="630"/>
      <c r="F10" s="73"/>
      <c r="G10" s="73"/>
      <c r="H10" s="73"/>
      <c r="I10" s="73"/>
    </row>
    <row r="11" spans="2:14" ht="15" thickBot="1">
      <c r="B11" s="105"/>
      <c r="C11" s="1025" t="s">
        <v>9323</v>
      </c>
      <c r="D11" s="1026"/>
      <c r="E11" s="1026"/>
      <c r="F11" s="1026"/>
      <c r="G11" s="1026"/>
      <c r="H11" s="1026"/>
      <c r="I11" s="1026"/>
      <c r="J11" s="1026"/>
      <c r="K11" s="1026"/>
      <c r="L11" s="1026"/>
      <c r="M11" s="1026"/>
      <c r="N11" s="1026"/>
    </row>
    <row r="12" spans="2:14">
      <c r="B12" s="118"/>
      <c r="C12" s="108">
        <v>45292</v>
      </c>
      <c r="D12" s="109">
        <v>45323</v>
      </c>
      <c r="E12" s="108">
        <v>45352</v>
      </c>
      <c r="F12" s="109">
        <v>45383</v>
      </c>
      <c r="G12" s="108">
        <v>45413</v>
      </c>
      <c r="H12" s="109">
        <v>45444</v>
      </c>
      <c r="I12" s="108">
        <v>45474</v>
      </c>
      <c r="J12" s="109">
        <v>45505</v>
      </c>
      <c r="K12" s="108">
        <v>45536</v>
      </c>
      <c r="L12" s="109">
        <v>45566</v>
      </c>
      <c r="M12" s="108">
        <v>45597</v>
      </c>
      <c r="N12" s="109">
        <v>45627</v>
      </c>
    </row>
    <row r="13" spans="2:14">
      <c r="B13" s="76" t="s">
        <v>9324</v>
      </c>
      <c r="C13" s="78">
        <v>-1.0021959892412773E-2</v>
      </c>
      <c r="D13" s="78">
        <v>-0.91467582202997832</v>
      </c>
      <c r="E13" s="78">
        <v>-7.2445807755575756E-2</v>
      </c>
      <c r="F13" s="78">
        <v>-2.8564103220331425E-3</v>
      </c>
      <c r="G13" s="78">
        <v>0</v>
      </c>
      <c r="H13" s="78">
        <v>0</v>
      </c>
      <c r="I13" s="78">
        <v>0</v>
      </c>
      <c r="J13" s="110"/>
      <c r="K13" s="110"/>
      <c r="L13" s="110"/>
      <c r="M13" s="110"/>
      <c r="N13" s="110"/>
    </row>
    <row r="14" spans="2:14">
      <c r="B14" s="76" t="s">
        <v>9325</v>
      </c>
      <c r="C14" s="78">
        <v>0.5</v>
      </c>
      <c r="D14" s="78">
        <v>0.2</v>
      </c>
      <c r="E14" s="78">
        <v>0.2</v>
      </c>
      <c r="F14" s="78">
        <v>0.1</v>
      </c>
      <c r="G14" s="78">
        <v>0</v>
      </c>
      <c r="H14" s="78">
        <v>0</v>
      </c>
      <c r="I14" s="78">
        <v>0</v>
      </c>
      <c r="J14" s="110"/>
      <c r="K14" s="110"/>
      <c r="L14" s="110"/>
      <c r="M14" s="110"/>
      <c r="N14" s="110"/>
    </row>
    <row r="15" spans="2:14">
      <c r="B15" s="76" t="s">
        <v>9326</v>
      </c>
      <c r="C15" s="78">
        <v>0</v>
      </c>
      <c r="D15" s="78">
        <f>+$C$13</f>
        <v>-1.0021959892412773E-2</v>
      </c>
      <c r="E15" s="78">
        <f>+$D$13</f>
        <v>-0.91467582202997832</v>
      </c>
      <c r="F15" s="78">
        <f>+$E$13</f>
        <v>-7.2445807755575756E-2</v>
      </c>
      <c r="G15" s="78">
        <f>+$F$13</f>
        <v>-2.8564103220331425E-3</v>
      </c>
      <c r="H15" s="78">
        <v>0</v>
      </c>
      <c r="I15" s="78">
        <v>0</v>
      </c>
      <c r="J15" s="110"/>
      <c r="K15" s="110"/>
      <c r="L15" s="110"/>
      <c r="M15" s="110"/>
      <c r="N15" s="110"/>
    </row>
    <row r="16" spans="2:14">
      <c r="B16" s="76" t="s">
        <v>9327</v>
      </c>
      <c r="C16" s="78">
        <v>0</v>
      </c>
      <c r="D16" s="78">
        <f>+$C$14</f>
        <v>0.5</v>
      </c>
      <c r="E16" s="78">
        <f>+$D$14</f>
        <v>0.2</v>
      </c>
      <c r="F16" s="78">
        <f>+$E$14</f>
        <v>0.2</v>
      </c>
      <c r="G16" s="78">
        <f>+$F$14</f>
        <v>0.1</v>
      </c>
      <c r="H16" s="78">
        <f>+$G$14</f>
        <v>0</v>
      </c>
      <c r="I16" s="78">
        <v>0</v>
      </c>
      <c r="J16" s="110"/>
      <c r="K16" s="110"/>
      <c r="L16" s="110"/>
      <c r="M16" s="110"/>
      <c r="N16" s="110"/>
    </row>
    <row r="17" spans="2:14">
      <c r="B17" s="76" t="s">
        <v>9328</v>
      </c>
      <c r="C17" s="78">
        <v>0</v>
      </c>
      <c r="D17" s="78">
        <v>0</v>
      </c>
      <c r="E17" s="78">
        <f>+$C$13</f>
        <v>-1.0021959892412773E-2</v>
      </c>
      <c r="F17" s="78">
        <f>+$D$13</f>
        <v>-0.91467582202997832</v>
      </c>
      <c r="G17" s="78">
        <f>+$E$13</f>
        <v>-7.2445807755575756E-2</v>
      </c>
      <c r="H17" s="78">
        <f>+$F$13</f>
        <v>-2.8564103220331425E-3</v>
      </c>
      <c r="I17" s="78">
        <v>0</v>
      </c>
      <c r="J17" s="78"/>
      <c r="K17" s="110"/>
      <c r="L17" s="110"/>
      <c r="M17" s="110"/>
      <c r="N17" s="110"/>
    </row>
    <row r="18" spans="2:14">
      <c r="B18" s="76" t="s">
        <v>9329</v>
      </c>
      <c r="C18" s="78">
        <v>0</v>
      </c>
      <c r="D18" s="78">
        <v>0</v>
      </c>
      <c r="E18" s="78">
        <f>+$C$14</f>
        <v>0.5</v>
      </c>
      <c r="F18" s="78">
        <f>+$D$14</f>
        <v>0.2</v>
      </c>
      <c r="G18" s="78">
        <f>+$E$14</f>
        <v>0.2</v>
      </c>
      <c r="H18" s="78">
        <f>+$F$14</f>
        <v>0.1</v>
      </c>
      <c r="I18" s="78">
        <f>+$G$14</f>
        <v>0</v>
      </c>
      <c r="J18" s="78"/>
      <c r="K18" s="110"/>
      <c r="L18" s="110"/>
      <c r="M18" s="110"/>
      <c r="N18" s="110"/>
    </row>
    <row r="19" spans="2:14">
      <c r="B19" s="76" t="s">
        <v>9330</v>
      </c>
      <c r="C19" s="78">
        <v>0</v>
      </c>
      <c r="D19" s="78">
        <v>0</v>
      </c>
      <c r="E19" s="78">
        <v>0</v>
      </c>
      <c r="F19" s="78">
        <f>+$C$13</f>
        <v>-1.0021959892412773E-2</v>
      </c>
      <c r="G19" s="78">
        <f>+$D$13</f>
        <v>-0.91467582202997832</v>
      </c>
      <c r="H19" s="78">
        <f>+$E$13</f>
        <v>-7.2445807755575756E-2</v>
      </c>
      <c r="I19" s="78">
        <f>+$F$13</f>
        <v>-2.8564103220331425E-3</v>
      </c>
      <c r="J19" s="78">
        <v>0</v>
      </c>
      <c r="K19" s="78"/>
      <c r="L19" s="110"/>
      <c r="M19" s="110"/>
      <c r="N19" s="110"/>
    </row>
    <row r="20" spans="2:14">
      <c r="B20" s="76" t="s">
        <v>9331</v>
      </c>
      <c r="C20" s="78">
        <v>0</v>
      </c>
      <c r="D20" s="78">
        <v>0</v>
      </c>
      <c r="E20" s="78">
        <v>0</v>
      </c>
      <c r="F20" s="78">
        <f>+$C$14</f>
        <v>0.5</v>
      </c>
      <c r="G20" s="78">
        <f>+$D$14</f>
        <v>0.2</v>
      </c>
      <c r="H20" s="78">
        <f>+$E$14</f>
        <v>0.2</v>
      </c>
      <c r="I20" s="78">
        <f>+$F$14</f>
        <v>0.1</v>
      </c>
      <c r="J20" s="78">
        <f>+$G$14</f>
        <v>0</v>
      </c>
      <c r="K20" s="78"/>
      <c r="L20" s="110"/>
      <c r="M20" s="110"/>
      <c r="N20" s="110"/>
    </row>
    <row r="21" spans="2:14" s="106" customFormat="1">
      <c r="B21" s="76" t="s">
        <v>9332</v>
      </c>
      <c r="C21" s="107"/>
      <c r="D21" s="107"/>
      <c r="E21" s="107"/>
      <c r="F21" s="78">
        <v>0</v>
      </c>
      <c r="G21" s="78">
        <f>+$C$13</f>
        <v>-1.0021959892412773E-2</v>
      </c>
      <c r="H21" s="78">
        <f>+$D$13</f>
        <v>-0.91467582202997832</v>
      </c>
      <c r="I21" s="78">
        <f>+$E$13</f>
        <v>-7.2445807755575756E-2</v>
      </c>
      <c r="J21" s="78">
        <f>+$F$13</f>
        <v>-2.8564103220331425E-3</v>
      </c>
      <c r="K21" s="78">
        <v>0</v>
      </c>
      <c r="L21" s="107"/>
      <c r="M21" s="107"/>
      <c r="N21" s="107"/>
    </row>
    <row r="22" spans="2:14" s="106" customFormat="1">
      <c r="B22" s="76" t="s">
        <v>9333</v>
      </c>
      <c r="C22" s="107"/>
      <c r="D22" s="107"/>
      <c r="E22" s="107"/>
      <c r="F22" s="107"/>
      <c r="G22" s="78">
        <f>+$C$14</f>
        <v>0.5</v>
      </c>
      <c r="H22" s="78">
        <f>+$D$14</f>
        <v>0.2</v>
      </c>
      <c r="I22" s="78">
        <f>+$E$14</f>
        <v>0.2</v>
      </c>
      <c r="J22" s="78">
        <f>+$F$14</f>
        <v>0.1</v>
      </c>
      <c r="K22" s="78">
        <f>+$G$14</f>
        <v>0</v>
      </c>
      <c r="L22" s="107"/>
      <c r="M22" s="107"/>
      <c r="N22" s="107"/>
    </row>
    <row r="23" spans="2:14" s="106" customFormat="1">
      <c r="B23" s="76" t="s">
        <v>9334</v>
      </c>
      <c r="C23" s="107"/>
      <c r="D23" s="107"/>
      <c r="E23" s="107"/>
      <c r="F23" s="107"/>
      <c r="G23" s="78">
        <v>0</v>
      </c>
      <c r="H23" s="78">
        <f>+$C$13</f>
        <v>-1.0021959892412773E-2</v>
      </c>
      <c r="I23" s="78">
        <f>+$D$13</f>
        <v>-0.91467582202997832</v>
      </c>
      <c r="J23" s="78">
        <f>+$E$13</f>
        <v>-7.2445807755575756E-2</v>
      </c>
      <c r="K23" s="78">
        <f>+$F$13</f>
        <v>-2.8564103220331425E-3</v>
      </c>
      <c r="L23" s="78">
        <v>0</v>
      </c>
      <c r="M23" s="107"/>
      <c r="N23" s="107"/>
    </row>
    <row r="24" spans="2:14" s="106" customFormat="1">
      <c r="B24" s="76" t="s">
        <v>9335</v>
      </c>
      <c r="C24" s="107"/>
      <c r="D24" s="107"/>
      <c r="E24" s="107"/>
      <c r="F24" s="107"/>
      <c r="G24" s="107"/>
      <c r="H24" s="78">
        <f>+$C$14</f>
        <v>0.5</v>
      </c>
      <c r="I24" s="78">
        <f>+$D$14</f>
        <v>0.2</v>
      </c>
      <c r="J24" s="78">
        <f>+$E$14</f>
        <v>0.2</v>
      </c>
      <c r="K24" s="78">
        <f>+$F$14</f>
        <v>0.1</v>
      </c>
      <c r="L24" s="78">
        <f>+$G$14</f>
        <v>0</v>
      </c>
      <c r="M24" s="107"/>
      <c r="N24" s="107"/>
    </row>
    <row r="25" spans="2:14" s="106" customFormat="1">
      <c r="B25" s="76" t="s">
        <v>9336</v>
      </c>
      <c r="C25" s="107"/>
      <c r="D25" s="107"/>
      <c r="E25" s="107"/>
      <c r="F25" s="107"/>
      <c r="G25" s="107"/>
      <c r="H25" s="78">
        <v>0</v>
      </c>
      <c r="I25" s="78">
        <f>+$C$13</f>
        <v>-1.0021959892412773E-2</v>
      </c>
      <c r="J25" s="78">
        <f>+$D$13</f>
        <v>-0.91467582202997832</v>
      </c>
      <c r="K25" s="78">
        <f>+$E$13</f>
        <v>-7.2445807755575756E-2</v>
      </c>
      <c r="L25" s="78">
        <f>+$F$13</f>
        <v>-2.8564103220331425E-3</v>
      </c>
      <c r="M25" s="78">
        <v>0</v>
      </c>
      <c r="N25" s="107"/>
    </row>
    <row r="26" spans="2:14" s="106" customFormat="1">
      <c r="B26" s="76" t="s">
        <v>9337</v>
      </c>
      <c r="C26" s="107"/>
      <c r="D26" s="107"/>
      <c r="E26" s="107"/>
      <c r="F26" s="107"/>
      <c r="G26" s="107"/>
      <c r="H26" s="107"/>
      <c r="I26" s="78">
        <f>+$C$14</f>
        <v>0.5</v>
      </c>
      <c r="J26" s="78">
        <f>+$D$14</f>
        <v>0.2</v>
      </c>
      <c r="K26" s="78">
        <f>+$E$14</f>
        <v>0.2</v>
      </c>
      <c r="L26" s="78">
        <f>+$F$14</f>
        <v>0.1</v>
      </c>
      <c r="M26" s="78">
        <f>+$G$14</f>
        <v>0</v>
      </c>
      <c r="N26" s="107"/>
    </row>
    <row r="27" spans="2:14" s="106" customFormat="1">
      <c r="B27" s="76" t="s">
        <v>9338</v>
      </c>
      <c r="C27" s="107"/>
      <c r="D27" s="107"/>
      <c r="E27" s="107"/>
      <c r="F27" s="107"/>
      <c r="G27" s="107"/>
      <c r="H27" s="107"/>
      <c r="I27" s="78">
        <v>0</v>
      </c>
      <c r="J27" s="78">
        <f>+$C$13</f>
        <v>-1.0021959892412773E-2</v>
      </c>
      <c r="K27" s="78">
        <f>+$D$13</f>
        <v>-0.91467582202997832</v>
      </c>
      <c r="L27" s="78">
        <f>+$E$13</f>
        <v>-7.2445807755575756E-2</v>
      </c>
      <c r="M27" s="78">
        <f>+$F$13</f>
        <v>-2.8564103220331425E-3</v>
      </c>
      <c r="N27" s="78">
        <v>0</v>
      </c>
    </row>
    <row r="28" spans="2:14" s="106" customFormat="1">
      <c r="B28" s="76" t="s">
        <v>9339</v>
      </c>
      <c r="C28" s="107"/>
      <c r="D28" s="107"/>
      <c r="E28" s="107"/>
      <c r="F28" s="107"/>
      <c r="G28" s="107"/>
      <c r="H28" s="107"/>
      <c r="I28" s="107"/>
      <c r="J28" s="78">
        <f>+$C$14</f>
        <v>0.5</v>
      </c>
      <c r="K28" s="78">
        <f>+$D$14</f>
        <v>0.2</v>
      </c>
      <c r="L28" s="78">
        <f>+$E$14</f>
        <v>0.2</v>
      </c>
      <c r="M28" s="78">
        <f>+$F$14</f>
        <v>0.1</v>
      </c>
      <c r="N28" s="78">
        <f>+$G$14</f>
        <v>0</v>
      </c>
    </row>
    <row r="29" spans="2:14" s="106" customFormat="1">
      <c r="B29" s="76" t="s">
        <v>9340</v>
      </c>
      <c r="C29" s="107"/>
      <c r="D29" s="107"/>
      <c r="E29" s="107"/>
      <c r="F29" s="107"/>
      <c r="G29" s="107"/>
      <c r="H29" s="107"/>
      <c r="I29" s="107"/>
      <c r="J29" s="78">
        <v>0</v>
      </c>
      <c r="K29" s="78">
        <f>+$C$13</f>
        <v>-1.0021959892412773E-2</v>
      </c>
      <c r="L29" s="78">
        <f>+$D$13</f>
        <v>-0.91467582202997832</v>
      </c>
      <c r="M29" s="78">
        <f>+$E$13</f>
        <v>-7.2445807755575756E-2</v>
      </c>
      <c r="N29" s="78">
        <f>+$F$13</f>
        <v>-2.8564103220331425E-3</v>
      </c>
    </row>
    <row r="30" spans="2:14" s="106" customFormat="1">
      <c r="B30" s="76" t="s">
        <v>9341</v>
      </c>
      <c r="C30" s="107"/>
      <c r="D30" s="107"/>
      <c r="E30" s="107"/>
      <c r="F30" s="107"/>
      <c r="G30" s="107"/>
      <c r="H30" s="107"/>
      <c r="I30" s="107"/>
      <c r="J30" s="107"/>
      <c r="K30" s="78">
        <f>+$C$14</f>
        <v>0.5</v>
      </c>
      <c r="L30" s="78">
        <f>+$D$14</f>
        <v>0.2</v>
      </c>
      <c r="M30" s="78">
        <f>+$E$14</f>
        <v>0.2</v>
      </c>
      <c r="N30" s="78">
        <f>+$F$14</f>
        <v>0.1</v>
      </c>
    </row>
    <row r="31" spans="2:14" s="106" customFormat="1">
      <c r="B31" s="76" t="s">
        <v>9342</v>
      </c>
      <c r="C31" s="107"/>
      <c r="D31" s="107"/>
      <c r="E31" s="107"/>
      <c r="F31" s="107"/>
      <c r="G31" s="107"/>
      <c r="H31" s="107"/>
      <c r="I31" s="107"/>
      <c r="J31" s="107"/>
      <c r="K31" s="78">
        <v>0</v>
      </c>
      <c r="L31" s="78">
        <f>+$C$13</f>
        <v>-1.0021959892412773E-2</v>
      </c>
      <c r="M31" s="78">
        <f>+$D$13</f>
        <v>-0.91467582202997832</v>
      </c>
      <c r="N31" s="78">
        <f>+$E$13</f>
        <v>-7.2445807755575756E-2</v>
      </c>
    </row>
    <row r="32" spans="2:14" s="106" customFormat="1">
      <c r="B32" s="76" t="s">
        <v>9343</v>
      </c>
      <c r="C32" s="107"/>
      <c r="D32" s="107"/>
      <c r="E32" s="107"/>
      <c r="F32" s="107"/>
      <c r="G32" s="107"/>
      <c r="H32" s="107"/>
      <c r="I32" s="107"/>
      <c r="J32" s="107"/>
      <c r="K32" s="107"/>
      <c r="L32" s="78">
        <f>+$C$14</f>
        <v>0.5</v>
      </c>
      <c r="M32" s="78">
        <f>+$D$14</f>
        <v>0.2</v>
      </c>
      <c r="N32" s="78">
        <f>+$E$14</f>
        <v>0.2</v>
      </c>
    </row>
    <row r="33" spans="2:14" s="106" customFormat="1">
      <c r="B33" s="76" t="s">
        <v>9344</v>
      </c>
      <c r="C33" s="107"/>
      <c r="D33" s="107"/>
      <c r="E33" s="107"/>
      <c r="F33" s="107"/>
      <c r="G33" s="107"/>
      <c r="H33" s="107"/>
      <c r="I33" s="107"/>
      <c r="J33" s="107"/>
      <c r="K33" s="107"/>
      <c r="L33" s="78">
        <v>0</v>
      </c>
      <c r="M33" s="78">
        <f>+$C$13</f>
        <v>-1.0021959892412773E-2</v>
      </c>
      <c r="N33" s="78">
        <f>+$D$13</f>
        <v>-0.91467582202997832</v>
      </c>
    </row>
    <row r="34" spans="2:14" s="106" customFormat="1">
      <c r="B34" s="76" t="s">
        <v>9345</v>
      </c>
      <c r="C34" s="107"/>
      <c r="D34" s="107"/>
      <c r="E34" s="107"/>
      <c r="F34" s="107"/>
      <c r="G34" s="107"/>
      <c r="H34" s="107"/>
      <c r="I34" s="107"/>
      <c r="J34" s="107"/>
      <c r="K34" s="107"/>
      <c r="L34" s="78"/>
      <c r="M34" s="78">
        <f>+$C$14</f>
        <v>0.5</v>
      </c>
      <c r="N34" s="78">
        <f>+$D$14</f>
        <v>0.2</v>
      </c>
    </row>
    <row r="35" spans="2:14" s="106" customFormat="1">
      <c r="B35" s="76" t="s">
        <v>9346</v>
      </c>
      <c r="C35" s="107"/>
      <c r="D35" s="107"/>
      <c r="E35" s="107"/>
      <c r="F35" s="107"/>
      <c r="G35" s="107"/>
      <c r="H35" s="107"/>
      <c r="I35" s="107"/>
      <c r="J35" s="107"/>
      <c r="K35" s="107"/>
      <c r="L35" s="78"/>
      <c r="M35" s="78"/>
      <c r="N35" s="78">
        <f>+$C$13</f>
        <v>-1.0021959892412773E-2</v>
      </c>
    </row>
    <row r="36" spans="2:14" s="106" customFormat="1">
      <c r="B36" s="76" t="s">
        <v>9347</v>
      </c>
      <c r="C36" s="107"/>
      <c r="D36" s="107"/>
      <c r="E36" s="107"/>
      <c r="F36" s="107"/>
      <c r="G36" s="107"/>
      <c r="H36" s="107"/>
      <c r="I36" s="107"/>
      <c r="J36" s="107"/>
      <c r="K36" s="107"/>
      <c r="L36" s="78"/>
      <c r="M36" s="78"/>
      <c r="N36" s="78">
        <f>+$C$14</f>
        <v>0.5</v>
      </c>
    </row>
    <row r="37" spans="2:14" s="106" customFormat="1">
      <c r="B37" s="76" t="s">
        <v>9348</v>
      </c>
      <c r="C37" s="107"/>
      <c r="D37" s="107"/>
      <c r="E37" s="107"/>
      <c r="F37" s="107"/>
      <c r="G37" s="107"/>
      <c r="H37" s="107"/>
      <c r="I37" s="107"/>
      <c r="J37" s="107"/>
      <c r="K37" s="107"/>
      <c r="L37" s="78"/>
      <c r="M37" s="78"/>
      <c r="N37" s="78"/>
    </row>
    <row r="38" spans="2:14" s="106" customFormat="1">
      <c r="B38" s="76" t="s">
        <v>9349</v>
      </c>
      <c r="C38" s="107"/>
      <c r="D38" s="107"/>
      <c r="E38" s="107"/>
      <c r="F38" s="107"/>
      <c r="G38" s="107"/>
      <c r="H38" s="107"/>
      <c r="I38" s="107"/>
      <c r="J38" s="107"/>
      <c r="K38" s="107"/>
      <c r="L38" s="78"/>
      <c r="M38" s="78"/>
      <c r="N38" s="78"/>
    </row>
    <row r="39" spans="2:14" s="106" customFormat="1">
      <c r="B39" s="76" t="s">
        <v>9350</v>
      </c>
      <c r="C39" s="107"/>
      <c r="D39" s="107"/>
      <c r="E39" s="107"/>
      <c r="F39" s="107"/>
      <c r="G39" s="107"/>
      <c r="H39" s="107"/>
      <c r="I39" s="107"/>
      <c r="J39" s="107"/>
      <c r="K39" s="107"/>
      <c r="L39" s="78"/>
      <c r="M39" s="78"/>
      <c r="N39" s="78"/>
    </row>
    <row r="40" spans="2:14" s="106" customFormat="1">
      <c r="B40" s="76" t="s">
        <v>9351</v>
      </c>
      <c r="C40" s="107"/>
      <c r="D40" s="107"/>
      <c r="E40" s="107"/>
      <c r="F40" s="107"/>
      <c r="G40" s="107"/>
      <c r="H40" s="107"/>
      <c r="I40" s="107"/>
      <c r="J40" s="107"/>
      <c r="K40" s="107"/>
      <c r="L40" s="78"/>
      <c r="M40" s="78"/>
      <c r="N40" s="78"/>
    </row>
    <row r="41" spans="2:14" s="106" customFormat="1">
      <c r="B41" s="76" t="s">
        <v>9352</v>
      </c>
      <c r="C41" s="107"/>
      <c r="D41" s="107"/>
      <c r="E41" s="107"/>
      <c r="F41" s="107"/>
      <c r="G41" s="107"/>
      <c r="H41" s="107"/>
      <c r="I41" s="107"/>
      <c r="J41" s="107"/>
      <c r="K41" s="107"/>
      <c r="L41" s="78"/>
      <c r="M41" s="78"/>
      <c r="N41" s="78"/>
    </row>
    <row r="42" spans="2:14" s="106" customFormat="1">
      <c r="B42" s="76" t="s">
        <v>9353</v>
      </c>
      <c r="C42" s="107"/>
      <c r="D42" s="107"/>
      <c r="E42" s="107"/>
      <c r="F42" s="107"/>
      <c r="G42" s="107"/>
      <c r="H42" s="107"/>
      <c r="I42" s="107"/>
      <c r="J42" s="107"/>
      <c r="K42" s="107"/>
      <c r="L42" s="78"/>
      <c r="M42" s="78"/>
      <c r="N42" s="78"/>
    </row>
    <row r="43" spans="2:14" s="106" customFormat="1">
      <c r="B43" s="76" t="s">
        <v>9354</v>
      </c>
      <c r="C43" s="107"/>
      <c r="D43" s="107"/>
      <c r="E43" s="107"/>
      <c r="F43" s="107"/>
      <c r="G43" s="107"/>
      <c r="H43" s="107"/>
      <c r="I43" s="107"/>
      <c r="J43" s="107"/>
      <c r="K43" s="107"/>
      <c r="L43" s="78"/>
      <c r="M43" s="78"/>
      <c r="N43" s="78"/>
    </row>
    <row r="44" spans="2:14" s="106" customFormat="1">
      <c r="B44" s="76" t="s">
        <v>9355</v>
      </c>
      <c r="C44" s="107"/>
      <c r="D44" s="107"/>
      <c r="E44" s="107"/>
      <c r="F44" s="107"/>
      <c r="G44" s="107"/>
      <c r="H44" s="107"/>
      <c r="I44" s="107"/>
      <c r="J44" s="107"/>
      <c r="K44" s="107"/>
      <c r="L44" s="78"/>
      <c r="M44" s="78"/>
      <c r="N44" s="78"/>
    </row>
    <row r="45" spans="2:14" s="106" customFormat="1"/>
    <row r="46" spans="2:14">
      <c r="C46" s="1023" t="s">
        <v>9356</v>
      </c>
      <c r="D46" s="1024"/>
      <c r="E46" s="1024"/>
      <c r="F46" s="1024"/>
      <c r="G46" s="1024"/>
      <c r="H46" s="1024"/>
      <c r="I46" s="1024"/>
      <c r="J46" s="1024"/>
      <c r="K46" s="1024"/>
      <c r="L46" s="1024"/>
      <c r="M46" s="1024"/>
      <c r="N46" s="1024"/>
    </row>
    <row r="47" spans="2:14">
      <c r="B47" s="110"/>
      <c r="C47" s="77">
        <v>45078</v>
      </c>
      <c r="D47" s="77">
        <v>45108</v>
      </c>
      <c r="E47" s="77">
        <v>45139</v>
      </c>
      <c r="F47" s="77">
        <v>45170</v>
      </c>
      <c r="G47" s="77">
        <v>45200</v>
      </c>
      <c r="H47" s="77">
        <v>45231</v>
      </c>
      <c r="I47" s="77">
        <v>45261</v>
      </c>
      <c r="J47" s="77">
        <v>45292</v>
      </c>
      <c r="K47" s="77">
        <v>45323</v>
      </c>
      <c r="L47" s="77">
        <v>45352</v>
      </c>
      <c r="M47" s="77">
        <v>45383</v>
      </c>
      <c r="N47" s="77">
        <v>45413</v>
      </c>
    </row>
    <row r="48" spans="2:14">
      <c r="B48" s="76" t="s">
        <v>9324</v>
      </c>
      <c r="C48" s="75">
        <f>+C13*$F$5</f>
        <v>0</v>
      </c>
      <c r="D48" s="75">
        <f t="shared" ref="D48:N48" si="2">+D13*$F$5</f>
        <v>0</v>
      </c>
      <c r="E48" s="75">
        <f t="shared" si="2"/>
        <v>0</v>
      </c>
      <c r="F48" s="75">
        <f t="shared" si="2"/>
        <v>0</v>
      </c>
      <c r="G48" s="75">
        <f t="shared" si="2"/>
        <v>0</v>
      </c>
      <c r="H48" s="75">
        <f t="shared" si="2"/>
        <v>0</v>
      </c>
      <c r="I48" s="75">
        <f t="shared" si="2"/>
        <v>0</v>
      </c>
      <c r="J48" s="75">
        <f t="shared" si="2"/>
        <v>0</v>
      </c>
      <c r="K48" s="75">
        <f t="shared" si="2"/>
        <v>0</v>
      </c>
      <c r="L48" s="75">
        <f t="shared" si="2"/>
        <v>0</v>
      </c>
      <c r="M48" s="75">
        <f t="shared" si="2"/>
        <v>0</v>
      </c>
      <c r="N48" s="75">
        <f t="shared" si="2"/>
        <v>0</v>
      </c>
    </row>
    <row r="49" spans="2:14">
      <c r="B49" s="76" t="s">
        <v>9325</v>
      </c>
      <c r="C49" s="75">
        <f>+C14*$F$4</f>
        <v>0</v>
      </c>
      <c r="D49" s="75">
        <f t="shared" ref="D49:N49" si="3">+D14*$F$4</f>
        <v>0</v>
      </c>
      <c r="E49" s="75">
        <f t="shared" si="3"/>
        <v>0</v>
      </c>
      <c r="F49" s="75">
        <f t="shared" si="3"/>
        <v>0</v>
      </c>
      <c r="G49" s="75">
        <f t="shared" si="3"/>
        <v>0</v>
      </c>
      <c r="H49" s="75">
        <f t="shared" si="3"/>
        <v>0</v>
      </c>
      <c r="I49" s="75">
        <f t="shared" si="3"/>
        <v>0</v>
      </c>
      <c r="J49" s="75">
        <f t="shared" si="3"/>
        <v>0</v>
      </c>
      <c r="K49" s="75">
        <f t="shared" si="3"/>
        <v>0</v>
      </c>
      <c r="L49" s="75">
        <f t="shared" si="3"/>
        <v>0</v>
      </c>
      <c r="M49" s="75">
        <f t="shared" si="3"/>
        <v>0</v>
      </c>
      <c r="N49" s="75">
        <f t="shared" si="3"/>
        <v>0</v>
      </c>
    </row>
    <row r="50" spans="2:14">
      <c r="B50" s="76" t="s">
        <v>9326</v>
      </c>
      <c r="C50" s="75">
        <f>+C15*$G$5</f>
        <v>0</v>
      </c>
      <c r="D50" s="75">
        <f t="shared" ref="D50:N50" si="4">+D15*$G$5</f>
        <v>0</v>
      </c>
      <c r="E50" s="75">
        <f t="shared" si="4"/>
        <v>0</v>
      </c>
      <c r="F50" s="75">
        <f t="shared" si="4"/>
        <v>0</v>
      </c>
      <c r="G50" s="75">
        <f t="shared" si="4"/>
        <v>0</v>
      </c>
      <c r="H50" s="75">
        <f t="shared" si="4"/>
        <v>0</v>
      </c>
      <c r="I50" s="75">
        <f t="shared" si="4"/>
        <v>0</v>
      </c>
      <c r="J50" s="75">
        <f t="shared" si="4"/>
        <v>0</v>
      </c>
      <c r="K50" s="75">
        <f t="shared" si="4"/>
        <v>0</v>
      </c>
      <c r="L50" s="75">
        <f t="shared" si="4"/>
        <v>0</v>
      </c>
      <c r="M50" s="75">
        <f t="shared" si="4"/>
        <v>0</v>
      </c>
      <c r="N50" s="75">
        <f t="shared" si="4"/>
        <v>0</v>
      </c>
    </row>
    <row r="51" spans="2:14">
      <c r="B51" s="76" t="s">
        <v>9327</v>
      </c>
      <c r="C51" s="75">
        <f>+C16*$G$4</f>
        <v>0</v>
      </c>
      <c r="D51" s="75">
        <f t="shared" ref="D51:N51" si="5">+D16*$G$4</f>
        <v>0</v>
      </c>
      <c r="E51" s="75">
        <f t="shared" si="5"/>
        <v>0</v>
      </c>
      <c r="F51" s="75">
        <f t="shared" si="5"/>
        <v>0</v>
      </c>
      <c r="G51" s="75">
        <f t="shared" si="5"/>
        <v>0</v>
      </c>
      <c r="H51" s="75">
        <f t="shared" si="5"/>
        <v>0</v>
      </c>
      <c r="I51" s="75">
        <f t="shared" si="5"/>
        <v>0</v>
      </c>
      <c r="J51" s="75">
        <f t="shared" si="5"/>
        <v>0</v>
      </c>
      <c r="K51" s="75">
        <f t="shared" si="5"/>
        <v>0</v>
      </c>
      <c r="L51" s="75">
        <f t="shared" si="5"/>
        <v>0</v>
      </c>
      <c r="M51" s="75">
        <f t="shared" si="5"/>
        <v>0</v>
      </c>
      <c r="N51" s="75">
        <f t="shared" si="5"/>
        <v>0</v>
      </c>
    </row>
    <row r="52" spans="2:14">
      <c r="B52" s="76" t="s">
        <v>9328</v>
      </c>
      <c r="C52" s="75">
        <f>+C17*$H$5</f>
        <v>0</v>
      </c>
      <c r="D52" s="75">
        <f t="shared" ref="D52:N52" si="6">+D17*$H$5</f>
        <v>0</v>
      </c>
      <c r="E52" s="75">
        <f t="shared" si="6"/>
        <v>-2630764.4717583526</v>
      </c>
      <c r="F52" s="75">
        <f t="shared" si="6"/>
        <v>-240102403.28286931</v>
      </c>
      <c r="G52" s="75">
        <f t="shared" si="6"/>
        <v>-19017024.535838638</v>
      </c>
      <c r="H52" s="75">
        <f t="shared" si="6"/>
        <v>-749807.7095336999</v>
      </c>
      <c r="I52" s="75">
        <f t="shared" si="6"/>
        <v>0</v>
      </c>
      <c r="J52" s="75">
        <f t="shared" si="6"/>
        <v>0</v>
      </c>
      <c r="K52" s="75">
        <f t="shared" si="6"/>
        <v>0</v>
      </c>
      <c r="L52" s="75">
        <f t="shared" si="6"/>
        <v>0</v>
      </c>
      <c r="M52" s="75">
        <f t="shared" si="6"/>
        <v>0</v>
      </c>
      <c r="N52" s="75">
        <f t="shared" si="6"/>
        <v>0</v>
      </c>
    </row>
    <row r="53" spans="2:14">
      <c r="B53" s="76" t="s">
        <v>9329</v>
      </c>
      <c r="C53" s="75">
        <f>+C18*$H$4</f>
        <v>0</v>
      </c>
      <c r="D53" s="75">
        <f t="shared" ref="D53:N53" si="7">+D18*$H$4</f>
        <v>0</v>
      </c>
      <c r="E53" s="75">
        <f t="shared" si="7"/>
        <v>175000000</v>
      </c>
      <c r="F53" s="75">
        <f t="shared" si="7"/>
        <v>70000000</v>
      </c>
      <c r="G53" s="75">
        <f t="shared" si="7"/>
        <v>70000000</v>
      </c>
      <c r="H53" s="75">
        <f t="shared" si="7"/>
        <v>35000000</v>
      </c>
      <c r="I53" s="75">
        <f t="shared" si="7"/>
        <v>0</v>
      </c>
      <c r="J53" s="75">
        <f t="shared" si="7"/>
        <v>0</v>
      </c>
      <c r="K53" s="75">
        <f t="shared" si="7"/>
        <v>0</v>
      </c>
      <c r="L53" s="75">
        <f t="shared" si="7"/>
        <v>0</v>
      </c>
      <c r="M53" s="75">
        <f t="shared" si="7"/>
        <v>0</v>
      </c>
      <c r="N53" s="75">
        <f t="shared" si="7"/>
        <v>0</v>
      </c>
    </row>
    <row r="54" spans="2:14">
      <c r="B54" s="76" t="s">
        <v>9330</v>
      </c>
      <c r="C54" s="75">
        <f>+C19*$I$5</f>
        <v>0</v>
      </c>
      <c r="D54" s="75">
        <f t="shared" ref="D54:N54" si="8">+D19*$I$5</f>
        <v>0</v>
      </c>
      <c r="E54" s="75">
        <f t="shared" si="8"/>
        <v>0</v>
      </c>
      <c r="F54" s="75">
        <f t="shared" si="8"/>
        <v>-2630764.4717583526</v>
      </c>
      <c r="G54" s="75">
        <f t="shared" si="8"/>
        <v>-240102403.28286931</v>
      </c>
      <c r="H54" s="75">
        <f t="shared" si="8"/>
        <v>-19017024.535838638</v>
      </c>
      <c r="I54" s="75">
        <f t="shared" si="8"/>
        <v>-749807.7095336999</v>
      </c>
      <c r="J54" s="75">
        <f t="shared" si="8"/>
        <v>0</v>
      </c>
      <c r="K54" s="75">
        <f t="shared" si="8"/>
        <v>0</v>
      </c>
      <c r="L54" s="75">
        <f t="shared" si="8"/>
        <v>0</v>
      </c>
      <c r="M54" s="75">
        <f t="shared" si="8"/>
        <v>0</v>
      </c>
      <c r="N54" s="75">
        <f t="shared" si="8"/>
        <v>0</v>
      </c>
    </row>
    <row r="55" spans="2:14">
      <c r="B55" s="76" t="s">
        <v>9331</v>
      </c>
      <c r="C55" s="75">
        <f>+C20*$I$4</f>
        <v>0</v>
      </c>
      <c r="D55" s="75">
        <f t="shared" ref="D55:N55" si="9">+D20*$I$4</f>
        <v>0</v>
      </c>
      <c r="E55" s="75">
        <f t="shared" si="9"/>
        <v>0</v>
      </c>
      <c r="F55" s="75">
        <f t="shared" si="9"/>
        <v>175000000</v>
      </c>
      <c r="G55" s="75">
        <f t="shared" si="9"/>
        <v>70000000</v>
      </c>
      <c r="H55" s="75">
        <f t="shared" si="9"/>
        <v>70000000</v>
      </c>
      <c r="I55" s="75">
        <f t="shared" si="9"/>
        <v>35000000</v>
      </c>
      <c r="J55" s="75">
        <f t="shared" si="9"/>
        <v>0</v>
      </c>
      <c r="K55" s="75">
        <f t="shared" si="9"/>
        <v>0</v>
      </c>
      <c r="L55" s="75">
        <f t="shared" si="9"/>
        <v>0</v>
      </c>
      <c r="M55" s="75">
        <f t="shared" si="9"/>
        <v>0</v>
      </c>
      <c r="N55" s="75">
        <f t="shared" si="9"/>
        <v>0</v>
      </c>
    </row>
    <row r="56" spans="2:14">
      <c r="B56" s="76" t="s">
        <v>9332</v>
      </c>
      <c r="C56" s="75">
        <f>+C21*$J$5</f>
        <v>0</v>
      </c>
      <c r="D56" s="75">
        <f t="shared" ref="D56:N56" si="10">+D21*$J$5</f>
        <v>0</v>
      </c>
      <c r="E56" s="75">
        <f t="shared" si="10"/>
        <v>0</v>
      </c>
      <c r="F56" s="75">
        <f t="shared" si="10"/>
        <v>0</v>
      </c>
      <c r="G56" s="75">
        <f t="shared" si="10"/>
        <v>-2630764.4717583526</v>
      </c>
      <c r="H56" s="75">
        <f t="shared" si="10"/>
        <v>-240102403.28286931</v>
      </c>
      <c r="I56" s="75">
        <f t="shared" si="10"/>
        <v>-19017024.535838638</v>
      </c>
      <c r="J56" s="75">
        <f t="shared" si="10"/>
        <v>-749807.7095336999</v>
      </c>
      <c r="K56" s="75">
        <f t="shared" si="10"/>
        <v>0</v>
      </c>
      <c r="L56" s="75">
        <f t="shared" si="10"/>
        <v>0</v>
      </c>
      <c r="M56" s="75">
        <f t="shared" si="10"/>
        <v>0</v>
      </c>
      <c r="N56" s="75">
        <f t="shared" si="10"/>
        <v>0</v>
      </c>
    </row>
    <row r="57" spans="2:14">
      <c r="B57" s="76" t="s">
        <v>9333</v>
      </c>
      <c r="C57" s="75">
        <f>+C22*$J$4</f>
        <v>0</v>
      </c>
      <c r="D57" s="75">
        <f t="shared" ref="D57:N57" si="11">+D22*$J$4</f>
        <v>0</v>
      </c>
      <c r="E57" s="75">
        <f t="shared" si="11"/>
        <v>0</v>
      </c>
      <c r="F57" s="75">
        <f t="shared" si="11"/>
        <v>0</v>
      </c>
      <c r="G57" s="75">
        <f t="shared" si="11"/>
        <v>175000000</v>
      </c>
      <c r="H57" s="75">
        <f t="shared" si="11"/>
        <v>70000000</v>
      </c>
      <c r="I57" s="75">
        <f t="shared" si="11"/>
        <v>70000000</v>
      </c>
      <c r="J57" s="75">
        <f t="shared" si="11"/>
        <v>35000000</v>
      </c>
      <c r="K57" s="75">
        <f t="shared" si="11"/>
        <v>0</v>
      </c>
      <c r="L57" s="75">
        <f t="shared" si="11"/>
        <v>0</v>
      </c>
      <c r="M57" s="75">
        <f t="shared" si="11"/>
        <v>0</v>
      </c>
      <c r="N57" s="75">
        <f t="shared" si="11"/>
        <v>0</v>
      </c>
    </row>
    <row r="58" spans="2:14">
      <c r="B58" s="76" t="s">
        <v>9334</v>
      </c>
      <c r="C58" s="75">
        <f>+C23*$K$5</f>
        <v>0</v>
      </c>
      <c r="D58" s="75">
        <f t="shared" ref="D58:N58" si="12">+D23*$K$5</f>
        <v>0</v>
      </c>
      <c r="E58" s="75">
        <f t="shared" si="12"/>
        <v>0</v>
      </c>
      <c r="F58" s="75">
        <f t="shared" si="12"/>
        <v>0</v>
      </c>
      <c r="G58" s="75">
        <f t="shared" si="12"/>
        <v>0</v>
      </c>
      <c r="H58" s="75">
        <f t="shared" si="12"/>
        <v>-2630764.4717583526</v>
      </c>
      <c r="I58" s="75">
        <f t="shared" si="12"/>
        <v>-240102403.28286931</v>
      </c>
      <c r="J58" s="75">
        <f t="shared" si="12"/>
        <v>-19017024.535838638</v>
      </c>
      <c r="K58" s="75">
        <f t="shared" si="12"/>
        <v>-749807.7095336999</v>
      </c>
      <c r="L58" s="75">
        <f t="shared" si="12"/>
        <v>0</v>
      </c>
      <c r="M58" s="75">
        <f t="shared" si="12"/>
        <v>0</v>
      </c>
      <c r="N58" s="75">
        <f t="shared" si="12"/>
        <v>0</v>
      </c>
    </row>
    <row r="59" spans="2:14">
      <c r="B59" s="76" t="s">
        <v>9335</v>
      </c>
      <c r="C59" s="75">
        <f>+C24*$K$4</f>
        <v>0</v>
      </c>
      <c r="D59" s="75">
        <f t="shared" ref="D59:N59" si="13">+D24*$K$4</f>
        <v>0</v>
      </c>
      <c r="E59" s="75">
        <f t="shared" si="13"/>
        <v>0</v>
      </c>
      <c r="F59" s="75">
        <f t="shared" si="13"/>
        <v>0</v>
      </c>
      <c r="G59" s="75">
        <f t="shared" si="13"/>
        <v>0</v>
      </c>
      <c r="H59" s="75">
        <f t="shared" si="13"/>
        <v>175000000</v>
      </c>
      <c r="I59" s="75">
        <f t="shared" si="13"/>
        <v>70000000</v>
      </c>
      <c r="J59" s="75">
        <f t="shared" si="13"/>
        <v>70000000</v>
      </c>
      <c r="K59" s="75">
        <f t="shared" si="13"/>
        <v>35000000</v>
      </c>
      <c r="L59" s="75">
        <f t="shared" si="13"/>
        <v>0</v>
      </c>
      <c r="M59" s="75">
        <f t="shared" si="13"/>
        <v>0</v>
      </c>
      <c r="N59" s="75">
        <f t="shared" si="13"/>
        <v>0</v>
      </c>
    </row>
    <row r="60" spans="2:14">
      <c r="B60" s="76" t="s">
        <v>9336</v>
      </c>
      <c r="C60" s="75">
        <f>+C25*$L$5</f>
        <v>0</v>
      </c>
      <c r="D60" s="75">
        <f t="shared" ref="D60:N60" si="14">+D25*$L$5</f>
        <v>0</v>
      </c>
      <c r="E60" s="75">
        <f t="shared" si="14"/>
        <v>0</v>
      </c>
      <c r="F60" s="75">
        <f t="shared" si="14"/>
        <v>0</v>
      </c>
      <c r="G60" s="75">
        <f t="shared" si="14"/>
        <v>0</v>
      </c>
      <c r="H60" s="75">
        <f t="shared" si="14"/>
        <v>0</v>
      </c>
      <c r="I60" s="75">
        <f t="shared" si="14"/>
        <v>-2630764.4717583526</v>
      </c>
      <c r="J60" s="75">
        <f t="shared" si="14"/>
        <v>-240102403.28286931</v>
      </c>
      <c r="K60" s="75">
        <f t="shared" si="14"/>
        <v>-19017024.535838638</v>
      </c>
      <c r="L60" s="75">
        <f t="shared" si="14"/>
        <v>-749807.7095336999</v>
      </c>
      <c r="M60" s="75">
        <f t="shared" si="14"/>
        <v>0</v>
      </c>
      <c r="N60" s="75">
        <f t="shared" si="14"/>
        <v>0</v>
      </c>
    </row>
    <row r="61" spans="2:14">
      <c r="B61" s="76" t="s">
        <v>9337</v>
      </c>
      <c r="C61" s="75">
        <f>+C26*$L$4</f>
        <v>0</v>
      </c>
      <c r="D61" s="75">
        <f t="shared" ref="D61:N61" si="15">+D26*$L$4</f>
        <v>0</v>
      </c>
      <c r="E61" s="75">
        <f t="shared" si="15"/>
        <v>0</v>
      </c>
      <c r="F61" s="75">
        <f t="shared" si="15"/>
        <v>0</v>
      </c>
      <c r="G61" s="75">
        <f t="shared" si="15"/>
        <v>0</v>
      </c>
      <c r="H61" s="75">
        <f t="shared" si="15"/>
        <v>0</v>
      </c>
      <c r="I61" s="75">
        <f t="shared" si="15"/>
        <v>175000000</v>
      </c>
      <c r="J61" s="75">
        <f t="shared" si="15"/>
        <v>70000000</v>
      </c>
      <c r="K61" s="75">
        <f t="shared" si="15"/>
        <v>70000000</v>
      </c>
      <c r="L61" s="75">
        <f t="shared" si="15"/>
        <v>35000000</v>
      </c>
      <c r="M61" s="75">
        <f t="shared" si="15"/>
        <v>0</v>
      </c>
      <c r="N61" s="75">
        <f t="shared" si="15"/>
        <v>0</v>
      </c>
    </row>
    <row r="62" spans="2:14">
      <c r="B62" s="76" t="s">
        <v>9338</v>
      </c>
      <c r="C62" s="75">
        <f>+C27*$M$5</f>
        <v>0</v>
      </c>
      <c r="D62" s="75">
        <f t="shared" ref="D62:N62" si="16">+D27*$M$5</f>
        <v>0</v>
      </c>
      <c r="E62" s="75">
        <f t="shared" si="16"/>
        <v>0</v>
      </c>
      <c r="F62" s="75">
        <f t="shared" si="16"/>
        <v>0</v>
      </c>
      <c r="G62" s="75">
        <f t="shared" si="16"/>
        <v>0</v>
      </c>
      <c r="H62" s="75">
        <f t="shared" si="16"/>
        <v>0</v>
      </c>
      <c r="I62" s="75">
        <f t="shared" si="16"/>
        <v>0</v>
      </c>
      <c r="J62" s="75">
        <f t="shared" si="16"/>
        <v>-2630764.4717583526</v>
      </c>
      <c r="K62" s="75">
        <f t="shared" si="16"/>
        <v>-240102403.28286931</v>
      </c>
      <c r="L62" s="75">
        <f t="shared" si="16"/>
        <v>-19017024.535838638</v>
      </c>
      <c r="M62" s="75">
        <f t="shared" si="16"/>
        <v>-749807.7095336999</v>
      </c>
      <c r="N62" s="75">
        <f t="shared" si="16"/>
        <v>0</v>
      </c>
    </row>
    <row r="63" spans="2:14">
      <c r="B63" s="76" t="s">
        <v>9339</v>
      </c>
      <c r="C63" s="75">
        <f>+C28*$M$4</f>
        <v>0</v>
      </c>
      <c r="D63" s="75">
        <f t="shared" ref="D63:N63" si="17">+D28*$M$4</f>
        <v>0</v>
      </c>
      <c r="E63" s="75">
        <f t="shared" si="17"/>
        <v>0</v>
      </c>
      <c r="F63" s="75">
        <f t="shared" si="17"/>
        <v>0</v>
      </c>
      <c r="G63" s="75">
        <f t="shared" si="17"/>
        <v>0</v>
      </c>
      <c r="H63" s="75">
        <f t="shared" si="17"/>
        <v>0</v>
      </c>
      <c r="I63" s="75">
        <f t="shared" si="17"/>
        <v>0</v>
      </c>
      <c r="J63" s="75">
        <f t="shared" si="17"/>
        <v>175000000</v>
      </c>
      <c r="K63" s="75">
        <f t="shared" si="17"/>
        <v>70000000</v>
      </c>
      <c r="L63" s="75">
        <f t="shared" si="17"/>
        <v>70000000</v>
      </c>
      <c r="M63" s="75">
        <f t="shared" si="17"/>
        <v>35000000</v>
      </c>
      <c r="N63" s="75">
        <f t="shared" si="17"/>
        <v>0</v>
      </c>
    </row>
    <row r="64" spans="2:14">
      <c r="B64" s="76" t="s">
        <v>9340</v>
      </c>
      <c r="C64" s="75">
        <f>+C29*$N$5</f>
        <v>0</v>
      </c>
      <c r="D64" s="75">
        <f t="shared" ref="D64:N64" si="18">+D29*$N$5</f>
        <v>0</v>
      </c>
      <c r="E64" s="75">
        <f t="shared" si="18"/>
        <v>0</v>
      </c>
      <c r="F64" s="75">
        <f t="shared" si="18"/>
        <v>0</v>
      </c>
      <c r="G64" s="75">
        <f t="shared" si="18"/>
        <v>0</v>
      </c>
      <c r="H64" s="75">
        <f t="shared" si="18"/>
        <v>0</v>
      </c>
      <c r="I64" s="75">
        <f t="shared" si="18"/>
        <v>0</v>
      </c>
      <c r="J64" s="75">
        <f t="shared" si="18"/>
        <v>0</v>
      </c>
      <c r="K64" s="75">
        <f t="shared" si="18"/>
        <v>-2630764.4717583526</v>
      </c>
      <c r="L64" s="75">
        <f t="shared" si="18"/>
        <v>-240102403.28286931</v>
      </c>
      <c r="M64" s="75">
        <f t="shared" si="18"/>
        <v>-19017024.535838638</v>
      </c>
      <c r="N64" s="75">
        <f t="shared" si="18"/>
        <v>-749807.7095336999</v>
      </c>
    </row>
    <row r="65" spans="2:14">
      <c r="B65" s="76" t="s">
        <v>9341</v>
      </c>
      <c r="C65" s="75">
        <f>+C30*$N$4</f>
        <v>0</v>
      </c>
      <c r="D65" s="75">
        <f t="shared" ref="D65:N65" si="19">+D30*$N$4</f>
        <v>0</v>
      </c>
      <c r="E65" s="75">
        <f t="shared" si="19"/>
        <v>0</v>
      </c>
      <c r="F65" s="75">
        <f t="shared" si="19"/>
        <v>0</v>
      </c>
      <c r="G65" s="75">
        <f t="shared" si="19"/>
        <v>0</v>
      </c>
      <c r="H65" s="75">
        <f t="shared" si="19"/>
        <v>0</v>
      </c>
      <c r="I65" s="75">
        <f t="shared" si="19"/>
        <v>0</v>
      </c>
      <c r="J65" s="75">
        <f t="shared" si="19"/>
        <v>0</v>
      </c>
      <c r="K65" s="75">
        <f t="shared" si="19"/>
        <v>175000000</v>
      </c>
      <c r="L65" s="75">
        <f t="shared" si="19"/>
        <v>70000000</v>
      </c>
      <c r="M65" s="75">
        <f t="shared" si="19"/>
        <v>70000000</v>
      </c>
      <c r="N65" s="75">
        <f t="shared" si="19"/>
        <v>35000000</v>
      </c>
    </row>
    <row r="66" spans="2:14">
      <c r="B66" s="105"/>
      <c r="C66" s="72"/>
      <c r="D66" s="72"/>
      <c r="E66" s="72"/>
      <c r="F66" s="72"/>
      <c r="G66" s="72"/>
      <c r="H66" s="72"/>
      <c r="I66" s="72"/>
      <c r="J66" s="72"/>
      <c r="K66" s="72"/>
    </row>
    <row r="67" spans="2:14">
      <c r="B67" s="105"/>
      <c r="C67" s="72"/>
      <c r="D67" s="72"/>
      <c r="E67" s="72"/>
      <c r="F67" s="72"/>
      <c r="G67" s="72"/>
      <c r="H67" s="72"/>
      <c r="I67" s="72"/>
      <c r="J67" s="72"/>
      <c r="K67" s="72"/>
    </row>
    <row r="68" spans="2:14">
      <c r="B68" s="395"/>
    </row>
    <row r="69" spans="2:14">
      <c r="B69" s="76" t="s">
        <v>9303</v>
      </c>
      <c r="C69" s="75">
        <f>-C48-C50-C52-C54-C56-C58-C60-C62-C64</f>
        <v>0</v>
      </c>
      <c r="D69" s="75">
        <f t="shared" ref="D69:N69" si="20">-D48-D50-D52-D54-D56-D58-D60-D62-D64</f>
        <v>0</v>
      </c>
      <c r="E69" s="75">
        <f t="shared" si="20"/>
        <v>2630764.4717583526</v>
      </c>
      <c r="F69" s="75">
        <f t="shared" si="20"/>
        <v>242733167.75462767</v>
      </c>
      <c r="G69" s="75">
        <f t="shared" si="20"/>
        <v>261750192.29046631</v>
      </c>
      <c r="H69" s="75">
        <f t="shared" si="20"/>
        <v>262500000</v>
      </c>
      <c r="I69" s="75">
        <f t="shared" si="20"/>
        <v>262500000</v>
      </c>
      <c r="J69" s="75">
        <f t="shared" si="20"/>
        <v>262500000</v>
      </c>
      <c r="K69" s="75">
        <f t="shared" si="20"/>
        <v>262500000</v>
      </c>
      <c r="L69" s="75">
        <f t="shared" si="20"/>
        <v>259869235.52824163</v>
      </c>
      <c r="M69" s="75">
        <f t="shared" si="20"/>
        <v>19766832.245372336</v>
      </c>
      <c r="N69" s="75">
        <f t="shared" si="20"/>
        <v>749807.7095336999</v>
      </c>
    </row>
    <row r="70" spans="2:14">
      <c r="B70" s="76" t="s">
        <v>9304</v>
      </c>
      <c r="C70" s="75">
        <f>+C49+C51+C53+C55+C57+C59+C61+C63+C65</f>
        <v>0</v>
      </c>
      <c r="D70" s="75">
        <f t="shared" ref="D70:N70" si="21">+D49+D51+D53+D55+D57+D59+D61+D63+D65</f>
        <v>0</v>
      </c>
      <c r="E70" s="75">
        <f t="shared" si="21"/>
        <v>175000000</v>
      </c>
      <c r="F70" s="75">
        <f t="shared" si="21"/>
        <v>245000000</v>
      </c>
      <c r="G70" s="75">
        <f t="shared" si="21"/>
        <v>315000000</v>
      </c>
      <c r="H70" s="75">
        <f t="shared" si="21"/>
        <v>350000000</v>
      </c>
      <c r="I70" s="75">
        <f t="shared" si="21"/>
        <v>350000000</v>
      </c>
      <c r="J70" s="75">
        <f t="shared" si="21"/>
        <v>350000000</v>
      </c>
      <c r="K70" s="75">
        <f t="shared" si="21"/>
        <v>350000000</v>
      </c>
      <c r="L70" s="75">
        <f t="shared" si="21"/>
        <v>175000000</v>
      </c>
      <c r="M70" s="75">
        <f t="shared" si="21"/>
        <v>105000000</v>
      </c>
      <c r="N70" s="75">
        <f t="shared" si="21"/>
        <v>35000000</v>
      </c>
    </row>
    <row r="71" spans="2:14">
      <c r="B71" s="76" t="s">
        <v>9305</v>
      </c>
      <c r="C71" s="75"/>
      <c r="D71" s="75"/>
      <c r="E71" s="75"/>
      <c r="F71" s="75">
        <f t="shared" ref="F71:N71" si="22">F5</f>
        <v>0</v>
      </c>
      <c r="G71" s="75">
        <f t="shared" si="22"/>
        <v>0</v>
      </c>
      <c r="H71" s="75">
        <f t="shared" si="22"/>
        <v>262500000</v>
      </c>
      <c r="I71" s="75">
        <f t="shared" si="22"/>
        <v>262500000</v>
      </c>
      <c r="J71" s="75">
        <f t="shared" si="22"/>
        <v>262500000</v>
      </c>
      <c r="K71" s="75">
        <f t="shared" si="22"/>
        <v>262500000</v>
      </c>
      <c r="L71" s="75">
        <f t="shared" si="22"/>
        <v>262500000</v>
      </c>
      <c r="M71" s="75">
        <f t="shared" si="22"/>
        <v>262500000</v>
      </c>
      <c r="N71" s="75">
        <f t="shared" si="22"/>
        <v>262500000</v>
      </c>
    </row>
    <row r="72" spans="2:14">
      <c r="B72" s="76"/>
      <c r="C72" s="75"/>
      <c r="D72" s="75"/>
      <c r="E72" s="75"/>
      <c r="F72" s="75">
        <f t="shared" ref="F72:N72" si="23">F4</f>
        <v>0</v>
      </c>
      <c r="G72" s="75">
        <f t="shared" si="23"/>
        <v>0</v>
      </c>
      <c r="H72" s="75">
        <f t="shared" si="23"/>
        <v>350000000</v>
      </c>
      <c r="I72" s="75">
        <f t="shared" si="23"/>
        <v>350000000</v>
      </c>
      <c r="J72" s="75">
        <f t="shared" si="23"/>
        <v>350000000</v>
      </c>
      <c r="K72" s="75">
        <f t="shared" si="23"/>
        <v>350000000</v>
      </c>
      <c r="L72" s="75">
        <f t="shared" si="23"/>
        <v>350000000</v>
      </c>
      <c r="M72" s="75">
        <f t="shared" si="23"/>
        <v>350000000</v>
      </c>
      <c r="N72" s="75">
        <f t="shared" si="23"/>
        <v>350000000</v>
      </c>
    </row>
    <row r="73" spans="2:14">
      <c r="B73" s="76" t="s">
        <v>9305</v>
      </c>
      <c r="C73" s="74">
        <f>+SUM(C48:C65)</f>
        <v>0</v>
      </c>
      <c r="D73" s="74">
        <f>+SUM(D48:D65)</f>
        <v>0</v>
      </c>
      <c r="E73" s="74">
        <f>+E70-E69</f>
        <v>172369235.52824163</v>
      </c>
      <c r="F73" s="74">
        <f t="shared" ref="F73:N73" si="24">+F70-F69</f>
        <v>2266832.2453723252</v>
      </c>
      <c r="G73" s="74">
        <f t="shared" si="24"/>
        <v>53249807.709533691</v>
      </c>
      <c r="H73" s="74">
        <f t="shared" si="24"/>
        <v>87500000</v>
      </c>
      <c r="I73" s="74">
        <f t="shared" si="24"/>
        <v>87500000</v>
      </c>
      <c r="J73" s="74">
        <f t="shared" si="24"/>
        <v>87500000</v>
      </c>
      <c r="K73" s="74">
        <f t="shared" si="24"/>
        <v>87500000</v>
      </c>
      <c r="L73" s="74">
        <f t="shared" si="24"/>
        <v>-84869235.528241634</v>
      </c>
      <c r="M73" s="74">
        <f t="shared" si="24"/>
        <v>85233167.75462766</v>
      </c>
      <c r="N73" s="74">
        <f t="shared" si="24"/>
        <v>34250192.290466301</v>
      </c>
    </row>
    <row r="74" spans="2:14">
      <c r="B74" s="76" t="s">
        <v>5051</v>
      </c>
      <c r="C74" s="75"/>
      <c r="D74" s="75"/>
      <c r="E74" s="75"/>
      <c r="F74" s="75"/>
      <c r="G74" s="75"/>
      <c r="H74" s="75"/>
      <c r="I74" s="75">
        <f>+SUM(E53:H53)</f>
        <v>350000000</v>
      </c>
      <c r="J74" s="75">
        <f>+SUM(E55:J55)</f>
        <v>350000000</v>
      </c>
      <c r="K74" s="75">
        <f>+SUM(F57:K57)</f>
        <v>350000000</v>
      </c>
      <c r="L74" s="75">
        <f>+SUM(G59:L59)</f>
        <v>350000000</v>
      </c>
      <c r="M74" s="75">
        <f>+SUM(H61:M61)</f>
        <v>350000000</v>
      </c>
      <c r="N74" s="75">
        <f>+SUM(I63:N63)</f>
        <v>350000000</v>
      </c>
    </row>
    <row r="75" spans="2:14">
      <c r="B75" s="76" t="s">
        <v>9010</v>
      </c>
      <c r="C75" s="110"/>
      <c r="D75" s="110"/>
      <c r="E75" s="110"/>
      <c r="F75" s="110"/>
      <c r="G75" s="110"/>
      <c r="H75" s="110"/>
      <c r="I75" s="75">
        <f>+SUM(E54:H54)</f>
        <v>-261750192.29046631</v>
      </c>
      <c r="J75" s="75">
        <f>+SUM(E56:J56)</f>
        <v>-262500000</v>
      </c>
      <c r="K75" s="75">
        <f>+SUM(F58:K58)</f>
        <v>-262500000</v>
      </c>
      <c r="L75" s="75">
        <f>+SUM(G60:L60)</f>
        <v>-262500000</v>
      </c>
      <c r="M75" s="75">
        <f>+SUM(H62:M62)</f>
        <v>-262500000</v>
      </c>
      <c r="N75" s="75">
        <f>+SUM(I64:N64)</f>
        <v>-262500000</v>
      </c>
    </row>
    <row r="76" spans="2:14">
      <c r="B76" s="76" t="s">
        <v>9306</v>
      </c>
      <c r="C76" s="110"/>
      <c r="D76" s="110"/>
      <c r="E76" s="110"/>
      <c r="F76" s="110"/>
      <c r="G76" s="110"/>
      <c r="H76" s="110"/>
      <c r="I76" s="75">
        <f>+I74+I75</f>
        <v>88249807.709533691</v>
      </c>
      <c r="J76" s="75">
        <f t="shared" ref="J76:N76" si="25">+J74+J75</f>
        <v>87500000</v>
      </c>
      <c r="K76" s="75">
        <f t="shared" si="25"/>
        <v>87500000</v>
      </c>
      <c r="L76" s="75">
        <f t="shared" si="25"/>
        <v>87500000</v>
      </c>
      <c r="M76" s="75">
        <f t="shared" si="25"/>
        <v>87500000</v>
      </c>
      <c r="N76" s="75">
        <f t="shared" si="25"/>
        <v>87500000</v>
      </c>
    </row>
  </sheetData>
  <mergeCells count="3">
    <mergeCell ref="C2:N2"/>
    <mergeCell ref="C11:N11"/>
    <mergeCell ref="C46:N46"/>
  </mergeCells>
  <phoneticPr fontId="20" type="noConversion"/>
  <pageMargins left="0.7" right="0.7" top="0.75" bottom="0.75" header="0.3" footer="0.3"/>
  <pageSetup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19F3C-616C-4588-91C9-B45C63AA2136}">
  <sheetPr>
    <tabColor theme="6" tint="0.59999389629810485"/>
    <outlinePr summaryBelow="0" summaryRight="0"/>
  </sheetPr>
  <dimension ref="A3:S151"/>
  <sheetViews>
    <sheetView topLeftCell="H1" zoomScale="105" zoomScaleNormal="100" workbookViewId="0">
      <selection activeCell="N9" sqref="H9:N10"/>
    </sheetView>
  </sheetViews>
  <sheetFormatPr defaultColWidth="14.42578125" defaultRowHeight="15" customHeight="1"/>
  <cols>
    <col min="1" max="2" width="0" style="6" hidden="1" customWidth="1"/>
    <col min="3" max="3" width="9.140625" hidden="1" customWidth="1"/>
    <col min="4" max="4" width="9.140625" customWidth="1"/>
    <col min="5" max="5" width="56.5703125" bestFit="1" customWidth="1"/>
    <col min="6" max="6" width="16.5703125" customWidth="1"/>
    <col min="7" max="7" width="8.5703125" customWidth="1"/>
    <col min="8" max="8" width="16.85546875" bestFit="1" customWidth="1"/>
    <col min="9" max="9" width="16.85546875" style="6" bestFit="1" customWidth="1"/>
    <col min="10" max="10" width="15.85546875" customWidth="1"/>
    <col min="11" max="11" width="16.85546875" bestFit="1" customWidth="1"/>
    <col min="12" max="12" width="17.28515625" customWidth="1"/>
    <col min="13" max="15" width="16.85546875" bestFit="1" customWidth="1"/>
    <col min="16" max="16" width="16.7109375" bestFit="1" customWidth="1"/>
    <col min="17" max="17" width="16.85546875" bestFit="1" customWidth="1"/>
    <col min="18" max="18" width="16.7109375" bestFit="1" customWidth="1"/>
    <col min="19" max="19" width="17" bestFit="1" customWidth="1"/>
  </cols>
  <sheetData>
    <row r="3" spans="1:19" ht="15" customHeight="1" thickBot="1">
      <c r="C3" s="6"/>
      <c r="D3" s="6"/>
      <c r="E3" s="6"/>
      <c r="F3" s="6"/>
      <c r="G3" s="6"/>
      <c r="H3" s="2"/>
      <c r="I3" s="379" t="s">
        <v>9218</v>
      </c>
      <c r="J3" s="380" t="s">
        <v>9357</v>
      </c>
      <c r="K3" s="2"/>
      <c r="L3" s="97"/>
      <c r="M3" s="2"/>
      <c r="N3" s="2"/>
      <c r="O3" s="2"/>
      <c r="P3" s="2"/>
      <c r="Q3" s="2"/>
      <c r="R3" s="2"/>
      <c r="S3" s="6"/>
    </row>
    <row r="4" spans="1:19" s="6" customFormat="1" ht="15.75" customHeight="1">
      <c r="C4" s="1"/>
      <c r="D4" s="1"/>
      <c r="E4" s="1"/>
      <c r="F4" s="1"/>
      <c r="G4" s="1"/>
      <c r="I4" s="2"/>
      <c r="K4" s="97"/>
      <c r="L4" s="2"/>
      <c r="R4" s="2"/>
    </row>
    <row r="5" spans="1:19" s="6" customFormat="1" ht="15.75" customHeight="1">
      <c r="C5" s="1"/>
      <c r="D5" s="1"/>
      <c r="E5" s="944" t="s">
        <v>143</v>
      </c>
      <c r="F5" s="945"/>
      <c r="G5" s="3"/>
      <c r="H5" s="5"/>
      <c r="I5" s="2"/>
      <c r="J5" s="2"/>
      <c r="K5" s="5"/>
      <c r="L5" s="5"/>
      <c r="M5" s="5"/>
      <c r="N5" s="5"/>
      <c r="O5" s="5"/>
      <c r="P5" s="5"/>
      <c r="Q5" s="5"/>
      <c r="R5" s="5"/>
      <c r="S5" s="4"/>
    </row>
    <row r="6" spans="1:19" s="6" customFormat="1" ht="15.75" customHeight="1">
      <c r="C6" s="1"/>
      <c r="D6" s="1"/>
      <c r="E6" s="3"/>
      <c r="F6" s="3"/>
      <c r="G6" s="3"/>
      <c r="H6" s="70"/>
    </row>
    <row r="7" spans="1:19" ht="15.75" customHeight="1">
      <c r="C7" s="1"/>
      <c r="D7" s="1"/>
      <c r="E7" s="1"/>
      <c r="F7" s="7">
        <v>2023</v>
      </c>
      <c r="G7" s="1"/>
      <c r="H7" s="8">
        <v>45292</v>
      </c>
      <c r="I7" s="8">
        <v>45323</v>
      </c>
      <c r="J7" s="9">
        <v>45352</v>
      </c>
      <c r="K7" s="8">
        <v>45383</v>
      </c>
      <c r="L7" s="8">
        <v>45413</v>
      </c>
      <c r="M7" s="9">
        <v>45444</v>
      </c>
      <c r="N7" s="8">
        <v>45474</v>
      </c>
      <c r="O7" s="8">
        <v>45505</v>
      </c>
      <c r="P7" s="9">
        <v>45536</v>
      </c>
      <c r="Q7" s="8">
        <v>45566</v>
      </c>
      <c r="R7" s="8">
        <v>45597</v>
      </c>
      <c r="S7" s="9">
        <v>45627</v>
      </c>
    </row>
    <row r="8" spans="1:19" ht="15.75" customHeight="1">
      <c r="C8" s="55" t="s">
        <v>107</v>
      </c>
      <c r="D8" s="55"/>
      <c r="E8" s="11" t="s">
        <v>5051</v>
      </c>
      <c r="F8" s="12"/>
      <c r="G8" s="11"/>
      <c r="H8" s="13">
        <f>+'1.Ventas EPC'!E57</f>
        <v>0</v>
      </c>
      <c r="I8" s="13">
        <f>+'1.Ventas EPC'!F57+'4  Ventas EPC (Proyeccion)'!D4+'Ventas Mini granjas (proyeccion'!D45</f>
        <v>0</v>
      </c>
      <c r="J8" s="13">
        <f>+'1.Ventas EPC'!G57+'4  Ventas EPC (Proyeccion)'!E4+'Ventas Mini granjas (proyeccion'!E45</f>
        <v>182110990</v>
      </c>
      <c r="K8" s="13">
        <f>+'1.Ventas EPC'!H57+'4  Ventas EPC (Proyeccion)'!F4+'Ventas Mini granjas (proyeccion'!F45</f>
        <v>0</v>
      </c>
      <c r="L8" s="13">
        <f>+'1.Ventas EPC'!I57+'4  Ventas EPC (Proyeccion)'!G4+'Ventas Mini granjas (proyeccion'!G45</f>
        <v>0</v>
      </c>
      <c r="M8" s="13">
        <f>+'1.Ventas EPC'!J57+'4  Ventas EPC (Proyeccion)'!H4+'Ventas Mini granjas (proyeccion'!H45</f>
        <v>3687660722</v>
      </c>
      <c r="N8" s="13">
        <f>+'1.Ventas EPC'!K57+'4  Ventas EPC (Proyeccion)'!I4+'Ventas Mini granjas (proyeccion'!I45</f>
        <v>350000000</v>
      </c>
      <c r="O8" s="13">
        <f>+'1.Ventas EPC'!L57+'4  Ventas EPC (Proyeccion)'!J4+'Ventas Mini granjas (proyeccion'!J45</f>
        <v>1368600000</v>
      </c>
      <c r="P8" s="13">
        <f>+'1.Ventas EPC'!M57+'4  Ventas EPC (Proyeccion)'!K4+'Ventas Mini granjas (proyeccion'!K45</f>
        <v>6226824000</v>
      </c>
      <c r="Q8" s="13">
        <f>+'1.Ventas EPC'!N57+'4  Ventas EPC (Proyeccion)'!L4+'Ventas Mini granjas (proyeccion'!L45</f>
        <v>4350000000</v>
      </c>
      <c r="R8" s="13">
        <f>+'1.Ventas EPC'!O57+'4  Ventas EPC (Proyeccion)'!M4+'Ventas Mini granjas (proyeccion'!M45</f>
        <v>549118674</v>
      </c>
      <c r="S8" s="13">
        <f>+'1.Ventas EPC'!P57+'4  Ventas EPC (Proyeccion)'!N4+'Ventas Mini granjas (proyeccion'!N45</f>
        <v>13261532598.41292</v>
      </c>
    </row>
    <row r="9" spans="1:19" ht="15.75" customHeight="1">
      <c r="C9" s="55"/>
      <c r="D9" s="55"/>
      <c r="E9" s="11" t="s">
        <v>9010</v>
      </c>
      <c r="F9" s="12"/>
      <c r="G9" s="11"/>
      <c r="H9" s="13">
        <f>-'1.Ventas EPC'!E58</f>
        <v>0</v>
      </c>
      <c r="I9" s="13">
        <f>-'1.Ventas EPC'!F58-'4  Ventas EPC (Proyeccion)'!D5-'Ventas Mini granjas (proyeccion'!D46</f>
        <v>0</v>
      </c>
      <c r="J9" s="13">
        <f>-'1.Ventas EPC'!G58-'4  Ventas EPC (Proyeccion)'!E5-'Ventas Mini granjas (proyeccion'!E46</f>
        <v>-74861403.840425521</v>
      </c>
      <c r="K9" s="13">
        <f>-'1.Ventas EPC'!H58-'4  Ventas EPC (Proyeccion)'!F5-'Ventas Mini granjas (proyeccion'!F46</f>
        <v>0</v>
      </c>
      <c r="L9" s="13">
        <f>-'1.Ventas EPC'!I58-'4  Ventas EPC (Proyeccion)'!G5-'Ventas Mini granjas (proyeccion'!G46</f>
        <v>0</v>
      </c>
      <c r="M9" s="13">
        <f>-'1.Ventas EPC'!J58-'4  Ventas EPC (Proyeccion)'!H5-'Ventas Mini granjas (proyeccion'!H46</f>
        <v>-3004094764.9927607</v>
      </c>
      <c r="N9" s="13">
        <f>-'1.Ventas EPC'!K58-'4  Ventas EPC (Proyeccion)'!I5-'Ventas Mini granjas (proyeccion'!I46</f>
        <v>-262500000</v>
      </c>
      <c r="O9" s="13">
        <f>-'1.Ventas EPC'!L58-'4  Ventas EPC (Proyeccion)'!J5-'Ventas Mini granjas (proyeccion'!J46</f>
        <v>-340005104.95467424</v>
      </c>
      <c r="P9" s="13">
        <f>-'1.Ventas EPC'!M58-'4  Ventas EPC (Proyeccion)'!K5-'Ventas Mini granjas (proyeccion'!K46</f>
        <v>-4028671491.7004118</v>
      </c>
      <c r="Q9" s="13">
        <f>-'1.Ventas EPC'!N58-'4  Ventas EPC (Proyeccion)'!L5-'Ventas Mini granjas (proyeccion'!L46</f>
        <v>-3463000000</v>
      </c>
      <c r="R9" s="13">
        <f>-'1.Ventas EPC'!O58-'4  Ventas EPC (Proyeccion)'!M5-'Ventas Mini granjas (proyeccion'!M46</f>
        <v>-262500000</v>
      </c>
      <c r="S9" s="13">
        <f>-'1.Ventas EPC'!P58-'4  Ventas EPC (Proyeccion)'!N5-'Ventas Mini granjas (proyeccion'!N46</f>
        <v>-10758685628.58984</v>
      </c>
    </row>
    <row r="10" spans="1:19" ht="15.75" customHeight="1">
      <c r="C10" s="55" t="s">
        <v>295</v>
      </c>
      <c r="D10" s="55"/>
      <c r="E10" s="11" t="s">
        <v>9011</v>
      </c>
      <c r="F10" s="12"/>
      <c r="G10" s="11"/>
      <c r="H10" s="2">
        <v>26920733.870000001</v>
      </c>
      <c r="I10" s="2">
        <f>+'Ventas energía PPA'!F63+'Ventas energía PPA'!F70</f>
        <v>32128218.418228619</v>
      </c>
      <c r="J10" s="2">
        <f>+'Ventas energía PPA'!G63+'Ventas energía PPA'!G70</f>
        <v>38429696.276008353</v>
      </c>
      <c r="K10" s="2">
        <f>+'Ventas energía PPA'!H63+'Ventas energía PPA'!H70</f>
        <v>38429696.276008353</v>
      </c>
      <c r="L10" s="2">
        <f>+'Ventas energía PPA'!I63+'Ventas energía PPA'!I70</f>
        <v>45284980.789524682</v>
      </c>
      <c r="M10" s="2">
        <f>+'Ventas energía PPA'!J63+'Ventas energía PPA'!J70</f>
        <v>47578300.70029337</v>
      </c>
      <c r="N10" s="2">
        <f>+'Ventas energía PPA'!K63+'Ventas energía PPA'!K70</f>
        <v>49614195.280060753</v>
      </c>
      <c r="O10" s="2">
        <f>+'Ventas energía PPA'!L63+'Ventas energía PPA'!L70</f>
        <v>56796133.162083037</v>
      </c>
      <c r="P10" s="2">
        <f>+'Ventas energía PPA'!M63+'Ventas energía PPA'!M70</f>
        <v>66126155.104855008</v>
      </c>
      <c r="Q10" s="2">
        <f>+'Ventas energía PPA'!N63+'Ventas energía PPA'!N70</f>
        <v>66495614.793264173</v>
      </c>
      <c r="R10" s="2">
        <f>+'Ventas energía PPA'!O63+'Ventas energía PPA'!O70</f>
        <v>92786311.823338538</v>
      </c>
      <c r="S10" s="2">
        <f>+'Ventas energía PPA'!P63+'Ventas energía PPA'!P70</f>
        <v>93107731.801819578</v>
      </c>
    </row>
    <row r="11" spans="1:19" ht="15.75" customHeight="1">
      <c r="C11" s="55" t="s">
        <v>395</v>
      </c>
      <c r="D11" s="55"/>
      <c r="E11" s="11" t="s">
        <v>9012</v>
      </c>
      <c r="F11" s="12"/>
      <c r="G11" s="11"/>
      <c r="H11" s="2">
        <f>+'Ventas energía PPA'!$C$62</f>
        <v>-4498059.6123798173</v>
      </c>
      <c r="I11" s="2">
        <f>+H11</f>
        <v>-4498059.6123798173</v>
      </c>
      <c r="J11" s="2">
        <f>+I11</f>
        <v>-4498059.6123798173</v>
      </c>
      <c r="K11" s="2">
        <f t="shared" ref="K11:S11" si="0">+J11</f>
        <v>-4498059.6123798173</v>
      </c>
      <c r="L11" s="2">
        <f t="shared" si="0"/>
        <v>-4498059.6123798173</v>
      </c>
      <c r="M11" s="2">
        <f t="shared" si="0"/>
        <v>-4498059.6123798173</v>
      </c>
      <c r="N11" s="2">
        <f t="shared" si="0"/>
        <v>-4498059.6123798173</v>
      </c>
      <c r="O11" s="2">
        <f>+'Ventas energía PPA'!C67</f>
        <v>-7830450</v>
      </c>
      <c r="P11" s="2">
        <f t="shared" si="0"/>
        <v>-7830450</v>
      </c>
      <c r="Q11" s="2">
        <f t="shared" si="0"/>
        <v>-7830450</v>
      </c>
      <c r="R11" s="2">
        <f t="shared" si="0"/>
        <v>-7830450</v>
      </c>
      <c r="S11" s="2">
        <f t="shared" si="0"/>
        <v>-7830450</v>
      </c>
    </row>
    <row r="12" spans="1:19" ht="15.75" customHeight="1">
      <c r="A12" s="58" t="s">
        <v>452</v>
      </c>
      <c r="B12" s="58" t="s">
        <v>9043</v>
      </c>
      <c r="C12" s="55" t="s">
        <v>9044</v>
      </c>
      <c r="D12" s="55"/>
      <c r="E12" s="11" t="s">
        <v>9358</v>
      </c>
      <c r="F12" s="13"/>
      <c r="G12" s="11"/>
      <c r="I12" s="2"/>
      <c r="J12" s="2"/>
      <c r="K12" s="2"/>
      <c r="L12" s="2"/>
      <c r="M12" s="2"/>
      <c r="N12" s="2">
        <v>10611642.672840001</v>
      </c>
      <c r="O12" s="2">
        <f>+N12</f>
        <v>10611642.672840001</v>
      </c>
      <c r="P12" s="2">
        <f>+O12</f>
        <v>10611642.672840001</v>
      </c>
      <c r="Q12" s="2">
        <f>+P12</f>
        <v>10611642.672840001</v>
      </c>
      <c r="R12" s="2">
        <f>+Q12</f>
        <v>10611642.672840001</v>
      </c>
      <c r="S12" s="2">
        <f>+R12</f>
        <v>10611642.672840001</v>
      </c>
    </row>
    <row r="13" spans="1:19" ht="15.75" customHeight="1">
      <c r="C13" s="1"/>
      <c r="D13" s="1"/>
      <c r="E13" s="15" t="s">
        <v>9017</v>
      </c>
      <c r="F13" s="16"/>
      <c r="G13" s="17"/>
      <c r="H13" s="18">
        <f t="shared" ref="H13:S13" si="1">+SUM(H8:H12)</f>
        <v>22422674.257620186</v>
      </c>
      <c r="I13" s="18">
        <f t="shared" si="1"/>
        <v>27630158.8058488</v>
      </c>
      <c r="J13" s="18">
        <f t="shared" si="1"/>
        <v>141181222.823203</v>
      </c>
      <c r="K13" s="18">
        <f t="shared" si="1"/>
        <v>33931636.663628533</v>
      </c>
      <c r="L13" s="18">
        <f t="shared" si="1"/>
        <v>40786921.177144863</v>
      </c>
      <c r="M13" s="18">
        <f t="shared" si="1"/>
        <v>726646198.09515297</v>
      </c>
      <c r="N13" s="18">
        <f>+SUM(N8:N12)</f>
        <v>143227778.34052095</v>
      </c>
      <c r="O13" s="18">
        <f t="shared" si="1"/>
        <v>1088172220.880249</v>
      </c>
      <c r="P13" s="18">
        <f t="shared" si="1"/>
        <v>2267059856.0772834</v>
      </c>
      <c r="Q13" s="18">
        <f t="shared" si="1"/>
        <v>956276807.46610415</v>
      </c>
      <c r="R13" s="18">
        <f t="shared" si="1"/>
        <v>382186178.49617851</v>
      </c>
      <c r="S13" s="18">
        <f t="shared" si="1"/>
        <v>2598735894.29774</v>
      </c>
    </row>
    <row r="14" spans="1:19" ht="19.5" customHeight="1">
      <c r="C14" s="54" t="s">
        <v>291</v>
      </c>
      <c r="D14" s="54"/>
      <c r="E14" s="151" t="s">
        <v>322</v>
      </c>
      <c r="F14" s="12"/>
      <c r="G14" s="11"/>
      <c r="H14" s="2">
        <v>-76900485.030000001</v>
      </c>
      <c r="I14" s="2">
        <f>-Nomina!F71-'2.Adm-Ven-imp'!D22</f>
        <v>-172520262.84303373</v>
      </c>
      <c r="J14" s="2">
        <f>-Nomina!G71-'2.Adm-Ven-imp'!E22</f>
        <v>-168731328.89185175</v>
      </c>
      <c r="K14" s="2">
        <f>-Nomina!H71-'2.Adm-Ven-imp'!F22</f>
        <v>-102731328.89185175</v>
      </c>
      <c r="L14" s="2">
        <f>-Nomina!I71-'2.Adm-Ven-imp'!G22</f>
        <v>-102731328.89185175</v>
      </c>
      <c r="M14" s="2">
        <f>-Nomina!J71*(1+20%)-'2.Adm-Ven-imp'!H22*(1+20%)</f>
        <v>-139467994.6702221</v>
      </c>
      <c r="N14" s="2">
        <f>-Nomina!K71*(1+20%)-'2.Adm-Ven-imp'!I22*(1+20%)</f>
        <v>-131677594.6702221</v>
      </c>
      <c r="O14" s="2">
        <f>-Nomina!L71*(1+20%)-'2.Adm-Ven-imp'!J22*(1+20%)</f>
        <v>-131677594.6702221</v>
      </c>
      <c r="P14" s="2">
        <f>-Nomina!M71*(1+20%)-'2.Adm-Ven-imp'!K22*(1+20%)</f>
        <v>-131677594.6702221</v>
      </c>
      <c r="Q14" s="2">
        <f>-Nomina!N71*(1+20%)-'2.Adm-Ven-imp'!L22*(1+20%)</f>
        <v>-131677594.6702221</v>
      </c>
      <c r="R14" s="2">
        <f>-Nomina!O71*(1+20%)-'2.Adm-Ven-imp'!M22*(1+20%)</f>
        <v>-131677594.6702221</v>
      </c>
      <c r="S14" s="2">
        <f>-Nomina!P71*(1+20%)-'2.Adm-Ven-imp'!N22*(1+20%)</f>
        <v>-147867994.6702221</v>
      </c>
    </row>
    <row r="15" spans="1:19" ht="15.75" customHeight="1">
      <c r="C15" s="14"/>
      <c r="D15" s="14"/>
      <c r="E15" s="11" t="s">
        <v>9019</v>
      </c>
      <c r="F15" s="12"/>
      <c r="G15" s="11"/>
      <c r="H15" s="12">
        <v>-6268097.4400000004</v>
      </c>
      <c r="I15" s="12">
        <v>-6000000</v>
      </c>
      <c r="J15" s="12">
        <f t="shared" ref="J15:S15" si="2">+I15</f>
        <v>-6000000</v>
      </c>
      <c r="K15" s="12">
        <f t="shared" si="2"/>
        <v>-6000000</v>
      </c>
      <c r="L15" s="12">
        <f t="shared" si="2"/>
        <v>-6000000</v>
      </c>
      <c r="M15" s="12">
        <f t="shared" si="2"/>
        <v>-6000000</v>
      </c>
      <c r="N15" s="12">
        <f t="shared" si="2"/>
        <v>-6000000</v>
      </c>
      <c r="O15" s="12">
        <f t="shared" si="2"/>
        <v>-6000000</v>
      </c>
      <c r="P15" s="12">
        <f t="shared" si="2"/>
        <v>-6000000</v>
      </c>
      <c r="Q15" s="12">
        <f t="shared" si="2"/>
        <v>-6000000</v>
      </c>
      <c r="R15" s="12">
        <f t="shared" si="2"/>
        <v>-6000000</v>
      </c>
      <c r="S15" s="12">
        <f t="shared" si="2"/>
        <v>-6000000</v>
      </c>
    </row>
    <row r="16" spans="1:19" ht="15.75" customHeight="1">
      <c r="C16" s="54" t="s">
        <v>315</v>
      </c>
      <c r="D16" s="54"/>
      <c r="E16" s="11" t="s">
        <v>9020</v>
      </c>
      <c r="F16" s="12"/>
      <c r="G16" s="11"/>
      <c r="H16" s="2">
        <v>-13477138.120000001</v>
      </c>
      <c r="I16" s="12">
        <f>+IF($J$3="SI",Deuda!J86,Deuda!J26)+'Proyección PPAs'!F99</f>
        <v>-3456808.4537224001</v>
      </c>
      <c r="J16" s="12">
        <f>+IF($J$3="SI",Deuda!K86,Deuda!K26)+'Proyección PPAs'!G99</f>
        <v>-3361706.6903562048</v>
      </c>
      <c r="K16" s="12">
        <f>+IF($J$3="SI",Deuda!L86,Deuda!L26)+'Proyección PPAs'!H99</f>
        <v>-3264646.6609531813</v>
      </c>
      <c r="L16" s="12">
        <f>+IF($J$3="SI",Deuda!M86,Deuda!M26)+'Proyección PPAs'!I99</f>
        <v>-5096662.0943843424</v>
      </c>
      <c r="M16" s="12">
        <f>+IF($J$3="SI",Deuda!N86,Deuda!N26)+'Proyección PPAs'!J99</f>
        <v>-11600661.588409133</v>
      </c>
      <c r="N16" s="12">
        <f>+IF($J$3="SI",Deuda!O86,Deuda!O26)+'Proyección PPAs'!K99</f>
        <v>-11508572.381973848</v>
      </c>
      <c r="O16" s="12">
        <f>+IF($J$3="SI",Deuda!P86,Deuda!P26)+'Proyección PPAs'!L99</f>
        <v>-11416472.066797419</v>
      </c>
      <c r="P16" s="12">
        <f>+IF($J$3="SI",Deuda!Q86,Deuda!Q26)+'Proyección PPAs'!M99</f>
        <v>-19998953.725333519</v>
      </c>
      <c r="Q16" s="12">
        <f>+IF($J$3="SI",Deuda!R86,Deuda!R26)+'Proyección PPAs'!N99</f>
        <v>-27336648.400112934</v>
      </c>
      <c r="R16" s="12">
        <f>+IF($J$3="SI",Deuda!S86,Deuda!S26)+'Proyección PPAs'!O99</f>
        <v>-25749101.616314389</v>
      </c>
      <c r="S16" s="12">
        <f>+IF($J$3="SI",Deuda!T86,Deuda!T26)+'Proyección PPAs'!P99</f>
        <v>-35323750.040763028</v>
      </c>
    </row>
    <row r="17" spans="1:19" ht="15.75" customHeight="1">
      <c r="C17" s="54" t="s">
        <v>9359</v>
      </c>
      <c r="D17" s="54"/>
      <c r="E17" s="11" t="s">
        <v>9021</v>
      </c>
      <c r="F17" s="12"/>
      <c r="G17" s="11"/>
      <c r="H17" s="12">
        <v>-4444696.0999999996</v>
      </c>
      <c r="I17" s="12">
        <f>-Nomina!E72-'2.Adm-Ven-imp'!D37</f>
        <v>-76971742.823703498</v>
      </c>
      <c r="J17" s="12">
        <f>-Nomina!F72-'2.Adm-Ven-imp'!E37</f>
        <v>-71662722.688823506</v>
      </c>
      <c r="K17" s="12">
        <f>-Nomina!G72-'2.Adm-Ven-imp'!F37</f>
        <v>-63763310.411851749</v>
      </c>
      <c r="L17" s="12">
        <f>-Nomina!H72-'2.Adm-Ven-imp'!G37</f>
        <v>-62763310.411851749</v>
      </c>
      <c r="M17" s="12">
        <f>-Nomina!I72-'2.Adm-Ven-imp'!H37</f>
        <v>-62763310.411851749</v>
      </c>
      <c r="N17" s="12">
        <f>-Nomina!J72-'2.Adm-Ven-imp'!I37</f>
        <v>-76960810.411851749</v>
      </c>
      <c r="O17" s="12">
        <f>-Nomina!K72-'2.Adm-Ven-imp'!J37</f>
        <v>-62763310.411851749</v>
      </c>
      <c r="P17" s="12">
        <f>-Nomina!L72-'2.Adm-Ven-imp'!K37</f>
        <v>-62763310.411851749</v>
      </c>
      <c r="Q17" s="12">
        <f>-Nomina!M72-'2.Adm-Ven-imp'!L37</f>
        <v>-62763310.411851749</v>
      </c>
      <c r="R17" s="12">
        <f>-Nomina!N72-'2.Adm-Ven-imp'!M37</f>
        <v>-62763310.411851749</v>
      </c>
      <c r="S17" s="12">
        <f>-Nomina!O72-'2.Adm-Ven-imp'!N37</f>
        <v>-72763310.411851749</v>
      </c>
    </row>
    <row r="18" spans="1:19" ht="15.75" customHeight="1">
      <c r="C18" s="1"/>
      <c r="D18" s="1"/>
      <c r="E18" s="15" t="s">
        <v>9022</v>
      </c>
      <c r="F18" s="16"/>
      <c r="G18" s="17"/>
      <c r="H18" s="18">
        <f t="shared" ref="H18:S18" si="3">+SUM(H13:H17)</f>
        <v>-78667742.432379812</v>
      </c>
      <c r="I18" s="18">
        <f t="shared" si="3"/>
        <v>-231318655.31461081</v>
      </c>
      <c r="J18" s="18">
        <f t="shared" si="3"/>
        <v>-108574535.44782847</v>
      </c>
      <c r="K18" s="18">
        <f t="shared" si="3"/>
        <v>-141827649.30102813</v>
      </c>
      <c r="L18" s="18">
        <f t="shared" si="3"/>
        <v>-135804380.22094297</v>
      </c>
      <c r="M18" s="18">
        <f t="shared" si="3"/>
        <v>506814231.42466986</v>
      </c>
      <c r="N18" s="18">
        <f t="shared" si="3"/>
        <v>-82919199.123526752</v>
      </c>
      <c r="O18" s="18">
        <f t="shared" si="3"/>
        <v>876314843.73137784</v>
      </c>
      <c r="P18" s="18">
        <f t="shared" si="3"/>
        <v>2046619997.2698762</v>
      </c>
      <c r="Q18" s="18">
        <f t="shared" si="3"/>
        <v>728499253.98391724</v>
      </c>
      <c r="R18" s="18">
        <f t="shared" si="3"/>
        <v>155996171.79779029</v>
      </c>
      <c r="S18" s="18">
        <f t="shared" si="3"/>
        <v>2336780839.1749029</v>
      </c>
    </row>
    <row r="19" spans="1:19" ht="15.75" customHeight="1">
      <c r="C19" s="1"/>
      <c r="D19" s="1"/>
      <c r="E19" s="11" t="s">
        <v>9023</v>
      </c>
      <c r="F19" s="12"/>
      <c r="G19" s="11"/>
      <c r="H19" s="21"/>
      <c r="I19" s="21"/>
      <c r="J19" s="21"/>
      <c r="K19" s="21"/>
      <c r="L19" s="21"/>
      <c r="M19" s="21"/>
      <c r="N19" s="21"/>
      <c r="O19" s="21"/>
      <c r="P19" s="21"/>
      <c r="Q19" s="21"/>
      <c r="R19" s="21"/>
      <c r="S19" s="21"/>
    </row>
    <row r="20" spans="1:19" ht="15.75" customHeight="1">
      <c r="C20" s="1"/>
      <c r="D20" s="1"/>
      <c r="E20" s="11" t="s">
        <v>9025</v>
      </c>
      <c r="F20" s="12"/>
      <c r="G20" s="11"/>
      <c r="H20" s="21"/>
      <c r="I20" s="21">
        <f>-'2.Adm-Ven-imp'!D42</f>
        <v>0</v>
      </c>
      <c r="J20" s="21">
        <f>-'2.Adm-Ven-imp'!E42-'2.Adm-Ven-imp'!E43</f>
        <v>-4000000</v>
      </c>
      <c r="K20" s="21">
        <v>0</v>
      </c>
      <c r="L20" s="21"/>
      <c r="M20" s="21"/>
      <c r="N20" s="21"/>
      <c r="O20" s="21"/>
      <c r="P20" s="21"/>
      <c r="Q20" s="21"/>
      <c r="R20" s="21"/>
      <c r="S20" s="21"/>
    </row>
    <row r="21" spans="1:19" ht="15.75" customHeight="1">
      <c r="C21" s="1"/>
      <c r="D21" s="1"/>
      <c r="E21" s="11" t="s">
        <v>9026</v>
      </c>
      <c r="F21" s="12"/>
      <c r="G21" s="11"/>
      <c r="H21" s="21"/>
      <c r="I21" s="21"/>
      <c r="J21" s="21"/>
      <c r="K21" s="21"/>
      <c r="L21" s="21"/>
      <c r="M21" s="21"/>
      <c r="N21" s="21"/>
      <c r="O21" s="21"/>
      <c r="P21" s="21"/>
      <c r="Q21" s="21"/>
      <c r="R21" s="21"/>
      <c r="S21" s="21"/>
    </row>
    <row r="22" spans="1:19" ht="15.75" customHeight="1">
      <c r="C22" s="14"/>
      <c r="D22" s="14"/>
      <c r="E22" s="15" t="s">
        <v>9027</v>
      </c>
      <c r="F22" s="16"/>
      <c r="G22" s="17"/>
      <c r="H22" s="18">
        <f t="shared" ref="H22:S22" si="4">+SUM(H18:H21)</f>
        <v>-78667742.432379812</v>
      </c>
      <c r="I22" s="18">
        <f t="shared" si="4"/>
        <v>-231318655.31461081</v>
      </c>
      <c r="J22" s="18">
        <f t="shared" si="4"/>
        <v>-112574535.44782847</v>
      </c>
      <c r="K22" s="18">
        <f t="shared" si="4"/>
        <v>-141827649.30102813</v>
      </c>
      <c r="L22" s="18">
        <f t="shared" si="4"/>
        <v>-135804380.22094297</v>
      </c>
      <c r="M22" s="18">
        <f t="shared" si="4"/>
        <v>506814231.42466986</v>
      </c>
      <c r="N22" s="18">
        <f>+SUM(N18:N21)</f>
        <v>-82919199.123526752</v>
      </c>
      <c r="O22" s="18">
        <f>+SUM(O18:O21)</f>
        <v>876314843.73137784</v>
      </c>
      <c r="P22" s="18">
        <f>+SUM(P18:P21)</f>
        <v>2046619997.2698762</v>
      </c>
      <c r="Q22" s="18">
        <f>+SUM(Q18:Q21)</f>
        <v>728499253.98391724</v>
      </c>
      <c r="R22" s="18">
        <f t="shared" si="4"/>
        <v>155996171.79779029</v>
      </c>
      <c r="S22" s="18">
        <f t="shared" si="4"/>
        <v>2336780839.1749029</v>
      </c>
    </row>
    <row r="23" spans="1:19" ht="15.75" customHeight="1">
      <c r="C23" s="14"/>
      <c r="D23" s="14"/>
      <c r="E23" s="11" t="s">
        <v>9028</v>
      </c>
      <c r="F23" s="12"/>
      <c r="G23" s="11"/>
      <c r="H23" s="13"/>
      <c r="I23" s="13"/>
      <c r="J23" s="13"/>
      <c r="K23" s="13"/>
      <c r="L23" s="13"/>
      <c r="M23" s="13"/>
      <c r="N23" s="13"/>
      <c r="O23" s="13"/>
      <c r="P23" s="13"/>
      <c r="Q23" s="13"/>
      <c r="R23" s="13"/>
      <c r="S23" s="13"/>
    </row>
    <row r="24" spans="1:19" ht="15.75" customHeight="1">
      <c r="C24" s="14"/>
      <c r="D24" s="14"/>
      <c r="E24" s="22" t="s">
        <v>9029</v>
      </c>
      <c r="F24" s="16"/>
      <c r="G24" s="17"/>
      <c r="H24" s="18">
        <f>H22+H23</f>
        <v>-78667742.432379812</v>
      </c>
      <c r="I24" s="18">
        <f>I22+I23</f>
        <v>-231318655.31461081</v>
      </c>
      <c r="J24" s="19">
        <f>J22+J23</f>
        <v>-112574535.44782847</v>
      </c>
      <c r="K24" s="16">
        <f t="shared" ref="K24:S24" si="5">K22+K23</f>
        <v>-141827649.30102813</v>
      </c>
      <c r="L24" s="16">
        <f t="shared" si="5"/>
        <v>-135804380.22094297</v>
      </c>
      <c r="M24" s="16">
        <f t="shared" si="5"/>
        <v>506814231.42466986</v>
      </c>
      <c r="N24" s="16">
        <f t="shared" si="5"/>
        <v>-82919199.123526752</v>
      </c>
      <c r="O24" s="16">
        <f>O22+O23</f>
        <v>876314843.73137784</v>
      </c>
      <c r="P24" s="16">
        <f>P22+P23</f>
        <v>2046619997.2698762</v>
      </c>
      <c r="Q24" s="16">
        <f>Q22+Q23</f>
        <v>728499253.98391724</v>
      </c>
      <c r="R24" s="16">
        <f>R22+R23</f>
        <v>155996171.79779029</v>
      </c>
      <c r="S24" s="16">
        <f t="shared" si="5"/>
        <v>2336780839.1749029</v>
      </c>
    </row>
    <row r="25" spans="1:19" ht="15.75" customHeight="1">
      <c r="C25" s="327" t="s">
        <v>9041</v>
      </c>
      <c r="D25" s="14"/>
      <c r="E25" s="11" t="s">
        <v>9042</v>
      </c>
      <c r="F25" s="12"/>
      <c r="G25" s="11"/>
      <c r="H25" s="2">
        <v>-37255706</v>
      </c>
      <c r="I25" s="13">
        <f>+'3 Workig- Capex '!F7+'Proyección PPAs'!F13</f>
        <v>-63752180.43</v>
      </c>
      <c r="J25" s="13">
        <f>+'3 Workig- Capex '!G7+'Proyección PPAs'!G13</f>
        <v>-59464250</v>
      </c>
      <c r="K25" s="13">
        <f>+'3 Workig- Capex '!H7+'Proyección PPAs'!H13</f>
        <v>-371220102.77436221</v>
      </c>
      <c r="L25" s="13">
        <f>+'3 Workig- Capex '!I7+'Proyección PPAs'!I13</f>
        <v>-531897137.60818434</v>
      </c>
      <c r="M25" s="13">
        <f>+'3 Workig- Capex '!J7+'Proyección PPAs'!J13</f>
        <v>-98099612.052516297</v>
      </c>
      <c r="N25" s="13">
        <f>+'3 Workig- Capex '!K7+'Proyección PPAs'!K13</f>
        <v>-546903654.09241819</v>
      </c>
      <c r="O25" s="13">
        <f>+'3 Workig- Capex '!L7+'Proyección PPAs'!L13</f>
        <v>-336040033.4591791</v>
      </c>
      <c r="P25" s="13">
        <f>+'3 Workig- Capex '!M7+'Proyección PPAs'!M13</f>
        <v>-417816224.94649792</v>
      </c>
      <c r="Q25" s="13">
        <f>+'3 Workig- Capex '!N7+'Proyección PPAs'!N13</f>
        <v>-749193557.4530077</v>
      </c>
      <c r="R25" s="13">
        <f>+'3 Workig- Capex '!O7+'Proyección PPAs'!O13</f>
        <v>-661057083.37807798</v>
      </c>
      <c r="S25" s="13">
        <f>+'3 Workig- Capex '!P7+'Proyección PPAs'!P13</f>
        <v>-409395083.28357363</v>
      </c>
    </row>
    <row r="26" spans="1:19" ht="15.75" customHeight="1">
      <c r="A26" s="130" t="s">
        <v>9041</v>
      </c>
      <c r="B26" s="130" t="s">
        <v>9043</v>
      </c>
      <c r="C26" s="306" t="s">
        <v>9044</v>
      </c>
      <c r="D26" s="55"/>
      <c r="E26" s="11" t="s">
        <v>9360</v>
      </c>
      <c r="F26" s="12"/>
      <c r="G26" s="11"/>
      <c r="H26" s="2"/>
      <c r="I26" s="364">
        <f>-Nomina!F80*40%</f>
        <v>-34984873.279999994</v>
      </c>
      <c r="J26" s="364">
        <f>-Nomina!G80*40%</f>
        <v>-34984873.279999994</v>
      </c>
      <c r="K26" s="364">
        <f>-Nomina!H80*40%</f>
        <v>-34984873.279999994</v>
      </c>
      <c r="L26" s="364">
        <f>-Nomina!I80*40%</f>
        <v>-34984873.279999994</v>
      </c>
      <c r="M26" s="364">
        <f>-Nomina!J80*40%</f>
        <v>-48793873.280000001</v>
      </c>
      <c r="N26" s="364">
        <f>-Nomina!K80*40%</f>
        <v>-34984873.279999994</v>
      </c>
      <c r="O26" s="364">
        <f>-Nomina!L80*40%</f>
        <v>-34984873.279999994</v>
      </c>
      <c r="P26" s="364">
        <f>-Nomina!M80*40%</f>
        <v>-34984873.279999994</v>
      </c>
      <c r="Q26" s="364">
        <f>-Nomina!N80*40%</f>
        <v>-34984873.279999994</v>
      </c>
      <c r="R26" s="364">
        <f>-Nomina!O80*40%</f>
        <v>-34984873.279999994</v>
      </c>
      <c r="S26" s="364">
        <f>-Nomina!P80*40%</f>
        <v>-48793873.280000001</v>
      </c>
    </row>
    <row r="27" spans="1:19" ht="15.75" customHeight="1">
      <c r="A27" s="58"/>
      <c r="B27" s="58"/>
      <c r="C27" s="367"/>
      <c r="D27" s="55"/>
      <c r="E27" s="11" t="s">
        <v>9361</v>
      </c>
      <c r="F27" s="12"/>
      <c r="G27" s="11"/>
      <c r="H27" s="2"/>
      <c r="I27" s="364">
        <f>-'Ventas Mini granjas (proyeccion'!D19</f>
        <v>-34130500</v>
      </c>
      <c r="J27" s="364">
        <f>-'Ventas Mini granjas (proyeccion'!E19</f>
        <v>-33266000</v>
      </c>
      <c r="K27" s="364">
        <f>-'Ventas Mini granjas (proyeccion'!F19</f>
        <v>-9000000</v>
      </c>
      <c r="L27" s="364">
        <f>-'Ventas Mini granjas (proyeccion'!G19</f>
        <v>-21920000</v>
      </c>
      <c r="M27" s="364">
        <f>-'Ventas Mini granjas (proyeccion'!H19</f>
        <v>-19527000</v>
      </c>
      <c r="N27" s="364">
        <f>-'Ventas Mini granjas (proyeccion'!I19</f>
        <v>-35676050</v>
      </c>
      <c r="O27" s="364">
        <f>-'Ventas Mini granjas (proyeccion'!J19</f>
        <v>-18487500</v>
      </c>
      <c r="P27" s="364">
        <f>-'Ventas Mini granjas (proyeccion'!K19</f>
        <v>-29993550</v>
      </c>
      <c r="Q27" s="364">
        <f>-'Ventas Mini granjas (proyeccion'!L19</f>
        <v>-33961050</v>
      </c>
      <c r="R27" s="364">
        <f>-'Ventas Mini granjas (proyeccion'!M19</f>
        <v>-44337500</v>
      </c>
      <c r="S27" s="364">
        <f>-'Ventas Mini granjas (proyeccion'!N19</f>
        <v>-12287500</v>
      </c>
    </row>
    <row r="28" spans="1:19" ht="15.75" customHeight="1">
      <c r="A28" s="58"/>
      <c r="B28" s="58"/>
      <c r="C28" s="367"/>
      <c r="D28" s="55"/>
      <c r="E28" s="11" t="s">
        <v>9362</v>
      </c>
      <c r="F28" s="12"/>
      <c r="G28" s="11"/>
      <c r="H28" s="2">
        <v>-25897285.390000001</v>
      </c>
      <c r="I28" s="364">
        <f>-Nomina!F80*60%</f>
        <v>-52477309.919999994</v>
      </c>
      <c r="J28" s="364">
        <f>-Nomina!G80*60%</f>
        <v>-52477309.919999994</v>
      </c>
      <c r="K28" s="364">
        <f>-Nomina!H80*60%</f>
        <v>-52477309.919999994</v>
      </c>
      <c r="L28" s="364">
        <f>-Nomina!I80*60%</f>
        <v>-52477309.919999994</v>
      </c>
      <c r="M28" s="364">
        <f>-Nomina!J80*60%</f>
        <v>-73190809.919999987</v>
      </c>
      <c r="N28" s="364">
        <f>-Nomina!K80*60%</f>
        <v>-52477309.919999994</v>
      </c>
      <c r="O28" s="364">
        <f>-Nomina!L80*60%</f>
        <v>-52477309.919999994</v>
      </c>
      <c r="P28" s="364">
        <f>-Nomina!M80*60%</f>
        <v>-52477309.919999994</v>
      </c>
      <c r="Q28" s="364">
        <f>-Nomina!N80*60%</f>
        <v>-52477309.919999994</v>
      </c>
      <c r="R28" s="364">
        <f>-Nomina!O80*60%</f>
        <v>-52477309.919999994</v>
      </c>
      <c r="S28" s="364">
        <f>-Nomina!P80*60%</f>
        <v>-73190809.919999987</v>
      </c>
    </row>
    <row r="29" spans="1:19" ht="15.75" customHeight="1">
      <c r="C29" s="328" t="s">
        <v>296</v>
      </c>
      <c r="D29" s="1"/>
      <c r="E29" s="11" t="s">
        <v>9363</v>
      </c>
      <c r="F29" s="12"/>
      <c r="G29" s="11"/>
      <c r="H29" s="2">
        <f>-927633090+'1.Ventas EPC'!E61</f>
        <v>-927633090</v>
      </c>
      <c r="I29" s="2">
        <f>+'3 Workig- Capex '!F6+'1.Ventas EPC'!E61-'4  Ventas EPC (Proyeccion)'!D76+'4  Ventas EPC (Proyeccion)'!D73-'Ventas Mini granjas (proyeccion'!D47+'Ventas Mini granjas (proyeccion'!D43</f>
        <v>-310034225</v>
      </c>
      <c r="J29" s="2">
        <f>+'3 Workig- Capex '!G6+'1.Ventas EPC'!F61-'4  Ventas EPC (Proyeccion)'!E76+'4  Ventas EPC (Proyeccion)'!E73-'Ventas Mini granjas (proyeccion'!E47+'Ventas Mini granjas (proyeccion'!E43</f>
        <v>516497251.95242983</v>
      </c>
      <c r="K29" s="2">
        <f>+'3 Workig- Capex '!H6+'1.Ventas EPC'!G61-'4  Ventas EPC (Proyeccion)'!F76+'4  Ventas EPC (Proyeccion)'!F73-'Ventas Mini granjas (proyeccion'!F47+'Ventas Mini granjas (proyeccion'!F43</f>
        <v>1375510019.8845055</v>
      </c>
      <c r="L29" s="2">
        <f>+'3 Workig- Capex '!I6+'1.Ventas EPC'!H61-'4  Ventas EPC (Proyeccion)'!G76+'4  Ventas EPC (Proyeccion)'!G73-'Ventas Mini granjas (proyeccion'!G47+'Ventas Mini granjas (proyeccion'!G43</f>
        <v>2255052368.0825949</v>
      </c>
      <c r="M29" s="2">
        <f>+'3 Workig- Capex '!J6+'1.Ventas EPC'!I61-'4  Ventas EPC (Proyeccion)'!H76+'4  Ventas EPC (Proyeccion)'!H73-'Ventas Mini granjas (proyeccion'!H47+'Ventas Mini granjas (proyeccion'!H43</f>
        <v>-350665287.88999999</v>
      </c>
      <c r="N29" s="2">
        <f>+'3 Workig- Capex '!K6+'1.Ventas EPC'!J61-'4  Ventas EPC (Proyeccion)'!I76+'4  Ventas EPC (Proyeccion)'!I73-'Ventas Mini granjas (proyeccion'!I47+'Ventas Mini granjas (proyeccion'!I43</f>
        <v>-788071025.36925912</v>
      </c>
      <c r="O29" s="2">
        <f>+'3 Workig- Capex '!L6+'1.Ventas EPC'!K61-'4  Ventas EPC (Proyeccion)'!J76+'4  Ventas EPC (Proyeccion)'!J73-'Ventas Mini granjas (proyeccion'!J47+'Ventas Mini granjas (proyeccion'!J43</f>
        <v>-150606262.50325453</v>
      </c>
      <c r="P29" s="2">
        <f>+'3 Workig- Capex '!M6+'1.Ventas EPC'!L61-'4  Ventas EPC (Proyeccion)'!K76+'4  Ventas EPC (Proyeccion)'!K73-'Ventas Mini granjas (proyeccion'!K47+'Ventas Mini granjas (proyeccion'!K43</f>
        <v>-1376000494.7150488</v>
      </c>
      <c r="Q29" s="2">
        <f>+'3 Workig- Capex '!N6+'1.Ventas EPC'!M61-'4  Ventas EPC (Proyeccion)'!L76+'4  Ventas EPC (Proyeccion)'!L73-'Ventas Mini granjas (proyeccion'!L47+'Ventas Mini granjas (proyeccion'!L43</f>
        <v>-953766773.55395222</v>
      </c>
      <c r="R29" s="2">
        <f>+'3 Workig- Capex '!O6+'1.Ventas EPC'!N61-'4  Ventas EPC (Proyeccion)'!M76+'4  Ventas EPC (Proyeccion)'!M73-'Ventas Mini granjas (proyeccion'!M47+'Ventas Mini granjas (proyeccion'!M43</f>
        <v>562356835.51545835</v>
      </c>
      <c r="S29" s="2">
        <f>+'3 Workig- Capex '!P6+'1.Ventas EPC'!O61-'4  Ventas EPC (Proyeccion)'!N76+'4  Ventas EPC (Proyeccion)'!N73-'Ventas Mini granjas (proyeccion'!N47+'Ventas Mini granjas (proyeccion'!N43</f>
        <v>197856197.66764182</v>
      </c>
    </row>
    <row r="30" spans="1:19" ht="15.75" customHeight="1">
      <c r="C30" s="200" t="s">
        <v>525</v>
      </c>
      <c r="D30" s="184"/>
      <c r="E30" s="11" t="s">
        <v>9053</v>
      </c>
      <c r="F30" s="12"/>
      <c r="G30" s="11"/>
      <c r="H30" s="2">
        <v>-42184000</v>
      </c>
      <c r="I30" s="2">
        <f>-Retenciones!E4</f>
        <v>-80208306.072998017</v>
      </c>
      <c r="J30" s="2"/>
      <c r="K30" s="2"/>
      <c r="L30" s="2"/>
      <c r="M30" s="2"/>
      <c r="N30" s="2"/>
      <c r="O30" s="2"/>
      <c r="P30" s="2"/>
      <c r="Q30" s="2"/>
      <c r="R30" s="2"/>
      <c r="S30" s="2"/>
    </row>
    <row r="31" spans="1:19" ht="27" customHeight="1">
      <c r="C31" s="1"/>
      <c r="D31" s="1"/>
      <c r="E31" s="23" t="s">
        <v>9054</v>
      </c>
      <c r="F31" s="24"/>
      <c r="G31" s="25"/>
      <c r="H31" s="26">
        <f>+H24+H25+H29+H26+H30+H27+H28</f>
        <v>-1111637823.8223798</v>
      </c>
      <c r="I31" s="26">
        <f t="shared" ref="I31:S31" si="6">+I24+I25+I29+I26+I30+I27+I28</f>
        <v>-806906050.01760876</v>
      </c>
      <c r="J31" s="26">
        <f t="shared" si="6"/>
        <v>223730283.3046014</v>
      </c>
      <c r="K31" s="26">
        <f t="shared" si="6"/>
        <v>766000084.60911524</v>
      </c>
      <c r="L31" s="26">
        <f t="shared" si="6"/>
        <v>1477968667.0534675</v>
      </c>
      <c r="M31" s="26">
        <f t="shared" si="6"/>
        <v>-83462351.717846394</v>
      </c>
      <c r="N31" s="26">
        <f t="shared" si="6"/>
        <v>-1541032111.7852042</v>
      </c>
      <c r="O31" s="26">
        <f t="shared" si="6"/>
        <v>283718864.56894416</v>
      </c>
      <c r="P31" s="26">
        <f t="shared" si="6"/>
        <v>135347544.40832955</v>
      </c>
      <c r="Q31" s="26">
        <f t="shared" si="6"/>
        <v>-1095884310.2230427</v>
      </c>
      <c r="R31" s="26">
        <f t="shared" si="6"/>
        <v>-74503759.264829338</v>
      </c>
      <c r="S31" s="26">
        <f t="shared" si="6"/>
        <v>1990969770.3589711</v>
      </c>
    </row>
    <row r="32" spans="1:19" ht="21" customHeight="1">
      <c r="C32" s="55" t="s">
        <v>298</v>
      </c>
      <c r="D32" s="55"/>
      <c r="E32" s="11" t="s">
        <v>9364</v>
      </c>
      <c r="F32" s="12"/>
      <c r="G32" s="11"/>
      <c r="H32" s="2">
        <v>-128906426.88000001</v>
      </c>
      <c r="I32" s="14">
        <f>+IF($J$3="SI",Deuda!J84,Deuda!J27)</f>
        <v>-9592519.7548723519</v>
      </c>
      <c r="J32" s="14">
        <f>+IF($J$3="SI",Deuda!K84,Deuda!K27)</f>
        <v>-9742331.8969459664</v>
      </c>
      <c r="K32" s="14">
        <f>+IF($J$3="SI",Deuda!L84,Deuda!L27)</f>
        <v>14782523.144148391</v>
      </c>
      <c r="L32" s="14">
        <f>+IF($J$3="SI",Deuda!M84,Deuda!M27)</f>
        <v>-11308767.230084024</v>
      </c>
      <c r="M32" s="14">
        <f>+IF($J$3="SI",Deuda!N84,Deuda!N27)</f>
        <v>-17097129.994248569</v>
      </c>
      <c r="N32" s="14">
        <f>+IF($J$3="SI",Deuda!O84,Deuda!O27)</f>
        <v>-17189219.200683858</v>
      </c>
      <c r="O32" s="14">
        <f>+IF($J$3="SI",Deuda!P84,Deuda!P27)</f>
        <v>-17281319.515860286</v>
      </c>
      <c r="P32" s="14">
        <f>+IF($J$3="SI",Deuda!Q84,Deuda!Q27)</f>
        <v>-65565461.577324182</v>
      </c>
      <c r="Q32" s="14">
        <f>+IF($J$3="SI",Deuda!R84,Deuda!R27)</f>
        <v>-67465459.19186452</v>
      </c>
      <c r="R32" s="14">
        <f>+IF($J$3="SI",Deuda!S84,Deuda!S27)</f>
        <v>-17557449.312100321</v>
      </c>
      <c r="S32" s="14">
        <f>+IF($J$3="SI",Deuda!T84,Deuda!T27)</f>
        <v>-17649352.01245258</v>
      </c>
    </row>
    <row r="33" spans="5:19" ht="21" customHeight="1">
      <c r="E33" s="11" t="s">
        <v>9365</v>
      </c>
      <c r="F33" s="12"/>
      <c r="G33" s="11"/>
      <c r="H33" s="14">
        <f>+Deuda!I79+'Proyección PPAs'!E98</f>
        <v>0</v>
      </c>
      <c r="I33" s="14">
        <f>+Deuda!J79+'Proyección PPAs'!F98</f>
        <v>0</v>
      </c>
      <c r="J33" s="14">
        <f>+Deuda!K79+'Proyección PPAs'!G98</f>
        <v>0</v>
      </c>
      <c r="K33" s="14">
        <f>+Deuda!L79+'Proyección PPAs'!H98</f>
        <v>0</v>
      </c>
      <c r="L33" s="14">
        <f>+Deuda!M79+'Proyección PPAs'!I98</f>
        <v>628930038.29992139</v>
      </c>
      <c r="M33" s="14">
        <f>+Deuda!N79+'Proyección PPAs'!J98</f>
        <v>247590606.76999155</v>
      </c>
      <c r="N33" s="14">
        <f>+Deuda!O79+'Proyección PPAs'!K98</f>
        <v>175638240.26630369</v>
      </c>
      <c r="O33" s="14">
        <f>+Deuda!P79+'Proyección PPAs'!L98</f>
        <v>36669455.790756501</v>
      </c>
      <c r="P33" s="14">
        <f>+Deuda!Q79+'Proyección PPAs'!M98</f>
        <v>484484721.49052048</v>
      </c>
      <c r="Q33" s="14">
        <f>+Deuda!R79+'Proyección PPAs'!N98</f>
        <v>677279791.30907345</v>
      </c>
      <c r="R33" s="14">
        <f>+Deuda!S79+'Proyección PPAs'!O98</f>
        <v>770595981.173437</v>
      </c>
      <c r="S33" s="14">
        <f>+Deuda!T79+'Proyección PPAs'!P98</f>
        <v>470785810.47304541</v>
      </c>
    </row>
    <row r="34" spans="5:19" ht="21" customHeight="1">
      <c r="E34" s="15" t="s">
        <v>9056</v>
      </c>
      <c r="F34" s="16"/>
      <c r="G34" s="17"/>
      <c r="H34" s="18">
        <f t="shared" ref="H34" si="7">+H31+H32</f>
        <v>-1240544250.7023799</v>
      </c>
      <c r="I34" s="16">
        <f t="shared" ref="I34:S34" si="8">+I31+I32+I33</f>
        <v>-816498569.77248108</v>
      </c>
      <c r="J34" s="16">
        <f t="shared" si="8"/>
        <v>213987951.40765545</v>
      </c>
      <c r="K34" s="16">
        <f t="shared" si="8"/>
        <v>780782607.75326359</v>
      </c>
      <c r="L34" s="16">
        <f t="shared" si="8"/>
        <v>2095589938.1233048</v>
      </c>
      <c r="M34" s="16">
        <f t="shared" si="8"/>
        <v>147031125.05789658</v>
      </c>
      <c r="N34" s="16">
        <f t="shared" si="8"/>
        <v>-1382583090.7195842</v>
      </c>
      <c r="O34" s="16">
        <f t="shared" si="8"/>
        <v>303107000.84384036</v>
      </c>
      <c r="P34" s="16">
        <f t="shared" si="8"/>
        <v>554266804.32152581</v>
      </c>
      <c r="Q34" s="16">
        <f t="shared" si="8"/>
        <v>-486069978.10583377</v>
      </c>
      <c r="R34" s="16">
        <f t="shared" si="8"/>
        <v>678534772.59650731</v>
      </c>
      <c r="S34" s="16">
        <f t="shared" si="8"/>
        <v>2444106228.8195639</v>
      </c>
    </row>
    <row r="35" spans="5:19" ht="21" customHeight="1">
      <c r="E35" s="11" t="s">
        <v>9057</v>
      </c>
      <c r="F35" s="12"/>
      <c r="G35" s="11"/>
      <c r="H35" s="2"/>
      <c r="I35" s="2"/>
      <c r="J35" s="2"/>
      <c r="K35" s="2"/>
      <c r="L35" s="2"/>
      <c r="M35" s="6"/>
      <c r="N35" s="2"/>
      <c r="O35" s="2"/>
      <c r="P35" s="2"/>
      <c r="Q35" s="2"/>
      <c r="R35" s="2"/>
      <c r="S35" s="2"/>
    </row>
    <row r="36" spans="5:19" ht="21" customHeight="1">
      <c r="E36" s="11" t="s">
        <v>9059</v>
      </c>
      <c r="F36" s="11"/>
      <c r="G36" s="11"/>
      <c r="H36" s="6"/>
      <c r="J36" s="6"/>
      <c r="K36" s="6"/>
      <c r="L36" s="6"/>
      <c r="M36" s="6"/>
      <c r="N36" s="6"/>
      <c r="O36" s="6"/>
      <c r="P36" s="6"/>
      <c r="Q36" s="6"/>
      <c r="R36" s="6"/>
      <c r="S36" s="6"/>
    </row>
    <row r="37" spans="5:19" ht="15.75" customHeight="1">
      <c r="E37" s="15" t="s">
        <v>9060</v>
      </c>
      <c r="F37" s="16"/>
      <c r="G37" s="17"/>
      <c r="H37" s="16">
        <f>+H34+H35+H36</f>
        <v>-1240544250.7023799</v>
      </c>
      <c r="I37" s="377">
        <f>+I34+I35+I36</f>
        <v>-816498569.77248108</v>
      </c>
      <c r="J37" s="377">
        <f t="shared" ref="J37:S37" si="9">+J34+SUM(J35:J36)</f>
        <v>213987951.40765545</v>
      </c>
      <c r="K37" s="16">
        <f t="shared" si="9"/>
        <v>780782607.75326359</v>
      </c>
      <c r="L37" s="16">
        <f t="shared" si="9"/>
        <v>2095589938.1233048</v>
      </c>
      <c r="M37" s="16">
        <f t="shared" si="9"/>
        <v>147031125.05789658</v>
      </c>
      <c r="N37" s="16">
        <f t="shared" si="9"/>
        <v>-1382583090.7195842</v>
      </c>
      <c r="O37" s="16">
        <f t="shared" si="9"/>
        <v>303107000.84384036</v>
      </c>
      <c r="P37" s="16">
        <f t="shared" si="9"/>
        <v>554266804.32152581</v>
      </c>
      <c r="Q37" s="16">
        <f t="shared" si="9"/>
        <v>-486069978.10583377</v>
      </c>
      <c r="R37" s="16">
        <f t="shared" si="9"/>
        <v>678534772.59650731</v>
      </c>
      <c r="S37" s="16">
        <f t="shared" si="9"/>
        <v>2444106228.8195639</v>
      </c>
    </row>
    <row r="38" spans="5:19" ht="15.75" customHeight="1">
      <c r="E38" s="11" t="s">
        <v>9061</v>
      </c>
      <c r="F38" s="12"/>
      <c r="G38" s="11"/>
      <c r="H38" s="27">
        <v>1626292257.0400002</v>
      </c>
      <c r="I38" s="378">
        <f>+H39</f>
        <v>385748006.33762026</v>
      </c>
      <c r="J38" s="378">
        <f t="shared" ref="J38:S38" si="10">+I39</f>
        <v>-430750563.43486083</v>
      </c>
      <c r="K38" s="27">
        <f t="shared" si="10"/>
        <v>-216762612.02720538</v>
      </c>
      <c r="L38" s="27">
        <f t="shared" si="10"/>
        <v>564019995.72605824</v>
      </c>
      <c r="M38" s="27">
        <f t="shared" si="10"/>
        <v>2659609933.8493633</v>
      </c>
      <c r="N38" s="27">
        <f t="shared" si="10"/>
        <v>2806641058.9072599</v>
      </c>
      <c r="O38" s="27">
        <f t="shared" si="10"/>
        <v>1424057968.1876757</v>
      </c>
      <c r="P38" s="27">
        <f t="shared" si="10"/>
        <v>1727164969.0315161</v>
      </c>
      <c r="Q38" s="27">
        <f t="shared" si="10"/>
        <v>2281431773.3530416</v>
      </c>
      <c r="R38" s="27">
        <f t="shared" si="10"/>
        <v>1795361795.2472079</v>
      </c>
      <c r="S38" s="27">
        <f t="shared" si="10"/>
        <v>2473896567.8437152</v>
      </c>
    </row>
    <row r="39" spans="5:19" ht="15.75" customHeight="1">
      <c r="E39" s="28" t="s">
        <v>9062</v>
      </c>
      <c r="F39" s="29"/>
      <c r="G39" s="30"/>
      <c r="H39" s="32">
        <f t="shared" ref="H39:S39" si="11">+H37+H38</f>
        <v>385748006.33762026</v>
      </c>
      <c r="I39" s="32">
        <f t="shared" si="11"/>
        <v>-430750563.43486083</v>
      </c>
      <c r="J39" s="32">
        <f t="shared" si="11"/>
        <v>-216762612.02720538</v>
      </c>
      <c r="K39" s="32">
        <f t="shared" si="11"/>
        <v>564019995.72605824</v>
      </c>
      <c r="L39" s="32">
        <f t="shared" si="11"/>
        <v>2659609933.8493633</v>
      </c>
      <c r="M39" s="32">
        <f t="shared" si="11"/>
        <v>2806641058.9072599</v>
      </c>
      <c r="N39" s="32">
        <f t="shared" si="11"/>
        <v>1424057968.1876757</v>
      </c>
      <c r="O39" s="32">
        <f t="shared" si="11"/>
        <v>1727164969.0315161</v>
      </c>
      <c r="P39" s="32">
        <f t="shared" si="11"/>
        <v>2281431773.3530416</v>
      </c>
      <c r="Q39" s="32">
        <f t="shared" si="11"/>
        <v>1795361795.2472079</v>
      </c>
      <c r="R39" s="32">
        <f t="shared" si="11"/>
        <v>2473896567.8437152</v>
      </c>
      <c r="S39" s="32">
        <f t="shared" si="11"/>
        <v>4918002796.6632786</v>
      </c>
    </row>
    <row r="40" spans="5:19" ht="15.75" customHeight="1">
      <c r="E40" s="30"/>
      <c r="F40" s="223"/>
      <c r="G40" s="30"/>
      <c r="H40" s="224"/>
      <c r="I40" s="224"/>
      <c r="J40" s="224"/>
      <c r="K40" s="224"/>
      <c r="L40" s="224"/>
      <c r="M40" s="224"/>
      <c r="N40" s="224"/>
      <c r="O40" s="224"/>
      <c r="P40" s="224"/>
      <c r="Q40" s="224"/>
      <c r="R40" s="224"/>
      <c r="S40" s="224"/>
    </row>
    <row r="41" spans="5:19" ht="15.75" customHeight="1">
      <c r="E41" s="30"/>
      <c r="F41" s="223"/>
      <c r="G41" s="30"/>
      <c r="H41" s="224"/>
      <c r="I41" s="224"/>
      <c r="J41" s="224"/>
      <c r="K41" s="224"/>
      <c r="L41" s="224"/>
      <c r="M41" s="224"/>
      <c r="N41" s="224"/>
      <c r="O41" s="224"/>
      <c r="P41" s="224"/>
      <c r="Q41" s="224"/>
      <c r="R41" s="224"/>
      <c r="S41" s="224"/>
    </row>
    <row r="42" spans="5:19" ht="15.75" customHeight="1">
      <c r="E42" s="30"/>
      <c r="F42" s="223"/>
      <c r="G42" s="30"/>
      <c r="H42" s="224"/>
      <c r="I42" s="224"/>
      <c r="J42" s="224"/>
      <c r="K42" s="224"/>
      <c r="L42" s="224"/>
      <c r="M42" s="332"/>
      <c r="N42" s="224"/>
      <c r="O42" s="224"/>
      <c r="P42" s="224"/>
      <c r="Q42" s="224"/>
      <c r="R42" s="224"/>
      <c r="S42" s="224"/>
    </row>
    <row r="43" spans="5:19" ht="15.75" customHeight="1">
      <c r="E43" s="1"/>
      <c r="F43" s="7">
        <v>2023</v>
      </c>
      <c r="G43" s="1"/>
      <c r="H43" s="8">
        <v>45292</v>
      </c>
      <c r="I43" s="8">
        <v>45323</v>
      </c>
      <c r="J43" s="9">
        <v>45352</v>
      </c>
      <c r="K43" s="8">
        <v>45383</v>
      </c>
      <c r="L43" s="8">
        <v>45413</v>
      </c>
      <c r="M43" s="9">
        <v>45444</v>
      </c>
      <c r="N43" s="8">
        <v>45474</v>
      </c>
      <c r="O43" s="8">
        <v>45505</v>
      </c>
      <c r="P43" s="9">
        <v>45536</v>
      </c>
      <c r="Q43" s="8">
        <v>45566</v>
      </c>
      <c r="R43" s="8">
        <v>45597</v>
      </c>
      <c r="S43" s="9">
        <v>45627</v>
      </c>
    </row>
    <row r="44" spans="5:19" ht="15.75" customHeight="1">
      <c r="E44" s="11" t="s">
        <v>5051</v>
      </c>
      <c r="F44" s="12"/>
      <c r="G44" s="11"/>
      <c r="H44" s="2">
        <f t="shared" ref="H44:S44" si="12">+H8</f>
        <v>0</v>
      </c>
      <c r="I44" s="2">
        <f t="shared" si="12"/>
        <v>0</v>
      </c>
      <c r="J44" s="2">
        <f t="shared" si="12"/>
        <v>182110990</v>
      </c>
      <c r="K44" s="2">
        <f t="shared" si="12"/>
        <v>0</v>
      </c>
      <c r="L44" s="2">
        <f t="shared" si="12"/>
        <v>0</v>
      </c>
      <c r="M44" s="2">
        <f t="shared" si="12"/>
        <v>3687660722</v>
      </c>
      <c r="N44" s="2">
        <f t="shared" si="12"/>
        <v>350000000</v>
      </c>
      <c r="O44" s="2">
        <f t="shared" si="12"/>
        <v>1368600000</v>
      </c>
      <c r="P44" s="2">
        <f t="shared" si="12"/>
        <v>6226824000</v>
      </c>
      <c r="Q44" s="2">
        <f t="shared" si="12"/>
        <v>4350000000</v>
      </c>
      <c r="R44" s="2">
        <f t="shared" si="12"/>
        <v>549118674</v>
      </c>
      <c r="S44" s="2">
        <f t="shared" si="12"/>
        <v>13261532598.41292</v>
      </c>
    </row>
    <row r="45" spans="5:19" ht="15.75" customHeight="1">
      <c r="E45" s="11" t="s">
        <v>9010</v>
      </c>
      <c r="F45" s="12"/>
      <c r="G45" s="11"/>
      <c r="H45" s="2">
        <f t="shared" ref="H45:S45" si="13">+H9</f>
        <v>0</v>
      </c>
      <c r="I45" s="2">
        <f t="shared" si="13"/>
        <v>0</v>
      </c>
      <c r="J45" s="2">
        <f t="shared" si="13"/>
        <v>-74861403.840425521</v>
      </c>
      <c r="K45" s="2">
        <f t="shared" si="13"/>
        <v>0</v>
      </c>
      <c r="L45" s="2">
        <f t="shared" si="13"/>
        <v>0</v>
      </c>
      <c r="M45" s="2">
        <f t="shared" si="13"/>
        <v>-3004094764.9927607</v>
      </c>
      <c r="N45" s="2">
        <f t="shared" si="13"/>
        <v>-262500000</v>
      </c>
      <c r="O45" s="2">
        <f t="shared" si="13"/>
        <v>-340005104.95467424</v>
      </c>
      <c r="P45" s="2">
        <f t="shared" si="13"/>
        <v>-4028671491.7004118</v>
      </c>
      <c r="Q45" s="2">
        <f t="shared" si="13"/>
        <v>-3463000000</v>
      </c>
      <c r="R45" s="2">
        <f t="shared" si="13"/>
        <v>-262500000</v>
      </c>
      <c r="S45" s="2">
        <f t="shared" si="13"/>
        <v>-10758685628.58984</v>
      </c>
    </row>
    <row r="46" spans="5:19" ht="15.75" customHeight="1">
      <c r="E46" s="11" t="s">
        <v>9011</v>
      </c>
      <c r="F46" s="12"/>
      <c r="G46" s="11"/>
      <c r="H46" s="2">
        <f t="shared" ref="H46:S46" si="14">+H10</f>
        <v>26920733.870000001</v>
      </c>
      <c r="I46" s="2">
        <f t="shared" si="14"/>
        <v>32128218.418228619</v>
      </c>
      <c r="J46" s="2">
        <f t="shared" si="14"/>
        <v>38429696.276008353</v>
      </c>
      <c r="K46" s="2">
        <f t="shared" si="14"/>
        <v>38429696.276008353</v>
      </c>
      <c r="L46" s="2">
        <f t="shared" si="14"/>
        <v>45284980.789524682</v>
      </c>
      <c r="M46" s="2">
        <f t="shared" si="14"/>
        <v>47578300.70029337</v>
      </c>
      <c r="N46" s="2">
        <f t="shared" si="14"/>
        <v>49614195.280060753</v>
      </c>
      <c r="O46" s="2">
        <f t="shared" si="14"/>
        <v>56796133.162083037</v>
      </c>
      <c r="P46" s="2">
        <f t="shared" si="14"/>
        <v>66126155.104855008</v>
      </c>
      <c r="Q46" s="2">
        <f t="shared" si="14"/>
        <v>66495614.793264173</v>
      </c>
      <c r="R46" s="2">
        <f t="shared" si="14"/>
        <v>92786311.823338538</v>
      </c>
      <c r="S46" s="2">
        <f t="shared" si="14"/>
        <v>93107731.801819578</v>
      </c>
    </row>
    <row r="47" spans="5:19" ht="15.75" customHeight="1">
      <c r="E47" s="11" t="s">
        <v>9012</v>
      </c>
      <c r="F47" s="12"/>
      <c r="G47" s="11"/>
      <c r="H47" s="2">
        <f t="shared" ref="H47:S47" si="15">+H11</f>
        <v>-4498059.6123798173</v>
      </c>
      <c r="I47" s="2">
        <f t="shared" si="15"/>
        <v>-4498059.6123798173</v>
      </c>
      <c r="J47" s="2">
        <f t="shared" si="15"/>
        <v>-4498059.6123798173</v>
      </c>
      <c r="K47" s="2">
        <f t="shared" si="15"/>
        <v>-4498059.6123798173</v>
      </c>
      <c r="L47" s="2">
        <f t="shared" si="15"/>
        <v>-4498059.6123798173</v>
      </c>
      <c r="M47" s="2">
        <f t="shared" si="15"/>
        <v>-4498059.6123798173</v>
      </c>
      <c r="N47" s="2">
        <f t="shared" si="15"/>
        <v>-4498059.6123798173</v>
      </c>
      <c r="O47" s="2">
        <f t="shared" si="15"/>
        <v>-7830450</v>
      </c>
      <c r="P47" s="2">
        <f t="shared" si="15"/>
        <v>-7830450</v>
      </c>
      <c r="Q47" s="2">
        <f t="shared" si="15"/>
        <v>-7830450</v>
      </c>
      <c r="R47" s="2">
        <f t="shared" si="15"/>
        <v>-7830450</v>
      </c>
      <c r="S47" s="2">
        <f t="shared" si="15"/>
        <v>-7830450</v>
      </c>
    </row>
    <row r="48" spans="5:19" ht="15.75" customHeight="1">
      <c r="E48" s="11" t="s">
        <v>9358</v>
      </c>
      <c r="F48" s="13"/>
      <c r="G48" s="11"/>
      <c r="H48" s="2">
        <f t="shared" ref="H48:S48" si="16">+H12</f>
        <v>0</v>
      </c>
      <c r="I48" s="2">
        <f t="shared" si="16"/>
        <v>0</v>
      </c>
      <c r="J48" s="2">
        <f t="shared" si="16"/>
        <v>0</v>
      </c>
      <c r="K48" s="2">
        <f t="shared" si="16"/>
        <v>0</v>
      </c>
      <c r="L48" s="2">
        <f t="shared" si="16"/>
        <v>0</v>
      </c>
      <c r="M48" s="2">
        <f t="shared" si="16"/>
        <v>0</v>
      </c>
      <c r="N48" s="2">
        <f t="shared" si="16"/>
        <v>10611642.672840001</v>
      </c>
      <c r="O48" s="2">
        <f t="shared" si="16"/>
        <v>10611642.672840001</v>
      </c>
      <c r="P48" s="2">
        <f t="shared" si="16"/>
        <v>10611642.672840001</v>
      </c>
      <c r="Q48" s="2">
        <f t="shared" si="16"/>
        <v>10611642.672840001</v>
      </c>
      <c r="R48" s="2">
        <f t="shared" si="16"/>
        <v>10611642.672840001</v>
      </c>
      <c r="S48" s="2">
        <f t="shared" si="16"/>
        <v>10611642.672840001</v>
      </c>
    </row>
    <row r="49" spans="5:19" ht="15.75" customHeight="1">
      <c r="E49" s="15" t="s">
        <v>9017</v>
      </c>
      <c r="F49" s="16"/>
      <c r="G49" s="17"/>
      <c r="H49" s="18">
        <f t="shared" ref="H49:S49" si="17">+SUM(H44:H48)</f>
        <v>22422674.257620186</v>
      </c>
      <c r="I49" s="18">
        <f t="shared" si="17"/>
        <v>27630158.8058488</v>
      </c>
      <c r="J49" s="18">
        <f t="shared" si="17"/>
        <v>141181222.823203</v>
      </c>
      <c r="K49" s="18">
        <f t="shared" si="17"/>
        <v>33931636.663628533</v>
      </c>
      <c r="L49" s="18">
        <f t="shared" si="17"/>
        <v>40786921.177144863</v>
      </c>
      <c r="M49" s="18">
        <f t="shared" si="17"/>
        <v>726646198.09515297</v>
      </c>
      <c r="N49" s="18">
        <f t="shared" si="17"/>
        <v>143227778.34052095</v>
      </c>
      <c r="O49" s="18">
        <f t="shared" si="17"/>
        <v>1088172220.880249</v>
      </c>
      <c r="P49" s="18">
        <f t="shared" si="17"/>
        <v>2267059856.0772834</v>
      </c>
      <c r="Q49" s="18">
        <f t="shared" si="17"/>
        <v>956276807.46610415</v>
      </c>
      <c r="R49" s="18">
        <f t="shared" si="17"/>
        <v>382186178.49617851</v>
      </c>
      <c r="S49" s="18">
        <f t="shared" si="17"/>
        <v>2598735894.29774</v>
      </c>
    </row>
    <row r="50" spans="5:19" ht="15.75" customHeight="1">
      <c r="E50" s="151" t="s">
        <v>9018</v>
      </c>
      <c r="F50" s="12"/>
      <c r="G50" s="11"/>
      <c r="H50" s="2">
        <f t="shared" ref="H50:S50" si="18">+H14</f>
        <v>-76900485.030000001</v>
      </c>
      <c r="I50" s="2">
        <f t="shared" si="18"/>
        <v>-172520262.84303373</v>
      </c>
      <c r="J50" s="2">
        <f t="shared" si="18"/>
        <v>-168731328.89185175</v>
      </c>
      <c r="K50" s="2">
        <f t="shared" si="18"/>
        <v>-102731328.89185175</v>
      </c>
      <c r="L50" s="2">
        <f t="shared" si="18"/>
        <v>-102731328.89185175</v>
      </c>
      <c r="M50" s="2">
        <f t="shared" si="18"/>
        <v>-139467994.6702221</v>
      </c>
      <c r="N50" s="2">
        <f t="shared" si="18"/>
        <v>-131677594.6702221</v>
      </c>
      <c r="O50" s="2">
        <f t="shared" si="18"/>
        <v>-131677594.6702221</v>
      </c>
      <c r="P50" s="2">
        <f t="shared" si="18"/>
        <v>-131677594.6702221</v>
      </c>
      <c r="Q50" s="2">
        <f t="shared" si="18"/>
        <v>-131677594.6702221</v>
      </c>
      <c r="R50" s="2">
        <f t="shared" si="18"/>
        <v>-131677594.6702221</v>
      </c>
      <c r="S50" s="2">
        <f t="shared" si="18"/>
        <v>-147867994.6702221</v>
      </c>
    </row>
    <row r="51" spans="5:19" ht="15.75" customHeight="1">
      <c r="E51" s="11" t="s">
        <v>9019</v>
      </c>
      <c r="F51" s="12"/>
      <c r="G51" s="11"/>
      <c r="H51" s="2">
        <f t="shared" ref="H51:S51" si="19">+H15</f>
        <v>-6268097.4400000004</v>
      </c>
      <c r="I51" s="2">
        <f t="shared" si="19"/>
        <v>-6000000</v>
      </c>
      <c r="J51" s="2">
        <f t="shared" si="19"/>
        <v>-6000000</v>
      </c>
      <c r="K51" s="2">
        <f t="shared" si="19"/>
        <v>-6000000</v>
      </c>
      <c r="L51" s="2">
        <f t="shared" si="19"/>
        <v>-6000000</v>
      </c>
      <c r="M51" s="2">
        <f t="shared" si="19"/>
        <v>-6000000</v>
      </c>
      <c r="N51" s="2">
        <f t="shared" si="19"/>
        <v>-6000000</v>
      </c>
      <c r="O51" s="2">
        <f t="shared" si="19"/>
        <v>-6000000</v>
      </c>
      <c r="P51" s="2">
        <f t="shared" si="19"/>
        <v>-6000000</v>
      </c>
      <c r="Q51" s="2">
        <f t="shared" si="19"/>
        <v>-6000000</v>
      </c>
      <c r="R51" s="2">
        <f t="shared" si="19"/>
        <v>-6000000</v>
      </c>
      <c r="S51" s="2">
        <f t="shared" si="19"/>
        <v>-6000000</v>
      </c>
    </row>
    <row r="52" spans="5:19" ht="15.75" customHeight="1">
      <c r="E52" s="11" t="s">
        <v>9020</v>
      </c>
      <c r="F52" s="12"/>
      <c r="G52" s="11"/>
      <c r="H52" s="2">
        <f t="shared" ref="H52:S52" si="20">+H16</f>
        <v>-13477138.120000001</v>
      </c>
      <c r="I52" s="2">
        <f t="shared" si="20"/>
        <v>-3456808.4537224001</v>
      </c>
      <c r="J52" s="2">
        <f t="shared" si="20"/>
        <v>-3361706.6903562048</v>
      </c>
      <c r="K52" s="2">
        <f t="shared" si="20"/>
        <v>-3264646.6609531813</v>
      </c>
      <c r="L52" s="2">
        <f t="shared" si="20"/>
        <v>-5096662.0943843424</v>
      </c>
      <c r="M52" s="2">
        <f t="shared" si="20"/>
        <v>-11600661.588409133</v>
      </c>
      <c r="N52" s="2">
        <f t="shared" si="20"/>
        <v>-11508572.381973848</v>
      </c>
      <c r="O52" s="2">
        <f t="shared" si="20"/>
        <v>-11416472.066797419</v>
      </c>
      <c r="P52" s="2">
        <f t="shared" si="20"/>
        <v>-19998953.725333519</v>
      </c>
      <c r="Q52" s="2">
        <f t="shared" si="20"/>
        <v>-27336648.400112934</v>
      </c>
      <c r="R52" s="2">
        <f t="shared" si="20"/>
        <v>-25749101.616314389</v>
      </c>
      <c r="S52" s="2">
        <f t="shared" si="20"/>
        <v>-35323750.040763028</v>
      </c>
    </row>
    <row r="53" spans="5:19" ht="15.75" customHeight="1">
      <c r="E53" s="11" t="s">
        <v>9021</v>
      </c>
      <c r="F53" s="12"/>
      <c r="G53" s="11"/>
      <c r="H53" s="2">
        <f t="shared" ref="H53:S53" si="21">+H17</f>
        <v>-4444696.0999999996</v>
      </c>
      <c r="I53" s="2">
        <f t="shared" si="21"/>
        <v>-76971742.823703498</v>
      </c>
      <c r="J53" s="2">
        <f t="shared" si="21"/>
        <v>-71662722.688823506</v>
      </c>
      <c r="K53" s="2">
        <f t="shared" si="21"/>
        <v>-63763310.411851749</v>
      </c>
      <c r="L53" s="2">
        <f t="shared" si="21"/>
        <v>-62763310.411851749</v>
      </c>
      <c r="M53" s="2">
        <f t="shared" si="21"/>
        <v>-62763310.411851749</v>
      </c>
      <c r="N53" s="2">
        <f t="shared" si="21"/>
        <v>-76960810.411851749</v>
      </c>
      <c r="O53" s="2">
        <f t="shared" si="21"/>
        <v>-62763310.411851749</v>
      </c>
      <c r="P53" s="2">
        <f t="shared" si="21"/>
        <v>-62763310.411851749</v>
      </c>
      <c r="Q53" s="2">
        <f t="shared" si="21"/>
        <v>-62763310.411851749</v>
      </c>
      <c r="R53" s="2">
        <f t="shared" si="21"/>
        <v>-62763310.411851749</v>
      </c>
      <c r="S53" s="2">
        <f t="shared" si="21"/>
        <v>-72763310.411851749</v>
      </c>
    </row>
    <row r="54" spans="5:19" ht="15.75" customHeight="1">
      <c r="E54" s="15" t="s">
        <v>9022</v>
      </c>
      <c r="F54" s="16"/>
      <c r="G54" s="17"/>
      <c r="H54" s="18">
        <f t="shared" ref="H54:S54" si="22">+SUM(H49:H53)</f>
        <v>-78667742.432379812</v>
      </c>
      <c r="I54" s="18">
        <f t="shared" si="22"/>
        <v>-231318655.31461081</v>
      </c>
      <c r="J54" s="18">
        <f t="shared" si="22"/>
        <v>-108574535.44782847</v>
      </c>
      <c r="K54" s="18">
        <f t="shared" si="22"/>
        <v>-141827649.30102813</v>
      </c>
      <c r="L54" s="18">
        <f t="shared" si="22"/>
        <v>-135804380.22094297</v>
      </c>
      <c r="M54" s="18">
        <f t="shared" si="22"/>
        <v>506814231.42466986</v>
      </c>
      <c r="N54" s="18">
        <f t="shared" si="22"/>
        <v>-82919199.123526752</v>
      </c>
      <c r="O54" s="18">
        <f t="shared" si="22"/>
        <v>876314843.73137784</v>
      </c>
      <c r="P54" s="18">
        <f t="shared" si="22"/>
        <v>2046619997.2698762</v>
      </c>
      <c r="Q54" s="18">
        <f t="shared" si="22"/>
        <v>728499253.98391724</v>
      </c>
      <c r="R54" s="18">
        <f t="shared" si="22"/>
        <v>155996171.79779029</v>
      </c>
      <c r="S54" s="18">
        <f t="shared" si="22"/>
        <v>2336780839.1749029</v>
      </c>
    </row>
    <row r="55" spans="5:19" ht="15.75" customHeight="1">
      <c r="E55" s="11" t="s">
        <v>9023</v>
      </c>
      <c r="F55" s="12"/>
      <c r="G55" s="11"/>
      <c r="H55" s="21">
        <f t="shared" ref="H55:S55" si="23">+H19</f>
        <v>0</v>
      </c>
      <c r="I55" s="21">
        <f t="shared" si="23"/>
        <v>0</v>
      </c>
      <c r="J55" s="21">
        <f t="shared" si="23"/>
        <v>0</v>
      </c>
      <c r="K55" s="21">
        <f t="shared" si="23"/>
        <v>0</v>
      </c>
      <c r="L55" s="21">
        <f t="shared" si="23"/>
        <v>0</v>
      </c>
      <c r="M55" s="21">
        <f t="shared" si="23"/>
        <v>0</v>
      </c>
      <c r="N55" s="21">
        <f t="shared" si="23"/>
        <v>0</v>
      </c>
      <c r="O55" s="21">
        <f t="shared" si="23"/>
        <v>0</v>
      </c>
      <c r="P55" s="21">
        <f t="shared" si="23"/>
        <v>0</v>
      </c>
      <c r="Q55" s="21">
        <f t="shared" si="23"/>
        <v>0</v>
      </c>
      <c r="R55" s="21">
        <f t="shared" si="23"/>
        <v>0</v>
      </c>
      <c r="S55" s="21">
        <f t="shared" si="23"/>
        <v>0</v>
      </c>
    </row>
    <row r="56" spans="5:19" ht="15.75" customHeight="1">
      <c r="E56" s="11" t="s">
        <v>9025</v>
      </c>
      <c r="F56" s="12"/>
      <c r="G56" s="11"/>
      <c r="H56" s="21">
        <f t="shared" ref="H56:S56" si="24">+H20</f>
        <v>0</v>
      </c>
      <c r="I56" s="21">
        <f t="shared" si="24"/>
        <v>0</v>
      </c>
      <c r="J56" s="21">
        <f t="shared" si="24"/>
        <v>-4000000</v>
      </c>
      <c r="K56" s="21">
        <f t="shared" si="24"/>
        <v>0</v>
      </c>
      <c r="L56" s="21">
        <f t="shared" si="24"/>
        <v>0</v>
      </c>
      <c r="M56" s="21">
        <f t="shared" si="24"/>
        <v>0</v>
      </c>
      <c r="N56" s="21">
        <f t="shared" si="24"/>
        <v>0</v>
      </c>
      <c r="O56" s="21">
        <f t="shared" si="24"/>
        <v>0</v>
      </c>
      <c r="P56" s="21">
        <f t="shared" si="24"/>
        <v>0</v>
      </c>
      <c r="Q56" s="21">
        <f t="shared" si="24"/>
        <v>0</v>
      </c>
      <c r="R56" s="21">
        <f t="shared" si="24"/>
        <v>0</v>
      </c>
      <c r="S56" s="21">
        <f t="shared" si="24"/>
        <v>0</v>
      </c>
    </row>
    <row r="57" spans="5:19" ht="15.75" customHeight="1">
      <c r="E57" s="11" t="s">
        <v>9026</v>
      </c>
      <c r="F57" s="12"/>
      <c r="G57" s="11"/>
      <c r="H57" s="21">
        <f t="shared" ref="H57:S57" si="25">+H21</f>
        <v>0</v>
      </c>
      <c r="I57" s="21">
        <f t="shared" si="25"/>
        <v>0</v>
      </c>
      <c r="J57" s="21">
        <f t="shared" si="25"/>
        <v>0</v>
      </c>
      <c r="K57" s="21">
        <f t="shared" si="25"/>
        <v>0</v>
      </c>
      <c r="L57" s="21">
        <f t="shared" si="25"/>
        <v>0</v>
      </c>
      <c r="M57" s="21">
        <f t="shared" si="25"/>
        <v>0</v>
      </c>
      <c r="N57" s="21">
        <f t="shared" si="25"/>
        <v>0</v>
      </c>
      <c r="O57" s="21">
        <f t="shared" si="25"/>
        <v>0</v>
      </c>
      <c r="P57" s="21">
        <f t="shared" si="25"/>
        <v>0</v>
      </c>
      <c r="Q57" s="21">
        <f t="shared" si="25"/>
        <v>0</v>
      </c>
      <c r="R57" s="21">
        <f t="shared" si="25"/>
        <v>0</v>
      </c>
      <c r="S57" s="21">
        <f t="shared" si="25"/>
        <v>0</v>
      </c>
    </row>
    <row r="58" spans="5:19" ht="15.75" customHeight="1">
      <c r="E58" s="15" t="s">
        <v>9366</v>
      </c>
      <c r="F58" s="16"/>
      <c r="G58" s="17"/>
      <c r="H58" s="18">
        <f t="shared" ref="H58:S58" si="26">+SUM(H54:H57)</f>
        <v>-78667742.432379812</v>
      </c>
      <c r="I58" s="18">
        <f t="shared" si="26"/>
        <v>-231318655.31461081</v>
      </c>
      <c r="J58" s="18">
        <f t="shared" si="26"/>
        <v>-112574535.44782847</v>
      </c>
      <c r="K58" s="18">
        <f t="shared" si="26"/>
        <v>-141827649.30102813</v>
      </c>
      <c r="L58" s="18">
        <f t="shared" si="26"/>
        <v>-135804380.22094297</v>
      </c>
      <c r="M58" s="18">
        <f t="shared" si="26"/>
        <v>506814231.42466986</v>
      </c>
      <c r="N58" s="18">
        <f t="shared" si="26"/>
        <v>-82919199.123526752</v>
      </c>
      <c r="O58" s="18">
        <f t="shared" si="26"/>
        <v>876314843.73137784</v>
      </c>
      <c r="P58" s="18">
        <f t="shared" si="26"/>
        <v>2046619997.2698762</v>
      </c>
      <c r="Q58" s="18">
        <f t="shared" si="26"/>
        <v>728499253.98391724</v>
      </c>
      <c r="R58" s="18">
        <f t="shared" si="26"/>
        <v>155996171.79779029</v>
      </c>
      <c r="S58" s="18">
        <f t="shared" si="26"/>
        <v>2336780839.1749029</v>
      </c>
    </row>
    <row r="59" spans="5:19" ht="15.75" customHeight="1">
      <c r="E59" s="30"/>
      <c r="F59" s="223"/>
      <c r="G59" s="30"/>
      <c r="H59" s="224"/>
      <c r="I59" s="224"/>
      <c r="J59" s="224"/>
      <c r="K59" s="224"/>
      <c r="L59" s="224"/>
      <c r="M59" s="332"/>
      <c r="N59" s="224"/>
      <c r="O59" s="224"/>
      <c r="P59" s="224"/>
      <c r="Q59" s="224"/>
      <c r="R59" s="224"/>
      <c r="S59" s="224"/>
    </row>
    <row r="60" spans="5:19" ht="15.75" customHeight="1">
      <c r="E60" s="30"/>
      <c r="F60" s="223"/>
      <c r="G60" s="30"/>
      <c r="H60" s="224"/>
      <c r="I60" s="224"/>
      <c r="J60" s="224"/>
      <c r="K60" s="224"/>
      <c r="L60" s="224"/>
      <c r="M60" s="332"/>
      <c r="N60" s="224"/>
      <c r="O60" s="224"/>
      <c r="P60" s="224"/>
      <c r="Q60" s="224"/>
      <c r="R60" s="224"/>
      <c r="S60" s="224"/>
    </row>
    <row r="61" spans="5:19" ht="15.75" customHeight="1">
      <c r="E61" s="1"/>
      <c r="F61" s="1"/>
      <c r="G61" s="1"/>
      <c r="H61" s="6"/>
      <c r="I61" s="2"/>
      <c r="J61" s="6"/>
      <c r="K61" s="2"/>
      <c r="L61" s="6"/>
      <c r="M61" s="6"/>
      <c r="N61" s="6"/>
      <c r="O61" s="6"/>
      <c r="P61" s="6"/>
      <c r="Q61" s="6"/>
      <c r="R61" s="6"/>
      <c r="S61" s="6"/>
    </row>
    <row r="62" spans="5:19" ht="15.75" customHeight="1">
      <c r="E62" s="1"/>
      <c r="F62" s="1"/>
      <c r="G62" s="1"/>
      <c r="H62" s="6"/>
      <c r="I62" s="2"/>
      <c r="J62" s="6"/>
      <c r="K62" s="2"/>
      <c r="L62" s="6"/>
      <c r="M62" s="6"/>
      <c r="N62" s="6"/>
      <c r="O62" s="6"/>
      <c r="P62" s="6"/>
      <c r="Q62" s="6"/>
      <c r="R62" s="6"/>
      <c r="S62" s="6"/>
    </row>
    <row r="63" spans="5:19" ht="15.75" customHeight="1">
      <c r="E63" s="1" t="s">
        <v>9262</v>
      </c>
      <c r="F63" s="1"/>
      <c r="G63" s="1"/>
      <c r="H63" s="58"/>
      <c r="J63" s="6"/>
      <c r="K63" s="2"/>
      <c r="L63" s="2"/>
      <c r="M63" s="2"/>
      <c r="N63" s="2"/>
      <c r="O63" s="2"/>
      <c r="P63" s="2"/>
      <c r="Q63" s="2"/>
      <c r="R63" s="6"/>
      <c r="S63" s="6"/>
    </row>
    <row r="64" spans="5:19" ht="15.75" customHeight="1">
      <c r="E64" s="33" t="s">
        <v>9367</v>
      </c>
      <c r="F64" s="33"/>
      <c r="G64" s="33"/>
      <c r="H64" s="6"/>
      <c r="J64" s="6"/>
      <c r="K64" s="6"/>
      <c r="L64" s="6"/>
      <c r="M64" s="6"/>
      <c r="N64" s="6"/>
      <c r="O64" s="6"/>
      <c r="P64" s="6"/>
      <c r="Q64" s="6"/>
      <c r="R64" s="6"/>
      <c r="S64" s="6"/>
    </row>
    <row r="65" spans="5:19" ht="15.75" customHeight="1">
      <c r="E65" s="34"/>
      <c r="F65" s="35">
        <v>2023</v>
      </c>
      <c r="G65" s="34"/>
      <c r="H65" s="8">
        <v>44927</v>
      </c>
      <c r="I65" s="8">
        <v>44958</v>
      </c>
      <c r="J65" s="9">
        <v>44986</v>
      </c>
      <c r="K65" s="9">
        <v>45017</v>
      </c>
      <c r="L65" s="9">
        <v>45047</v>
      </c>
      <c r="M65" s="10">
        <v>45078</v>
      </c>
      <c r="N65" s="10"/>
      <c r="O65" s="10"/>
      <c r="P65" s="10"/>
      <c r="Q65" s="10"/>
      <c r="R65" s="10">
        <v>45108</v>
      </c>
      <c r="S65" s="10">
        <v>45139</v>
      </c>
    </row>
    <row r="66" spans="5:19" ht="15.75" customHeight="1">
      <c r="E66" s="34" t="s">
        <v>9368</v>
      </c>
      <c r="F66" s="34"/>
      <c r="G66" s="34"/>
      <c r="H66" s="6"/>
      <c r="J66" s="36"/>
      <c r="K66" s="36"/>
      <c r="L66" s="36"/>
      <c r="M66" s="6"/>
      <c r="N66" s="6"/>
      <c r="O66" s="6"/>
      <c r="P66" s="6"/>
      <c r="Q66" s="6"/>
      <c r="R66" s="6"/>
      <c r="S66" s="6"/>
    </row>
    <row r="67" spans="5:19" ht="15.75" customHeight="1">
      <c r="E67" s="37" t="s">
        <v>9369</v>
      </c>
      <c r="F67" s="38"/>
      <c r="G67" s="34"/>
      <c r="H67" s="2"/>
      <c r="I67" s="2">
        <f>+I39</f>
        <v>-430750563.43486083</v>
      </c>
      <c r="J67" s="2">
        <f>+J39</f>
        <v>-216762612.02720538</v>
      </c>
      <c r="K67" s="2">
        <f>+K39</f>
        <v>564019995.72605824</v>
      </c>
      <c r="L67" s="2">
        <f>+L39</f>
        <v>2659609933.8493633</v>
      </c>
      <c r="M67" s="2">
        <f>+M39</f>
        <v>2806641058.9072599</v>
      </c>
      <c r="N67" s="2"/>
      <c r="O67" s="2"/>
      <c r="P67" s="2"/>
      <c r="Q67" s="2"/>
      <c r="R67" s="2">
        <f>+R39</f>
        <v>2473896567.8437152</v>
      </c>
      <c r="S67" s="2">
        <f>+S39</f>
        <v>4918002796.6632786</v>
      </c>
    </row>
    <row r="68" spans="5:19" ht="15.75" customHeight="1">
      <c r="E68" s="37" t="s">
        <v>9370</v>
      </c>
      <c r="F68" s="38"/>
      <c r="G68" s="39"/>
      <c r="H68" s="2"/>
      <c r="I68" s="2">
        <v>2169343</v>
      </c>
      <c r="J68" s="2">
        <v>2169343</v>
      </c>
      <c r="K68" s="2">
        <v>37572000</v>
      </c>
      <c r="L68" s="2">
        <v>2169343</v>
      </c>
      <c r="M68" s="102">
        <f>+L68</f>
        <v>2169343</v>
      </c>
      <c r="N68" s="102"/>
      <c r="O68" s="102"/>
      <c r="P68" s="102"/>
      <c r="Q68" s="102"/>
      <c r="R68" s="102">
        <f>+M68</f>
        <v>2169343</v>
      </c>
      <c r="S68" s="102">
        <f t="shared" ref="S68:S70" si="27">+R68</f>
        <v>2169343</v>
      </c>
    </row>
    <row r="69" spans="5:19" ht="15.75" customHeight="1">
      <c r="E69" s="37" t="s">
        <v>9371</v>
      </c>
      <c r="F69" s="38"/>
      <c r="G69" s="39"/>
      <c r="H69" s="2"/>
      <c r="I69" s="2">
        <v>158000</v>
      </c>
      <c r="J69" s="2">
        <v>3653000</v>
      </c>
      <c r="K69" s="2">
        <v>7963068.4199999999</v>
      </c>
      <c r="L69" s="2">
        <v>20415446.5</v>
      </c>
      <c r="M69" s="2">
        <f>+L69</f>
        <v>20415446.5</v>
      </c>
      <c r="N69" s="2"/>
      <c r="O69" s="2"/>
      <c r="P69" s="2"/>
      <c r="Q69" s="2"/>
      <c r="R69" s="2">
        <f>+M69</f>
        <v>20415446.5</v>
      </c>
      <c r="S69" s="2">
        <f t="shared" si="27"/>
        <v>20415446.5</v>
      </c>
    </row>
    <row r="70" spans="5:19" ht="15.75" customHeight="1">
      <c r="E70" s="37" t="s">
        <v>9372</v>
      </c>
      <c r="F70" s="38"/>
      <c r="G70" s="39"/>
      <c r="H70" s="2"/>
      <c r="I70" s="2">
        <v>50000</v>
      </c>
      <c r="J70" s="2">
        <v>50000</v>
      </c>
      <c r="K70" s="2">
        <v>50000</v>
      </c>
      <c r="L70" s="2">
        <v>50000</v>
      </c>
      <c r="M70" s="2">
        <f>+L70</f>
        <v>50000</v>
      </c>
      <c r="N70" s="2"/>
      <c r="O70" s="2"/>
      <c r="P70" s="2"/>
      <c r="Q70" s="2"/>
      <c r="R70" s="2">
        <f>+M70</f>
        <v>50000</v>
      </c>
      <c r="S70" s="2">
        <f t="shared" si="27"/>
        <v>50000</v>
      </c>
    </row>
    <row r="71" spans="5:19" ht="15.75" customHeight="1">
      <c r="E71" s="37" t="s">
        <v>9373</v>
      </c>
      <c r="F71" s="38"/>
      <c r="G71" s="39"/>
      <c r="H71" s="2"/>
      <c r="I71" s="2">
        <f>530928499.44--39327272.2--56757142.3873333-43179170.6248834-3063940.6-3063940.61</f>
        <v>577705862.19244981</v>
      </c>
      <c r="J71" s="2">
        <f>472274395.44-83485519.9984255--39327272.2--56757142.3873333+40978916.97-66472891.1248827-3063940.6-3063940.61-4286098.29999971</f>
        <v>448965336.36402535</v>
      </c>
      <c r="K71" s="2">
        <f>283621000+55316849.6008201-5031381-54701243.8294497-18782625.475667-3063940.6-3063940.61-4247543.78</f>
        <v>250047174.3057034</v>
      </c>
      <c r="L71" s="2">
        <f>55111536.5256575+26802095.4772472-3500000+44022713</f>
        <v>122436345.0029047</v>
      </c>
      <c r="M71" s="2">
        <f>+L71+'Ventas Mini granjas (proyeccion'!F41-'Ventas Mini granjas (proyeccion'!F45+'4  Ventas EPC (Proyeccion)'!C69-'4  Ventas EPC (Proyeccion)'!C71-M29</f>
        <v>2993101632.8929048</v>
      </c>
      <c r="N71" s="2"/>
      <c r="O71" s="2"/>
      <c r="P71" s="2"/>
      <c r="Q71" s="2"/>
      <c r="R71" s="2">
        <f>+M71+'Ventas Mini granjas (proyeccion'!G41-'Ventas Mini granjas (proyeccion'!G45+'4  Ventas EPC (Proyeccion)'!D69-'4  Ventas EPC (Proyeccion)'!D71</f>
        <v>7073101632.8929043</v>
      </c>
      <c r="S71" s="2">
        <f>+R71+'Ventas Mini granjas (proyeccion'!H41-'Ventas Mini granjas (proyeccion'!H45+'4  Ventas EPC (Proyeccion)'!E69-'4  Ventas EPC (Proyeccion)'!E71</f>
        <v>8675732397.3646622</v>
      </c>
    </row>
    <row r="72" spans="5:19" ht="15.75" customHeight="1">
      <c r="E72" s="37" t="s">
        <v>9374</v>
      </c>
      <c r="F72" s="38"/>
      <c r="G72" s="39"/>
      <c r="H72" s="2"/>
      <c r="I72" s="2">
        <f>+H72</f>
        <v>0</v>
      </c>
      <c r="J72" s="2">
        <f>+I72+J19+J20</f>
        <v>-4000000</v>
      </c>
      <c r="K72" s="2">
        <f>+J72+K19+K20</f>
        <v>-4000000</v>
      </c>
      <c r="L72" s="2">
        <v>68287905.753980398</v>
      </c>
      <c r="M72" s="2">
        <f>+L72</f>
        <v>68287905.753980398</v>
      </c>
      <c r="N72" s="2"/>
      <c r="O72" s="2"/>
      <c r="P72" s="2"/>
      <c r="Q72" s="2"/>
      <c r="R72" s="2">
        <f>+M72</f>
        <v>68287905.753980398</v>
      </c>
      <c r="S72" s="2">
        <f t="shared" ref="S72:S73" si="28">+R72</f>
        <v>68287905.753980398</v>
      </c>
    </row>
    <row r="73" spans="5:19" ht="15.75" customHeight="1">
      <c r="E73" s="37" t="s">
        <v>9375</v>
      </c>
      <c r="F73" s="38"/>
      <c r="G73" s="39"/>
      <c r="H73" s="2"/>
      <c r="I73" s="2">
        <v>9274000</v>
      </c>
      <c r="J73" s="2">
        <v>9274000</v>
      </c>
      <c r="K73" s="2">
        <f>+J73+24573917.75</f>
        <v>33847917.75</v>
      </c>
      <c r="L73" s="2">
        <v>9274000</v>
      </c>
      <c r="M73" s="2">
        <f>+L73</f>
        <v>9274000</v>
      </c>
      <c r="N73" s="2"/>
      <c r="O73" s="2"/>
      <c r="P73" s="2"/>
      <c r="Q73" s="2"/>
      <c r="R73" s="2">
        <f>+M73</f>
        <v>9274000</v>
      </c>
      <c r="S73" s="2">
        <f t="shared" si="28"/>
        <v>9274000</v>
      </c>
    </row>
    <row r="74" spans="5:19" ht="15.75" customHeight="1">
      <c r="E74" s="40" t="s">
        <v>9376</v>
      </c>
      <c r="F74" s="41"/>
      <c r="G74" s="39"/>
      <c r="H74" s="41">
        <f t="shared" ref="H74:M74" si="29">+SUM(H67:H73)</f>
        <v>0</v>
      </c>
      <c r="I74" s="41">
        <f t="shared" si="29"/>
        <v>158606641.75758898</v>
      </c>
      <c r="J74" s="42">
        <f t="shared" si="29"/>
        <v>243349067.33681998</v>
      </c>
      <c r="K74" s="42">
        <f t="shared" si="29"/>
        <v>889500156.2017616</v>
      </c>
      <c r="L74" s="41">
        <f t="shared" si="29"/>
        <v>2882242974.1062489</v>
      </c>
      <c r="M74" s="41">
        <f t="shared" si="29"/>
        <v>5899939387.0541458</v>
      </c>
      <c r="N74" s="41"/>
      <c r="O74" s="41"/>
      <c r="P74" s="41"/>
      <c r="Q74" s="41"/>
      <c r="R74" s="41">
        <f t="shared" ref="R74:S74" si="30">+SUM(R67:R73)</f>
        <v>9647194895.9906006</v>
      </c>
      <c r="S74" s="41">
        <f t="shared" si="30"/>
        <v>13693931889.281921</v>
      </c>
    </row>
    <row r="75" spans="5:19" ht="15.75" customHeight="1">
      <c r="E75" s="34"/>
      <c r="F75" s="39"/>
      <c r="G75" s="34"/>
      <c r="H75" s="43"/>
      <c r="I75" s="43"/>
      <c r="J75" s="43"/>
      <c r="K75" s="43"/>
      <c r="L75" s="43"/>
      <c r="M75" s="6"/>
      <c r="N75" s="6"/>
      <c r="O75" s="6"/>
      <c r="P75" s="6"/>
      <c r="Q75" s="6"/>
      <c r="R75" s="6"/>
    </row>
    <row r="76" spans="5:19" ht="15.75" customHeight="1">
      <c r="E76" s="37" t="s">
        <v>9377</v>
      </c>
      <c r="F76" s="38"/>
      <c r="G76" s="39"/>
      <c r="H76" s="44"/>
      <c r="I76" s="44">
        <v>1316733913.5067754</v>
      </c>
      <c r="J76" s="44">
        <v>1685880238.3605869</v>
      </c>
      <c r="K76" s="44">
        <v>1917790373.4059739</v>
      </c>
      <c r="L76" s="44">
        <v>2693439352.3747725</v>
      </c>
      <c r="M76" s="44">
        <f>+L76-M25</f>
        <v>2791538964.427289</v>
      </c>
      <c r="N76" s="44"/>
      <c r="O76" s="44"/>
      <c r="P76" s="44"/>
      <c r="Q76" s="44"/>
      <c r="R76" s="44">
        <f>+M76-R25</f>
        <v>3452596047.805367</v>
      </c>
      <c r="S76" s="44">
        <f>+R76-S25</f>
        <v>3861991131.0889406</v>
      </c>
    </row>
    <row r="77" spans="5:19" ht="15.75" customHeight="1">
      <c r="E77" s="37"/>
      <c r="F77" s="38"/>
      <c r="G77" s="39"/>
      <c r="H77" s="44"/>
      <c r="I77" s="44" t="e">
        <f>+H77+#REF!</f>
        <v>#REF!</v>
      </c>
      <c r="J77" s="44" t="e">
        <f>+I77+#REF!</f>
        <v>#REF!</v>
      </c>
      <c r="K77" s="44" t="e">
        <f>+J77+#REF!</f>
        <v>#REF!</v>
      </c>
      <c r="L77" s="44" t="e">
        <f>+K77+#REF!</f>
        <v>#REF!</v>
      </c>
      <c r="M77" s="44" t="e">
        <f>+L77+#REF!</f>
        <v>#REF!</v>
      </c>
      <c r="N77" s="44"/>
      <c r="O77" s="44"/>
      <c r="P77" s="44"/>
      <c r="Q77" s="44"/>
      <c r="R77" s="44" t="e">
        <f>+M77+#REF!</f>
        <v>#REF!</v>
      </c>
      <c r="S77" s="44" t="e">
        <f>+R77+#REF!</f>
        <v>#REF!</v>
      </c>
    </row>
    <row r="78" spans="5:19" ht="15.75" customHeight="1">
      <c r="E78" s="40" t="s">
        <v>9378</v>
      </c>
      <c r="F78" s="41"/>
      <c r="G78" s="39"/>
      <c r="H78" s="41"/>
      <c r="I78" s="41" t="e">
        <f>+I76-I77</f>
        <v>#REF!</v>
      </c>
      <c r="J78" s="41" t="e">
        <f t="shared" ref="J78:S78" si="31">+J76-J77</f>
        <v>#REF!</v>
      </c>
      <c r="K78" s="41" t="e">
        <f t="shared" si="31"/>
        <v>#REF!</v>
      </c>
      <c r="L78" s="41" t="e">
        <f t="shared" si="31"/>
        <v>#REF!</v>
      </c>
      <c r="M78" s="41" t="e">
        <f t="shared" si="31"/>
        <v>#REF!</v>
      </c>
      <c r="N78" s="41"/>
      <c r="O78" s="41"/>
      <c r="P78" s="41"/>
      <c r="Q78" s="41"/>
      <c r="R78" s="41" t="e">
        <f>+R76-R77</f>
        <v>#REF!</v>
      </c>
      <c r="S78" s="41" t="e">
        <f t="shared" si="31"/>
        <v>#REF!</v>
      </c>
    </row>
    <row r="79" spans="5:19" ht="15.75" customHeight="1">
      <c r="E79" s="40" t="s">
        <v>9379</v>
      </c>
      <c r="F79" s="41"/>
      <c r="G79" s="39"/>
      <c r="H79" s="41"/>
      <c r="I79" s="41" t="e">
        <f t="shared" ref="I79:S79" si="32">+I78+I74</f>
        <v>#REF!</v>
      </c>
      <c r="J79" s="42" t="e">
        <f t="shared" si="32"/>
        <v>#REF!</v>
      </c>
      <c r="K79" s="42" t="e">
        <f t="shared" si="32"/>
        <v>#REF!</v>
      </c>
      <c r="L79" s="41" t="e">
        <f>+L78+L74</f>
        <v>#REF!</v>
      </c>
      <c r="M79" s="41" t="e">
        <f t="shared" si="32"/>
        <v>#REF!</v>
      </c>
      <c r="N79" s="41"/>
      <c r="O79" s="41"/>
      <c r="P79" s="41"/>
      <c r="Q79" s="41"/>
      <c r="R79" s="41" t="e">
        <f t="shared" si="32"/>
        <v>#REF!</v>
      </c>
      <c r="S79" s="41" t="e">
        <f t="shared" si="32"/>
        <v>#REF!</v>
      </c>
    </row>
    <row r="80" spans="5:19" ht="15.75" customHeight="1">
      <c r="E80" s="34"/>
      <c r="F80" s="39"/>
      <c r="G80" s="34"/>
      <c r="H80" s="45"/>
      <c r="I80" s="46" t="e">
        <f>+I79/H79-1</f>
        <v>#REF!</v>
      </c>
      <c r="J80" s="47" t="e">
        <f>+J79/I79-1</f>
        <v>#REF!</v>
      </c>
      <c r="K80" s="47" t="e">
        <f>+K79/J79-1</f>
        <v>#REF!</v>
      </c>
      <c r="L80" s="46" t="e">
        <f>+L79/K79-1</f>
        <v>#REF!</v>
      </c>
      <c r="M80" s="46" t="e">
        <f>+M79/L79-1</f>
        <v>#REF!</v>
      </c>
      <c r="N80" s="46"/>
      <c r="O80" s="46"/>
      <c r="P80" s="46"/>
      <c r="Q80" s="46"/>
      <c r="R80" s="46" t="e">
        <f>+R79/M79-1</f>
        <v>#REF!</v>
      </c>
      <c r="S80" s="46" t="e">
        <f t="shared" ref="S80" si="33">+S79/R79-1</f>
        <v>#REF!</v>
      </c>
    </row>
    <row r="81" spans="5:19" ht="15.75" customHeight="1">
      <c r="E81" s="48" t="s">
        <v>9380</v>
      </c>
      <c r="F81" s="49"/>
      <c r="G81" s="49"/>
      <c r="H81" s="6"/>
      <c r="J81" s="2"/>
      <c r="K81" s="2"/>
      <c r="L81" s="2"/>
      <c r="M81" s="13"/>
      <c r="N81" s="13"/>
      <c r="O81" s="13"/>
      <c r="P81" s="13"/>
      <c r="Q81" s="13"/>
    </row>
    <row r="82" spans="5:19" ht="15.75" customHeight="1">
      <c r="E82" s="58"/>
      <c r="F82" s="38"/>
      <c r="G82" s="39"/>
      <c r="H82" s="2"/>
      <c r="I82" s="2"/>
      <c r="J82" s="2"/>
      <c r="K82" s="2"/>
      <c r="L82" s="2"/>
      <c r="M82" s="2"/>
      <c r="N82" s="2"/>
      <c r="O82" s="2"/>
      <c r="P82" s="2"/>
      <c r="Q82" s="2"/>
      <c r="R82" s="2"/>
      <c r="S82" s="2"/>
    </row>
    <row r="83" spans="5:19" ht="15.75" customHeight="1">
      <c r="E83" s="58" t="s">
        <v>9381</v>
      </c>
      <c r="F83" s="38"/>
      <c r="G83" s="39"/>
      <c r="H83" s="2"/>
      <c r="I83" s="2">
        <f>+H83+I32-10806017.98</f>
        <v>-20398537.734872352</v>
      </c>
      <c r="J83" s="2">
        <f>+I83+183566050+3495000</f>
        <v>166662512.26512766</v>
      </c>
      <c r="K83" s="2">
        <f>439859000+72304000</f>
        <v>512163000</v>
      </c>
      <c r="L83" s="2">
        <f>+K83-280000000-100000000+44837000-30000000-3500000+Deuda!I35</f>
        <v>143500000</v>
      </c>
      <c r="M83" s="2" t="e">
        <f>+Deuda!#REF!+Deuda!J56</f>
        <v>#REF!</v>
      </c>
      <c r="N83" s="2"/>
      <c r="O83" s="2"/>
      <c r="P83" s="2"/>
      <c r="Q83" s="2"/>
      <c r="R83" s="2" t="e">
        <f>+Deuda!#REF!+Deuda!K56</f>
        <v>#REF!</v>
      </c>
      <c r="S83" s="2" t="e">
        <f>+Deuda!#REF!+Deuda!L56</f>
        <v>#REF!</v>
      </c>
    </row>
    <row r="84" spans="5:19" ht="15.75" customHeight="1">
      <c r="E84" s="58" t="s">
        <v>9382</v>
      </c>
      <c r="F84" s="38"/>
      <c r="G84" s="39"/>
      <c r="H84" s="2"/>
      <c r="I84" s="2">
        <f>+H84</f>
        <v>0</v>
      </c>
      <c r="J84" s="2">
        <f>+I84</f>
        <v>0</v>
      </c>
      <c r="K84" s="2">
        <v>37644000</v>
      </c>
      <c r="L84" s="2">
        <f>+K84</f>
        <v>37644000</v>
      </c>
      <c r="M84" s="2">
        <f>+L84</f>
        <v>37644000</v>
      </c>
      <c r="N84" s="2"/>
      <c r="O84" s="2"/>
      <c r="P84" s="2"/>
      <c r="Q84" s="2"/>
      <c r="R84" s="2">
        <f>+M84</f>
        <v>37644000</v>
      </c>
      <c r="S84" s="2">
        <f t="shared" ref="S84:S85" si="34">+R84</f>
        <v>37644000</v>
      </c>
    </row>
    <row r="85" spans="5:19" ht="15.75" customHeight="1">
      <c r="E85" s="58" t="s">
        <v>9383</v>
      </c>
      <c r="F85" s="38"/>
      <c r="G85" s="39"/>
      <c r="H85" s="2"/>
      <c r="I85" s="2">
        <f>+H85-2033000+10806017.98</f>
        <v>8773017.9800000004</v>
      </c>
      <c r="J85" s="2">
        <f>+I85-6070000-4470600.92-602000</f>
        <v>-2369582.9399999995</v>
      </c>
      <c r="K85" s="2">
        <v>8072000</v>
      </c>
      <c r="L85" s="2">
        <f>+K85</f>
        <v>8072000</v>
      </c>
      <c r="M85" s="2" t="e">
        <f>+Deuda!#REF!</f>
        <v>#REF!</v>
      </c>
      <c r="N85" s="2"/>
      <c r="O85" s="2"/>
      <c r="P85" s="2"/>
      <c r="Q85" s="2"/>
      <c r="R85" s="2" t="e">
        <f>+M85</f>
        <v>#REF!</v>
      </c>
      <c r="S85" s="2" t="e">
        <f t="shared" si="34"/>
        <v>#REF!</v>
      </c>
    </row>
    <row r="86" spans="5:19" ht="15.75" customHeight="1">
      <c r="E86" s="58" t="s">
        <v>9384</v>
      </c>
      <c r="F86" s="38"/>
      <c r="G86" s="39"/>
      <c r="H86" s="2"/>
      <c r="I86" s="2">
        <f>+H86+25356600+14150000+15000000+81661786</f>
        <v>136168386</v>
      </c>
      <c r="J86" s="2">
        <f>+I86+8500000</f>
        <v>144668386</v>
      </c>
      <c r="K86" s="2">
        <v>111351000</v>
      </c>
      <c r="L86" s="2" t="e">
        <f>+Deuda!#REF!</f>
        <v>#REF!</v>
      </c>
      <c r="M86" s="2" t="e">
        <f>+Deuda!#REF!</f>
        <v>#REF!</v>
      </c>
      <c r="N86" s="2"/>
      <c r="O86" s="2"/>
      <c r="P86" s="2"/>
      <c r="Q86" s="2"/>
      <c r="R86" s="2" t="e">
        <f>+M86+'Ventas Mini granjas (proyeccion'!G42-'Ventas Mini granjas (proyeccion'!G46+'4  Ventas EPC (Proyeccion)'!D70-'4  Ventas EPC (Proyeccion)'!D72</f>
        <v>#REF!</v>
      </c>
      <c r="S86" s="2" t="e">
        <f>+R86+'Ventas Mini granjas (proyeccion'!H42-'Ventas Mini granjas (proyeccion'!H46+'4  Ventas EPC (Proyeccion)'!E70-'4  Ventas EPC (Proyeccion)'!E72</f>
        <v>#REF!</v>
      </c>
    </row>
    <row r="87" spans="5:19" ht="15.75" customHeight="1">
      <c r="E87" s="40" t="s">
        <v>9385</v>
      </c>
      <c r="F87" s="41"/>
      <c r="G87" s="39"/>
      <c r="H87" s="41"/>
      <c r="I87" s="41">
        <f t="shared" ref="I87:S87" si="35">+SUM(I82:I86)</f>
        <v>124542866.24512765</v>
      </c>
      <c r="J87" s="42">
        <f t="shared" si="35"/>
        <v>308961315.32512766</v>
      </c>
      <c r="K87" s="42">
        <f t="shared" si="35"/>
        <v>669230000</v>
      </c>
      <c r="L87" s="42" t="e">
        <f t="shared" si="35"/>
        <v>#REF!</v>
      </c>
      <c r="M87" s="42" t="e">
        <f t="shared" si="35"/>
        <v>#REF!</v>
      </c>
      <c r="N87" s="42"/>
      <c r="O87" s="42"/>
      <c r="P87" s="42"/>
      <c r="Q87" s="42"/>
      <c r="R87" s="42" t="e">
        <f t="shared" si="35"/>
        <v>#REF!</v>
      </c>
      <c r="S87" s="42" t="e">
        <f t="shared" si="35"/>
        <v>#REF!</v>
      </c>
    </row>
    <row r="88" spans="5:19" ht="15.75" customHeight="1">
      <c r="E88" s="39"/>
      <c r="F88" s="39"/>
      <c r="G88" s="39"/>
      <c r="H88" s="50"/>
      <c r="I88" s="2"/>
      <c r="J88" s="2"/>
      <c r="K88" s="2"/>
      <c r="L88" s="2"/>
      <c r="M88" s="2"/>
      <c r="N88" s="2"/>
      <c r="O88" s="2"/>
      <c r="P88" s="2"/>
      <c r="Q88" s="2"/>
      <c r="R88" s="2"/>
    </row>
    <row r="89" spans="5:19" ht="15.75" customHeight="1">
      <c r="E89" s="39" t="s">
        <v>9386</v>
      </c>
      <c r="F89" s="39"/>
      <c r="G89" s="39"/>
      <c r="H89" s="2"/>
      <c r="I89" s="2"/>
      <c r="J89" s="2"/>
      <c r="K89" s="2">
        <v>100000000</v>
      </c>
      <c r="L89" s="2">
        <f>+K89+100000000</f>
        <v>200000000</v>
      </c>
      <c r="M89" s="2">
        <f>+Deuda!J28</f>
        <v>407645265.17597079</v>
      </c>
      <c r="N89" s="2"/>
      <c r="O89" s="2"/>
      <c r="P89" s="2"/>
      <c r="Q89" s="2"/>
      <c r="R89" s="2">
        <f>+Deuda!K28</f>
        <v>397902933.27902484</v>
      </c>
      <c r="S89" s="2">
        <f>+Deuda!L28</f>
        <v>358007378.8197701</v>
      </c>
    </row>
    <row r="90" spans="5:19" ht="15.75" customHeight="1">
      <c r="E90" s="37" t="s">
        <v>9387</v>
      </c>
      <c r="F90" s="38"/>
      <c r="G90" s="39"/>
      <c r="H90" s="2"/>
      <c r="I90" s="2">
        <f t="shared" ref="I90:S90" si="36">+H90</f>
        <v>0</v>
      </c>
      <c r="J90" s="2">
        <f t="shared" si="36"/>
        <v>0</v>
      </c>
      <c r="K90" s="2">
        <f t="shared" si="36"/>
        <v>0</v>
      </c>
      <c r="L90" s="2">
        <f t="shared" si="36"/>
        <v>0</v>
      </c>
      <c r="M90" s="2">
        <f t="shared" si="36"/>
        <v>0</v>
      </c>
      <c r="N90" s="2"/>
      <c r="O90" s="2"/>
      <c r="P90" s="2"/>
      <c r="Q90" s="2"/>
      <c r="R90" s="2">
        <f>+M90</f>
        <v>0</v>
      </c>
      <c r="S90" s="2">
        <f t="shared" si="36"/>
        <v>0</v>
      </c>
    </row>
    <row r="91" spans="5:19" ht="15.75" customHeight="1">
      <c r="E91" s="40" t="s">
        <v>9388</v>
      </c>
      <c r="F91" s="41"/>
      <c r="G91" s="39"/>
      <c r="H91" s="41"/>
      <c r="I91" s="41">
        <f t="shared" ref="I91:J91" si="37">+I90</f>
        <v>0</v>
      </c>
      <c r="J91" s="42">
        <f t="shared" si="37"/>
        <v>0</v>
      </c>
      <c r="K91" s="42">
        <f>+K90+K89</f>
        <v>100000000</v>
      </c>
      <c r="L91" s="42">
        <f>+L90+L89</f>
        <v>200000000</v>
      </c>
      <c r="M91" s="42">
        <f t="shared" ref="M91" si="38">+M90+M89</f>
        <v>407645265.17597079</v>
      </c>
      <c r="N91" s="42"/>
      <c r="O91" s="42"/>
      <c r="P91" s="42"/>
      <c r="Q91" s="42"/>
      <c r="R91" s="42">
        <f>+R90+R89</f>
        <v>397902933.27902484</v>
      </c>
      <c r="S91" s="42">
        <f>+S90+S89</f>
        <v>358007378.8197701</v>
      </c>
    </row>
    <row r="92" spans="5:19" ht="15.75" customHeight="1">
      <c r="E92" s="40" t="s">
        <v>9389</v>
      </c>
      <c r="F92" s="41"/>
      <c r="G92" s="39"/>
      <c r="H92" s="41"/>
      <c r="I92" s="41">
        <f t="shared" ref="I92:S92" si="39">+I91+I87</f>
        <v>124542866.24512765</v>
      </c>
      <c r="J92" s="42">
        <f t="shared" si="39"/>
        <v>308961315.32512766</v>
      </c>
      <c r="K92" s="42">
        <f>+K91+K87</f>
        <v>769230000</v>
      </c>
      <c r="L92" s="41" t="e">
        <f t="shared" si="39"/>
        <v>#REF!</v>
      </c>
      <c r="M92" s="41" t="e">
        <f t="shared" si="39"/>
        <v>#REF!</v>
      </c>
      <c r="N92" s="41"/>
      <c r="O92" s="41"/>
      <c r="P92" s="41"/>
      <c r="Q92" s="41"/>
      <c r="R92" s="41" t="e">
        <f t="shared" si="39"/>
        <v>#REF!</v>
      </c>
      <c r="S92" s="41" t="e">
        <f t="shared" si="39"/>
        <v>#REF!</v>
      </c>
    </row>
    <row r="93" spans="5:19" ht="15.75" customHeight="1">
      <c r="E93" s="39"/>
      <c r="F93" s="39"/>
      <c r="G93" s="39"/>
      <c r="H93" s="51"/>
      <c r="I93" s="52" t="e">
        <f>+I92/H92-1</f>
        <v>#DIV/0!</v>
      </c>
      <c r="J93" s="53">
        <f>+J92/I92-1</f>
        <v>1.4807628460792293</v>
      </c>
      <c r="K93" s="53">
        <f>+K92/J92-1</f>
        <v>1.4897291726976247</v>
      </c>
      <c r="L93" s="52" t="e">
        <f>+L92/K92-1</f>
        <v>#REF!</v>
      </c>
      <c r="M93" s="52" t="e">
        <f>+M92/L92-1</f>
        <v>#REF!</v>
      </c>
      <c r="N93" s="52"/>
      <c r="O93" s="52"/>
      <c r="P93" s="52"/>
      <c r="Q93" s="52"/>
      <c r="R93" s="52" t="e">
        <f>+R92/M92-1</f>
        <v>#REF!</v>
      </c>
      <c r="S93" s="52" t="e">
        <f t="shared" ref="S93" si="40">+S92/R92-1</f>
        <v>#REF!</v>
      </c>
    </row>
    <row r="94" spans="5:19" ht="15.75" customHeight="1">
      <c r="E94" s="69" t="s">
        <v>9390</v>
      </c>
      <c r="F94" s="39"/>
      <c r="G94" s="39"/>
      <c r="H94" s="2"/>
      <c r="I94" s="2"/>
      <c r="J94" s="2"/>
      <c r="K94" s="2"/>
      <c r="L94" s="2"/>
      <c r="M94" s="2"/>
      <c r="N94" s="2"/>
      <c r="O94" s="2"/>
      <c r="P94" s="2"/>
      <c r="Q94" s="2"/>
      <c r="R94" s="2"/>
    </row>
    <row r="95" spans="5:19" ht="15.75" customHeight="1">
      <c r="E95" s="58" t="s">
        <v>9391</v>
      </c>
      <c r="F95" s="38"/>
      <c r="G95" s="39"/>
      <c r="H95" s="2"/>
      <c r="I95" s="2">
        <f>+H95</f>
        <v>0</v>
      </c>
      <c r="J95" s="2">
        <f>+I95</f>
        <v>0</v>
      </c>
      <c r="K95" s="2">
        <f>+J95</f>
        <v>0</v>
      </c>
      <c r="L95" s="2">
        <f>+K95</f>
        <v>0</v>
      </c>
      <c r="M95" s="2">
        <f>+L95</f>
        <v>0</v>
      </c>
      <c r="N95" s="2"/>
      <c r="O95" s="2"/>
      <c r="P95" s="2"/>
      <c r="Q95" s="2"/>
      <c r="R95" s="2">
        <f>+M95</f>
        <v>0</v>
      </c>
      <c r="S95" s="2">
        <f t="shared" ref="S95" si="41">+R95</f>
        <v>0</v>
      </c>
    </row>
    <row r="96" spans="5:19" ht="15.75" customHeight="1">
      <c r="E96" s="58" t="s">
        <v>9392</v>
      </c>
      <c r="F96" s="38"/>
      <c r="G96" s="39"/>
      <c r="H96" s="2"/>
      <c r="I96" s="2" t="e">
        <f>+#REF!</f>
        <v>#REF!</v>
      </c>
      <c r="J96" s="2" t="e">
        <f>+#REF!</f>
        <v>#REF!</v>
      </c>
      <c r="K96" s="2" t="e">
        <f>+#REF!</f>
        <v>#REF!</v>
      </c>
      <c r="L96" s="2" t="e">
        <f>+#REF!</f>
        <v>#REF!</v>
      </c>
      <c r="M96" s="2" t="e">
        <f>+#REF!</f>
        <v>#REF!</v>
      </c>
      <c r="N96" s="2"/>
      <c r="O96" s="2"/>
      <c r="P96" s="2"/>
      <c r="Q96" s="2"/>
      <c r="R96" s="2" t="e">
        <f>+#REF!</f>
        <v>#REF!</v>
      </c>
      <c r="S96" s="2" t="e">
        <f>+#REF!</f>
        <v>#REF!</v>
      </c>
    </row>
    <row r="97" spans="5:19" ht="15.75" customHeight="1">
      <c r="E97" s="58" t="s">
        <v>9393</v>
      </c>
      <c r="F97" s="54"/>
      <c r="G97" s="55"/>
      <c r="H97" s="2"/>
      <c r="I97" s="2">
        <f>+H97+H96</f>
        <v>0</v>
      </c>
      <c r="J97" s="2" t="e">
        <f t="shared" ref="J97:S97" si="42">+I97+I96</f>
        <v>#REF!</v>
      </c>
      <c r="K97" s="2" t="e">
        <f t="shared" si="42"/>
        <v>#REF!</v>
      </c>
      <c r="L97" s="2" t="e">
        <f>+K97+K96</f>
        <v>#REF!</v>
      </c>
      <c r="M97" s="2" t="e">
        <f t="shared" si="42"/>
        <v>#REF!</v>
      </c>
      <c r="N97" s="2"/>
      <c r="O97" s="2"/>
      <c r="P97" s="2"/>
      <c r="Q97" s="2"/>
      <c r="R97" s="2" t="e">
        <f>+M97+M96</f>
        <v>#REF!</v>
      </c>
      <c r="S97" s="2" t="e">
        <f t="shared" si="42"/>
        <v>#REF!</v>
      </c>
    </row>
    <row r="98" spans="5:19" ht="15.75" customHeight="1">
      <c r="E98" s="58" t="s">
        <v>9394</v>
      </c>
      <c r="F98" s="54"/>
      <c r="G98" s="55"/>
      <c r="H98" s="2"/>
      <c r="I98" s="2">
        <f>+H98+I35</f>
        <v>0</v>
      </c>
      <c r="J98" s="2">
        <f>+I98+J35</f>
        <v>0</v>
      </c>
      <c r="K98" s="2">
        <f>+J98+K35</f>
        <v>0</v>
      </c>
      <c r="L98" s="2">
        <f>+K98+L35</f>
        <v>0</v>
      </c>
      <c r="M98" s="2">
        <f>+L98+M35</f>
        <v>0</v>
      </c>
      <c r="N98" s="2"/>
      <c r="O98" s="2"/>
      <c r="P98" s="2"/>
      <c r="Q98" s="2"/>
      <c r="R98" s="2">
        <f>+M98+R35</f>
        <v>0</v>
      </c>
      <c r="S98" s="2" t="e">
        <f>+R98+S35+#REF!</f>
        <v>#REF!</v>
      </c>
    </row>
    <row r="99" spans="5:19" ht="15.75" customHeight="1">
      <c r="E99" s="40" t="s">
        <v>9395</v>
      </c>
      <c r="F99" s="29"/>
      <c r="G99" s="55"/>
      <c r="H99" s="56"/>
      <c r="I99" s="56" t="e">
        <f t="shared" ref="I99:M99" si="43">+SUM(I95:I98)</f>
        <v>#REF!</v>
      </c>
      <c r="J99" s="57" t="e">
        <f t="shared" si="43"/>
        <v>#REF!</v>
      </c>
      <c r="K99" s="57" t="e">
        <f t="shared" si="43"/>
        <v>#REF!</v>
      </c>
      <c r="L99" s="29" t="e">
        <f t="shared" si="43"/>
        <v>#REF!</v>
      </c>
      <c r="M99" s="29" t="e">
        <f t="shared" si="43"/>
        <v>#REF!</v>
      </c>
      <c r="N99" s="29"/>
      <c r="O99" s="29"/>
      <c r="P99" s="29"/>
      <c r="Q99" s="29"/>
      <c r="R99" s="29" t="e">
        <f t="shared" ref="R99:S99" si="44">+SUM(R95:R98)</f>
        <v>#REF!</v>
      </c>
      <c r="S99" s="29" t="e">
        <f t="shared" si="44"/>
        <v>#REF!</v>
      </c>
    </row>
    <row r="100" spans="5:19" ht="15.75" customHeight="1">
      <c r="E100" s="6"/>
      <c r="F100" s="58"/>
      <c r="G100" s="6"/>
      <c r="H100" s="59"/>
      <c r="I100" s="60" t="e">
        <f>+I99/H99-1</f>
        <v>#REF!</v>
      </c>
      <c r="J100" s="59" t="e">
        <f>+J99/I99-1</f>
        <v>#REF!</v>
      </c>
      <c r="K100" s="59" t="e">
        <f>+K99/J99-1</f>
        <v>#REF!</v>
      </c>
      <c r="L100" s="60" t="e">
        <f>+L99/K99-1</f>
        <v>#REF!</v>
      </c>
      <c r="M100" s="60" t="e">
        <f>+M99/L99-1</f>
        <v>#REF!</v>
      </c>
      <c r="N100" s="60"/>
      <c r="O100" s="60"/>
      <c r="P100" s="60"/>
      <c r="Q100" s="60"/>
      <c r="R100" s="60" t="e">
        <f>+R99/M99-1</f>
        <v>#REF!</v>
      </c>
      <c r="S100" s="60" t="e">
        <f t="shared" ref="S100" si="45">+S99/R99-1</f>
        <v>#REF!</v>
      </c>
    </row>
    <row r="101" spans="5:19" ht="15.75" customHeight="1">
      <c r="E101" s="39"/>
      <c r="F101" s="39"/>
      <c r="G101" s="39"/>
      <c r="H101" s="44"/>
      <c r="I101" s="44"/>
      <c r="J101" s="44"/>
      <c r="K101" s="44"/>
      <c r="L101" s="44"/>
      <c r="M101" s="6"/>
      <c r="N101" s="6"/>
      <c r="O101" s="6"/>
      <c r="P101" s="6"/>
      <c r="Q101" s="6"/>
      <c r="R101" s="6"/>
    </row>
    <row r="102" spans="5:19" ht="15.75" customHeight="1">
      <c r="E102" s="40" t="s">
        <v>9396</v>
      </c>
      <c r="F102" s="41"/>
      <c r="G102" s="39"/>
      <c r="H102" s="41"/>
      <c r="I102" s="41" t="e">
        <f t="shared" ref="I102:S102" si="46">+I99+I92</f>
        <v>#REF!</v>
      </c>
      <c r="J102" s="42" t="e">
        <f t="shared" si="46"/>
        <v>#REF!</v>
      </c>
      <c r="K102" s="41" t="e">
        <f t="shared" si="46"/>
        <v>#REF!</v>
      </c>
      <c r="L102" s="41" t="e">
        <f t="shared" si="46"/>
        <v>#REF!</v>
      </c>
      <c r="M102" s="41" t="e">
        <f t="shared" si="46"/>
        <v>#REF!</v>
      </c>
      <c r="N102" s="41"/>
      <c r="O102" s="41"/>
      <c r="P102" s="41"/>
      <c r="Q102" s="41"/>
      <c r="R102" s="41" t="e">
        <f t="shared" si="46"/>
        <v>#REF!</v>
      </c>
      <c r="S102" s="41" t="e">
        <f t="shared" si="46"/>
        <v>#REF!</v>
      </c>
    </row>
    <row r="103" spans="5:19" ht="15.75" customHeight="1">
      <c r="E103" s="48"/>
      <c r="F103" s="61"/>
      <c r="G103" s="39"/>
      <c r="H103" s="62"/>
      <c r="I103" s="63" t="e">
        <f>+I102/H102-1</f>
        <v>#REF!</v>
      </c>
      <c r="J103" s="64" t="e">
        <f>+J102/I102-1</f>
        <v>#REF!</v>
      </c>
      <c r="K103" s="63" t="e">
        <f>+K102/J102-1</f>
        <v>#REF!</v>
      </c>
      <c r="L103" s="63" t="e">
        <f>+L102/K102-1</f>
        <v>#REF!</v>
      </c>
      <c r="M103" s="63" t="e">
        <f>+M102/L102-1</f>
        <v>#REF!</v>
      </c>
      <c r="N103" s="63"/>
      <c r="O103" s="63"/>
      <c r="P103" s="63"/>
      <c r="Q103" s="63"/>
      <c r="R103" s="63" t="e">
        <f>+R102/M102-1</f>
        <v>#REF!</v>
      </c>
      <c r="S103" s="63" t="e">
        <f t="shared" ref="S103" si="47">+S102/R102-1</f>
        <v>#REF!</v>
      </c>
    </row>
    <row r="104" spans="5:19" ht="15.75" customHeight="1">
      <c r="E104" s="39"/>
      <c r="F104" s="39"/>
      <c r="G104" s="39"/>
      <c r="H104" s="6"/>
      <c r="J104" s="6"/>
      <c r="K104" s="6"/>
      <c r="L104" s="6"/>
      <c r="M104" s="6"/>
      <c r="N104" s="6"/>
      <c r="O104" s="6"/>
      <c r="P104" s="6"/>
      <c r="Q104" s="6"/>
      <c r="R104" s="6"/>
    </row>
    <row r="105" spans="5:19" ht="15.75" customHeight="1">
      <c r="E105" s="34"/>
      <c r="F105" s="65"/>
      <c r="G105" s="103"/>
      <c r="H105" s="65"/>
      <c r="I105" s="65" t="e">
        <f t="shared" ref="I105:K105" si="48">I102=I79</f>
        <v>#REF!</v>
      </c>
      <c r="J105" s="66" t="e">
        <f t="shared" si="48"/>
        <v>#REF!</v>
      </c>
      <c r="K105" s="66" t="e">
        <f t="shared" si="48"/>
        <v>#REF!</v>
      </c>
      <c r="L105" s="65" t="e">
        <f>+L106=0</f>
        <v>#REF!</v>
      </c>
      <c r="M105" s="65" t="e">
        <f>+M106=0</f>
        <v>#REF!</v>
      </c>
      <c r="N105" s="65"/>
      <c r="O105" s="65"/>
      <c r="P105" s="65"/>
      <c r="Q105" s="65"/>
      <c r="R105" s="65" t="e">
        <f t="shared" ref="R105:S105" si="49">+R106=0</f>
        <v>#REF!</v>
      </c>
      <c r="S105" s="65" t="e">
        <f t="shared" si="49"/>
        <v>#REF!</v>
      </c>
    </row>
    <row r="106" spans="5:19" s="68" customFormat="1" ht="15.75" customHeight="1">
      <c r="E106" s="39"/>
      <c r="F106" s="67"/>
      <c r="G106" s="104"/>
      <c r="H106" s="67"/>
      <c r="I106" s="67" t="e">
        <f>+I102-I79</f>
        <v>#REF!</v>
      </c>
      <c r="J106" s="67" t="e">
        <f t="shared" ref="J106:S106" si="50">+J102-J79</f>
        <v>#REF!</v>
      </c>
      <c r="K106" s="67" t="e">
        <f t="shared" si="50"/>
        <v>#REF!</v>
      </c>
      <c r="L106" s="67" t="e">
        <f t="shared" si="50"/>
        <v>#REF!</v>
      </c>
      <c r="M106" s="67" t="e">
        <f t="shared" si="50"/>
        <v>#REF!</v>
      </c>
      <c r="N106" s="67"/>
      <c r="O106" s="67"/>
      <c r="P106" s="67"/>
      <c r="Q106" s="67"/>
      <c r="R106" s="67" t="e">
        <f>+R102-R79</f>
        <v>#REF!</v>
      </c>
      <c r="S106" s="67" t="e">
        <f t="shared" si="50"/>
        <v>#REF!</v>
      </c>
    </row>
    <row r="126" spans="5:10" ht="15.75" customHeight="1">
      <c r="E126" s="1029"/>
      <c r="F126" s="1029"/>
      <c r="G126" s="1029"/>
      <c r="H126" s="1029"/>
      <c r="I126" s="1029"/>
      <c r="J126" s="1029"/>
    </row>
    <row r="151" spans="19:19" ht="15.75" customHeight="1">
      <c r="S151" s="69" t="s">
        <v>5051</v>
      </c>
    </row>
  </sheetData>
  <mergeCells count="2">
    <mergeCell ref="E5:F5"/>
    <mergeCell ref="E126:J126"/>
  </mergeCells>
  <conditionalFormatting sqref="H39:S39">
    <cfRule type="expression" dxfId="3" priority="1">
      <formula>H39&lt;0</formula>
    </cfRule>
    <cfRule type="expression" dxfId="2" priority="2">
      <formula>H39&gt;0</formula>
    </cfRule>
  </conditionalFormatting>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86F26-5E2A-4807-9FDB-7E7F01679155}">
  <sheetPr>
    <outlinePr summaryBelow="0" summaryRight="0"/>
  </sheetPr>
  <dimension ref="B2:AC77"/>
  <sheetViews>
    <sheetView zoomScale="80" zoomScaleNormal="80" workbookViewId="0">
      <selection activeCell="P56" sqref="P56"/>
    </sheetView>
  </sheetViews>
  <sheetFormatPr defaultColWidth="14.42578125" defaultRowHeight="15" customHeight="1"/>
  <cols>
    <col min="1" max="1" width="16.28515625" style="6" bestFit="1" customWidth="1"/>
    <col min="2" max="2" width="9.28515625" style="6" customWidth="1"/>
    <col min="3" max="3" width="19.85546875" style="6" customWidth="1"/>
    <col min="4" max="4" width="14.42578125" style="6"/>
    <col min="5" max="5" width="16.28515625" style="6" hidden="1" customWidth="1"/>
    <col min="6" max="6" width="16.28515625" style="2" hidden="1" customWidth="1"/>
    <col min="7" max="7" width="16.28515625" style="6" hidden="1" customWidth="1"/>
    <col min="8" max="9" width="15.28515625" style="6" hidden="1" customWidth="1"/>
    <col min="10" max="10" width="17" style="6" hidden="1" customWidth="1"/>
    <col min="11" max="12" width="16.28515625" style="6" hidden="1" customWidth="1"/>
    <col min="13" max="13" width="16.28515625" style="6" bestFit="1" customWidth="1"/>
    <col min="14" max="15" width="14.42578125" style="6"/>
    <col min="16" max="16" width="17.42578125" style="6" bestFit="1" customWidth="1"/>
    <col min="17" max="16384" width="14.42578125" style="6"/>
  </cols>
  <sheetData>
    <row r="2" spans="2:20" ht="15" customHeight="1" thickBot="1">
      <c r="E2" s="966" t="s">
        <v>5051</v>
      </c>
      <c r="F2" s="916"/>
      <c r="G2" s="916"/>
      <c r="H2" s="916"/>
      <c r="I2" s="916"/>
      <c r="J2" s="916"/>
      <c r="K2" s="916"/>
      <c r="L2" s="916"/>
      <c r="M2" s="916"/>
      <c r="N2" s="916"/>
      <c r="O2" s="916"/>
      <c r="P2" s="1032"/>
    </row>
    <row r="3" spans="2:20" ht="15" customHeight="1">
      <c r="E3" s="966" t="s">
        <v>9010</v>
      </c>
      <c r="F3" s="916"/>
      <c r="G3" s="916"/>
      <c r="H3" s="916"/>
      <c r="I3" s="916"/>
      <c r="J3" s="916"/>
      <c r="K3" s="916"/>
      <c r="L3" s="916"/>
      <c r="M3" s="916"/>
      <c r="N3" s="916"/>
      <c r="O3" s="916"/>
      <c r="P3" s="1032"/>
    </row>
    <row r="4" spans="2:20" ht="15" customHeight="1" thickBot="1">
      <c r="E4" s="297">
        <v>45292</v>
      </c>
      <c r="F4" s="297">
        <v>45323</v>
      </c>
      <c r="G4" s="297">
        <v>45352</v>
      </c>
      <c r="H4" s="297">
        <v>45383</v>
      </c>
      <c r="I4" s="297">
        <v>45413</v>
      </c>
      <c r="J4" s="297">
        <v>45444</v>
      </c>
      <c r="K4" s="297">
        <v>45474</v>
      </c>
      <c r="L4" s="297">
        <v>45505</v>
      </c>
      <c r="M4" s="297">
        <v>45536</v>
      </c>
      <c r="N4" s="297">
        <v>45566</v>
      </c>
      <c r="O4" s="297">
        <v>45597</v>
      </c>
      <c r="P4" s="297">
        <v>45627</v>
      </c>
      <c r="Q4" s="297">
        <v>45658</v>
      </c>
      <c r="R4" s="297">
        <v>45689</v>
      </c>
      <c r="S4" s="297">
        <v>45717</v>
      </c>
      <c r="T4" s="297">
        <v>45748</v>
      </c>
    </row>
    <row r="5" spans="2:20" ht="15" customHeight="1" thickBot="1">
      <c r="B5" s="910" t="s">
        <v>9397</v>
      </c>
      <c r="C5" s="911"/>
      <c r="D5" s="911"/>
      <c r="E5" s="215">
        <f t="shared" ref="E5:F5" si="0">+E7+E9+E11+E13+E15+E17+E19+E21</f>
        <v>0</v>
      </c>
      <c r="F5" s="215">
        <f t="shared" si="0"/>
        <v>0</v>
      </c>
      <c r="G5" s="215">
        <f>+G7+G9+G11+G13+G15+G17+G19+G21</f>
        <v>182110990</v>
      </c>
      <c r="H5" s="215">
        <f>+H13+H15+H25+H23</f>
        <v>0</v>
      </c>
      <c r="I5" s="215">
        <f>+I7+I9+I11+I13+I15+I17+I19+I21+I23+I25+I27+I29+I31+I33+I35</f>
        <v>0</v>
      </c>
      <c r="J5" s="215">
        <f>+J7+J9+J11+J13+J15+J17+J19+J21+J23+J25+J27+J29+J31+J33+J35</f>
        <v>3337660722</v>
      </c>
      <c r="K5" s="215">
        <f t="shared" ref="K5:N5" si="1">+K7+K9+K11+K13+K15+K17+K19+K21+K23+K25+K27+K29+K31+K33+K35</f>
        <v>0</v>
      </c>
      <c r="L5" s="215">
        <f>+L7+L9+L11+L13+L15+L17+L19+L21+L23+L25+L27+L29+L31+L33+L35+L47</f>
        <v>1018600000</v>
      </c>
      <c r="M5" s="215">
        <f>+M7+M9+M11+M13+M15+M17+M19+M21+M23+M25+M27+M29+M31+M33+M35+M49</f>
        <v>1676824000</v>
      </c>
      <c r="N5" s="215">
        <f t="shared" si="1"/>
        <v>0</v>
      </c>
      <c r="O5" s="215">
        <f>+O7+O9+O11+O13+O15+O17+O19+O21+O23+O25+O27+O29+O31+O33+O35+O37+O47+O49+O39+O41+O43+O45</f>
        <v>199118674</v>
      </c>
      <c r="P5" s="215">
        <f>+P7+P9+P11+P13+P15+P17+P19+P21+P23+P25+P27+P29+P31+P33+P35+P37+P47+P49+P39+P41+P43+P45+P51</f>
        <v>12911532598.41292</v>
      </c>
      <c r="Q5" s="215" t="e">
        <f>+Q7+Q9+Q11+Q13+Q15+Q17+Q19+Q21+Q23+Q25+Q27+Q29+Q31+Q33+Q35+Q37+#REF!+Q47+Q49</f>
        <v>#VALUE!</v>
      </c>
      <c r="R5" s="215" t="e">
        <f>+R7+R9+R11+R13+R15+R17+R19+R21+R23+R25+R27+R29+R31+R33+R35+R37+#REF!+R47+R49</f>
        <v>#REF!</v>
      </c>
      <c r="S5" s="215" t="e">
        <f>+S7+S9+S11+S13+S15+S17+S19+S21+S23+S25+S27+S29+S31+S33+S35+S37+#REF!+S47+S49</f>
        <v>#REF!</v>
      </c>
      <c r="T5" s="215" t="e">
        <f>+T7+T9+T11+T13+T15+T17+T19+T21+T23+T25+T27+T29+T31+T33+T35+T37+#REF!+T47+T49</f>
        <v>#REF!</v>
      </c>
    </row>
    <row r="6" spans="2:20" ht="15" customHeight="1" thickBot="1">
      <c r="B6" s="910" t="s">
        <v>9398</v>
      </c>
      <c r="C6" s="911"/>
      <c r="D6" s="911"/>
      <c r="E6" s="215"/>
      <c r="F6" s="215"/>
      <c r="G6" s="215">
        <f>+G16+G26</f>
        <v>74861403.840425521</v>
      </c>
      <c r="H6" s="215">
        <f>+SUM(E14:H14)+SUM(I16)+SUM(E24:H24)</f>
        <v>0</v>
      </c>
      <c r="I6" s="215">
        <f>+I8+I10+I12+I14+I16+I18+I20+I22+I24+I26+I28+I30+I32+I34+I36</f>
        <v>0</v>
      </c>
      <c r="J6" s="215">
        <f>+J8+J10+J12+J14+J16+J18+J20+J22+J24+J26+J28+J30+J32+J34+J36</f>
        <v>2741594764.9927607</v>
      </c>
      <c r="K6" s="215">
        <f t="shared" ref="K6:O6" si="2">+K8+K10+K12+K14+K16+K18+K20+K22+K24+K26+K28+K30+K32+K34+K36</f>
        <v>0</v>
      </c>
      <c r="L6" s="215">
        <f>+L8+L10+L12+L14+L16+L18+L20+L22+L24+L26+L28+L30+L32+L34+L36</f>
        <v>77505104.954674229</v>
      </c>
      <c r="M6" s="215">
        <f t="shared" si="2"/>
        <v>406171491.70041209</v>
      </c>
      <c r="N6" s="215">
        <f t="shared" si="2"/>
        <v>500000</v>
      </c>
      <c r="O6" s="215">
        <f t="shared" si="2"/>
        <v>0</v>
      </c>
      <c r="P6" s="215">
        <f>+P8+P10+P12+P14+P16+P18+P20+P22+P24+P26+P28+P30+P32+P34+P36+P38+P48+P50+P40+P426+P42+P44+P46+P52</f>
        <v>10496185628.58984</v>
      </c>
      <c r="Q6" s="215" t="e">
        <f>+Q8+Q10+Q12+Q14+Q16+Q18+Q20+Q22+Q24+Q26+Q28+Q30+Q32+Q34+Q36+Q38+#REF!+Q48+Q50</f>
        <v>#REF!</v>
      </c>
      <c r="R6" s="215" t="e">
        <f>+R8+R10+R12+R14+R16+R18+R20+R22+R24+R26+R28+R30+R32+R34+R36+R38+#REF!+R48+R50</f>
        <v>#REF!</v>
      </c>
      <c r="S6" s="215" t="e">
        <f>+S8+S10+S12+S14+S16+S18+S20+S22+S24+S26+S28+S30+S32+S34+S36+S38+#REF!+S48+S50</f>
        <v>#REF!</v>
      </c>
      <c r="T6" s="215" t="e">
        <f>+T8+T10+T12+T14+T16+T18+T20+T22+T24+T26+T28+T30+T32+T34+T36+T38+#REF!+T48+T50</f>
        <v>#REF!</v>
      </c>
    </row>
    <row r="7" spans="2:20" ht="15" customHeight="1">
      <c r="B7" s="901" t="s">
        <v>20</v>
      </c>
      <c r="C7" s="904" t="s">
        <v>21</v>
      </c>
      <c r="D7" s="289" t="s">
        <v>22</v>
      </c>
      <c r="E7" s="2"/>
      <c r="G7" s="2"/>
      <c r="H7" s="2"/>
      <c r="I7" s="2"/>
      <c r="J7" s="2"/>
      <c r="K7" s="2"/>
      <c r="P7" s="295"/>
    </row>
    <row r="8" spans="2:20" ht="15" customHeight="1" thickBot="1">
      <c r="B8" s="903"/>
      <c r="C8" s="906"/>
      <c r="D8" s="292" t="s">
        <v>23</v>
      </c>
      <c r="E8" s="2">
        <f>-'3 Workig- Capex '!E146</f>
        <v>0</v>
      </c>
      <c r="F8" s="2">
        <f>-'3 Workig- Capex '!F146</f>
        <v>0</v>
      </c>
      <c r="G8" s="2">
        <f>-'3 Workig- Capex '!G146</f>
        <v>0</v>
      </c>
      <c r="H8" s="2">
        <f>-'3 Workig- Capex '!H146</f>
        <v>0</v>
      </c>
      <c r="I8" s="2">
        <f>-'3 Workig- Capex '!I146</f>
        <v>0</v>
      </c>
      <c r="J8" s="2">
        <f>-'3 Workig- Capex '!J146</f>
        <v>0</v>
      </c>
      <c r="K8" s="2">
        <f>-'3 Workig- Capex '!K146</f>
        <v>0</v>
      </c>
      <c r="L8" s="2">
        <f>-'3 Workig- Capex '!L146</f>
        <v>0</v>
      </c>
      <c r="M8" s="2">
        <f>-'3 Workig- Capex '!M146</f>
        <v>0</v>
      </c>
      <c r="N8" s="2">
        <f>-'3 Workig- Capex '!N146</f>
        <v>0</v>
      </c>
      <c r="O8" s="2">
        <f>-'3 Workig- Capex '!O146</f>
        <v>0</v>
      </c>
      <c r="P8" s="2">
        <f>-'3 Workig- Capex '!P146</f>
        <v>0</v>
      </c>
    </row>
    <row r="9" spans="2:20" ht="15" customHeight="1">
      <c r="B9" s="927" t="s">
        <v>20</v>
      </c>
      <c r="C9" s="904" t="s">
        <v>25</v>
      </c>
      <c r="D9" s="289" t="s">
        <v>22</v>
      </c>
      <c r="E9" s="235"/>
      <c r="F9" s="235"/>
      <c r="G9" s="235"/>
      <c r="H9" s="235"/>
      <c r="I9" s="235"/>
      <c r="J9" s="235"/>
      <c r="K9" s="235"/>
      <c r="L9" s="290"/>
      <c r="M9" s="290"/>
      <c r="N9" s="290"/>
      <c r="O9" s="290"/>
      <c r="P9" s="291"/>
    </row>
    <row r="10" spans="2:20" ht="15" customHeight="1" thickBot="1">
      <c r="B10" s="903"/>
      <c r="C10" s="906"/>
      <c r="D10" s="292" t="s">
        <v>9010</v>
      </c>
      <c r="E10" s="236">
        <v>0</v>
      </c>
      <c r="F10" s="236">
        <f>-'3 Workig- Capex '!F149</f>
        <v>0</v>
      </c>
      <c r="G10" s="236">
        <f>-'3 Workig- Capex '!G149</f>
        <v>0</v>
      </c>
      <c r="H10" s="236">
        <f>-'3 Workig- Capex '!H149</f>
        <v>0</v>
      </c>
      <c r="I10" s="236">
        <f>-'3 Workig- Capex '!I149</f>
        <v>0</v>
      </c>
      <c r="J10" s="236">
        <f>-'3 Workig- Capex '!J149</f>
        <v>0</v>
      </c>
      <c r="K10" s="236">
        <f>-'3 Workig- Capex '!K149</f>
        <v>0</v>
      </c>
      <c r="L10" s="236">
        <f>-'3 Workig- Capex '!L149</f>
        <v>0</v>
      </c>
      <c r="M10" s="236">
        <f>-'3 Workig- Capex '!M149</f>
        <v>0</v>
      </c>
      <c r="N10" s="236">
        <f>-'3 Workig- Capex '!N149</f>
        <v>0</v>
      </c>
      <c r="O10" s="236">
        <f>-'3 Workig- Capex '!O149</f>
        <v>0</v>
      </c>
      <c r="P10" s="236">
        <f>-'3 Workig- Capex '!P149</f>
        <v>0</v>
      </c>
    </row>
    <row r="11" spans="2:20" ht="15" customHeight="1">
      <c r="B11" s="901" t="s">
        <v>20</v>
      </c>
      <c r="C11" s="904" t="s">
        <v>26</v>
      </c>
      <c r="D11" s="289" t="s">
        <v>22</v>
      </c>
      <c r="E11" s="235"/>
      <c r="F11" s="235"/>
      <c r="G11" s="235"/>
      <c r="H11" s="235"/>
      <c r="I11" s="235"/>
      <c r="J11" s="235"/>
      <c r="K11" s="235"/>
      <c r="L11" s="290"/>
      <c r="M11" s="290"/>
      <c r="N11" s="290"/>
      <c r="O11" s="290"/>
      <c r="P11" s="291"/>
    </row>
    <row r="12" spans="2:20" ht="15" customHeight="1" thickBot="1">
      <c r="B12" s="903"/>
      <c r="C12" s="906"/>
      <c r="D12" s="292" t="s">
        <v>23</v>
      </c>
      <c r="E12" s="236">
        <v>0</v>
      </c>
      <c r="F12" s="236">
        <f>-'3 Workig- Capex '!F152</f>
        <v>0</v>
      </c>
      <c r="G12" s="236">
        <f>-'3 Workig- Capex '!G152</f>
        <v>0</v>
      </c>
      <c r="H12" s="236">
        <f>-'3 Workig- Capex '!H152</f>
        <v>0</v>
      </c>
      <c r="I12" s="236">
        <f>-'3 Workig- Capex '!I152</f>
        <v>0</v>
      </c>
      <c r="J12" s="236">
        <f>-'3 Workig- Capex '!J152</f>
        <v>0</v>
      </c>
      <c r="K12" s="236">
        <f>-'3 Workig- Capex '!K152</f>
        <v>0</v>
      </c>
      <c r="L12" s="236">
        <f>-'3 Workig- Capex '!L152</f>
        <v>0</v>
      </c>
      <c r="M12" s="236">
        <f>-'3 Workig- Capex '!M152</f>
        <v>0</v>
      </c>
      <c r="N12" s="236">
        <f>-'3 Workig- Capex '!N152</f>
        <v>0</v>
      </c>
      <c r="O12" s="236">
        <f>-'3 Workig- Capex '!O152</f>
        <v>0</v>
      </c>
      <c r="P12" s="236">
        <f>-'3 Workig- Capex '!P152</f>
        <v>0</v>
      </c>
    </row>
    <row r="13" spans="2:20" ht="15" customHeight="1">
      <c r="B13" s="901" t="s">
        <v>20</v>
      </c>
      <c r="C13" s="904" t="s">
        <v>27</v>
      </c>
      <c r="D13" s="289" t="s">
        <v>22</v>
      </c>
      <c r="E13" s="235"/>
      <c r="F13" s="235"/>
      <c r="G13" s="235"/>
      <c r="H13" s="235"/>
      <c r="I13" s="235"/>
      <c r="J13" s="429">
        <v>109275882</v>
      </c>
      <c r="K13" s="235"/>
      <c r="L13" s="290"/>
      <c r="M13" s="290"/>
      <c r="N13" s="290"/>
      <c r="O13" s="290"/>
      <c r="P13" s="291"/>
    </row>
    <row r="14" spans="2:20" ht="15" customHeight="1" thickBot="1">
      <c r="B14" s="903"/>
      <c r="C14" s="906"/>
      <c r="D14" s="292" t="s">
        <v>23</v>
      </c>
      <c r="E14" s="236">
        <v>0</v>
      </c>
      <c r="F14" s="236"/>
      <c r="G14" s="236"/>
      <c r="H14" s="236"/>
      <c r="I14" s="236"/>
      <c r="J14" s="451">
        <v>24811185.400000002</v>
      </c>
      <c r="K14" s="236">
        <f>-'3 Workig- Capex '!K155</f>
        <v>0</v>
      </c>
      <c r="L14" s="236">
        <f>-'3 Workig- Capex '!L155</f>
        <v>0</v>
      </c>
      <c r="M14" s="236">
        <f>-'3 Workig- Capex '!M155</f>
        <v>0</v>
      </c>
      <c r="N14" s="236">
        <f>-'3 Workig- Capex '!N155</f>
        <v>0</v>
      </c>
      <c r="O14" s="236">
        <f>-'3 Workig- Capex '!O155</f>
        <v>0</v>
      </c>
      <c r="P14" s="236">
        <f>-'3 Workig- Capex '!P155</f>
        <v>0</v>
      </c>
    </row>
    <row r="15" spans="2:20" ht="15" customHeight="1">
      <c r="B15" s="901" t="s">
        <v>20</v>
      </c>
      <c r="C15" s="904" t="s">
        <v>29</v>
      </c>
      <c r="D15" s="289" t="s">
        <v>22</v>
      </c>
      <c r="E15" s="235"/>
      <c r="F15" s="235"/>
      <c r="G15" s="414">
        <v>182110990</v>
      </c>
      <c r="H15" s="235"/>
      <c r="I15" s="235"/>
      <c r="J15" s="235"/>
      <c r="K15" s="235"/>
      <c r="L15" s="290"/>
      <c r="M15" s="290"/>
      <c r="N15" s="290"/>
      <c r="O15" s="290"/>
      <c r="P15" s="291"/>
    </row>
    <row r="16" spans="2:20" ht="15" customHeight="1" thickBot="1">
      <c r="B16" s="903"/>
      <c r="C16" s="906"/>
      <c r="D16" s="292" t="s">
        <v>23</v>
      </c>
      <c r="E16" s="236">
        <v>0</v>
      </c>
      <c r="F16" s="236"/>
      <c r="G16" s="415">
        <v>64561403.840425529</v>
      </c>
      <c r="H16" s="236"/>
      <c r="I16" s="236"/>
      <c r="J16" s="236">
        <f>-'3 Workig- Capex '!J158</f>
        <v>0</v>
      </c>
      <c r="K16" s="236">
        <f>-'3 Workig- Capex '!K158</f>
        <v>0</v>
      </c>
      <c r="L16" s="236">
        <f>-'3 Workig- Capex '!L158</f>
        <v>0</v>
      </c>
      <c r="M16" s="236">
        <f>-'3 Workig- Capex '!M158</f>
        <v>0</v>
      </c>
      <c r="N16" s="236">
        <f>-'3 Workig- Capex '!N158</f>
        <v>0</v>
      </c>
      <c r="O16" s="236">
        <f>-'3 Workig- Capex '!O158</f>
        <v>0</v>
      </c>
      <c r="P16" s="236">
        <f>-'3 Workig- Capex '!P158</f>
        <v>0</v>
      </c>
    </row>
    <row r="17" spans="2:29" ht="15" customHeight="1">
      <c r="B17" s="901" t="s">
        <v>20</v>
      </c>
      <c r="C17" s="904" t="s">
        <v>31</v>
      </c>
      <c r="D17" s="289" t="s">
        <v>22</v>
      </c>
      <c r="E17" s="235"/>
      <c r="F17" s="235"/>
      <c r="G17" s="235"/>
      <c r="H17" s="235"/>
      <c r="I17" s="235"/>
      <c r="J17" s="235"/>
      <c r="K17" s="235"/>
      <c r="L17" s="235"/>
      <c r="M17" s="235">
        <v>393822000</v>
      </c>
      <c r="N17" s="290"/>
      <c r="O17" s="290"/>
      <c r="P17" s="291"/>
      <c r="Q17" s="1031" t="s">
        <v>9399</v>
      </c>
      <c r="R17" s="1031"/>
      <c r="S17" s="1031"/>
      <c r="T17" s="1031"/>
      <c r="U17" s="1031"/>
      <c r="V17" s="1031"/>
      <c r="W17" s="1031"/>
      <c r="X17" s="1031"/>
      <c r="Y17" s="1031"/>
      <c r="Z17" s="1031"/>
      <c r="AA17" s="1031"/>
      <c r="AB17" s="1031"/>
      <c r="AC17" s="1031"/>
    </row>
    <row r="18" spans="2:29" ht="15" customHeight="1" thickBot="1">
      <c r="B18" s="903"/>
      <c r="C18" s="906"/>
      <c r="D18" s="292" t="s">
        <v>23</v>
      </c>
      <c r="E18" s="236"/>
      <c r="F18" s="236"/>
      <c r="G18" s="236"/>
      <c r="H18" s="236"/>
      <c r="I18" s="236"/>
      <c r="J18" s="236"/>
      <c r="K18" s="236"/>
      <c r="L18" s="236"/>
      <c r="M18" s="236">
        <v>199073300</v>
      </c>
      <c r="N18" s="236"/>
      <c r="O18" s="236">
        <f>-'3 Workig- Capex '!O162</f>
        <v>0</v>
      </c>
      <c r="P18" s="236">
        <f>-'3 Workig- Capex '!P162</f>
        <v>0</v>
      </c>
      <c r="Q18" s="1031"/>
      <c r="R18" s="1031"/>
      <c r="S18" s="1031"/>
      <c r="T18" s="1031"/>
      <c r="U18" s="1031"/>
      <c r="V18" s="1031"/>
      <c r="W18" s="1031"/>
      <c r="X18" s="1031"/>
      <c r="Y18" s="1031"/>
      <c r="Z18" s="1031"/>
      <c r="AA18" s="1031"/>
      <c r="AB18" s="1031"/>
      <c r="AC18" s="1031"/>
    </row>
    <row r="19" spans="2:29" ht="15" customHeight="1">
      <c r="B19" s="901" t="s">
        <v>20</v>
      </c>
      <c r="C19" s="904" t="s">
        <v>32</v>
      </c>
      <c r="D19" s="289" t="s">
        <v>22</v>
      </c>
      <c r="E19" s="235"/>
      <c r="F19" s="235"/>
      <c r="G19" s="235"/>
      <c r="H19" s="235"/>
      <c r="I19" s="235"/>
      <c r="J19" s="235"/>
      <c r="K19" s="235"/>
      <c r="L19" s="290"/>
      <c r="M19" s="290"/>
      <c r="N19" s="290"/>
      <c r="O19" s="290"/>
      <c r="P19" s="291"/>
    </row>
    <row r="20" spans="2:29" ht="15" customHeight="1" thickBot="1">
      <c r="B20" s="903"/>
      <c r="C20" s="906"/>
      <c r="D20" s="292" t="s">
        <v>23</v>
      </c>
      <c r="E20" s="236"/>
      <c r="F20" s="236"/>
      <c r="G20" s="236"/>
      <c r="H20" s="236"/>
      <c r="I20" s="236"/>
      <c r="J20" s="236">
        <v>111846507.40000001</v>
      </c>
      <c r="K20" s="236">
        <f>+'3 Workig- Capex '!K32</f>
        <v>0</v>
      </c>
      <c r="L20" s="236">
        <f>+'3 Workig- Capex '!L32</f>
        <v>0</v>
      </c>
      <c r="M20" s="236">
        <f>+'3 Workig- Capex '!M32</f>
        <v>0</v>
      </c>
      <c r="N20" s="236">
        <f>+'3 Workig- Capex '!N32</f>
        <v>500000</v>
      </c>
      <c r="O20" s="293"/>
      <c r="P20" s="294"/>
    </row>
    <row r="21" spans="2:29" ht="15" customHeight="1">
      <c r="B21" s="901" t="s">
        <v>34</v>
      </c>
      <c r="C21" s="904" t="s">
        <v>35</v>
      </c>
      <c r="D21" s="289" t="s">
        <v>22</v>
      </c>
      <c r="E21" s="235"/>
      <c r="F21" s="235"/>
      <c r="G21" s="235"/>
      <c r="H21" s="235"/>
      <c r="I21" s="235"/>
      <c r="J21" s="429">
        <v>3170563397</v>
      </c>
      <c r="K21" s="235"/>
      <c r="L21" s="290"/>
      <c r="M21" s="290"/>
      <c r="N21" s="290"/>
      <c r="O21" s="290"/>
      <c r="P21" s="291"/>
    </row>
    <row r="22" spans="2:29" ht="15" customHeight="1" thickBot="1">
      <c r="B22" s="903"/>
      <c r="C22" s="906"/>
      <c r="D22" s="292" t="s">
        <v>23</v>
      </c>
      <c r="E22" s="236"/>
      <c r="F22" s="236"/>
      <c r="G22" s="236"/>
      <c r="H22" s="236"/>
      <c r="I22" s="236"/>
      <c r="J22" s="451">
        <v>2580000000</v>
      </c>
      <c r="K22" s="236"/>
      <c r="L22" s="293"/>
      <c r="M22" s="293"/>
      <c r="N22" s="293"/>
      <c r="O22" s="293"/>
      <c r="P22" s="294"/>
    </row>
    <row r="23" spans="2:29" ht="15" customHeight="1">
      <c r="B23" s="901" t="s">
        <v>20</v>
      </c>
      <c r="C23" s="904" t="s">
        <v>9400</v>
      </c>
      <c r="D23" s="289" t="s">
        <v>22</v>
      </c>
      <c r="E23" s="235"/>
      <c r="F23" s="235"/>
      <c r="G23" s="235"/>
      <c r="H23" s="235"/>
      <c r="I23" s="235"/>
      <c r="J23" s="429">
        <v>57821443</v>
      </c>
      <c r="K23" s="235"/>
      <c r="L23" s="290"/>
      <c r="M23" s="290"/>
      <c r="N23" s="290"/>
      <c r="O23" s="290"/>
      <c r="P23" s="291"/>
    </row>
    <row r="24" spans="2:29" ht="15" customHeight="1" thickBot="1">
      <c r="B24" s="903"/>
      <c r="C24" s="906"/>
      <c r="D24" s="292" t="s">
        <v>23</v>
      </c>
      <c r="E24" s="236"/>
      <c r="F24" s="236"/>
      <c r="G24" s="236"/>
      <c r="H24" s="236"/>
      <c r="I24" s="236"/>
      <c r="J24" s="451">
        <v>24937072.192760698</v>
      </c>
      <c r="K24" s="236"/>
      <c r="L24" s="293"/>
      <c r="M24" s="293"/>
      <c r="N24" s="293"/>
      <c r="O24" s="293"/>
      <c r="P24" s="294"/>
    </row>
    <row r="25" spans="2:29" ht="15" customHeight="1">
      <c r="B25" s="901" t="s">
        <v>20</v>
      </c>
      <c r="C25" s="904" t="s">
        <v>39</v>
      </c>
      <c r="D25" s="289" t="s">
        <v>22</v>
      </c>
      <c r="E25" s="235"/>
      <c r="F25" s="235"/>
      <c r="G25" s="414">
        <v>29000000</v>
      </c>
      <c r="H25" s="235"/>
      <c r="I25" s="235"/>
      <c r="J25" s="235"/>
      <c r="K25" s="235"/>
      <c r="L25" s="290"/>
      <c r="M25" s="290"/>
      <c r="N25" s="290"/>
      <c r="O25" s="290"/>
      <c r="P25" s="291"/>
    </row>
    <row r="26" spans="2:29" ht="15" customHeight="1" thickBot="1">
      <c r="B26" s="903"/>
      <c r="C26" s="906"/>
      <c r="D26" s="292" t="s">
        <v>23</v>
      </c>
      <c r="E26" s="236"/>
      <c r="F26" s="236"/>
      <c r="G26" s="415">
        <v>10300000</v>
      </c>
      <c r="H26" s="236"/>
      <c r="I26" s="236"/>
      <c r="J26" s="236"/>
      <c r="K26" s="236"/>
      <c r="L26" s="293"/>
      <c r="M26" s="293"/>
      <c r="N26" s="293"/>
      <c r="O26" s="293"/>
      <c r="P26" s="294"/>
    </row>
    <row r="27" spans="2:29" ht="15" customHeight="1">
      <c r="B27" s="901" t="s">
        <v>20</v>
      </c>
      <c r="C27" s="904" t="s">
        <v>9401</v>
      </c>
      <c r="D27" s="289" t="s">
        <v>22</v>
      </c>
      <c r="E27" s="235"/>
      <c r="F27" s="235"/>
      <c r="G27" s="235"/>
      <c r="H27" s="235"/>
      <c r="I27" s="235"/>
      <c r="J27" s="235"/>
      <c r="K27" s="235"/>
      <c r="L27" s="429">
        <v>105000000</v>
      </c>
      <c r="M27" s="290"/>
      <c r="N27" s="290"/>
      <c r="O27" s="290"/>
      <c r="P27" s="291"/>
    </row>
    <row r="28" spans="2:29" ht="15" customHeight="1" thickBot="1">
      <c r="B28" s="903"/>
      <c r="C28" s="906"/>
      <c r="D28" s="292" t="s">
        <v>23</v>
      </c>
      <c r="E28" s="2"/>
      <c r="G28" s="2"/>
      <c r="H28" s="2"/>
      <c r="I28" s="2"/>
      <c r="J28" s="2"/>
      <c r="K28" s="2"/>
      <c r="L28" s="443">
        <v>77505104.954674229</v>
      </c>
      <c r="P28" s="295"/>
    </row>
    <row r="29" spans="2:29" ht="15" customHeight="1">
      <c r="B29" s="901" t="s">
        <v>20</v>
      </c>
      <c r="C29" s="904" t="s">
        <v>41</v>
      </c>
      <c r="D29" s="336" t="s">
        <v>22</v>
      </c>
      <c r="E29" s="343"/>
      <c r="F29" s="235"/>
      <c r="G29" s="235"/>
      <c r="H29" s="235"/>
      <c r="I29" s="235"/>
      <c r="J29" s="235"/>
      <c r="K29" s="235"/>
      <c r="L29" s="235"/>
      <c r="M29" s="235">
        <v>279402000</v>
      </c>
      <c r="N29" s="290"/>
      <c r="O29" s="290"/>
      <c r="P29" s="291"/>
      <c r="Q29" s="1030" t="s">
        <v>9402</v>
      </c>
      <c r="R29" s="1030"/>
      <c r="S29" s="1030"/>
      <c r="T29" s="1030"/>
      <c r="U29" s="1030"/>
      <c r="V29" s="1030"/>
      <c r="W29" s="1030"/>
      <c r="X29" s="1030"/>
      <c r="Y29" s="1030"/>
      <c r="Z29" s="1030"/>
      <c r="AA29" s="1030"/>
      <c r="AB29" s="1030"/>
      <c r="AC29" s="1030"/>
    </row>
    <row r="30" spans="2:29" ht="15" customHeight="1" thickBot="1">
      <c r="B30" s="903"/>
      <c r="C30" s="906"/>
      <c r="D30" s="335" t="s">
        <v>23</v>
      </c>
      <c r="E30" s="340"/>
      <c r="G30" s="2"/>
      <c r="H30" s="2"/>
      <c r="I30" s="2"/>
      <c r="J30" s="2"/>
      <c r="K30" s="2"/>
      <c r="L30" s="2"/>
      <c r="M30" s="2">
        <v>174670716.973611</v>
      </c>
      <c r="P30" s="295"/>
      <c r="Q30" s="1030"/>
      <c r="R30" s="1030"/>
      <c r="S30" s="1030"/>
      <c r="T30" s="1030"/>
      <c r="U30" s="1030"/>
      <c r="V30" s="1030"/>
      <c r="W30" s="1030"/>
      <c r="X30" s="1030"/>
      <c r="Y30" s="1030"/>
      <c r="Z30" s="1030"/>
      <c r="AA30" s="1030"/>
      <c r="AB30" s="1030"/>
      <c r="AC30" s="1030"/>
    </row>
    <row r="31" spans="2:29" ht="15" customHeight="1">
      <c r="B31" s="901" t="s">
        <v>20</v>
      </c>
      <c r="C31" s="904" t="s">
        <v>42</v>
      </c>
      <c r="D31" s="336" t="s">
        <v>22</v>
      </c>
      <c r="E31" s="343"/>
      <c r="F31" s="235"/>
      <c r="G31" s="235"/>
      <c r="H31" s="235"/>
      <c r="I31" s="235"/>
      <c r="J31" s="235"/>
      <c r="K31" s="235"/>
      <c r="L31" s="235"/>
      <c r="M31" s="290"/>
      <c r="N31" s="290"/>
      <c r="O31" s="290"/>
      <c r="P31" s="291"/>
    </row>
    <row r="32" spans="2:29" ht="15" customHeight="1" thickBot="1">
      <c r="B32" s="903"/>
      <c r="C32" s="906"/>
      <c r="D32" s="335" t="s">
        <v>23</v>
      </c>
      <c r="E32" s="340"/>
      <c r="G32" s="2"/>
      <c r="H32" s="2"/>
      <c r="I32" s="2"/>
      <c r="J32" s="2"/>
      <c r="K32" s="2"/>
      <c r="L32" s="2"/>
      <c r="P32" s="295"/>
    </row>
    <row r="33" spans="2:29" ht="15" customHeight="1">
      <c r="B33" s="901" t="s">
        <v>20</v>
      </c>
      <c r="C33" s="904" t="s">
        <v>43</v>
      </c>
      <c r="D33" s="336" t="s">
        <v>22</v>
      </c>
      <c r="E33" s="343"/>
      <c r="F33" s="235"/>
      <c r="G33" s="235"/>
      <c r="H33" s="235"/>
      <c r="I33" s="235"/>
      <c r="J33" s="235"/>
      <c r="K33" s="235"/>
      <c r="L33" s="235"/>
      <c r="M33" s="235">
        <v>90000000</v>
      </c>
      <c r="N33" s="290"/>
      <c r="O33" s="290"/>
      <c r="P33" s="291"/>
      <c r="Q33" s="1031" t="s">
        <v>9403</v>
      </c>
      <c r="R33" s="1031"/>
      <c r="S33" s="1031"/>
      <c r="T33" s="1031"/>
      <c r="U33" s="1031"/>
      <c r="V33" s="1031"/>
      <c r="W33" s="1031"/>
      <c r="X33" s="1031"/>
      <c r="Y33" s="1031"/>
      <c r="Z33" s="1031"/>
      <c r="AA33" s="1031"/>
      <c r="AB33" s="1031"/>
      <c r="AC33" s="1031"/>
    </row>
    <row r="34" spans="2:29" ht="15" customHeight="1" thickBot="1">
      <c r="B34" s="903"/>
      <c r="C34" s="906"/>
      <c r="D34" s="335" t="s">
        <v>23</v>
      </c>
      <c r="E34" s="348"/>
      <c r="F34" s="236"/>
      <c r="G34" s="236"/>
      <c r="H34" s="236"/>
      <c r="I34" s="236"/>
      <c r="J34" s="236"/>
      <c r="K34" s="236"/>
      <c r="L34" s="236"/>
      <c r="M34" s="236">
        <v>32427474.726801101</v>
      </c>
      <c r="N34" s="293"/>
      <c r="O34" s="293"/>
      <c r="P34" s="294"/>
      <c r="Q34" s="1031"/>
      <c r="R34" s="1031"/>
      <c r="S34" s="1031"/>
      <c r="T34" s="1031"/>
      <c r="U34" s="1031"/>
      <c r="V34" s="1031"/>
      <c r="W34" s="1031"/>
      <c r="X34" s="1031"/>
      <c r="Y34" s="1031"/>
      <c r="Z34" s="1031"/>
      <c r="AA34" s="1031"/>
      <c r="AB34" s="1031"/>
      <c r="AC34" s="1031"/>
    </row>
    <row r="35" spans="2:29" ht="15" customHeight="1">
      <c r="B35" s="901" t="s">
        <v>20</v>
      </c>
      <c r="C35" s="904" t="s">
        <v>9404</v>
      </c>
      <c r="D35" s="336" t="s">
        <v>22</v>
      </c>
      <c r="E35" s="343"/>
      <c r="F35" s="235"/>
      <c r="G35" s="235"/>
      <c r="H35" s="235"/>
      <c r="I35" s="235"/>
      <c r="J35" s="235"/>
      <c r="K35" s="235"/>
      <c r="L35" s="235"/>
      <c r="M35" s="290"/>
      <c r="N35" s="290"/>
      <c r="O35" s="290"/>
      <c r="P35" s="237">
        <v>4320000000</v>
      </c>
    </row>
    <row r="36" spans="2:29" ht="15" customHeight="1" thickBot="1">
      <c r="B36" s="903"/>
      <c r="C36" s="906"/>
      <c r="D36" s="335" t="s">
        <v>23</v>
      </c>
      <c r="E36" s="348"/>
      <c r="F36" s="236"/>
      <c r="G36" s="236"/>
      <c r="H36" s="236"/>
      <c r="I36" s="236"/>
      <c r="J36" s="236"/>
      <c r="K36" s="236"/>
      <c r="L36" s="236"/>
      <c r="M36" s="293"/>
      <c r="N36" s="293"/>
      <c r="O36" s="293"/>
      <c r="P36" s="238">
        <v>3255000000</v>
      </c>
    </row>
    <row r="37" spans="2:29" ht="15" customHeight="1">
      <c r="B37" s="901" t="s">
        <v>20</v>
      </c>
      <c r="C37" s="904" t="s">
        <v>45</v>
      </c>
      <c r="D37" s="336" t="s">
        <v>22</v>
      </c>
      <c r="E37" s="343"/>
      <c r="F37" s="235"/>
      <c r="G37" s="235"/>
      <c r="H37" s="235"/>
      <c r="I37" s="235"/>
      <c r="J37" s="235"/>
      <c r="K37" s="235"/>
      <c r="L37" s="235"/>
      <c r="M37" s="290"/>
      <c r="N37" s="290"/>
      <c r="O37" s="290"/>
      <c r="P37" s="237">
        <f>+SUM('3 Workig- Capex '!E58:P58)</f>
        <v>376783364</v>
      </c>
    </row>
    <row r="38" spans="2:29" ht="15" customHeight="1" thickBot="1">
      <c r="B38" s="903"/>
      <c r="C38" s="906"/>
      <c r="D38" s="335" t="s">
        <v>23</v>
      </c>
      <c r="E38" s="348"/>
      <c r="F38" s="236"/>
      <c r="G38" s="236"/>
      <c r="H38" s="236"/>
      <c r="I38" s="236"/>
      <c r="J38" s="236"/>
      <c r="K38" s="236"/>
      <c r="L38" s="236"/>
      <c r="M38" s="293"/>
      <c r="N38" s="293"/>
      <c r="O38" s="293"/>
      <c r="P38" s="238">
        <f>+SUM('3 Workig- Capex '!E59:P59)</f>
        <v>294605032.50764841</v>
      </c>
    </row>
    <row r="39" spans="2:29" ht="15" customHeight="1">
      <c r="B39" s="901" t="s">
        <v>20</v>
      </c>
      <c r="C39" s="904" t="s">
        <v>2271</v>
      </c>
      <c r="D39" s="336" t="s">
        <v>22</v>
      </c>
      <c r="E39" s="340"/>
      <c r="G39" s="2"/>
      <c r="H39" s="2"/>
      <c r="I39" s="2"/>
      <c r="J39" s="2"/>
      <c r="K39" s="2"/>
      <c r="L39" s="2"/>
      <c r="P39" s="375">
        <v>114278935</v>
      </c>
    </row>
    <row r="40" spans="2:29" ht="15" customHeight="1" thickBot="1">
      <c r="B40" s="903"/>
      <c r="C40" s="906"/>
      <c r="D40" s="335" t="s">
        <v>23</v>
      </c>
      <c r="E40" s="340"/>
      <c r="G40" s="2"/>
      <c r="H40" s="2"/>
      <c r="I40" s="2"/>
      <c r="J40" s="2"/>
      <c r="K40" s="2"/>
      <c r="L40" s="2"/>
      <c r="P40" s="375">
        <v>85836514.2809093</v>
      </c>
    </row>
    <row r="41" spans="2:29" ht="15" customHeight="1">
      <c r="B41" s="901" t="s">
        <v>20</v>
      </c>
      <c r="C41" s="904" t="s">
        <v>47</v>
      </c>
      <c r="D41" s="336" t="s">
        <v>22</v>
      </c>
      <c r="E41" s="343"/>
      <c r="F41" s="235"/>
      <c r="G41" s="235"/>
      <c r="H41" s="235"/>
      <c r="I41" s="235"/>
      <c r="J41" s="235"/>
      <c r="K41" s="235"/>
      <c r="L41" s="235"/>
      <c r="M41" s="290"/>
      <c r="N41" s="290"/>
      <c r="O41" s="290"/>
      <c r="P41" s="237">
        <v>25715527</v>
      </c>
    </row>
    <row r="42" spans="2:29" ht="15" customHeight="1" thickBot="1">
      <c r="B42" s="903"/>
      <c r="C42" s="906"/>
      <c r="D42" s="335" t="s">
        <v>23</v>
      </c>
      <c r="E42" s="348"/>
      <c r="F42" s="236"/>
      <c r="G42" s="236"/>
      <c r="H42" s="236"/>
      <c r="I42" s="236"/>
      <c r="J42" s="236"/>
      <c r="K42" s="236"/>
      <c r="L42" s="236"/>
      <c r="M42" s="293"/>
      <c r="N42" s="293"/>
      <c r="O42" s="293"/>
      <c r="P42" s="238">
        <v>15000000</v>
      </c>
    </row>
    <row r="43" spans="2:29" ht="15" customHeight="1">
      <c r="B43" s="901" t="s">
        <v>20</v>
      </c>
      <c r="C43" s="904" t="s">
        <v>9405</v>
      </c>
      <c r="D43" s="336" t="s">
        <v>22</v>
      </c>
      <c r="E43" s="343"/>
      <c r="F43" s="235"/>
      <c r="G43" s="235"/>
      <c r="H43" s="235"/>
      <c r="I43" s="235"/>
      <c r="J43" s="235"/>
      <c r="K43" s="235"/>
      <c r="L43" s="235"/>
      <c r="M43" s="290"/>
      <c r="N43" s="290"/>
      <c r="O43" s="290"/>
      <c r="P43" s="237">
        <f>+'3 Workig- Capex '!M67+'3 Workig- Capex '!O67</f>
        <v>437770013.4129194</v>
      </c>
    </row>
    <row r="44" spans="2:29" ht="15" customHeight="1" thickBot="1">
      <c r="B44" s="903"/>
      <c r="C44" s="906"/>
      <c r="D44" s="335" t="s">
        <v>23</v>
      </c>
      <c r="E44" s="348"/>
      <c r="F44" s="236"/>
      <c r="G44" s="236"/>
      <c r="H44" s="236"/>
      <c r="I44" s="236"/>
      <c r="J44" s="236"/>
      <c r="K44" s="236"/>
      <c r="L44" s="236"/>
      <c r="M44" s="293"/>
      <c r="N44" s="293"/>
      <c r="O44" s="293"/>
      <c r="P44" s="238">
        <f>+'3 Workig- Capex '!N68+'3 Workig- Capex '!O68+'3 Workig- Capex '!P68</f>
        <v>372076602.21348149</v>
      </c>
    </row>
    <row r="45" spans="2:29" ht="15" customHeight="1">
      <c r="B45" s="901" t="s">
        <v>20</v>
      </c>
      <c r="C45" s="904" t="s">
        <v>50</v>
      </c>
      <c r="D45" s="336" t="s">
        <v>22</v>
      </c>
      <c r="E45" s="343"/>
      <c r="F45" s="235"/>
      <c r="G45" s="235"/>
      <c r="H45" s="235"/>
      <c r="I45" s="235"/>
      <c r="J45" s="235"/>
      <c r="K45" s="235"/>
      <c r="L45" s="235"/>
      <c r="M45" s="290"/>
      <c r="N45" s="290"/>
      <c r="O45" s="237">
        <f>+'3 Workig- Capex '!M70+'3 Workig- Capex '!N70*2</f>
        <v>199118674</v>
      </c>
      <c r="P45" s="237"/>
    </row>
    <row r="46" spans="2:29" ht="15" customHeight="1" thickBot="1">
      <c r="B46" s="903"/>
      <c r="C46" s="906"/>
      <c r="D46" s="335" t="s">
        <v>23</v>
      </c>
      <c r="E46" s="348"/>
      <c r="F46" s="236"/>
      <c r="G46" s="236"/>
      <c r="H46" s="236"/>
      <c r="I46" s="236"/>
      <c r="J46" s="236"/>
      <c r="K46" s="236"/>
      <c r="L46" s="236"/>
      <c r="M46" s="293"/>
      <c r="N46" s="293"/>
      <c r="O46" s="293"/>
      <c r="P46" s="238"/>
    </row>
    <row r="47" spans="2:29" ht="15" customHeight="1">
      <c r="B47" s="901" t="s">
        <v>20</v>
      </c>
      <c r="C47" s="904" t="s">
        <v>51</v>
      </c>
      <c r="D47" s="336" t="s">
        <v>22</v>
      </c>
      <c r="E47" s="343"/>
      <c r="F47" s="235"/>
      <c r="G47" s="235"/>
      <c r="H47" s="235"/>
      <c r="I47" s="235"/>
      <c r="J47" s="235"/>
      <c r="K47" s="235"/>
      <c r="L47" s="429">
        <v>913600000</v>
      </c>
      <c r="M47" s="290"/>
      <c r="N47" s="290"/>
      <c r="O47" s="290"/>
      <c r="P47" s="237">
        <f>4011000000-L47</f>
        <v>3097400000</v>
      </c>
    </row>
    <row r="48" spans="2:29" ht="15" customHeight="1" thickBot="1">
      <c r="B48" s="903"/>
      <c r="C48" s="906"/>
      <c r="D48" s="335" t="s">
        <v>23</v>
      </c>
      <c r="E48" s="348"/>
      <c r="F48" s="236"/>
      <c r="G48" s="236"/>
      <c r="H48" s="236"/>
      <c r="I48" s="236"/>
      <c r="J48" s="236"/>
      <c r="K48" s="236"/>
      <c r="L48" s="236"/>
      <c r="M48" s="293"/>
      <c r="N48" s="293"/>
      <c r="O48" s="293"/>
      <c r="P48" s="238">
        <v>2816800000</v>
      </c>
    </row>
    <row r="49" spans="2:29" ht="15" customHeight="1">
      <c r="B49" s="901" t="s">
        <v>20</v>
      </c>
      <c r="C49" s="904" t="s">
        <v>52</v>
      </c>
      <c r="D49" s="336" t="s">
        <v>22</v>
      </c>
      <c r="E49" s="343"/>
      <c r="F49" s="235"/>
      <c r="G49" s="235"/>
      <c r="H49" s="235"/>
      <c r="I49" s="235"/>
      <c r="J49" s="235"/>
      <c r="K49" s="235"/>
      <c r="L49" s="235"/>
      <c r="M49" s="235">
        <v>913600000</v>
      </c>
      <c r="N49" s="290"/>
      <c r="O49" s="290"/>
      <c r="P49" s="237">
        <f>4181000000-M49</f>
        <v>3267400000</v>
      </c>
      <c r="Q49" s="1030" t="s">
        <v>9402</v>
      </c>
      <c r="R49" s="1030"/>
      <c r="S49" s="1030"/>
      <c r="T49" s="1030"/>
      <c r="U49" s="1030"/>
      <c r="V49" s="1030"/>
      <c r="W49" s="1030"/>
      <c r="X49" s="1030"/>
      <c r="Y49" s="1030"/>
      <c r="Z49" s="1030"/>
      <c r="AA49" s="1030"/>
      <c r="AB49" s="1030"/>
      <c r="AC49" s="1030"/>
    </row>
    <row r="50" spans="2:29" ht="15" customHeight="1" thickBot="1">
      <c r="B50" s="903"/>
      <c r="C50" s="906"/>
      <c r="D50" s="335" t="s">
        <v>23</v>
      </c>
      <c r="E50" s="348"/>
      <c r="F50" s="236"/>
      <c r="G50" s="236"/>
      <c r="H50" s="236"/>
      <c r="I50" s="236"/>
      <c r="J50" s="236"/>
      <c r="K50" s="236"/>
      <c r="L50" s="236"/>
      <c r="M50" s="293"/>
      <c r="N50" s="293"/>
      <c r="O50" s="293"/>
      <c r="P50" s="238">
        <v>2764150000</v>
      </c>
      <c r="Q50" s="1030"/>
      <c r="R50" s="1030"/>
      <c r="S50" s="1030"/>
      <c r="T50" s="1030"/>
      <c r="U50" s="1030"/>
      <c r="V50" s="1030"/>
      <c r="W50" s="1030"/>
      <c r="X50" s="1030"/>
      <c r="Y50" s="1030"/>
      <c r="Z50" s="1030"/>
      <c r="AA50" s="1030"/>
      <c r="AB50" s="1030"/>
      <c r="AC50" s="1030"/>
    </row>
    <row r="51" spans="2:29" ht="15" customHeight="1">
      <c r="B51" s="901" t="s">
        <v>20</v>
      </c>
      <c r="C51" s="904" t="s">
        <v>54</v>
      </c>
      <c r="D51" s="336" t="s">
        <v>22</v>
      </c>
      <c r="E51" s="343"/>
      <c r="F51" s="235"/>
      <c r="G51" s="235"/>
      <c r="H51" s="235"/>
      <c r="I51" s="235"/>
      <c r="J51" s="235"/>
      <c r="K51" s="235"/>
      <c r="L51" s="235"/>
      <c r="M51" s="235"/>
      <c r="N51" s="290"/>
      <c r="O51" s="290"/>
      <c r="P51" s="237">
        <f>+'3 Workig- Capex '!M79+'3 Workig- Capex '!N79+'3 Workig- Capex '!P79</f>
        <v>1272184759</v>
      </c>
    </row>
    <row r="52" spans="2:29" ht="15" customHeight="1" thickBot="1">
      <c r="B52" s="903"/>
      <c r="C52" s="906"/>
      <c r="D52" s="335" t="s">
        <v>23</v>
      </c>
      <c r="E52" s="348"/>
      <c r="F52" s="236"/>
      <c r="G52" s="236"/>
      <c r="H52" s="236"/>
      <c r="I52" s="236"/>
      <c r="J52" s="236"/>
      <c r="K52" s="236"/>
      <c r="L52" s="236"/>
      <c r="M52" s="293"/>
      <c r="N52" s="293"/>
      <c r="O52" s="293"/>
      <c r="P52" s="238">
        <f>+'3 Workig- Capex '!M80+'3 Workig- Capex '!N80+'3 Workig- Capex '!O80+'3 Workig- Capex '!P80</f>
        <v>892717479.58780074</v>
      </c>
    </row>
    <row r="53" spans="2:29" ht="15" customHeight="1">
      <c r="B53" s="435"/>
      <c r="C53" s="436"/>
      <c r="D53" s="69"/>
      <c r="E53" s="2"/>
      <c r="G53" s="2"/>
      <c r="H53" s="2"/>
      <c r="I53" s="2"/>
      <c r="J53" s="2"/>
      <c r="K53" s="2"/>
      <c r="L53" s="2"/>
      <c r="P53" s="2"/>
    </row>
    <row r="54" spans="2:29" ht="15" customHeight="1">
      <c r="B54" s="435"/>
      <c r="C54" s="436"/>
      <c r="D54" s="69"/>
      <c r="E54" s="2"/>
      <c r="G54" s="2"/>
      <c r="H54" s="2"/>
      <c r="I54" s="2"/>
      <c r="J54" s="2"/>
      <c r="K54" s="2"/>
      <c r="L54" s="2"/>
    </row>
    <row r="56" spans="2:29" ht="15" customHeight="1">
      <c r="E56" s="297">
        <v>45292</v>
      </c>
      <c r="F56" s="297">
        <v>45323</v>
      </c>
      <c r="G56" s="297">
        <v>45352</v>
      </c>
      <c r="H56" s="297">
        <v>45383</v>
      </c>
      <c r="I56" s="297">
        <v>45413</v>
      </c>
      <c r="J56" s="297">
        <v>45444</v>
      </c>
      <c r="K56" s="297">
        <v>45474</v>
      </c>
      <c r="L56" s="297">
        <v>45505</v>
      </c>
      <c r="M56" s="297">
        <v>45536</v>
      </c>
      <c r="N56" s="297">
        <v>45566</v>
      </c>
      <c r="O56" s="297">
        <v>45597</v>
      </c>
      <c r="P56" s="297">
        <v>45627</v>
      </c>
    </row>
    <row r="57" spans="2:29" ht="15" customHeight="1">
      <c r="B57" s="931" t="s">
        <v>9406</v>
      </c>
      <c r="C57" s="931"/>
      <c r="D57" s="931"/>
      <c r="E57" s="92"/>
      <c r="F57" s="91"/>
      <c r="G57" s="91">
        <f t="shared" ref="G57:P57" si="3">+G5</f>
        <v>182110990</v>
      </c>
      <c r="H57" s="91">
        <f t="shared" si="3"/>
        <v>0</v>
      </c>
      <c r="I57" s="91">
        <f t="shared" si="3"/>
        <v>0</v>
      </c>
      <c r="J57" s="91">
        <f t="shared" si="3"/>
        <v>3337660722</v>
      </c>
      <c r="K57" s="91">
        <f t="shared" si="3"/>
        <v>0</v>
      </c>
      <c r="L57" s="91">
        <f t="shared" si="3"/>
        <v>1018600000</v>
      </c>
      <c r="M57" s="91">
        <f t="shared" si="3"/>
        <v>1676824000</v>
      </c>
      <c r="N57" s="91">
        <f t="shared" si="3"/>
        <v>0</v>
      </c>
      <c r="O57" s="91">
        <f t="shared" si="3"/>
        <v>199118674</v>
      </c>
      <c r="P57" s="91">
        <f t="shared" si="3"/>
        <v>12911532598.41292</v>
      </c>
    </row>
    <row r="58" spans="2:29" ht="15" customHeight="1">
      <c r="B58" s="931" t="s">
        <v>9010</v>
      </c>
      <c r="C58" s="931"/>
      <c r="D58" s="931"/>
      <c r="E58" s="92"/>
      <c r="F58" s="91"/>
      <c r="G58" s="91">
        <f t="shared" ref="G58:P58" si="4">+G6</f>
        <v>74861403.840425521</v>
      </c>
      <c r="H58" s="91">
        <f t="shared" si="4"/>
        <v>0</v>
      </c>
      <c r="I58" s="91">
        <f t="shared" si="4"/>
        <v>0</v>
      </c>
      <c r="J58" s="91">
        <f t="shared" si="4"/>
        <v>2741594764.9927607</v>
      </c>
      <c r="K58" s="91">
        <f t="shared" si="4"/>
        <v>0</v>
      </c>
      <c r="L58" s="91">
        <f t="shared" si="4"/>
        <v>77505104.954674229</v>
      </c>
      <c r="M58" s="91">
        <f t="shared" si="4"/>
        <v>406171491.70041209</v>
      </c>
      <c r="N58" s="91">
        <f t="shared" si="4"/>
        <v>500000</v>
      </c>
      <c r="O58" s="91">
        <f t="shared" si="4"/>
        <v>0</v>
      </c>
      <c r="P58" s="91">
        <f t="shared" si="4"/>
        <v>10496185628.58984</v>
      </c>
    </row>
    <row r="59" spans="2:29" ht="15" customHeight="1">
      <c r="B59" s="931"/>
      <c r="C59" s="931"/>
      <c r="D59" s="931"/>
      <c r="H59" s="2"/>
      <c r="I59" s="2"/>
      <c r="J59" s="2"/>
    </row>
    <row r="61" spans="2:29" ht="15" customHeight="1">
      <c r="B61" s="931" t="s">
        <v>9407</v>
      </c>
      <c r="C61" s="931"/>
      <c r="D61" s="931"/>
      <c r="E61" s="92">
        <f>+E58-E57</f>
        <v>0</v>
      </c>
      <c r="F61" s="92">
        <f t="shared" ref="F61:O61" si="5">+F58-F57</f>
        <v>0</v>
      </c>
      <c r="G61" s="91">
        <f t="shared" si="5"/>
        <v>-107249586.15957448</v>
      </c>
      <c r="H61" s="91">
        <f>+H58-H57</f>
        <v>0</v>
      </c>
      <c r="I61" s="91">
        <f t="shared" si="5"/>
        <v>0</v>
      </c>
      <c r="J61" s="91">
        <f t="shared" si="5"/>
        <v>-596065957.00723934</v>
      </c>
      <c r="K61" s="91">
        <f t="shared" si="5"/>
        <v>0</v>
      </c>
      <c r="L61" s="91">
        <f>+L58-L57</f>
        <v>-941094895.04532576</v>
      </c>
      <c r="M61" s="92">
        <f t="shared" si="5"/>
        <v>-1270652508.299588</v>
      </c>
      <c r="N61" s="92">
        <f t="shared" si="5"/>
        <v>500000</v>
      </c>
      <c r="O61" s="92">
        <f t="shared" si="5"/>
        <v>-199118674</v>
      </c>
      <c r="P61" s="91">
        <f>+P58-P57</f>
        <v>-2415346969.8230801</v>
      </c>
    </row>
    <row r="76" spans="7:9" ht="15" customHeight="1">
      <c r="H76" s="6">
        <f>3300+3600</f>
        <v>6900</v>
      </c>
      <c r="I76" s="6">
        <f>+H76/H77</f>
        <v>0.46</v>
      </c>
    </row>
    <row r="77" spans="7:9" ht="15" customHeight="1">
      <c r="G77" s="6">
        <f>1619/3000</f>
        <v>0.53966666666666663</v>
      </c>
      <c r="H77" s="2">
        <v>15000</v>
      </c>
    </row>
  </sheetData>
  <mergeCells count="58">
    <mergeCell ref="B37:B38"/>
    <mergeCell ref="C37:C38"/>
    <mergeCell ref="B41:B42"/>
    <mergeCell ref="C41:C42"/>
    <mergeCell ref="B39:B40"/>
    <mergeCell ref="C39:C40"/>
    <mergeCell ref="B25:B26"/>
    <mergeCell ref="C25:C26"/>
    <mergeCell ref="B57:D57"/>
    <mergeCell ref="B58:D58"/>
    <mergeCell ref="B61:D61"/>
    <mergeCell ref="B59:D59"/>
    <mergeCell ref="B27:B28"/>
    <mergeCell ref="C27:C28"/>
    <mergeCell ref="B29:B30"/>
    <mergeCell ref="C29:C30"/>
    <mergeCell ref="B31:B32"/>
    <mergeCell ref="C31:C32"/>
    <mergeCell ref="B33:B34"/>
    <mergeCell ref="C33:C34"/>
    <mergeCell ref="B35:B36"/>
    <mergeCell ref="C35:C36"/>
    <mergeCell ref="C17:C18"/>
    <mergeCell ref="B21:B22"/>
    <mergeCell ref="C21:C22"/>
    <mergeCell ref="E2:P2"/>
    <mergeCell ref="B6:D6"/>
    <mergeCell ref="B7:B8"/>
    <mergeCell ref="C7:C8"/>
    <mergeCell ref="E3:P3"/>
    <mergeCell ref="B5:D5"/>
    <mergeCell ref="Q17:AC18"/>
    <mergeCell ref="Q29:AC30"/>
    <mergeCell ref="Q33:AC34"/>
    <mergeCell ref="C13:C14"/>
    <mergeCell ref="B9:B10"/>
    <mergeCell ref="C9:C10"/>
    <mergeCell ref="B11:B12"/>
    <mergeCell ref="B23:B24"/>
    <mergeCell ref="C23:C24"/>
    <mergeCell ref="C11:C12"/>
    <mergeCell ref="B13:B14"/>
    <mergeCell ref="B19:B20"/>
    <mergeCell ref="C19:C20"/>
    <mergeCell ref="B15:B16"/>
    <mergeCell ref="C15:C16"/>
    <mergeCell ref="B17:B18"/>
    <mergeCell ref="B51:B52"/>
    <mergeCell ref="C51:C52"/>
    <mergeCell ref="Q49:AC50"/>
    <mergeCell ref="B43:B44"/>
    <mergeCell ref="C43:C44"/>
    <mergeCell ref="B45:B46"/>
    <mergeCell ref="C45:C46"/>
    <mergeCell ref="B47:B48"/>
    <mergeCell ref="C47:C48"/>
    <mergeCell ref="B49:B50"/>
    <mergeCell ref="C49:C50"/>
  </mergeCells>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C9AD1-9D77-4878-824C-D32E2DA8B9E7}">
  <sheetPr>
    <tabColor rgb="FF002060"/>
    <outlinePr summaryBelow="0" summaryRight="0"/>
  </sheetPr>
  <dimension ref="A3:Y153"/>
  <sheetViews>
    <sheetView topLeftCell="D1" zoomScale="60" zoomScaleNormal="60" workbookViewId="0">
      <selection activeCell="I3" sqref="I3"/>
    </sheetView>
  </sheetViews>
  <sheetFormatPr defaultColWidth="14.42578125" defaultRowHeight="15" customHeight="1"/>
  <cols>
    <col min="1" max="2" width="0" style="6" hidden="1" customWidth="1"/>
    <col min="3" max="3" width="9.140625" hidden="1" customWidth="1"/>
    <col min="4" max="4" width="9.140625" style="6" customWidth="1"/>
    <col min="5" max="5" width="67.5703125" bestFit="1" customWidth="1"/>
    <col min="6" max="6" width="16.5703125" customWidth="1"/>
    <col min="7" max="7" width="8.5703125" customWidth="1"/>
    <col min="8" max="8" width="22" hidden="1" customWidth="1"/>
    <col min="9" max="9" width="16.140625" style="6" hidden="1" customWidth="1"/>
    <col min="10" max="10" width="19.85546875" hidden="1" customWidth="1"/>
    <col min="11" max="12" width="19.85546875" customWidth="1"/>
    <col min="13" max="13" width="22.7109375" bestFit="1" customWidth="1"/>
    <col min="14" max="14" width="19.42578125" bestFit="1" customWidth="1"/>
    <col min="15" max="15" width="20.28515625" bestFit="1" customWidth="1"/>
    <col min="16" max="16" width="22.140625" bestFit="1" customWidth="1"/>
    <col min="17" max="17" width="21.7109375" bestFit="1" customWidth="1"/>
    <col min="18" max="18" width="22.140625" bestFit="1" customWidth="1"/>
    <col min="19" max="19" width="23.42578125" bestFit="1" customWidth="1"/>
    <col min="20" max="25" width="14.42578125" style="6"/>
  </cols>
  <sheetData>
    <row r="3" spans="1:19" ht="15" customHeight="1" thickBot="1">
      <c r="C3" s="6"/>
      <c r="E3" s="6"/>
      <c r="F3" s="6"/>
      <c r="G3" s="6"/>
      <c r="H3" s="2"/>
      <c r="I3" s="379" t="s">
        <v>9218</v>
      </c>
      <c r="J3" s="380" t="s">
        <v>9357</v>
      </c>
      <c r="K3" s="2"/>
      <c r="L3" s="97"/>
      <c r="M3" s="2"/>
      <c r="N3" s="2"/>
      <c r="O3" s="2"/>
      <c r="P3" s="2"/>
      <c r="Q3" s="2"/>
      <c r="R3" s="2"/>
      <c r="S3" s="6"/>
    </row>
    <row r="4" spans="1:19" s="6" customFormat="1" ht="15.75" customHeight="1">
      <c r="C4" s="1"/>
      <c r="D4" s="1"/>
      <c r="E4" s="1"/>
      <c r="F4" s="1"/>
      <c r="G4" s="1"/>
      <c r="I4" s="2"/>
      <c r="K4" s="97"/>
      <c r="L4" s="2"/>
      <c r="R4" s="2"/>
    </row>
    <row r="5" spans="1:19" s="6" customFormat="1" ht="15.75" customHeight="1">
      <c r="C5" s="1"/>
      <c r="D5" s="1"/>
      <c r="E5" s="944" t="s">
        <v>143</v>
      </c>
      <c r="F5" s="945"/>
      <c r="G5" s="3"/>
      <c r="H5" s="5"/>
      <c r="I5" s="2"/>
      <c r="J5" s="2"/>
      <c r="K5" s="5"/>
      <c r="L5" s="5"/>
      <c r="M5" s="5"/>
      <c r="N5" s="5"/>
      <c r="O5" s="5"/>
      <c r="P5" s="5"/>
      <c r="Q5" s="5"/>
      <c r="R5" s="5"/>
      <c r="S5" s="4"/>
    </row>
    <row r="6" spans="1:19" s="6" customFormat="1" ht="15.75" customHeight="1">
      <c r="C6" s="1"/>
      <c r="D6" s="1"/>
      <c r="E6" s="3"/>
      <c r="F6" s="3"/>
      <c r="G6" s="3"/>
      <c r="H6" s="70"/>
    </row>
    <row r="7" spans="1:19" ht="15.75" customHeight="1">
      <c r="C7" s="1"/>
      <c r="D7" s="1"/>
      <c r="E7" s="1"/>
      <c r="F7" s="7"/>
      <c r="G7" s="1"/>
      <c r="H7" s="8">
        <v>45292</v>
      </c>
      <c r="I7" s="8">
        <v>45323</v>
      </c>
      <c r="J7" s="9">
        <v>45352</v>
      </c>
      <c r="K7" s="8">
        <v>45383</v>
      </c>
      <c r="L7" s="8">
        <v>45413</v>
      </c>
      <c r="M7" s="472">
        <v>45444</v>
      </c>
      <c r="N7" s="473">
        <v>45474</v>
      </c>
      <c r="O7" s="473">
        <v>45505</v>
      </c>
      <c r="P7" s="468">
        <v>45536</v>
      </c>
      <c r="Q7" s="469">
        <v>45566</v>
      </c>
      <c r="R7" s="469">
        <v>45597</v>
      </c>
      <c r="S7" s="468">
        <v>45627</v>
      </c>
    </row>
    <row r="8" spans="1:19" ht="15.75" customHeight="1">
      <c r="C8" s="55" t="s">
        <v>107</v>
      </c>
      <c r="D8" s="55"/>
      <c r="E8" s="478" t="s">
        <v>5051</v>
      </c>
      <c r="F8" s="12"/>
      <c r="G8" s="11"/>
      <c r="H8" s="2">
        <f>+'1.Ventas EPC'!E57</f>
        <v>0</v>
      </c>
      <c r="I8" s="2">
        <f>+'Caja Real mensual '!J5</f>
        <v>0</v>
      </c>
      <c r="J8" s="2">
        <v>182110990</v>
      </c>
      <c r="K8" s="2">
        <v>11142290</v>
      </c>
      <c r="L8" s="2">
        <f>+'1.Ventas EPC'!I57</f>
        <v>0</v>
      </c>
      <c r="M8" s="2">
        <f>+'1.Ventas EPC'!J57</f>
        <v>3337660722</v>
      </c>
      <c r="N8" s="2">
        <f>+'1.Ventas EPC'!K57</f>
        <v>0</v>
      </c>
      <c r="O8" s="2">
        <v>1065064361</v>
      </c>
      <c r="P8" s="2">
        <f>+'1.Ventas EPC'!M57</f>
        <v>1676824000</v>
      </c>
      <c r="Q8" s="2">
        <f>+'1.Ventas EPC'!N57</f>
        <v>0</v>
      </c>
      <c r="R8" s="2">
        <f>+'1.Ventas EPC'!O57</f>
        <v>199118674</v>
      </c>
      <c r="S8" s="2">
        <f>+'1.Ventas EPC'!P57</f>
        <v>12911532598.41292</v>
      </c>
    </row>
    <row r="9" spans="1:19" ht="15.75" customHeight="1">
      <c r="C9" s="55"/>
      <c r="D9" s="55"/>
      <c r="E9" s="478" t="s">
        <v>9010</v>
      </c>
      <c r="F9" s="12"/>
      <c r="G9" s="11"/>
      <c r="H9" s="2">
        <f>-'1.Ventas EPC'!E58</f>
        <v>0</v>
      </c>
      <c r="I9" s="2">
        <f>+'Caja Real mensual '!J6</f>
        <v>0</v>
      </c>
      <c r="J9" s="2">
        <v>-74861403.840425521</v>
      </c>
      <c r="K9" s="2"/>
      <c r="L9" s="2">
        <f>-'1.Ventas EPC'!I58</f>
        <v>0</v>
      </c>
      <c r="M9" s="2">
        <f>-'1.Ventas EPC'!J58</f>
        <v>-2741594764.9927607</v>
      </c>
      <c r="N9" s="2"/>
      <c r="O9" s="2">
        <v>-117701077</v>
      </c>
      <c r="P9" s="2">
        <f>-'1.Ventas EPC'!M58</f>
        <v>-406171491.70041209</v>
      </c>
      <c r="Q9" s="2">
        <f>-'1.Ventas EPC'!N58</f>
        <v>-500000</v>
      </c>
      <c r="R9" s="2">
        <f>-'1.Ventas EPC'!O58</f>
        <v>0</v>
      </c>
      <c r="S9" s="2">
        <f>-'1.Ventas EPC'!P58</f>
        <v>-10496185628.58984</v>
      </c>
    </row>
    <row r="10" spans="1:19" ht="15.75" customHeight="1">
      <c r="C10" s="55" t="s">
        <v>295</v>
      </c>
      <c r="D10" s="55"/>
      <c r="E10" s="478" t="s">
        <v>9011</v>
      </c>
      <c r="F10" s="12"/>
      <c r="G10" s="11"/>
      <c r="H10" s="2">
        <v>26920733.870000001</v>
      </c>
      <c r="I10" s="2">
        <f>+'Caja Real mensual '!J7</f>
        <v>80849259.349999994</v>
      </c>
      <c r="J10" s="2">
        <v>25440290.27</v>
      </c>
      <c r="K10" s="2">
        <v>43699208.509999998</v>
      </c>
      <c r="L10" s="2">
        <v>35244810</v>
      </c>
      <c r="M10" s="2">
        <v>55908865.729999997</v>
      </c>
      <c r="N10" s="2">
        <v>26974144</v>
      </c>
      <c r="O10" s="2">
        <v>52440020.119999997</v>
      </c>
      <c r="P10" s="2">
        <v>63000000</v>
      </c>
      <c r="Q10" s="2">
        <f>+'Ventas energía PPA'!N63</f>
        <v>66495614.793264173</v>
      </c>
      <c r="R10" s="2">
        <f>+'Ventas energía PPA'!O63</f>
        <v>66495615.793264173</v>
      </c>
      <c r="S10" s="2">
        <f>+'Ventas energía PPA'!P63</f>
        <v>66817035.771745212</v>
      </c>
    </row>
    <row r="11" spans="1:19" ht="15.75" customHeight="1">
      <c r="C11" s="55" t="s">
        <v>395</v>
      </c>
      <c r="D11" s="55"/>
      <c r="E11" s="478" t="s">
        <v>9012</v>
      </c>
      <c r="F11" s="12"/>
      <c r="G11" s="11"/>
      <c r="H11" s="2">
        <f>+'Ventas energía PPA'!$C$62</f>
        <v>-4498059.6123798173</v>
      </c>
      <c r="I11" s="2">
        <f>+'Caja Real mensual '!J8</f>
        <v>-284430</v>
      </c>
      <c r="J11" s="2">
        <v>-4844544</v>
      </c>
      <c r="K11" s="2">
        <v>-4091659</v>
      </c>
      <c r="L11" s="2">
        <v>-5085794.1489361702</v>
      </c>
      <c r="M11" s="2">
        <v>-5845892</v>
      </c>
      <c r="N11" s="2">
        <v>-13920397</v>
      </c>
      <c r="O11" s="2">
        <v>-9091198.666666666</v>
      </c>
      <c r="P11" s="2">
        <f t="shared" ref="P11:S11" si="0">+O11</f>
        <v>-9091198.666666666</v>
      </c>
      <c r="Q11" s="2">
        <f t="shared" si="0"/>
        <v>-9091198.666666666</v>
      </c>
      <c r="R11" s="2">
        <f t="shared" si="0"/>
        <v>-9091198.666666666</v>
      </c>
      <c r="S11" s="2">
        <f t="shared" si="0"/>
        <v>-9091198.666666666</v>
      </c>
    </row>
    <row r="12" spans="1:19" ht="15.75" customHeight="1">
      <c r="A12" s="58" t="s">
        <v>452</v>
      </c>
      <c r="B12" s="58" t="s">
        <v>9043</v>
      </c>
      <c r="C12" s="55" t="s">
        <v>9044</v>
      </c>
      <c r="D12" s="55"/>
      <c r="E12" s="478" t="s">
        <v>9358</v>
      </c>
      <c r="F12" s="2"/>
      <c r="G12" s="11"/>
      <c r="H12" s="6"/>
      <c r="I12" s="2"/>
      <c r="J12" s="2"/>
      <c r="K12" s="2"/>
      <c r="L12" s="2"/>
      <c r="M12" s="2"/>
      <c r="N12" s="2">
        <v>399606</v>
      </c>
      <c r="O12" s="2">
        <v>2325936</v>
      </c>
      <c r="P12" s="2">
        <v>3600451.2646824885</v>
      </c>
      <c r="Q12" s="2">
        <v>4481876.5297995172</v>
      </c>
      <c r="R12" s="2">
        <v>7082883.5150846783</v>
      </c>
      <c r="S12" s="2">
        <v>7584697.185879577</v>
      </c>
    </row>
    <row r="13" spans="1:19" ht="15.75" customHeight="1">
      <c r="C13" s="1"/>
      <c r="D13" s="1"/>
      <c r="E13" s="479" t="s">
        <v>9017</v>
      </c>
      <c r="F13" s="16"/>
      <c r="G13" s="17"/>
      <c r="H13" s="18">
        <f t="shared" ref="H13:S13" si="1">+SUM(H8:H12)</f>
        <v>22422674.257620186</v>
      </c>
      <c r="I13" s="18">
        <f>+SUM(I8:I12)</f>
        <v>80564829.349999994</v>
      </c>
      <c r="J13" s="18">
        <f>+SUM(J8:J12)</f>
        <v>127845332.42957447</v>
      </c>
      <c r="K13" s="18">
        <f>+SUM(K8:K12)</f>
        <v>50749839.509999998</v>
      </c>
      <c r="L13" s="18">
        <f t="shared" si="1"/>
        <v>30159015.851063829</v>
      </c>
      <c r="M13" s="18">
        <f t="shared" si="1"/>
        <v>646128930.73723936</v>
      </c>
      <c r="N13" s="18">
        <f>+SUM(N8:N12)</f>
        <v>13453353</v>
      </c>
      <c r="O13" s="18">
        <v>993038041.45333338</v>
      </c>
      <c r="P13" s="18">
        <f t="shared" si="1"/>
        <v>1328161760.8976038</v>
      </c>
      <c r="Q13" s="18">
        <f t="shared" si="1"/>
        <v>61386292.65639703</v>
      </c>
      <c r="R13" s="18">
        <f t="shared" si="1"/>
        <v>263605974.64168221</v>
      </c>
      <c r="S13" s="18">
        <f t="shared" si="1"/>
        <v>2480657504.1140385</v>
      </c>
    </row>
    <row r="14" spans="1:19" ht="19.5" customHeight="1">
      <c r="C14" s="54" t="s">
        <v>291</v>
      </c>
      <c r="D14" s="54"/>
      <c r="E14" s="480" t="s">
        <v>322</v>
      </c>
      <c r="F14" s="12"/>
      <c r="G14" s="11"/>
      <c r="H14" s="2">
        <v>-76900485.030000001</v>
      </c>
      <c r="I14" s="2">
        <f>+'Caja Real mensual '!J14</f>
        <v>-207738547.76444441</v>
      </c>
      <c r="J14" s="2">
        <v>-77502995.667517722</v>
      </c>
      <c r="K14" s="2">
        <v>-69009430.170000017</v>
      </c>
      <c r="L14" s="2">
        <v>-96742474.964021295</v>
      </c>
      <c r="M14" s="2">
        <v>-106206595.98333335</v>
      </c>
      <c r="N14" s="2">
        <v>-86796382.006666675</v>
      </c>
      <c r="O14" s="2">
        <v>-104303031.86841302</v>
      </c>
      <c r="P14" s="2">
        <f>-Nomina!M71-'2.Adm-Ven-imp'!K22-10000000</f>
        <v>-119731328.89185175</v>
      </c>
      <c r="Q14" s="2">
        <f>-Nomina!N71-'2.Adm-Ven-imp'!L22-10000000</f>
        <v>-119731328.89185175</v>
      </c>
      <c r="R14" s="2">
        <f>-Nomina!O71-'2.Adm-Ven-imp'!M22-10000000</f>
        <v>-119731328.89185175</v>
      </c>
      <c r="S14" s="2">
        <f>-Nomina!P71-'2.Adm-Ven-imp'!N22-20000000</f>
        <v>-143223328.89185175</v>
      </c>
    </row>
    <row r="15" spans="1:19" ht="15.75" customHeight="1">
      <c r="C15" s="14"/>
      <c r="D15" s="14"/>
      <c r="E15" s="478" t="s">
        <v>9019</v>
      </c>
      <c r="F15" s="12"/>
      <c r="G15" s="11"/>
      <c r="H15" s="12">
        <v>-6268097.4400000004</v>
      </c>
      <c r="I15" s="2">
        <f>+'Caja Real mensual '!J15</f>
        <v>-12899323.574568119</v>
      </c>
      <c r="J15" s="12">
        <v>-2360676.9700000002</v>
      </c>
      <c r="K15" s="12">
        <v>-4526399.68</v>
      </c>
      <c r="L15" s="12">
        <v>-3863544.2233547638</v>
      </c>
      <c r="M15" s="12">
        <v>-4205544.3874465656</v>
      </c>
      <c r="N15" s="12">
        <v>-6230181.6699999999</v>
      </c>
      <c r="O15" s="12">
        <v>-5994078.2000000002</v>
      </c>
      <c r="P15" s="12">
        <f t="shared" ref="P15:S15" si="2">+O15</f>
        <v>-5994078.2000000002</v>
      </c>
      <c r="Q15" s="12">
        <f t="shared" si="2"/>
        <v>-5994078.2000000002</v>
      </c>
      <c r="R15" s="12">
        <f t="shared" si="2"/>
        <v>-5994078.2000000002</v>
      </c>
      <c r="S15" s="12">
        <f t="shared" si="2"/>
        <v>-5994078.2000000002</v>
      </c>
    </row>
    <row r="16" spans="1:19" ht="15.75" customHeight="1">
      <c r="C16" s="54" t="s">
        <v>315</v>
      </c>
      <c r="D16" s="54"/>
      <c r="E16" s="478" t="s">
        <v>9020</v>
      </c>
      <c r="F16" s="12"/>
      <c r="G16" s="11"/>
      <c r="H16" s="2">
        <v>-13477138.120000001</v>
      </c>
      <c r="I16" s="2">
        <f>+'Caja Real mensual '!J16</f>
        <v>-9157673.4000000004</v>
      </c>
      <c r="J16" s="12">
        <v>-8556729.8000000007</v>
      </c>
      <c r="K16" s="12">
        <v>-23769550.859999999</v>
      </c>
      <c r="L16" s="12">
        <v>-5177994</v>
      </c>
      <c r="M16" s="12">
        <v>-9933064.25</v>
      </c>
      <c r="N16" s="12">
        <v>-13293831.76</v>
      </c>
      <c r="O16" s="12">
        <v>-11148383.940000001</v>
      </c>
      <c r="P16" s="12">
        <f>+IF($J$3="SI",Deuda!Q86,Deuda!Q26)</f>
        <v>-19998953.725333519</v>
      </c>
      <c r="Q16" s="12">
        <f>+IF($J$3="SI",Deuda!R86,Deuda!R26)</f>
        <v>-21232332.390793178</v>
      </c>
      <c r="R16" s="12">
        <f>+IF($J$3="SI",Deuda!S86,Deuda!S26)</f>
        <v>-11140342.270557383</v>
      </c>
      <c r="S16" s="12">
        <f>+IF($J$3="SI",Deuda!T86,Deuda!T26)</f>
        <v>-11048440.570205124</v>
      </c>
    </row>
    <row r="17" spans="1:22" ht="15.75" customHeight="1">
      <c r="C17" s="54" t="s">
        <v>9359</v>
      </c>
      <c r="D17" s="54"/>
      <c r="E17" s="478" t="s">
        <v>9021</v>
      </c>
      <c r="F17" s="12"/>
      <c r="G17" s="11"/>
      <c r="H17" s="12">
        <v>-4444696.0999999996</v>
      </c>
      <c r="I17" s="2">
        <f>+'Caja Real mensual '!J17</f>
        <v>-76084633.159555554</v>
      </c>
      <c r="J17" s="12">
        <v>-12899579.194681048</v>
      </c>
      <c r="K17" s="12">
        <v>-29025157.789999999</v>
      </c>
      <c r="L17" s="12">
        <v>-17492015.850000001</v>
      </c>
      <c r="M17" s="12">
        <v>-12841980.689999999</v>
      </c>
      <c r="N17" s="12">
        <v>-14267145</v>
      </c>
      <c r="O17" s="12">
        <v>-22270837.826491665</v>
      </c>
      <c r="P17" s="12">
        <f>-'2.Adm-Ven-imp'!K37</f>
        <v>-49450000</v>
      </c>
      <c r="Q17" s="12">
        <f>-'2.Adm-Ven-imp'!L37</f>
        <v>-49450000</v>
      </c>
      <c r="R17" s="12">
        <f>-'2.Adm-Ven-imp'!M37</f>
        <v>-49450000</v>
      </c>
      <c r="S17" s="12">
        <f>-'2.Adm-Ven-imp'!N37</f>
        <v>-59450000</v>
      </c>
    </row>
    <row r="18" spans="1:22" ht="15.75" customHeight="1">
      <c r="C18" s="1"/>
      <c r="D18" s="1"/>
      <c r="E18" s="479" t="s">
        <v>9022</v>
      </c>
      <c r="F18" s="16"/>
      <c r="G18" s="17"/>
      <c r="H18" s="18">
        <f t="shared" ref="H18:S18" si="3">+SUM(H13:H17)</f>
        <v>-78667742.432379812</v>
      </c>
      <c r="I18" s="18">
        <f>+SUM(I13:I17)</f>
        <v>-225315348.5485681</v>
      </c>
      <c r="J18" s="18">
        <f>+SUM(J13:J17)</f>
        <v>26525350.797375709</v>
      </c>
      <c r="K18" s="18">
        <f t="shared" si="3"/>
        <v>-75580698.99000001</v>
      </c>
      <c r="L18" s="18">
        <f t="shared" si="3"/>
        <v>-93117013.186312228</v>
      </c>
      <c r="M18" s="18">
        <f t="shared" si="3"/>
        <v>512941745.42645943</v>
      </c>
      <c r="N18" s="18">
        <f t="shared" si="3"/>
        <v>-107134187.43666668</v>
      </c>
      <c r="O18" s="18">
        <v>849321709.61842859</v>
      </c>
      <c r="P18" s="18">
        <f t="shared" si="3"/>
        <v>1132987400.0804186</v>
      </c>
      <c r="Q18" s="18">
        <f t="shared" si="3"/>
        <v>-135021446.8262479</v>
      </c>
      <c r="R18" s="18">
        <f t="shared" si="3"/>
        <v>77290225.279273078</v>
      </c>
      <c r="S18" s="18">
        <f t="shared" si="3"/>
        <v>2260941656.4519815</v>
      </c>
    </row>
    <row r="19" spans="1:22" ht="15.75" hidden="1" customHeight="1">
      <c r="C19" s="1"/>
      <c r="D19" s="1"/>
      <c r="E19" s="478" t="s">
        <v>9023</v>
      </c>
      <c r="F19" s="12"/>
      <c r="G19" s="11"/>
      <c r="H19" s="21"/>
      <c r="I19" s="21"/>
      <c r="J19" s="21"/>
      <c r="K19" s="21"/>
      <c r="L19" s="21"/>
      <c r="M19" s="21"/>
      <c r="N19" s="21"/>
      <c r="O19" s="21"/>
      <c r="P19" s="21"/>
      <c r="Q19" s="21"/>
      <c r="R19" s="21"/>
      <c r="S19" s="21"/>
    </row>
    <row r="20" spans="1:22" ht="15.75" hidden="1" customHeight="1">
      <c r="C20" s="1"/>
      <c r="D20" s="1"/>
      <c r="E20" s="478" t="s">
        <v>9025</v>
      </c>
      <c r="F20" s="12"/>
      <c r="G20" s="11"/>
      <c r="H20" s="21"/>
      <c r="I20" s="21"/>
      <c r="J20" s="21"/>
      <c r="K20" s="21">
        <v>-13499000</v>
      </c>
      <c r="L20" s="21"/>
      <c r="M20" s="21"/>
      <c r="N20" s="21"/>
      <c r="O20" s="21"/>
      <c r="P20" s="21"/>
      <c r="Q20" s="21"/>
      <c r="R20" s="21"/>
      <c r="S20" s="21"/>
    </row>
    <row r="21" spans="1:22" ht="15.75" hidden="1" customHeight="1">
      <c r="C21" s="1"/>
      <c r="D21" s="1"/>
      <c r="E21" s="478" t="s">
        <v>9026</v>
      </c>
      <c r="F21" s="12"/>
      <c r="G21" s="11"/>
      <c r="H21" s="21"/>
      <c r="I21" s="21"/>
      <c r="J21" s="21"/>
      <c r="K21" s="21"/>
      <c r="L21" s="21"/>
      <c r="M21" s="21"/>
      <c r="N21" s="21"/>
      <c r="O21" s="21"/>
      <c r="P21" s="21"/>
      <c r="Q21" s="21"/>
      <c r="R21" s="21"/>
      <c r="S21" s="21"/>
    </row>
    <row r="22" spans="1:22" ht="15.75" hidden="1" customHeight="1">
      <c r="C22" s="14"/>
      <c r="D22" s="14"/>
      <c r="E22" s="479" t="s">
        <v>9027</v>
      </c>
      <c r="F22" s="16"/>
      <c r="G22" s="17"/>
      <c r="H22" s="18">
        <f t="shared" ref="H22:S22" si="4">+SUM(H18:H21)</f>
        <v>-78667742.432379812</v>
      </c>
      <c r="I22" s="18">
        <f>+SUM(I18:I21)</f>
        <v>-225315348.5485681</v>
      </c>
      <c r="J22" s="18">
        <f t="shared" si="4"/>
        <v>26525350.797375709</v>
      </c>
      <c r="K22" s="18">
        <f t="shared" si="4"/>
        <v>-89079698.99000001</v>
      </c>
      <c r="L22" s="18">
        <f t="shared" si="4"/>
        <v>-93117013.186312228</v>
      </c>
      <c r="M22" s="18">
        <f t="shared" si="4"/>
        <v>512941745.42645943</v>
      </c>
      <c r="N22" s="18">
        <f>+SUM(N18:N21)</f>
        <v>-107134187.43666668</v>
      </c>
      <c r="O22" s="18">
        <f>+SUM(O18:O21)</f>
        <v>849321709.61842859</v>
      </c>
      <c r="P22" s="18">
        <f>+SUM(P18:P21)</f>
        <v>1132987400.0804186</v>
      </c>
      <c r="Q22" s="18">
        <f>+SUM(Q18:Q21)</f>
        <v>-135021446.8262479</v>
      </c>
      <c r="R22" s="18">
        <f t="shared" si="4"/>
        <v>77290225.279273078</v>
      </c>
      <c r="S22" s="18">
        <f t="shared" si="4"/>
        <v>2260941656.4519815</v>
      </c>
    </row>
    <row r="23" spans="1:22" ht="15.75" hidden="1" customHeight="1">
      <c r="C23" s="14"/>
      <c r="D23" s="14"/>
      <c r="E23" s="478" t="s">
        <v>9028</v>
      </c>
      <c r="F23" s="12"/>
      <c r="G23" s="11"/>
      <c r="H23" s="13"/>
      <c r="I23" s="13"/>
      <c r="J23" s="13"/>
      <c r="K23" s="13"/>
      <c r="L23" s="13"/>
      <c r="M23" s="13"/>
      <c r="N23" s="13"/>
      <c r="O23" s="13"/>
      <c r="P23" s="13"/>
      <c r="Q23" s="13"/>
      <c r="R23" s="13"/>
      <c r="S23" s="13"/>
    </row>
    <row r="24" spans="1:22" ht="33" hidden="1" customHeight="1">
      <c r="C24" s="14"/>
      <c r="D24" s="14"/>
      <c r="E24" s="481" t="s">
        <v>9029</v>
      </c>
      <c r="F24" s="16"/>
      <c r="G24" s="17"/>
      <c r="H24" s="18">
        <f>H22+H23</f>
        <v>-78667742.432379812</v>
      </c>
      <c r="I24" s="18">
        <f>I22+I23</f>
        <v>-225315348.5485681</v>
      </c>
      <c r="J24" s="19">
        <f>J22+J23</f>
        <v>26525350.797375709</v>
      </c>
      <c r="K24" s="16">
        <f t="shared" ref="K24:S24" si="5">K22+K23</f>
        <v>-89079698.99000001</v>
      </c>
      <c r="L24" s="16">
        <f t="shared" si="5"/>
        <v>-93117013.186312228</v>
      </c>
      <c r="M24" s="16">
        <f t="shared" si="5"/>
        <v>512941745.42645943</v>
      </c>
      <c r="N24" s="16">
        <f t="shared" si="5"/>
        <v>-107134187.43666668</v>
      </c>
      <c r="O24" s="16">
        <f>O22+O23</f>
        <v>849321709.61842859</v>
      </c>
      <c r="P24" s="16">
        <f>P22+P23</f>
        <v>1132987400.0804186</v>
      </c>
      <c r="Q24" s="16">
        <f>Q22+Q23</f>
        <v>-135021446.8262479</v>
      </c>
      <c r="R24" s="16">
        <f>R22+R23</f>
        <v>77290225.279273078</v>
      </c>
      <c r="S24" s="16">
        <f t="shared" si="5"/>
        <v>2260941656.4519815</v>
      </c>
    </row>
    <row r="25" spans="1:22" ht="15.75" customHeight="1">
      <c r="C25" s="14"/>
      <c r="D25" s="14"/>
      <c r="E25" s="478" t="s">
        <v>9031</v>
      </c>
      <c r="F25" s="452"/>
      <c r="G25" s="17"/>
      <c r="H25" s="452"/>
      <c r="I25" s="452"/>
      <c r="J25" s="452"/>
      <c r="K25" s="452"/>
      <c r="L25" s="452"/>
      <c r="M25" s="452">
        <v>-32092598.875000007</v>
      </c>
      <c r="N25" s="452">
        <v>-176166643</v>
      </c>
      <c r="O25" s="452">
        <v>-80894527</v>
      </c>
      <c r="P25" s="452">
        <v>-70787637.125000015</v>
      </c>
      <c r="Q25" s="452">
        <v>-208887974.87500006</v>
      </c>
      <c r="R25" s="452">
        <v>-40300868.875000007</v>
      </c>
      <c r="S25" s="452"/>
    </row>
    <row r="26" spans="1:22" ht="15.75" customHeight="1">
      <c r="C26" s="14"/>
      <c r="D26" s="14"/>
      <c r="E26" s="478" t="s">
        <v>9408</v>
      </c>
      <c r="F26" s="452"/>
      <c r="G26" s="17"/>
      <c r="H26" s="452"/>
      <c r="I26" s="452"/>
      <c r="J26" s="452"/>
      <c r="K26" s="452"/>
      <c r="L26" s="452"/>
      <c r="M26" s="452"/>
      <c r="N26" s="452"/>
      <c r="O26" s="452"/>
      <c r="P26" s="452">
        <v>-217000000</v>
      </c>
      <c r="Q26" s="452">
        <v>-325500000</v>
      </c>
      <c r="R26" s="452">
        <f>+Q26</f>
        <v>-325500000</v>
      </c>
      <c r="S26" s="452">
        <v>-108500000</v>
      </c>
    </row>
    <row r="27" spans="1:22" s="6" customFormat="1" ht="15.75" customHeight="1">
      <c r="C27" s="327" t="s">
        <v>9041</v>
      </c>
      <c r="D27" s="14"/>
      <c r="E27" s="482" t="s">
        <v>9042</v>
      </c>
      <c r="F27" s="459"/>
      <c r="G27" s="458"/>
      <c r="H27" s="460">
        <v>-37255706</v>
      </c>
      <c r="I27" s="460">
        <f>+'Caja Real mensual '!J35</f>
        <v>-77148281.57407409</v>
      </c>
      <c r="J27" s="460">
        <v>-95809783</v>
      </c>
      <c r="K27" s="460">
        <v>-41824725.799999982</v>
      </c>
      <c r="L27" s="460">
        <v>-91625000</v>
      </c>
      <c r="M27" s="460">
        <v>-87374523.599999994</v>
      </c>
      <c r="N27" s="460">
        <v>-118824701.3333814</v>
      </c>
      <c r="O27" s="460">
        <v>-234221004.45869422</v>
      </c>
      <c r="P27" s="460">
        <f>+'3 Workig- Capex '!M7</f>
        <v>-221617000.84146529</v>
      </c>
      <c r="Q27" s="460">
        <f>+'3 Workig- Capex '!N7</f>
        <v>-258695497.19042623</v>
      </c>
      <c r="R27" s="460">
        <f>+'3 Workig- Capex '!O7</f>
        <v>-366758247.22052908</v>
      </c>
      <c r="S27" s="460">
        <f>+'3 Workig- Capex '!P7</f>
        <v>-213195859.178541</v>
      </c>
    </row>
    <row r="28" spans="1:22" s="6" customFormat="1" ht="15.75" customHeight="1">
      <c r="A28" s="130" t="s">
        <v>9041</v>
      </c>
      <c r="B28" s="130" t="s">
        <v>9043</v>
      </c>
      <c r="C28" s="306" t="s">
        <v>9044</v>
      </c>
      <c r="D28" s="55"/>
      <c r="E28" s="482" t="s">
        <v>9360</v>
      </c>
      <c r="F28" s="459"/>
      <c r="G28" s="458"/>
      <c r="H28" s="460"/>
      <c r="I28" s="460">
        <f>+'Caja Real mensual '!J36</f>
        <v>-11545198.594074074</v>
      </c>
      <c r="J28" s="461">
        <v>-16109046.940425532</v>
      </c>
      <c r="K28" s="461">
        <v>-16794628.06825532</v>
      </c>
      <c r="L28" s="461">
        <v>-13081842.964539008</v>
      </c>
      <c r="M28" s="461">
        <v>-32518588.333333336</v>
      </c>
      <c r="N28" s="461">
        <v>-30778046.333333332</v>
      </c>
      <c r="O28" s="461">
        <v>-66188355.25</v>
      </c>
      <c r="P28" s="461">
        <f>IF(P27=0,0,-Nomina!M80*40%)</f>
        <v>-34984873.279999994</v>
      </c>
      <c r="Q28" s="461">
        <f>IF(Q27=0,0,-Nomina!N80*40%)</f>
        <v>-34984873.279999994</v>
      </c>
      <c r="R28" s="461">
        <f>IF(R27=0,0,-Nomina!O80*40%)</f>
        <v>-34984873.279999994</v>
      </c>
      <c r="S28" s="461">
        <f>IF(S27=0,0,-Nomina!P80*40%)</f>
        <v>-48793873.280000001</v>
      </c>
    </row>
    <row r="29" spans="1:22" s="6" customFormat="1" ht="15.75" customHeight="1">
      <c r="A29" s="58"/>
      <c r="B29" s="58"/>
      <c r="C29" s="367"/>
      <c r="D29" s="55"/>
      <c r="E29" s="483" t="s">
        <v>9409</v>
      </c>
      <c r="F29" s="12"/>
      <c r="G29" s="11"/>
      <c r="H29" s="2"/>
      <c r="I29" s="2"/>
      <c r="J29" s="97"/>
      <c r="K29" s="97"/>
      <c r="L29" s="97"/>
      <c r="M29" s="97"/>
      <c r="N29" s="97">
        <v>-21001974.916666668</v>
      </c>
      <c r="O29" s="97">
        <f>-82120747.7853333+15932392.5353333</f>
        <v>-66188355.250000007</v>
      </c>
      <c r="P29" s="97">
        <f>-Estructuracion!K18</f>
        <v>-67200000</v>
      </c>
      <c r="Q29" s="97">
        <f>-Estructuracion!L18</f>
        <v>-67200000</v>
      </c>
      <c r="R29" s="97">
        <f>-Estructuracion!M18</f>
        <v>-67200000</v>
      </c>
      <c r="S29" s="97">
        <f>-Estructuracion!N18</f>
        <v>-79200000</v>
      </c>
      <c r="U29" s="2"/>
      <c r="V29" s="2"/>
    </row>
    <row r="30" spans="1:22" s="6" customFormat="1" ht="15.75" customHeight="1">
      <c r="A30" s="58"/>
      <c r="B30" s="58"/>
      <c r="C30" s="367"/>
      <c r="D30" s="55"/>
      <c r="E30" s="482" t="s">
        <v>9362</v>
      </c>
      <c r="F30" s="459"/>
      <c r="G30" s="458"/>
      <c r="H30" s="460">
        <v>-25897285.390000001</v>
      </c>
      <c r="I30" s="460">
        <f>+'Caja Real mensual '!J38</f>
        <v>-84382106.465925872</v>
      </c>
      <c r="J30" s="461">
        <v>-66356706.167375877</v>
      </c>
      <c r="K30" s="461">
        <v>-126991412.59174456</v>
      </c>
      <c r="L30" s="461">
        <f>-60994024.7092199-L9</f>
        <v>-60994024.709219903</v>
      </c>
      <c r="M30" s="461">
        <f>-20862871.3333333</f>
        <v>-20862871.333333299</v>
      </c>
      <c r="N30" s="461">
        <v>-36676735.666666672</v>
      </c>
      <c r="O30" s="461">
        <f>-391742590.224226+-15932392.5353333</f>
        <v>-407674982.75955927</v>
      </c>
      <c r="P30" s="461">
        <f>IF(P27=0,-Nomina!M80*100%,-Nomina!M80*60%)</f>
        <v>-52477309.919999994</v>
      </c>
      <c r="Q30" s="461">
        <f>IF(Q27=0,-Nomina!N80*100%,-Nomina!N80*60%)</f>
        <v>-52477309.919999994</v>
      </c>
      <c r="R30" s="461">
        <f>IF(R27=0,-Nomina!O80*100%,-Nomina!O80*60%)</f>
        <v>-52477309.919999994</v>
      </c>
      <c r="S30" s="461">
        <f>IF(S27=0,-Nomina!P80*100%,-Nomina!P80*60%)</f>
        <v>-73190809.919999987</v>
      </c>
    </row>
    <row r="31" spans="1:22" s="6" customFormat="1" ht="15.75" customHeight="1">
      <c r="C31" s="328" t="s">
        <v>296</v>
      </c>
      <c r="D31" s="1"/>
      <c r="E31" s="482" t="s">
        <v>9363</v>
      </c>
      <c r="F31" s="459"/>
      <c r="G31" s="458"/>
      <c r="H31" s="460">
        <f>-927633090+'1.Ventas EPC'!E61</f>
        <v>-927633090</v>
      </c>
      <c r="I31" s="460">
        <f>+'Caja Real mensual '!J39</f>
        <v>-1620909014.2673576</v>
      </c>
      <c r="J31" s="460">
        <v>617083893.84042549</v>
      </c>
      <c r="K31" s="460">
        <v>-298279036.20000011</v>
      </c>
      <c r="L31" s="460">
        <v>-2774193.6524823457</v>
      </c>
      <c r="M31" s="460">
        <f>-172557000.2-M9-M8+31234548.88</f>
        <v>-737388408.32723916</v>
      </c>
      <c r="N31" s="460">
        <v>550673059.86613321</v>
      </c>
      <c r="O31" s="460">
        <v>-19911000</v>
      </c>
      <c r="P31" s="460">
        <f>+'3 Workig- Capex '!M6+'1.Ventas EPC'!M61</f>
        <v>-545558107.969311</v>
      </c>
      <c r="Q31" s="460">
        <f>+'3 Workig- Capex '!N6+'1.Ventas EPC'!N61</f>
        <v>1289754970.2738774</v>
      </c>
      <c r="R31" s="460">
        <f>+'3 Workig- Capex '!O6+'1.Ventas EPC'!O61</f>
        <v>365004993.76083064</v>
      </c>
      <c r="S31" s="460">
        <f>+'3 Workig- Capex '!P6+'1.Ventas EPC'!P61</f>
        <v>-1965122290.4459045</v>
      </c>
    </row>
    <row r="32" spans="1:22" s="6" customFormat="1" ht="15.75" hidden="1" customHeight="1">
      <c r="C32" s="200" t="s">
        <v>525</v>
      </c>
      <c r="D32" s="184"/>
      <c r="E32" s="482" t="s">
        <v>9053</v>
      </c>
      <c r="F32" s="459"/>
      <c r="G32" s="458"/>
      <c r="H32" s="460">
        <v>-42184000</v>
      </c>
      <c r="I32" s="460">
        <f>+'Caja Real mensual '!J43</f>
        <v>-22576000</v>
      </c>
      <c r="J32" s="460">
        <v>-6795000</v>
      </c>
      <c r="K32" s="460">
        <v>-20602000</v>
      </c>
      <c r="L32" s="460">
        <v>-18217300</v>
      </c>
      <c r="M32" s="460">
        <v>-1428000</v>
      </c>
      <c r="N32" s="460">
        <v>-56182000</v>
      </c>
      <c r="O32" s="460"/>
      <c r="P32" s="460"/>
      <c r="Q32" s="460"/>
      <c r="R32" s="460"/>
      <c r="S32" s="460"/>
    </row>
    <row r="33" spans="3:19" ht="27" customHeight="1">
      <c r="C33" s="1"/>
      <c r="D33" s="1"/>
      <c r="E33" s="484" t="s">
        <v>9054</v>
      </c>
      <c r="F33" s="178"/>
      <c r="G33" s="475"/>
      <c r="H33" s="476">
        <f>+H24+H27+H31+H28+H32+H30</f>
        <v>-1111637823.8223798</v>
      </c>
      <c r="I33" s="476">
        <f>+I24+I27+I31+I28+I32+I30</f>
        <v>-2041875949.4499998</v>
      </c>
      <c r="J33" s="476">
        <f t="shared" ref="J33:L33" si="6">+J24+J27+J31+J28+J32+J30</f>
        <v>458538708.52999979</v>
      </c>
      <c r="K33" s="476">
        <f t="shared" si="6"/>
        <v>-593571501.64999998</v>
      </c>
      <c r="L33" s="476">
        <f t="shared" si="6"/>
        <v>-279809374.51255351</v>
      </c>
      <c r="M33" s="476">
        <f>+M24+M27+M31+M28+M32+M30+M25</f>
        <v>-398723245.04244637</v>
      </c>
      <c r="N33" s="476">
        <f>+N24+N27+N31+N28+N32+N30+N25+N29</f>
        <v>3908771.1794184633</v>
      </c>
      <c r="O33" s="476">
        <f>+O24+O27+O31+O28+O32+O30+O25+O29+O26</f>
        <v>-25756515.099824913</v>
      </c>
      <c r="P33" s="476">
        <f>+P24+P27+P31+P28+P32+P30+P25+P29+P26</f>
        <v>-76637529.055357635</v>
      </c>
      <c r="Q33" s="476">
        <f t="shared" ref="Q33:S33" si="7">+Q24+Q27+Q31+Q28+Q32+Q30+Q25+Q29+Q26</f>
        <v>206987868.18220329</v>
      </c>
      <c r="R33" s="476">
        <f t="shared" si="7"/>
        <v>-444926080.25542533</v>
      </c>
      <c r="S33" s="476">
        <f t="shared" si="7"/>
        <v>-227061176.37246388</v>
      </c>
    </row>
    <row r="34" spans="3:19" ht="21" customHeight="1">
      <c r="C34" s="55" t="s">
        <v>298</v>
      </c>
      <c r="D34" s="55"/>
      <c r="E34" s="478" t="s">
        <v>9364</v>
      </c>
      <c r="F34" s="12"/>
      <c r="G34" s="11"/>
      <c r="H34" s="2">
        <v>-128906426.88000001</v>
      </c>
      <c r="I34" s="14">
        <f>+'Caja Real mensual '!J45</f>
        <v>31523579.580000002</v>
      </c>
      <c r="J34" s="14">
        <v>38477912.390000001</v>
      </c>
      <c r="K34" s="14">
        <f>378169929.22-K35</f>
        <v>-91179720.779999971</v>
      </c>
      <c r="L34" s="14">
        <f>273695678.18-400000000</f>
        <v>-126304321.81999999</v>
      </c>
      <c r="M34" s="14">
        <v>-9792986.1799999997</v>
      </c>
      <c r="N34" s="14">
        <f>+IF($J$3="SI",Deuda!O84,Deuda!O27)-87964713.7687346-0.00262022018432617</f>
        <v>-105153932.97203869</v>
      </c>
      <c r="O34" s="14">
        <v>85186369</v>
      </c>
      <c r="P34" s="14">
        <f>+IF($J$3="SI",Deuda!Q84,Deuda!Q27)</f>
        <v>-65565461.577324182</v>
      </c>
      <c r="Q34" s="14">
        <f>+IF($J$3="SI",Deuda!R84,Deuda!R27)</f>
        <v>-67465459.19186452</v>
      </c>
      <c r="R34" s="14">
        <f>+IF($J$3="SI",Deuda!S84,Deuda!S27)</f>
        <v>-17557449.312100321</v>
      </c>
      <c r="S34" s="14">
        <f>+IF($J$3="SI",Deuda!T84,Deuda!T27)</f>
        <v>-17649352.01245258</v>
      </c>
    </row>
    <row r="35" spans="3:19" ht="21" customHeight="1">
      <c r="C35" s="55"/>
      <c r="D35" s="55"/>
      <c r="E35" s="478" t="s">
        <v>9365</v>
      </c>
      <c r="F35" s="12"/>
      <c r="G35" s="11"/>
      <c r="H35" s="2"/>
      <c r="I35" s="14"/>
      <c r="J35" s="14">
        <f>+Deuda!K79</f>
        <v>0</v>
      </c>
      <c r="K35" s="437">
        <f>219349650+250000000</f>
        <v>469349650</v>
      </c>
      <c r="L35" s="437">
        <v>400000000</v>
      </c>
      <c r="M35" s="14"/>
      <c r="N35" s="437">
        <f>150000000+3908771.17941843</f>
        <v>153908771.17941844</v>
      </c>
      <c r="O35" s="14"/>
      <c r="P35" s="14"/>
      <c r="Q35" s="14"/>
      <c r="R35" s="14"/>
      <c r="S35" s="486">
        <v>-212640000</v>
      </c>
    </row>
    <row r="36" spans="3:19" ht="21" customHeight="1">
      <c r="E36" s="479" t="s">
        <v>9056</v>
      </c>
      <c r="F36" s="16"/>
      <c r="G36" s="17"/>
      <c r="H36" s="18">
        <f t="shared" ref="H36" si="8">+H33+H34</f>
        <v>-1240544250.7023799</v>
      </c>
      <c r="I36" s="16">
        <f t="shared" ref="I36:S36" si="9">+I33+I34+I35</f>
        <v>-2010352369.8699999</v>
      </c>
      <c r="J36" s="16">
        <f t="shared" si="9"/>
        <v>497016620.91999978</v>
      </c>
      <c r="K36" s="16">
        <f t="shared" si="9"/>
        <v>-215401572.42999995</v>
      </c>
      <c r="L36" s="16">
        <f t="shared" si="9"/>
        <v>-6113696.3325535059</v>
      </c>
      <c r="M36" s="16">
        <f t="shared" si="9"/>
        <v>-408516231.22244638</v>
      </c>
      <c r="N36" s="16">
        <f t="shared" si="9"/>
        <v>52663609.386798218</v>
      </c>
      <c r="O36" s="16">
        <f t="shared" si="9"/>
        <v>59429853.900175087</v>
      </c>
      <c r="P36" s="16">
        <f t="shared" si="9"/>
        <v>-142202990.63268182</v>
      </c>
      <c r="Q36" s="16">
        <f t="shared" si="9"/>
        <v>139522408.99033877</v>
      </c>
      <c r="R36" s="16">
        <f t="shared" si="9"/>
        <v>-462483529.56752563</v>
      </c>
      <c r="S36" s="16">
        <f t="shared" si="9"/>
        <v>-457350528.38491642</v>
      </c>
    </row>
    <row r="37" spans="3:19" ht="21" customHeight="1">
      <c r="E37" s="478" t="s">
        <v>9057</v>
      </c>
      <c r="F37" s="12"/>
      <c r="G37" s="11"/>
      <c r="H37" s="2"/>
      <c r="I37" s="2"/>
      <c r="J37" s="2"/>
      <c r="K37" s="2"/>
      <c r="L37" s="2"/>
      <c r="M37" s="6"/>
      <c r="N37" s="2"/>
      <c r="O37" s="2"/>
      <c r="P37" s="2"/>
      <c r="Q37" s="2"/>
      <c r="R37" s="2"/>
      <c r="S37" s="2"/>
    </row>
    <row r="38" spans="3:19" ht="21" customHeight="1">
      <c r="E38" s="478" t="s">
        <v>9059</v>
      </c>
      <c r="F38" s="11"/>
      <c r="G38" s="11"/>
      <c r="H38" s="6"/>
      <c r="J38" s="6"/>
      <c r="K38" s="6"/>
      <c r="L38" s="6"/>
      <c r="M38" s="6"/>
      <c r="N38" s="6"/>
      <c r="O38" s="6"/>
      <c r="P38" s="6"/>
      <c r="Q38" s="6"/>
      <c r="R38" s="6"/>
      <c r="S38" s="6"/>
    </row>
    <row r="39" spans="3:19" ht="15.75" customHeight="1">
      <c r="E39" s="479" t="s">
        <v>9060</v>
      </c>
      <c r="F39" s="16"/>
      <c r="G39" s="17"/>
      <c r="H39" s="16">
        <f>+H36+H37+H38</f>
        <v>-1240544250.7023799</v>
      </c>
      <c r="I39" s="377">
        <f>+I36+I37+I38</f>
        <v>-2010352369.8699999</v>
      </c>
      <c r="J39" s="377">
        <f t="shared" ref="J39:S39" si="10">+J36+SUM(J37:J38)</f>
        <v>497016620.91999978</v>
      </c>
      <c r="K39" s="16">
        <f t="shared" si="10"/>
        <v>-215401572.42999995</v>
      </c>
      <c r="L39" s="16">
        <f t="shared" si="10"/>
        <v>-6113696.3325535059</v>
      </c>
      <c r="M39" s="16">
        <f t="shared" si="10"/>
        <v>-408516231.22244638</v>
      </c>
      <c r="N39" s="16">
        <f t="shared" si="10"/>
        <v>52663609.386798218</v>
      </c>
      <c r="O39" s="16">
        <f t="shared" si="10"/>
        <v>59429853.900175087</v>
      </c>
      <c r="P39" s="16">
        <f t="shared" si="10"/>
        <v>-142202990.63268182</v>
      </c>
      <c r="Q39" s="16">
        <f t="shared" si="10"/>
        <v>139522408.99033877</v>
      </c>
      <c r="R39" s="16">
        <f t="shared" si="10"/>
        <v>-462483529.56752563</v>
      </c>
      <c r="S39" s="16">
        <f t="shared" si="10"/>
        <v>-457350528.38491642</v>
      </c>
    </row>
    <row r="40" spans="3:19" ht="15.75" customHeight="1">
      <c r="E40" s="478" t="s">
        <v>9061</v>
      </c>
      <c r="F40" s="12"/>
      <c r="G40" s="11"/>
      <c r="H40" s="27">
        <v>1626292257.0400002</v>
      </c>
      <c r="I40" s="378">
        <f>+H41</f>
        <v>385748006.33762026</v>
      </c>
      <c r="J40" s="378">
        <f t="shared" ref="J40:L40" si="11">+I41</f>
        <v>-1624604363.5323796</v>
      </c>
      <c r="K40" s="27">
        <f>+J41</f>
        <v>-1127587742.6123798</v>
      </c>
      <c r="L40" s="27">
        <f t="shared" si="11"/>
        <v>-1342989315.0423799</v>
      </c>
      <c r="M40" s="27">
        <f t="shared" ref="M40" si="12">+L41</f>
        <v>-1349103011.3749332</v>
      </c>
      <c r="N40" s="27">
        <f t="shared" ref="N40" si="13">+M41</f>
        <v>-1757619242.5973797</v>
      </c>
      <c r="O40" s="27">
        <f t="shared" ref="O40" si="14">+N41</f>
        <v>-1704955633.2105815</v>
      </c>
      <c r="P40" s="27">
        <f t="shared" ref="P40" si="15">+O41</f>
        <v>-1645525779.3104064</v>
      </c>
      <c r="Q40" s="27">
        <f t="shared" ref="Q40" si="16">+P41</f>
        <v>-1787728769.9430883</v>
      </c>
      <c r="R40" s="27">
        <f t="shared" ref="R40" si="17">+Q41</f>
        <v>-1648206360.9527495</v>
      </c>
      <c r="S40" s="27">
        <f t="shared" ref="S40" si="18">+R41</f>
        <v>-2110689890.5202751</v>
      </c>
    </row>
    <row r="41" spans="3:19" ht="15.75" customHeight="1">
      <c r="E41" s="485" t="s">
        <v>9062</v>
      </c>
      <c r="F41" s="29"/>
      <c r="G41" s="30"/>
      <c r="H41" s="32">
        <f t="shared" ref="H41:S41" si="19">+H39+H40</f>
        <v>385748006.33762026</v>
      </c>
      <c r="I41" s="32">
        <f t="shared" si="19"/>
        <v>-1624604363.5323796</v>
      </c>
      <c r="J41" s="32">
        <f t="shared" si="19"/>
        <v>-1127587742.6123798</v>
      </c>
      <c r="K41" s="32">
        <f t="shared" si="19"/>
        <v>-1342989315.0423799</v>
      </c>
      <c r="L41" s="32">
        <f t="shared" si="19"/>
        <v>-1349103011.3749332</v>
      </c>
      <c r="M41" s="32">
        <f t="shared" si="19"/>
        <v>-1757619242.5973797</v>
      </c>
      <c r="N41" s="32">
        <f t="shared" si="19"/>
        <v>-1704955633.2105815</v>
      </c>
      <c r="O41" s="32">
        <f t="shared" si="19"/>
        <v>-1645525779.3104064</v>
      </c>
      <c r="P41" s="32">
        <f t="shared" si="19"/>
        <v>-1787728769.9430883</v>
      </c>
      <c r="Q41" s="32">
        <f t="shared" si="19"/>
        <v>-1648206360.9527495</v>
      </c>
      <c r="R41" s="32">
        <f t="shared" si="19"/>
        <v>-2110689890.5202751</v>
      </c>
      <c r="S41" s="32">
        <f t="shared" si="19"/>
        <v>-2568040418.9051914</v>
      </c>
    </row>
    <row r="42" spans="3:19" ht="15.75" customHeight="1">
      <c r="E42" s="30"/>
      <c r="F42" s="223"/>
      <c r="G42" s="30"/>
      <c r="H42" s="224"/>
      <c r="I42" s="224"/>
      <c r="J42" s="224"/>
      <c r="K42" s="224"/>
      <c r="L42" s="224"/>
      <c r="M42" s="224"/>
      <c r="N42" s="224"/>
      <c r="O42" s="224"/>
      <c r="P42" s="224"/>
      <c r="Q42" s="224"/>
      <c r="R42" s="224"/>
      <c r="S42" s="224"/>
    </row>
    <row r="43" spans="3:19" ht="15.75" customHeight="1">
      <c r="E43" s="30"/>
      <c r="F43" s="223"/>
      <c r="G43" s="30"/>
      <c r="H43" s="224"/>
      <c r="I43" s="224"/>
      <c r="J43" s="224"/>
      <c r="K43" s="224"/>
      <c r="L43" s="224"/>
      <c r="M43" s="224"/>
      <c r="N43" s="224"/>
      <c r="O43" s="462"/>
      <c r="P43" s="224"/>
      <c r="Q43" s="224"/>
      <c r="R43" s="224"/>
      <c r="S43" s="224"/>
    </row>
    <row r="44" spans="3:19" ht="15.75" customHeight="1">
      <c r="E44" s="30"/>
      <c r="F44" s="223"/>
      <c r="G44" s="30"/>
      <c r="H44" s="224"/>
      <c r="I44" s="224"/>
      <c r="J44" s="224"/>
      <c r="K44" s="224"/>
      <c r="L44" s="224"/>
      <c r="M44" s="332"/>
      <c r="N44" s="224"/>
      <c r="O44" s="224"/>
      <c r="P44" s="224"/>
      <c r="Q44" s="224"/>
      <c r="R44" s="224"/>
      <c r="S44" s="224"/>
    </row>
    <row r="45" spans="3:19" ht="15.75" customHeight="1">
      <c r="E45" s="1"/>
      <c r="F45" s="7">
        <v>2023</v>
      </c>
      <c r="G45" s="1"/>
      <c r="H45" s="8">
        <v>45292</v>
      </c>
      <c r="I45" s="8">
        <v>45323</v>
      </c>
      <c r="J45" s="9">
        <v>45352</v>
      </c>
      <c r="K45" s="8">
        <v>45383</v>
      </c>
      <c r="L45" s="8">
        <v>45413</v>
      </c>
      <c r="M45" s="9">
        <v>45444</v>
      </c>
      <c r="N45" s="8">
        <v>45474</v>
      </c>
      <c r="O45" s="8">
        <v>45505</v>
      </c>
      <c r="P45" s="9">
        <v>45536</v>
      </c>
      <c r="Q45" s="8">
        <v>45566</v>
      </c>
      <c r="R45" s="8">
        <v>45597</v>
      </c>
      <c r="S45" s="9">
        <v>45627</v>
      </c>
    </row>
    <row r="46" spans="3:19" ht="15.75" customHeight="1">
      <c r="E46" s="11" t="s">
        <v>5051</v>
      </c>
      <c r="F46" s="12"/>
      <c r="G46" s="11"/>
      <c r="H46" s="2">
        <f t="shared" ref="H46:S46" si="20">+H8</f>
        <v>0</v>
      </c>
      <c r="I46" s="2">
        <f t="shared" si="20"/>
        <v>0</v>
      </c>
      <c r="J46" s="2">
        <f t="shared" si="20"/>
        <v>182110990</v>
      </c>
      <c r="K46" s="2">
        <f t="shared" si="20"/>
        <v>11142290</v>
      </c>
      <c r="L46" s="2">
        <f t="shared" si="20"/>
        <v>0</v>
      </c>
      <c r="M46" s="2">
        <f t="shared" si="20"/>
        <v>3337660722</v>
      </c>
      <c r="N46" s="2">
        <f t="shared" si="20"/>
        <v>0</v>
      </c>
      <c r="O46" s="2">
        <f t="shared" si="20"/>
        <v>1065064361</v>
      </c>
      <c r="P46" s="2">
        <f t="shared" si="20"/>
        <v>1676824000</v>
      </c>
      <c r="Q46" s="2">
        <f t="shared" si="20"/>
        <v>0</v>
      </c>
      <c r="R46" s="2">
        <f t="shared" si="20"/>
        <v>199118674</v>
      </c>
      <c r="S46" s="2">
        <f t="shared" si="20"/>
        <v>12911532598.41292</v>
      </c>
    </row>
    <row r="47" spans="3:19" ht="15.75" customHeight="1">
      <c r="E47" s="11" t="s">
        <v>9010</v>
      </c>
      <c r="F47" s="12"/>
      <c r="G47" s="11"/>
      <c r="H47" s="2">
        <f t="shared" ref="H47:S47" si="21">+H9</f>
        <v>0</v>
      </c>
      <c r="I47" s="2">
        <f t="shared" si="21"/>
        <v>0</v>
      </c>
      <c r="J47" s="2">
        <f t="shared" si="21"/>
        <v>-74861403.840425521</v>
      </c>
      <c r="K47" s="2">
        <f t="shared" si="21"/>
        <v>0</v>
      </c>
      <c r="L47" s="2">
        <f t="shared" si="21"/>
        <v>0</v>
      </c>
      <c r="M47" s="2">
        <f t="shared" si="21"/>
        <v>-2741594764.9927607</v>
      </c>
      <c r="N47" s="2">
        <f t="shared" si="21"/>
        <v>0</v>
      </c>
      <c r="O47" s="2">
        <f t="shared" si="21"/>
        <v>-117701077</v>
      </c>
      <c r="P47" s="2">
        <f t="shared" si="21"/>
        <v>-406171491.70041209</v>
      </c>
      <c r="Q47" s="2">
        <f t="shared" si="21"/>
        <v>-500000</v>
      </c>
      <c r="R47" s="2">
        <f t="shared" si="21"/>
        <v>0</v>
      </c>
      <c r="S47" s="2">
        <f t="shared" si="21"/>
        <v>-10496185628.58984</v>
      </c>
    </row>
    <row r="48" spans="3:19" ht="15.75" customHeight="1">
      <c r="E48" s="11" t="s">
        <v>9011</v>
      </c>
      <c r="F48" s="12"/>
      <c r="G48" s="11"/>
      <c r="H48" s="2">
        <f t="shared" ref="H48:S48" si="22">+H10</f>
        <v>26920733.870000001</v>
      </c>
      <c r="I48" s="2">
        <f t="shared" si="22"/>
        <v>80849259.349999994</v>
      </c>
      <c r="J48" s="2">
        <f t="shared" si="22"/>
        <v>25440290.27</v>
      </c>
      <c r="K48" s="2">
        <f t="shared" si="22"/>
        <v>43699208.509999998</v>
      </c>
      <c r="L48" s="2">
        <f t="shared" si="22"/>
        <v>35244810</v>
      </c>
      <c r="M48" s="2">
        <f t="shared" si="22"/>
        <v>55908865.729999997</v>
      </c>
      <c r="N48" s="2">
        <f t="shared" si="22"/>
        <v>26974144</v>
      </c>
      <c r="O48" s="2">
        <f t="shared" si="22"/>
        <v>52440020.119999997</v>
      </c>
      <c r="P48" s="2">
        <f t="shared" si="22"/>
        <v>63000000</v>
      </c>
      <c r="Q48" s="2">
        <f t="shared" si="22"/>
        <v>66495614.793264173</v>
      </c>
      <c r="R48" s="2">
        <f t="shared" si="22"/>
        <v>66495615.793264173</v>
      </c>
      <c r="S48" s="2">
        <f t="shared" si="22"/>
        <v>66817035.771745212</v>
      </c>
    </row>
    <row r="49" spans="5:19" ht="15.75" customHeight="1">
      <c r="E49" s="11" t="s">
        <v>9012</v>
      </c>
      <c r="F49" s="12"/>
      <c r="G49" s="11"/>
      <c r="H49" s="2">
        <f t="shared" ref="H49:S49" si="23">+H11</f>
        <v>-4498059.6123798173</v>
      </c>
      <c r="I49" s="2">
        <f t="shared" si="23"/>
        <v>-284430</v>
      </c>
      <c r="J49" s="2">
        <f t="shared" si="23"/>
        <v>-4844544</v>
      </c>
      <c r="K49" s="2">
        <f t="shared" si="23"/>
        <v>-4091659</v>
      </c>
      <c r="L49" s="2">
        <f t="shared" si="23"/>
        <v>-5085794.1489361702</v>
      </c>
      <c r="M49" s="2">
        <f t="shared" si="23"/>
        <v>-5845892</v>
      </c>
      <c r="N49" s="2">
        <f t="shared" si="23"/>
        <v>-13920397</v>
      </c>
      <c r="O49" s="2">
        <f t="shared" si="23"/>
        <v>-9091198.666666666</v>
      </c>
      <c r="P49" s="2">
        <f t="shared" si="23"/>
        <v>-9091198.666666666</v>
      </c>
      <c r="Q49" s="2">
        <f t="shared" si="23"/>
        <v>-9091198.666666666</v>
      </c>
      <c r="R49" s="2">
        <f t="shared" si="23"/>
        <v>-9091198.666666666</v>
      </c>
      <c r="S49" s="2">
        <f t="shared" si="23"/>
        <v>-9091198.666666666</v>
      </c>
    </row>
    <row r="50" spans="5:19" ht="15.75" customHeight="1">
      <c r="E50" s="11" t="s">
        <v>9358</v>
      </c>
      <c r="F50" s="13"/>
      <c r="G50" s="11"/>
      <c r="H50" s="2">
        <f t="shared" ref="H50:S50" si="24">+H12</f>
        <v>0</v>
      </c>
      <c r="I50" s="2">
        <f t="shared" si="24"/>
        <v>0</v>
      </c>
      <c r="J50" s="2">
        <f t="shared" si="24"/>
        <v>0</v>
      </c>
      <c r="K50" s="2">
        <f t="shared" si="24"/>
        <v>0</v>
      </c>
      <c r="L50" s="2">
        <f t="shared" si="24"/>
        <v>0</v>
      </c>
      <c r="M50" s="2">
        <f t="shared" si="24"/>
        <v>0</v>
      </c>
      <c r="N50" s="2">
        <f t="shared" si="24"/>
        <v>399606</v>
      </c>
      <c r="O50" s="2">
        <f t="shared" si="24"/>
        <v>2325936</v>
      </c>
      <c r="P50" s="2">
        <f t="shared" si="24"/>
        <v>3600451.2646824885</v>
      </c>
      <c r="Q50" s="2">
        <f t="shared" si="24"/>
        <v>4481876.5297995172</v>
      </c>
      <c r="R50" s="2">
        <f t="shared" si="24"/>
        <v>7082883.5150846783</v>
      </c>
      <c r="S50" s="2">
        <f t="shared" si="24"/>
        <v>7584697.185879577</v>
      </c>
    </row>
    <row r="51" spans="5:19" ht="15.75" customHeight="1">
      <c r="E51" s="15" t="s">
        <v>9017</v>
      </c>
      <c r="F51" s="16"/>
      <c r="G51" s="17"/>
      <c r="H51" s="18">
        <f t="shared" ref="H51:S51" si="25">+SUM(H46:H50)</f>
        <v>22422674.257620186</v>
      </c>
      <c r="I51" s="18">
        <f t="shared" si="25"/>
        <v>80564829.349999994</v>
      </c>
      <c r="J51" s="18">
        <f t="shared" si="25"/>
        <v>127845332.42957447</v>
      </c>
      <c r="K51" s="18">
        <f t="shared" si="25"/>
        <v>50749839.509999998</v>
      </c>
      <c r="L51" s="18">
        <f t="shared" si="25"/>
        <v>30159015.851063829</v>
      </c>
      <c r="M51" s="18">
        <f t="shared" si="25"/>
        <v>646128930.73723936</v>
      </c>
      <c r="N51" s="18">
        <f t="shared" si="25"/>
        <v>13453353</v>
      </c>
      <c r="O51" s="18">
        <f t="shared" si="25"/>
        <v>993038041.45333338</v>
      </c>
      <c r="P51" s="18">
        <f t="shared" si="25"/>
        <v>1328161760.8976038</v>
      </c>
      <c r="Q51" s="18">
        <f t="shared" si="25"/>
        <v>61386292.65639703</v>
      </c>
      <c r="R51" s="18">
        <f t="shared" si="25"/>
        <v>263605974.64168221</v>
      </c>
      <c r="S51" s="18">
        <f t="shared" si="25"/>
        <v>2480657504.1140385</v>
      </c>
    </row>
    <row r="52" spans="5:19" ht="15.75" customHeight="1">
      <c r="E52" s="151" t="s">
        <v>9018</v>
      </c>
      <c r="F52" s="12"/>
      <c r="G52" s="11"/>
      <c r="H52" s="2">
        <f t="shared" ref="H52:S52" si="26">+H14</f>
        <v>-76900485.030000001</v>
      </c>
      <c r="I52" s="2">
        <f t="shared" si="26"/>
        <v>-207738547.76444441</v>
      </c>
      <c r="J52" s="2">
        <f t="shared" si="26"/>
        <v>-77502995.667517722</v>
      </c>
      <c r="K52" s="2">
        <f t="shared" si="26"/>
        <v>-69009430.170000017</v>
      </c>
      <c r="L52" s="2">
        <f t="shared" si="26"/>
        <v>-96742474.964021295</v>
      </c>
      <c r="M52" s="2">
        <f t="shared" si="26"/>
        <v>-106206595.98333335</v>
      </c>
      <c r="N52" s="2">
        <f t="shared" si="26"/>
        <v>-86796382.006666675</v>
      </c>
      <c r="O52" s="2">
        <f t="shared" si="26"/>
        <v>-104303031.86841302</v>
      </c>
      <c r="P52" s="2">
        <f t="shared" si="26"/>
        <v>-119731328.89185175</v>
      </c>
      <c r="Q52" s="2">
        <f t="shared" si="26"/>
        <v>-119731328.89185175</v>
      </c>
      <c r="R52" s="2">
        <f t="shared" si="26"/>
        <v>-119731328.89185175</v>
      </c>
      <c r="S52" s="2">
        <f t="shared" si="26"/>
        <v>-143223328.89185175</v>
      </c>
    </row>
    <row r="53" spans="5:19" ht="15.75" customHeight="1">
      <c r="E53" s="11" t="s">
        <v>9019</v>
      </c>
      <c r="F53" s="12"/>
      <c r="G53" s="11"/>
      <c r="H53" s="2">
        <f t="shared" ref="H53:S53" si="27">+H15</f>
        <v>-6268097.4400000004</v>
      </c>
      <c r="I53" s="2">
        <f t="shared" si="27"/>
        <v>-12899323.574568119</v>
      </c>
      <c r="J53" s="2">
        <f t="shared" si="27"/>
        <v>-2360676.9700000002</v>
      </c>
      <c r="K53" s="2">
        <f t="shared" si="27"/>
        <v>-4526399.68</v>
      </c>
      <c r="L53" s="2">
        <f t="shared" si="27"/>
        <v>-3863544.2233547638</v>
      </c>
      <c r="M53" s="2">
        <f t="shared" si="27"/>
        <v>-4205544.3874465656</v>
      </c>
      <c r="N53" s="2">
        <f t="shared" si="27"/>
        <v>-6230181.6699999999</v>
      </c>
      <c r="O53" s="2">
        <f t="shared" si="27"/>
        <v>-5994078.2000000002</v>
      </c>
      <c r="P53" s="2">
        <f t="shared" si="27"/>
        <v>-5994078.2000000002</v>
      </c>
      <c r="Q53" s="2">
        <f t="shared" si="27"/>
        <v>-5994078.2000000002</v>
      </c>
      <c r="R53" s="2">
        <f t="shared" si="27"/>
        <v>-5994078.2000000002</v>
      </c>
      <c r="S53" s="2">
        <f t="shared" si="27"/>
        <v>-5994078.2000000002</v>
      </c>
    </row>
    <row r="54" spans="5:19" ht="15.75" customHeight="1">
      <c r="E54" s="11" t="s">
        <v>9020</v>
      </c>
      <c r="F54" s="12"/>
      <c r="G54" s="11"/>
      <c r="H54" s="2">
        <f t="shared" ref="H54:S54" si="28">+H16</f>
        <v>-13477138.120000001</v>
      </c>
      <c r="I54" s="2">
        <f t="shared" si="28"/>
        <v>-9157673.4000000004</v>
      </c>
      <c r="J54" s="2">
        <f t="shared" si="28"/>
        <v>-8556729.8000000007</v>
      </c>
      <c r="K54" s="2">
        <f t="shared" si="28"/>
        <v>-23769550.859999999</v>
      </c>
      <c r="L54" s="2">
        <f t="shared" si="28"/>
        <v>-5177994</v>
      </c>
      <c r="M54" s="2">
        <f t="shared" si="28"/>
        <v>-9933064.25</v>
      </c>
      <c r="N54" s="2">
        <f t="shared" si="28"/>
        <v>-13293831.76</v>
      </c>
      <c r="O54" s="2">
        <f t="shared" si="28"/>
        <v>-11148383.940000001</v>
      </c>
      <c r="P54" s="2">
        <f t="shared" si="28"/>
        <v>-19998953.725333519</v>
      </c>
      <c r="Q54" s="2">
        <f t="shared" si="28"/>
        <v>-21232332.390793178</v>
      </c>
      <c r="R54" s="2">
        <f t="shared" si="28"/>
        <v>-11140342.270557383</v>
      </c>
      <c r="S54" s="2">
        <f t="shared" si="28"/>
        <v>-11048440.570205124</v>
      </c>
    </row>
    <row r="55" spans="5:19" ht="15.75" customHeight="1">
      <c r="E55" s="11" t="s">
        <v>9021</v>
      </c>
      <c r="F55" s="12"/>
      <c r="G55" s="11"/>
      <c r="H55" s="2">
        <f t="shared" ref="H55:S55" si="29">+H17</f>
        <v>-4444696.0999999996</v>
      </c>
      <c r="I55" s="2">
        <f t="shared" si="29"/>
        <v>-76084633.159555554</v>
      </c>
      <c r="J55" s="2">
        <f t="shared" si="29"/>
        <v>-12899579.194681048</v>
      </c>
      <c r="K55" s="2">
        <f t="shared" si="29"/>
        <v>-29025157.789999999</v>
      </c>
      <c r="L55" s="2">
        <f t="shared" si="29"/>
        <v>-17492015.850000001</v>
      </c>
      <c r="M55" s="2">
        <f t="shared" si="29"/>
        <v>-12841980.689999999</v>
      </c>
      <c r="N55" s="2">
        <f t="shared" si="29"/>
        <v>-14267145</v>
      </c>
      <c r="O55" s="2">
        <f t="shared" si="29"/>
        <v>-22270837.826491665</v>
      </c>
      <c r="P55" s="2">
        <f t="shared" si="29"/>
        <v>-49450000</v>
      </c>
      <c r="Q55" s="2">
        <f t="shared" si="29"/>
        <v>-49450000</v>
      </c>
      <c r="R55" s="2">
        <f t="shared" si="29"/>
        <v>-49450000</v>
      </c>
      <c r="S55" s="2">
        <f t="shared" si="29"/>
        <v>-59450000</v>
      </c>
    </row>
    <row r="56" spans="5:19" ht="15.75" customHeight="1">
      <c r="E56" s="15" t="s">
        <v>9022</v>
      </c>
      <c r="F56" s="16"/>
      <c r="G56" s="17"/>
      <c r="H56" s="18">
        <f t="shared" ref="H56:S56" si="30">+SUM(H51:H55)</f>
        <v>-78667742.432379812</v>
      </c>
      <c r="I56" s="18">
        <f t="shared" si="30"/>
        <v>-225315348.5485681</v>
      </c>
      <c r="J56" s="18">
        <f t="shared" si="30"/>
        <v>26525350.797375709</v>
      </c>
      <c r="K56" s="18">
        <f t="shared" si="30"/>
        <v>-75580698.99000001</v>
      </c>
      <c r="L56" s="18">
        <f t="shared" si="30"/>
        <v>-93117013.186312228</v>
      </c>
      <c r="M56" s="18">
        <f t="shared" si="30"/>
        <v>512941745.42645943</v>
      </c>
      <c r="N56" s="18">
        <f t="shared" si="30"/>
        <v>-107134187.43666668</v>
      </c>
      <c r="O56" s="18">
        <f t="shared" si="30"/>
        <v>849321709.61842859</v>
      </c>
      <c r="P56" s="18">
        <f t="shared" si="30"/>
        <v>1132987400.0804186</v>
      </c>
      <c r="Q56" s="18">
        <f t="shared" si="30"/>
        <v>-135021446.8262479</v>
      </c>
      <c r="R56" s="18">
        <f t="shared" si="30"/>
        <v>77290225.279273078</v>
      </c>
      <c r="S56" s="18">
        <f t="shared" si="30"/>
        <v>2260941656.4519815</v>
      </c>
    </row>
    <row r="57" spans="5:19" ht="15.75" customHeight="1">
      <c r="E57" s="11" t="s">
        <v>9023</v>
      </c>
      <c r="F57" s="12"/>
      <c r="G57" s="11"/>
      <c r="H57" s="21">
        <f t="shared" ref="H57:S57" si="31">+H19</f>
        <v>0</v>
      </c>
      <c r="I57" s="21">
        <f t="shared" si="31"/>
        <v>0</v>
      </c>
      <c r="J57" s="21">
        <f t="shared" si="31"/>
        <v>0</v>
      </c>
      <c r="K57" s="21">
        <f t="shared" si="31"/>
        <v>0</v>
      </c>
      <c r="L57" s="21">
        <f t="shared" si="31"/>
        <v>0</v>
      </c>
      <c r="M57" s="21">
        <f t="shared" si="31"/>
        <v>0</v>
      </c>
      <c r="N57" s="21">
        <f t="shared" si="31"/>
        <v>0</v>
      </c>
      <c r="O57" s="21">
        <f t="shared" si="31"/>
        <v>0</v>
      </c>
      <c r="P57" s="21">
        <f t="shared" si="31"/>
        <v>0</v>
      </c>
      <c r="Q57" s="21">
        <f t="shared" si="31"/>
        <v>0</v>
      </c>
      <c r="R57" s="21">
        <f t="shared" si="31"/>
        <v>0</v>
      </c>
      <c r="S57" s="21">
        <f t="shared" si="31"/>
        <v>0</v>
      </c>
    </row>
    <row r="58" spans="5:19" ht="15.75" customHeight="1">
      <c r="E58" s="11" t="s">
        <v>9025</v>
      </c>
      <c r="F58" s="12"/>
      <c r="G58" s="11"/>
      <c r="H58" s="21">
        <f t="shared" ref="H58:S58" si="32">+H20</f>
        <v>0</v>
      </c>
      <c r="I58" s="21">
        <f t="shared" si="32"/>
        <v>0</v>
      </c>
      <c r="J58" s="21">
        <f t="shared" si="32"/>
        <v>0</v>
      </c>
      <c r="K58" s="21">
        <f t="shared" si="32"/>
        <v>-13499000</v>
      </c>
      <c r="L58" s="21">
        <f t="shared" si="32"/>
        <v>0</v>
      </c>
      <c r="M58" s="21">
        <f t="shared" si="32"/>
        <v>0</v>
      </c>
      <c r="N58" s="21">
        <f t="shared" si="32"/>
        <v>0</v>
      </c>
      <c r="O58" s="21">
        <f t="shared" si="32"/>
        <v>0</v>
      </c>
      <c r="P58" s="21">
        <f t="shared" si="32"/>
        <v>0</v>
      </c>
      <c r="Q58" s="21">
        <f t="shared" si="32"/>
        <v>0</v>
      </c>
      <c r="R58" s="21">
        <f t="shared" si="32"/>
        <v>0</v>
      </c>
      <c r="S58" s="21">
        <f t="shared" si="32"/>
        <v>0</v>
      </c>
    </row>
    <row r="59" spans="5:19" ht="15.75" customHeight="1">
      <c r="E59" s="11" t="s">
        <v>9026</v>
      </c>
      <c r="F59" s="12"/>
      <c r="G59" s="11"/>
      <c r="H59" s="21">
        <f t="shared" ref="H59:S59" si="33">+H21</f>
        <v>0</v>
      </c>
      <c r="I59" s="21">
        <f t="shared" si="33"/>
        <v>0</v>
      </c>
      <c r="J59" s="21">
        <f t="shared" si="33"/>
        <v>0</v>
      </c>
      <c r="K59" s="21">
        <f t="shared" si="33"/>
        <v>0</v>
      </c>
      <c r="L59" s="21">
        <f t="shared" si="33"/>
        <v>0</v>
      </c>
      <c r="M59" s="21">
        <f t="shared" si="33"/>
        <v>0</v>
      </c>
      <c r="N59" s="21">
        <f t="shared" si="33"/>
        <v>0</v>
      </c>
      <c r="O59" s="21">
        <f t="shared" si="33"/>
        <v>0</v>
      </c>
      <c r="P59" s="21">
        <f t="shared" si="33"/>
        <v>0</v>
      </c>
      <c r="Q59" s="21">
        <f t="shared" si="33"/>
        <v>0</v>
      </c>
      <c r="R59" s="21">
        <f t="shared" si="33"/>
        <v>0</v>
      </c>
      <c r="S59" s="21">
        <f t="shared" si="33"/>
        <v>0</v>
      </c>
    </row>
    <row r="60" spans="5:19" ht="15.75" customHeight="1">
      <c r="E60" s="15" t="s">
        <v>9366</v>
      </c>
      <c r="F60" s="16"/>
      <c r="G60" s="17"/>
      <c r="H60" s="18">
        <f t="shared" ref="H60:S60" si="34">+SUM(H56:H59)</f>
        <v>-78667742.432379812</v>
      </c>
      <c r="I60" s="18">
        <f t="shared" si="34"/>
        <v>-225315348.5485681</v>
      </c>
      <c r="J60" s="18">
        <f t="shared" si="34"/>
        <v>26525350.797375709</v>
      </c>
      <c r="K60" s="18">
        <f t="shared" si="34"/>
        <v>-89079698.99000001</v>
      </c>
      <c r="L60" s="18">
        <f t="shared" si="34"/>
        <v>-93117013.186312228</v>
      </c>
      <c r="M60" s="18">
        <f t="shared" si="34"/>
        <v>512941745.42645943</v>
      </c>
      <c r="N60" s="18">
        <f t="shared" si="34"/>
        <v>-107134187.43666668</v>
      </c>
      <c r="O60" s="18">
        <f t="shared" si="34"/>
        <v>849321709.61842859</v>
      </c>
      <c r="P60" s="18">
        <f t="shared" si="34"/>
        <v>1132987400.0804186</v>
      </c>
      <c r="Q60" s="18">
        <f t="shared" si="34"/>
        <v>-135021446.8262479</v>
      </c>
      <c r="R60" s="18">
        <f t="shared" si="34"/>
        <v>77290225.279273078</v>
      </c>
      <c r="S60" s="18">
        <f t="shared" si="34"/>
        <v>2260941656.4519815</v>
      </c>
    </row>
    <row r="61" spans="5:19" ht="15.75" customHeight="1">
      <c r="E61" s="30"/>
      <c r="F61" s="223"/>
      <c r="G61" s="30"/>
      <c r="H61" s="224"/>
      <c r="I61" s="224"/>
      <c r="J61" s="224"/>
      <c r="K61" s="224"/>
      <c r="L61" s="224"/>
      <c r="M61" s="332"/>
      <c r="N61" s="224"/>
      <c r="O61" s="224"/>
      <c r="P61" s="224"/>
      <c r="Q61" s="224"/>
      <c r="R61" s="224"/>
      <c r="S61" s="224"/>
    </row>
    <row r="62" spans="5:19" ht="15.75" customHeight="1">
      <c r="E62" s="30"/>
      <c r="F62" s="223"/>
      <c r="G62" s="30"/>
      <c r="H62" s="224"/>
      <c r="I62" s="224"/>
      <c r="J62" s="224"/>
      <c r="K62" s="224"/>
      <c r="L62" s="224"/>
      <c r="M62" s="332"/>
      <c r="N62" s="224"/>
      <c r="O62" s="224"/>
      <c r="P62" s="224"/>
      <c r="Q62" s="224"/>
      <c r="R62" s="224"/>
      <c r="S62" s="224"/>
    </row>
    <row r="63" spans="5:19" ht="15.75" customHeight="1">
      <c r="E63" s="1"/>
      <c r="F63" s="1"/>
      <c r="G63" s="1"/>
      <c r="H63" s="6"/>
      <c r="I63" s="2"/>
      <c r="J63" s="6"/>
      <c r="K63" s="2"/>
      <c r="L63" s="6"/>
      <c r="M63" s="6"/>
      <c r="N63" s="6"/>
      <c r="O63" s="6"/>
      <c r="P63" s="6"/>
      <c r="Q63" s="6"/>
      <c r="R63" s="6"/>
      <c r="S63" s="6"/>
    </row>
    <row r="64" spans="5:19" ht="15.75" customHeight="1">
      <c r="E64" s="1"/>
      <c r="F64" s="1"/>
      <c r="G64" s="1"/>
      <c r="H64" s="6"/>
      <c r="I64" s="2"/>
      <c r="J64" s="6"/>
      <c r="K64" s="2"/>
      <c r="L64" s="6"/>
      <c r="M64" s="6"/>
      <c r="N64" s="6"/>
      <c r="O64" s="6"/>
      <c r="P64" s="6"/>
      <c r="Q64" s="6"/>
      <c r="R64" s="6"/>
      <c r="S64" s="6"/>
    </row>
    <row r="65" spans="5:19" ht="15.75" customHeight="1">
      <c r="E65" s="1" t="s">
        <v>9262</v>
      </c>
      <c r="F65" s="1"/>
      <c r="G65" s="1"/>
      <c r="H65" s="58"/>
      <c r="J65" s="6"/>
      <c r="K65" s="2"/>
      <c r="L65" s="2"/>
      <c r="M65" s="2"/>
      <c r="N65" s="2"/>
      <c r="O65" s="2"/>
      <c r="P65" s="2"/>
      <c r="Q65" s="2"/>
      <c r="R65" s="6"/>
      <c r="S65" s="6"/>
    </row>
    <row r="66" spans="5:19" ht="15.75" customHeight="1">
      <c r="E66" s="33" t="s">
        <v>9367</v>
      </c>
      <c r="F66" s="33"/>
      <c r="G66" s="33"/>
      <c r="H66" s="6"/>
      <c r="J66" s="6"/>
      <c r="K66" s="6"/>
      <c r="L66" s="6"/>
      <c r="M66" s="6"/>
      <c r="N66" s="6"/>
      <c r="O66" s="6"/>
      <c r="P66" s="6"/>
      <c r="Q66" s="6"/>
      <c r="R66" s="6"/>
      <c r="S66" s="6"/>
    </row>
    <row r="67" spans="5:19" ht="15.75" customHeight="1">
      <c r="E67" s="34"/>
      <c r="F67" s="35">
        <v>2023</v>
      </c>
      <c r="G67" s="34"/>
      <c r="H67" s="8">
        <v>44927</v>
      </c>
      <c r="I67" s="8">
        <v>44958</v>
      </c>
      <c r="J67" s="9">
        <v>44986</v>
      </c>
      <c r="K67" s="9">
        <v>45017</v>
      </c>
      <c r="L67" s="9">
        <v>45047</v>
      </c>
      <c r="M67" s="10">
        <v>45078</v>
      </c>
      <c r="N67" s="10"/>
      <c r="O67" s="10"/>
      <c r="P67" s="10"/>
      <c r="Q67" s="10"/>
      <c r="R67" s="10">
        <v>45108</v>
      </c>
      <c r="S67" s="10">
        <v>45139</v>
      </c>
    </row>
    <row r="68" spans="5:19" ht="15.75" customHeight="1">
      <c r="E68" s="34" t="s">
        <v>9368</v>
      </c>
      <c r="F68" s="34"/>
      <c r="G68" s="34"/>
      <c r="H68" s="6"/>
      <c r="J68" s="36"/>
      <c r="K68" s="36"/>
      <c r="L68" s="36"/>
      <c r="M68" s="6"/>
      <c r="N68" s="6"/>
      <c r="O68" s="6"/>
      <c r="P68" s="6"/>
      <c r="Q68" s="6"/>
      <c r="R68" s="6"/>
      <c r="S68" s="6"/>
    </row>
    <row r="69" spans="5:19" ht="15.75" customHeight="1">
      <c r="E69" s="37" t="s">
        <v>9369</v>
      </c>
      <c r="F69" s="38"/>
      <c r="G69" s="34"/>
      <c r="H69" s="2"/>
      <c r="I69" s="2">
        <f>+I41</f>
        <v>-1624604363.5323796</v>
      </c>
      <c r="J69" s="2">
        <f>+J41</f>
        <v>-1127587742.6123798</v>
      </c>
      <c r="K69" s="2">
        <f>+K41</f>
        <v>-1342989315.0423799</v>
      </c>
      <c r="L69" s="2">
        <f>+L41</f>
        <v>-1349103011.3749332</v>
      </c>
      <c r="M69" s="2">
        <f>+M41</f>
        <v>-1757619242.5973797</v>
      </c>
      <c r="N69" s="2"/>
      <c r="O69" s="2"/>
      <c r="P69" s="2"/>
      <c r="Q69" s="2"/>
      <c r="R69" s="2">
        <f>+R41</f>
        <v>-2110689890.5202751</v>
      </c>
      <c r="S69" s="2">
        <f>+S41</f>
        <v>-2568040418.9051914</v>
      </c>
    </row>
    <row r="70" spans="5:19" ht="15.75" customHeight="1">
      <c r="E70" s="37" t="s">
        <v>9370</v>
      </c>
      <c r="F70" s="38"/>
      <c r="G70" s="39"/>
      <c r="H70" s="2"/>
      <c r="I70" s="2">
        <v>2169343</v>
      </c>
      <c r="J70" s="2">
        <v>2169343</v>
      </c>
      <c r="K70" s="2">
        <v>37572000</v>
      </c>
      <c r="L70" s="2">
        <v>2169343</v>
      </c>
      <c r="M70" s="102">
        <f>+L70</f>
        <v>2169343</v>
      </c>
      <c r="N70" s="102"/>
      <c r="O70" s="102"/>
      <c r="P70" s="102"/>
      <c r="Q70" s="102"/>
      <c r="R70" s="102">
        <f>+M70</f>
        <v>2169343</v>
      </c>
      <c r="S70" s="102">
        <f t="shared" ref="S70:S72" si="35">+R70</f>
        <v>2169343</v>
      </c>
    </row>
    <row r="71" spans="5:19" ht="15.75" customHeight="1">
      <c r="E71" s="37" t="s">
        <v>9371</v>
      </c>
      <c r="F71" s="38"/>
      <c r="G71" s="39"/>
      <c r="H71" s="2"/>
      <c r="I71" s="2">
        <v>158000</v>
      </c>
      <c r="J71" s="2">
        <v>3653000</v>
      </c>
      <c r="K71" s="2">
        <v>7963068.4199999999</v>
      </c>
      <c r="L71" s="2">
        <v>20415446.5</v>
      </c>
      <c r="M71" s="2">
        <f>+L71</f>
        <v>20415446.5</v>
      </c>
      <c r="N71" s="2"/>
      <c r="O71" s="2"/>
      <c r="P71" s="2"/>
      <c r="Q71" s="2"/>
      <c r="R71" s="2">
        <f>+M71</f>
        <v>20415446.5</v>
      </c>
      <c r="S71" s="2">
        <f t="shared" si="35"/>
        <v>20415446.5</v>
      </c>
    </row>
    <row r="72" spans="5:19" ht="15.75" customHeight="1">
      <c r="E72" s="37" t="s">
        <v>9372</v>
      </c>
      <c r="F72" s="38"/>
      <c r="G72" s="39"/>
      <c r="H72" s="2"/>
      <c r="I72" s="2">
        <v>50000</v>
      </c>
      <c r="J72" s="2">
        <v>50000</v>
      </c>
      <c r="K72" s="2">
        <v>50000</v>
      </c>
      <c r="L72" s="2">
        <v>50000</v>
      </c>
      <c r="M72" s="2">
        <f>+L72</f>
        <v>50000</v>
      </c>
      <c r="N72" s="2"/>
      <c r="O72" s="2"/>
      <c r="P72" s="2"/>
      <c r="Q72" s="2"/>
      <c r="R72" s="2">
        <f>+M72</f>
        <v>50000</v>
      </c>
      <c r="S72" s="2">
        <f t="shared" si="35"/>
        <v>50000</v>
      </c>
    </row>
    <row r="73" spans="5:19" ht="15.75" customHeight="1">
      <c r="E73" s="37" t="s">
        <v>9373</v>
      </c>
      <c r="F73" s="38"/>
      <c r="G73" s="39"/>
      <c r="H73" s="2"/>
      <c r="I73" s="2">
        <f>530928499.44--39327272.2--56757142.3873333-43179170.6248834-3063940.6-3063940.61</f>
        <v>577705862.19244981</v>
      </c>
      <c r="J73" s="2">
        <f>472274395.44-83485519.9984255--39327272.2--56757142.3873333+40978916.97-66472891.1248827-3063940.6-3063940.61-4286098.29999971</f>
        <v>448965336.36402535</v>
      </c>
      <c r="K73" s="2">
        <f>283621000+55316849.6008201-5031381-54701243.8294497-18782625.475667-3063940.6-3063940.61-4247543.78</f>
        <v>250047174.3057034</v>
      </c>
      <c r="L73" s="2">
        <f>55111536.5256575+26802095.4772472-3500000+44022713</f>
        <v>122436345.0029047</v>
      </c>
      <c r="M73" s="2">
        <f>+L73+'Ventas Mini granjas (proyeccion'!F41-'Ventas Mini granjas (proyeccion'!F45+'4  Ventas EPC (Proyeccion)'!C69-'4  Ventas EPC (Proyeccion)'!C71-M31</f>
        <v>3379824753.3301439</v>
      </c>
      <c r="N73" s="2"/>
      <c r="O73" s="2"/>
      <c r="P73" s="2"/>
      <c r="Q73" s="2"/>
      <c r="R73" s="2">
        <f>+M73+'Ventas Mini granjas (proyeccion'!G41-'Ventas Mini granjas (proyeccion'!G45+'4  Ventas EPC (Proyeccion)'!D69-'4  Ventas EPC (Proyeccion)'!D71</f>
        <v>7459824753.3301439</v>
      </c>
      <c r="S73" s="2">
        <f>+R73+'Ventas Mini granjas (proyeccion'!H41-'Ventas Mini granjas (proyeccion'!H45+'4  Ventas EPC (Proyeccion)'!E69-'4  Ventas EPC (Proyeccion)'!E71</f>
        <v>9062455517.8019009</v>
      </c>
    </row>
    <row r="74" spans="5:19" ht="15.75" customHeight="1">
      <c r="E74" s="37" t="s">
        <v>9374</v>
      </c>
      <c r="F74" s="38"/>
      <c r="G74" s="39"/>
      <c r="H74" s="2"/>
      <c r="I74" s="2">
        <f>+H74</f>
        <v>0</v>
      </c>
      <c r="J74" s="2">
        <f>+I74+J19+J20</f>
        <v>0</v>
      </c>
      <c r="K74" s="2">
        <f>+J74+K19+K20</f>
        <v>-13499000</v>
      </c>
      <c r="L74" s="2">
        <v>68287905.753980398</v>
      </c>
      <c r="M74" s="2">
        <f>+L74</f>
        <v>68287905.753980398</v>
      </c>
      <c r="N74" s="2"/>
      <c r="O74" s="2"/>
      <c r="P74" s="2"/>
      <c r="Q74" s="2"/>
      <c r="R74" s="2">
        <f>+M74</f>
        <v>68287905.753980398</v>
      </c>
      <c r="S74" s="2">
        <f t="shared" ref="S74:S75" si="36">+R74</f>
        <v>68287905.753980398</v>
      </c>
    </row>
    <row r="75" spans="5:19" ht="15.75" customHeight="1">
      <c r="E75" s="37" t="s">
        <v>9375</v>
      </c>
      <c r="F75" s="38"/>
      <c r="G75" s="39"/>
      <c r="H75" s="2"/>
      <c r="I75" s="2">
        <v>9274000</v>
      </c>
      <c r="J75" s="2">
        <v>9274000</v>
      </c>
      <c r="K75" s="2">
        <f>+J75+24573917.75</f>
        <v>33847917.75</v>
      </c>
      <c r="L75" s="2">
        <v>9274000</v>
      </c>
      <c r="M75" s="2">
        <f>+L75</f>
        <v>9274000</v>
      </c>
      <c r="N75" s="2"/>
      <c r="O75" s="2"/>
      <c r="P75" s="2"/>
      <c r="Q75" s="2"/>
      <c r="R75" s="2">
        <f>+M75</f>
        <v>9274000</v>
      </c>
      <c r="S75" s="2">
        <f t="shared" si="36"/>
        <v>9274000</v>
      </c>
    </row>
    <row r="76" spans="5:19" ht="15.75" customHeight="1">
      <c r="E76" s="40" t="s">
        <v>9376</v>
      </c>
      <c r="F76" s="41"/>
      <c r="G76" s="39"/>
      <c r="H76" s="41">
        <f t="shared" ref="H76:M76" si="37">+SUM(H69:H75)</f>
        <v>0</v>
      </c>
      <c r="I76" s="41">
        <f t="shared" si="37"/>
        <v>-1035247158.3399298</v>
      </c>
      <c r="J76" s="42">
        <f t="shared" si="37"/>
        <v>-663476063.24835443</v>
      </c>
      <c r="K76" s="42">
        <f t="shared" si="37"/>
        <v>-1027008154.5666764</v>
      </c>
      <c r="L76" s="41">
        <f t="shared" si="37"/>
        <v>-1126469971.1180482</v>
      </c>
      <c r="M76" s="41">
        <f t="shared" si="37"/>
        <v>1722402205.9867446</v>
      </c>
      <c r="N76" s="41"/>
      <c r="O76" s="41"/>
      <c r="P76" s="41"/>
      <c r="Q76" s="41"/>
      <c r="R76" s="41">
        <f t="shared" ref="R76:S76" si="38">+SUM(R69:R75)</f>
        <v>5449331558.0638494</v>
      </c>
      <c r="S76" s="41">
        <f t="shared" si="38"/>
        <v>6594611794.1506901</v>
      </c>
    </row>
    <row r="77" spans="5:19" ht="15.75" customHeight="1">
      <c r="E77" s="34"/>
      <c r="F77" s="39"/>
      <c r="G77" s="34"/>
      <c r="H77" s="43"/>
      <c r="I77" s="43"/>
      <c r="J77" s="43"/>
      <c r="K77" s="43"/>
      <c r="L77" s="43"/>
      <c r="M77" s="6"/>
      <c r="N77" s="6"/>
      <c r="O77" s="6"/>
      <c r="P77" s="6"/>
      <c r="Q77" s="6"/>
      <c r="R77" s="6"/>
    </row>
    <row r="78" spans="5:19" ht="15.75" customHeight="1">
      <c r="E78" s="37" t="s">
        <v>9377</v>
      </c>
      <c r="F78" s="38"/>
      <c r="G78" s="39"/>
      <c r="H78" s="44"/>
      <c r="I78" s="44">
        <v>1316733913.5067754</v>
      </c>
      <c r="J78" s="44">
        <v>1685880238.3605869</v>
      </c>
      <c r="K78" s="44">
        <v>1917790373.4059739</v>
      </c>
      <c r="L78" s="44">
        <v>2693439352.3747725</v>
      </c>
      <c r="M78" s="44">
        <f>+L78-M27</f>
        <v>2780813875.9747725</v>
      </c>
      <c r="N78" s="44"/>
      <c r="O78" s="44"/>
      <c r="P78" s="44"/>
      <c r="Q78" s="44"/>
      <c r="R78" s="44">
        <f>+M78-R27</f>
        <v>3147572123.1953015</v>
      </c>
      <c r="S78" s="44">
        <f>+R78-S27</f>
        <v>3360767982.3738427</v>
      </c>
    </row>
    <row r="79" spans="5:19" ht="15.75" customHeight="1">
      <c r="E79" s="37"/>
      <c r="F79" s="38"/>
      <c r="G79" s="39"/>
      <c r="H79" s="44"/>
      <c r="I79" s="44" t="e">
        <f>+H79+#REF!</f>
        <v>#REF!</v>
      </c>
      <c r="J79" s="44" t="e">
        <f>+I79+#REF!</f>
        <v>#REF!</v>
      </c>
      <c r="K79" s="44" t="e">
        <f>+J79+#REF!</f>
        <v>#REF!</v>
      </c>
      <c r="L79" s="44" t="e">
        <f>+K79+#REF!</f>
        <v>#REF!</v>
      </c>
      <c r="M79" s="44" t="e">
        <f>+L79+#REF!</f>
        <v>#REF!</v>
      </c>
      <c r="N79" s="44"/>
      <c r="O79" s="44"/>
      <c r="P79" s="44"/>
      <c r="Q79" s="44"/>
      <c r="R79" s="44" t="e">
        <f>+M79+#REF!</f>
        <v>#REF!</v>
      </c>
      <c r="S79" s="44" t="e">
        <f>+R79+#REF!</f>
        <v>#REF!</v>
      </c>
    </row>
    <row r="80" spans="5:19" ht="15.75" customHeight="1">
      <c r="E80" s="40" t="s">
        <v>9378</v>
      </c>
      <c r="F80" s="41"/>
      <c r="G80" s="39"/>
      <c r="H80" s="41"/>
      <c r="I80" s="41" t="e">
        <f>+I78-I79</f>
        <v>#REF!</v>
      </c>
      <c r="J80" s="41" t="e">
        <f t="shared" ref="J80:S80" si="39">+J78-J79</f>
        <v>#REF!</v>
      </c>
      <c r="K80" s="41" t="e">
        <f t="shared" si="39"/>
        <v>#REF!</v>
      </c>
      <c r="L80" s="41" t="e">
        <f t="shared" si="39"/>
        <v>#REF!</v>
      </c>
      <c r="M80" s="41" t="e">
        <f t="shared" si="39"/>
        <v>#REF!</v>
      </c>
      <c r="N80" s="41"/>
      <c r="O80" s="41"/>
      <c r="P80" s="41"/>
      <c r="Q80" s="41"/>
      <c r="R80" s="41" t="e">
        <f>+R78-R79</f>
        <v>#REF!</v>
      </c>
      <c r="S80" s="41" t="e">
        <f t="shared" si="39"/>
        <v>#REF!</v>
      </c>
    </row>
    <row r="81" spans="5:19" ht="15.75" customHeight="1">
      <c r="E81" s="40" t="s">
        <v>9379</v>
      </c>
      <c r="F81" s="41"/>
      <c r="G81" s="39"/>
      <c r="H81" s="41"/>
      <c r="I81" s="41" t="e">
        <f t="shared" ref="I81:S81" si="40">+I80+I76</f>
        <v>#REF!</v>
      </c>
      <c r="J81" s="42" t="e">
        <f t="shared" si="40"/>
        <v>#REF!</v>
      </c>
      <c r="K81" s="42" t="e">
        <f t="shared" si="40"/>
        <v>#REF!</v>
      </c>
      <c r="L81" s="41" t="e">
        <f>+L80+L76</f>
        <v>#REF!</v>
      </c>
      <c r="M81" s="41" t="e">
        <f t="shared" si="40"/>
        <v>#REF!</v>
      </c>
      <c r="N81" s="41"/>
      <c r="O81" s="41"/>
      <c r="P81" s="41"/>
      <c r="Q81" s="41"/>
      <c r="R81" s="41" t="e">
        <f t="shared" si="40"/>
        <v>#REF!</v>
      </c>
      <c r="S81" s="41" t="e">
        <f t="shared" si="40"/>
        <v>#REF!</v>
      </c>
    </row>
    <row r="82" spans="5:19" ht="15.75" customHeight="1">
      <c r="E82" s="34"/>
      <c r="F82" s="39"/>
      <c r="G82" s="34"/>
      <c r="H82" s="45"/>
      <c r="I82" s="46" t="e">
        <f>+I81/H81-1</f>
        <v>#REF!</v>
      </c>
      <c r="J82" s="47" t="e">
        <f>+J81/I81-1</f>
        <v>#REF!</v>
      </c>
      <c r="K82" s="47" t="e">
        <f>+K81/J81-1</f>
        <v>#REF!</v>
      </c>
      <c r="L82" s="46" t="e">
        <f>+L81/K81-1</f>
        <v>#REF!</v>
      </c>
      <c r="M82" s="46" t="e">
        <f>+M81/L81-1</f>
        <v>#REF!</v>
      </c>
      <c r="N82" s="46"/>
      <c r="O82" s="46"/>
      <c r="P82" s="46"/>
      <c r="Q82" s="46"/>
      <c r="R82" s="46" t="e">
        <f>+R81/M81-1</f>
        <v>#REF!</v>
      </c>
      <c r="S82" s="46" t="e">
        <f t="shared" ref="S82" si="41">+S81/R81-1</f>
        <v>#REF!</v>
      </c>
    </row>
    <row r="83" spans="5:19" ht="15.75" customHeight="1">
      <c r="E83" s="48" t="s">
        <v>9380</v>
      </c>
      <c r="F83" s="49"/>
      <c r="G83" s="49"/>
      <c r="H83" s="6"/>
      <c r="J83" s="2"/>
      <c r="K83" s="2"/>
      <c r="L83" s="2"/>
      <c r="M83" s="13"/>
      <c r="N83" s="13"/>
      <c r="O83" s="13"/>
      <c r="P83" s="13"/>
      <c r="Q83" s="13"/>
    </row>
    <row r="85" spans="5:19" ht="15.75" customHeight="1">
      <c r="E85" s="58" t="s">
        <v>9381</v>
      </c>
      <c r="F85" s="38"/>
      <c r="G85" s="39"/>
      <c r="H85" s="2"/>
      <c r="I85" s="2">
        <f>+H85+I34-10806017.98</f>
        <v>20717561.600000001</v>
      </c>
      <c r="J85" s="2">
        <f>+I85+183566050+3495000</f>
        <v>207778611.59999999</v>
      </c>
      <c r="K85" s="2">
        <f>439859000+72304000</f>
        <v>512163000</v>
      </c>
      <c r="L85" s="2">
        <f>+K85-280000000-100000000+44837000-30000000-3500000+Deuda!I35</f>
        <v>143500000</v>
      </c>
      <c r="M85" s="2" t="e">
        <f>+Deuda!#REF!+Deuda!J56</f>
        <v>#REF!</v>
      </c>
      <c r="N85" s="2"/>
      <c r="O85" s="2"/>
      <c r="P85" s="2"/>
      <c r="Q85" s="2"/>
      <c r="R85" s="2" t="e">
        <f>+Deuda!#REF!+Deuda!K56</f>
        <v>#REF!</v>
      </c>
      <c r="S85" s="2" t="e">
        <f>+Deuda!#REF!+Deuda!L56</f>
        <v>#REF!</v>
      </c>
    </row>
    <row r="86" spans="5:19" ht="15.75" customHeight="1">
      <c r="E86" s="58" t="s">
        <v>9382</v>
      </c>
      <c r="F86" s="38"/>
      <c r="G86" s="39"/>
      <c r="H86" s="2"/>
      <c r="I86" s="2">
        <f>+H86</f>
        <v>0</v>
      </c>
      <c r="J86" s="2">
        <f>+I86</f>
        <v>0</v>
      </c>
      <c r="K86" s="2">
        <v>37644000</v>
      </c>
      <c r="L86" s="2">
        <f>+K86</f>
        <v>37644000</v>
      </c>
      <c r="M86" s="2">
        <f>+L86</f>
        <v>37644000</v>
      </c>
      <c r="N86" s="2"/>
      <c r="O86" s="2"/>
      <c r="P86" s="2"/>
      <c r="Q86" s="2"/>
      <c r="R86" s="2">
        <f>+M86</f>
        <v>37644000</v>
      </c>
      <c r="S86" s="2">
        <f t="shared" ref="S86:S87" si="42">+R86</f>
        <v>37644000</v>
      </c>
    </row>
    <row r="87" spans="5:19" ht="15.75" customHeight="1">
      <c r="E87" s="58" t="s">
        <v>9383</v>
      </c>
      <c r="F87" s="38"/>
      <c r="G87" s="39"/>
      <c r="H87" s="2"/>
      <c r="I87" s="2">
        <f>+H87-2033000+10806017.98</f>
        <v>8773017.9800000004</v>
      </c>
      <c r="J87" s="2">
        <f>+I87-6070000-4470600.92-602000</f>
        <v>-2369582.9399999995</v>
      </c>
      <c r="K87" s="2">
        <v>8072000</v>
      </c>
      <c r="L87" s="2">
        <f>+K87</f>
        <v>8072000</v>
      </c>
      <c r="M87" s="2" t="e">
        <f>+Deuda!#REF!</f>
        <v>#REF!</v>
      </c>
      <c r="N87" s="2"/>
      <c r="O87" s="2"/>
      <c r="P87" s="2"/>
      <c r="Q87" s="2"/>
      <c r="R87" s="2" t="e">
        <f>+M87</f>
        <v>#REF!</v>
      </c>
      <c r="S87" s="2" t="e">
        <f t="shared" si="42"/>
        <v>#REF!</v>
      </c>
    </row>
    <row r="88" spans="5:19" ht="15.75" customHeight="1">
      <c r="E88" s="58" t="s">
        <v>9384</v>
      </c>
      <c r="F88" s="38"/>
      <c r="G88" s="39"/>
      <c r="H88" s="2"/>
      <c r="I88" s="2">
        <f>+H88+25356600+14150000+15000000+81661786</f>
        <v>136168386</v>
      </c>
      <c r="J88" s="2">
        <f>+I88+8500000</f>
        <v>144668386</v>
      </c>
      <c r="K88" s="2">
        <v>111351000</v>
      </c>
      <c r="L88" s="2" t="e">
        <f>+Deuda!#REF!</f>
        <v>#REF!</v>
      </c>
      <c r="M88" s="2" t="e">
        <f>+Deuda!#REF!</f>
        <v>#REF!</v>
      </c>
      <c r="N88" s="2"/>
      <c r="O88" s="2"/>
      <c r="P88" s="2"/>
      <c r="Q88" s="2"/>
      <c r="R88" s="2" t="e">
        <f>+M88+'Ventas Mini granjas (proyeccion'!G42-'Ventas Mini granjas (proyeccion'!G46+'4  Ventas EPC (Proyeccion)'!D70-'4  Ventas EPC (Proyeccion)'!D72</f>
        <v>#REF!</v>
      </c>
      <c r="S88" s="2" t="e">
        <f>+R88+'Ventas Mini granjas (proyeccion'!H42-'Ventas Mini granjas (proyeccion'!H46+'4  Ventas EPC (Proyeccion)'!E70-'4  Ventas EPC (Proyeccion)'!E72</f>
        <v>#REF!</v>
      </c>
    </row>
    <row r="89" spans="5:19" ht="15.75" customHeight="1">
      <c r="E89" s="40" t="s">
        <v>9385</v>
      </c>
      <c r="F89" s="41"/>
      <c r="G89" s="39"/>
      <c r="H89" s="41"/>
      <c r="I89" s="41">
        <f t="shared" ref="I89:S89" si="43">+SUM(I84:I88)</f>
        <v>165658965.58000001</v>
      </c>
      <c r="J89" s="42">
        <f t="shared" si="43"/>
        <v>350077414.65999997</v>
      </c>
      <c r="K89" s="42">
        <f t="shared" si="43"/>
        <v>669230000</v>
      </c>
      <c r="L89" s="42" t="e">
        <f t="shared" si="43"/>
        <v>#REF!</v>
      </c>
      <c r="M89" s="42" t="e">
        <f t="shared" si="43"/>
        <v>#REF!</v>
      </c>
      <c r="N89" s="42"/>
      <c r="O89" s="42"/>
      <c r="P89" s="42"/>
      <c r="Q89" s="42"/>
      <c r="R89" s="42" t="e">
        <f t="shared" si="43"/>
        <v>#REF!</v>
      </c>
      <c r="S89" s="42" t="e">
        <f t="shared" si="43"/>
        <v>#REF!</v>
      </c>
    </row>
    <row r="90" spans="5:19" ht="15.75" customHeight="1">
      <c r="E90" s="39"/>
      <c r="F90" s="39"/>
      <c r="G90" s="39"/>
      <c r="H90" s="50"/>
      <c r="I90" s="2"/>
      <c r="J90" s="2"/>
      <c r="K90" s="2"/>
      <c r="L90" s="2"/>
      <c r="M90" s="2"/>
      <c r="N90" s="2"/>
      <c r="O90" s="2"/>
      <c r="P90" s="2"/>
      <c r="Q90" s="2"/>
      <c r="R90" s="2"/>
    </row>
    <row r="91" spans="5:19" ht="15.75" customHeight="1">
      <c r="E91" s="39" t="s">
        <v>9386</v>
      </c>
      <c r="F91" s="39"/>
      <c r="G91" s="39"/>
      <c r="H91" s="2"/>
      <c r="I91" s="2"/>
      <c r="J91" s="2"/>
      <c r="K91" s="2">
        <v>100000000</v>
      </c>
      <c r="L91" s="2">
        <f>+K91+100000000</f>
        <v>200000000</v>
      </c>
      <c r="M91" s="2">
        <f>+Deuda!J28</f>
        <v>407645265.17597079</v>
      </c>
      <c r="N91" s="2"/>
      <c r="O91" s="2"/>
      <c r="P91" s="2"/>
      <c r="Q91" s="2"/>
      <c r="R91" s="2">
        <f>+Deuda!K28</f>
        <v>397902933.27902484</v>
      </c>
      <c r="S91" s="2">
        <f>+Deuda!L28</f>
        <v>358007378.8197701</v>
      </c>
    </row>
    <row r="92" spans="5:19" ht="15.75" customHeight="1">
      <c r="E92" s="37" t="s">
        <v>9387</v>
      </c>
      <c r="F92" s="38"/>
      <c r="G92" s="39"/>
      <c r="H92" s="2"/>
      <c r="I92" s="2">
        <f t="shared" ref="I92:S92" si="44">+H92</f>
        <v>0</v>
      </c>
      <c r="J92" s="2">
        <f t="shared" si="44"/>
        <v>0</v>
      </c>
      <c r="K92" s="2">
        <f t="shared" si="44"/>
        <v>0</v>
      </c>
      <c r="L92" s="2">
        <f t="shared" si="44"/>
        <v>0</v>
      </c>
      <c r="M92" s="2">
        <f t="shared" si="44"/>
        <v>0</v>
      </c>
      <c r="N92" s="2"/>
      <c r="O92" s="2"/>
      <c r="P92" s="2"/>
      <c r="Q92" s="2"/>
      <c r="R92" s="2">
        <f>+M92</f>
        <v>0</v>
      </c>
      <c r="S92" s="2">
        <f t="shared" si="44"/>
        <v>0</v>
      </c>
    </row>
    <row r="93" spans="5:19" ht="15.75" customHeight="1">
      <c r="E93" s="40" t="s">
        <v>9388</v>
      </c>
      <c r="F93" s="41"/>
      <c r="G93" s="39"/>
      <c r="H93" s="41"/>
      <c r="I93" s="41">
        <f t="shared" ref="I93:J93" si="45">+I92</f>
        <v>0</v>
      </c>
      <c r="J93" s="42">
        <f t="shared" si="45"/>
        <v>0</v>
      </c>
      <c r="K93" s="42">
        <f>+K92+K91</f>
        <v>100000000</v>
      </c>
      <c r="L93" s="42">
        <f>+L92+L91</f>
        <v>200000000</v>
      </c>
      <c r="M93" s="42">
        <f t="shared" ref="M93" si="46">+M92+M91</f>
        <v>407645265.17597079</v>
      </c>
      <c r="N93" s="42"/>
      <c r="O93" s="42"/>
      <c r="P93" s="42"/>
      <c r="Q93" s="42"/>
      <c r="R93" s="42">
        <f>+R92+R91</f>
        <v>397902933.27902484</v>
      </c>
      <c r="S93" s="42">
        <f>+S92+S91</f>
        <v>358007378.8197701</v>
      </c>
    </row>
    <row r="94" spans="5:19" ht="15.75" customHeight="1">
      <c r="E94" s="40" t="s">
        <v>9389</v>
      </c>
      <c r="F94" s="41"/>
      <c r="G94" s="39"/>
      <c r="H94" s="41"/>
      <c r="I94" s="41">
        <f t="shared" ref="I94:S94" si="47">+I93+I89</f>
        <v>165658965.58000001</v>
      </c>
      <c r="J94" s="42">
        <f t="shared" si="47"/>
        <v>350077414.65999997</v>
      </c>
      <c r="K94" s="42">
        <f>+K93+K89</f>
        <v>769230000</v>
      </c>
      <c r="L94" s="41" t="e">
        <f t="shared" si="47"/>
        <v>#REF!</v>
      </c>
      <c r="M94" s="41" t="e">
        <f t="shared" si="47"/>
        <v>#REF!</v>
      </c>
      <c r="N94" s="41"/>
      <c r="O94" s="41"/>
      <c r="P94" s="41"/>
      <c r="Q94" s="41"/>
      <c r="R94" s="41" t="e">
        <f t="shared" si="47"/>
        <v>#REF!</v>
      </c>
      <c r="S94" s="41" t="e">
        <f t="shared" si="47"/>
        <v>#REF!</v>
      </c>
    </row>
    <row r="95" spans="5:19" ht="15.75" customHeight="1">
      <c r="E95" s="39"/>
      <c r="F95" s="39"/>
      <c r="G95" s="39"/>
      <c r="H95" s="51"/>
      <c r="I95" s="52" t="e">
        <f>+I94/H94-1</f>
        <v>#DIV/0!</v>
      </c>
      <c r="J95" s="53">
        <f>+J94/I94-1</f>
        <v>1.1132415829974538</v>
      </c>
      <c r="K95" s="53">
        <f>+K94/J94-1</f>
        <v>1.1973139876706607</v>
      </c>
      <c r="L95" s="52" t="e">
        <f>+L94/K94-1</f>
        <v>#REF!</v>
      </c>
      <c r="M95" s="52" t="e">
        <f>+M94/L94-1</f>
        <v>#REF!</v>
      </c>
      <c r="N95" s="52"/>
      <c r="O95" s="52"/>
      <c r="P95" s="52"/>
      <c r="Q95" s="52"/>
      <c r="R95" s="52" t="e">
        <f>+R94/M94-1</f>
        <v>#REF!</v>
      </c>
      <c r="S95" s="52" t="e">
        <f t="shared" ref="S95" si="48">+S94/R94-1</f>
        <v>#REF!</v>
      </c>
    </row>
    <row r="96" spans="5:19" ht="15.75" customHeight="1">
      <c r="E96" s="69" t="s">
        <v>9390</v>
      </c>
      <c r="F96" s="39"/>
      <c r="G96" s="39"/>
      <c r="H96" s="2"/>
      <c r="I96" s="2"/>
      <c r="J96" s="2"/>
      <c r="K96" s="2"/>
      <c r="L96" s="2"/>
      <c r="M96" s="2"/>
      <c r="N96" s="2"/>
      <c r="O96" s="2"/>
      <c r="P96" s="2"/>
      <c r="Q96" s="2"/>
      <c r="R96" s="2"/>
    </row>
    <row r="97" spans="4:25" ht="15.75" customHeight="1">
      <c r="E97" s="58" t="s">
        <v>9391</v>
      </c>
      <c r="F97" s="38"/>
      <c r="G97" s="39"/>
      <c r="H97" s="2"/>
      <c r="I97" s="2">
        <f>+H97</f>
        <v>0</v>
      </c>
      <c r="J97" s="2">
        <f>+I97</f>
        <v>0</v>
      </c>
      <c r="K97" s="2">
        <f>+J97</f>
        <v>0</v>
      </c>
      <c r="L97" s="2">
        <f>+K97</f>
        <v>0</v>
      </c>
      <c r="M97" s="2">
        <f>+L97</f>
        <v>0</v>
      </c>
      <c r="N97" s="2"/>
      <c r="O97" s="2"/>
      <c r="P97" s="2"/>
      <c r="Q97" s="2"/>
      <c r="R97" s="2">
        <f>+M97</f>
        <v>0</v>
      </c>
      <c r="S97" s="2">
        <f t="shared" ref="S97" si="49">+R97</f>
        <v>0</v>
      </c>
    </row>
    <row r="98" spans="4:25" ht="15.75" customHeight="1">
      <c r="E98" s="58" t="s">
        <v>9392</v>
      </c>
      <c r="F98" s="38"/>
      <c r="G98" s="39"/>
      <c r="H98" s="2"/>
      <c r="I98" s="2" t="e">
        <f>+#REF!</f>
        <v>#REF!</v>
      </c>
      <c r="J98" s="2" t="e">
        <f>+#REF!</f>
        <v>#REF!</v>
      </c>
      <c r="K98" s="2" t="e">
        <f>+#REF!</f>
        <v>#REF!</v>
      </c>
      <c r="L98" s="2" t="e">
        <f>+#REF!</f>
        <v>#REF!</v>
      </c>
      <c r="M98" s="2" t="e">
        <f>+#REF!</f>
        <v>#REF!</v>
      </c>
      <c r="N98" s="2"/>
      <c r="O98" s="2"/>
      <c r="P98" s="2"/>
      <c r="Q98" s="2"/>
      <c r="R98" s="2" t="e">
        <f>+#REF!</f>
        <v>#REF!</v>
      </c>
      <c r="S98" s="2" t="e">
        <f>+#REF!</f>
        <v>#REF!</v>
      </c>
    </row>
    <row r="99" spans="4:25" ht="15.75" customHeight="1">
      <c r="E99" s="58" t="s">
        <v>9393</v>
      </c>
      <c r="F99" s="54"/>
      <c r="G99" s="55"/>
      <c r="H99" s="2"/>
      <c r="I99" s="2">
        <f>+H99+H98</f>
        <v>0</v>
      </c>
      <c r="J99" s="2" t="e">
        <f t="shared" ref="J99:S99" si="50">+I99+I98</f>
        <v>#REF!</v>
      </c>
      <c r="K99" s="2" t="e">
        <f t="shared" si="50"/>
        <v>#REF!</v>
      </c>
      <c r="L99" s="2" t="e">
        <f>+K99+K98</f>
        <v>#REF!</v>
      </c>
      <c r="M99" s="2" t="e">
        <f t="shared" si="50"/>
        <v>#REF!</v>
      </c>
      <c r="N99" s="2"/>
      <c r="O99" s="2"/>
      <c r="P99" s="2"/>
      <c r="Q99" s="2"/>
      <c r="R99" s="2" t="e">
        <f>+M99+M98</f>
        <v>#REF!</v>
      </c>
      <c r="S99" s="2" t="e">
        <f t="shared" si="50"/>
        <v>#REF!</v>
      </c>
    </row>
    <row r="100" spans="4:25" ht="15.75" customHeight="1">
      <c r="E100" s="58" t="s">
        <v>9394</v>
      </c>
      <c r="F100" s="54"/>
      <c r="G100" s="55"/>
      <c r="H100" s="2"/>
      <c r="I100" s="2">
        <f>+H100+I37</f>
        <v>0</v>
      </c>
      <c r="J100" s="2">
        <f>+I100+J37</f>
        <v>0</v>
      </c>
      <c r="K100" s="2">
        <f>+J100+K37</f>
        <v>0</v>
      </c>
      <c r="L100" s="2">
        <f>+K100+L37</f>
        <v>0</v>
      </c>
      <c r="M100" s="2">
        <f>+L100+M37</f>
        <v>0</v>
      </c>
      <c r="N100" s="2"/>
      <c r="O100" s="2"/>
      <c r="P100" s="2"/>
      <c r="Q100" s="2"/>
      <c r="R100" s="2">
        <f>+M100+R37</f>
        <v>0</v>
      </c>
      <c r="S100" s="2" t="e">
        <f>+R100+S37+#REF!</f>
        <v>#REF!</v>
      </c>
    </row>
    <row r="101" spans="4:25" ht="15.75" customHeight="1">
      <c r="E101" s="40" t="s">
        <v>9395</v>
      </c>
      <c r="F101" s="29"/>
      <c r="G101" s="55"/>
      <c r="H101" s="56"/>
      <c r="I101" s="56" t="e">
        <f t="shared" ref="I101:M101" si="51">+SUM(I97:I100)</f>
        <v>#REF!</v>
      </c>
      <c r="J101" s="57" t="e">
        <f t="shared" si="51"/>
        <v>#REF!</v>
      </c>
      <c r="K101" s="57" t="e">
        <f t="shared" si="51"/>
        <v>#REF!</v>
      </c>
      <c r="L101" s="29" t="e">
        <f t="shared" si="51"/>
        <v>#REF!</v>
      </c>
      <c r="M101" s="29" t="e">
        <f t="shared" si="51"/>
        <v>#REF!</v>
      </c>
      <c r="N101" s="29"/>
      <c r="O101" s="29"/>
      <c r="P101" s="29"/>
      <c r="Q101" s="29"/>
      <c r="R101" s="29" t="e">
        <f t="shared" ref="R101:S101" si="52">+SUM(R97:R100)</f>
        <v>#REF!</v>
      </c>
      <c r="S101" s="29" t="e">
        <f t="shared" si="52"/>
        <v>#REF!</v>
      </c>
    </row>
    <row r="102" spans="4:25" ht="15.75" customHeight="1">
      <c r="E102" s="6"/>
      <c r="F102" s="58"/>
      <c r="G102" s="6"/>
      <c r="H102" s="59"/>
      <c r="I102" s="60" t="e">
        <f>+I101/H101-1</f>
        <v>#REF!</v>
      </c>
      <c r="J102" s="59" t="e">
        <f>+J101/I101-1</f>
        <v>#REF!</v>
      </c>
      <c r="K102" s="59" t="e">
        <f>+K101/J101-1</f>
        <v>#REF!</v>
      </c>
      <c r="L102" s="60" t="e">
        <f>+L101/K101-1</f>
        <v>#REF!</v>
      </c>
      <c r="M102" s="60" t="e">
        <f>+M101/L101-1</f>
        <v>#REF!</v>
      </c>
      <c r="N102" s="60"/>
      <c r="O102" s="60"/>
      <c r="P102" s="60"/>
      <c r="Q102" s="60"/>
      <c r="R102" s="60" t="e">
        <f>+R101/M101-1</f>
        <v>#REF!</v>
      </c>
      <c r="S102" s="60" t="e">
        <f t="shared" ref="S102" si="53">+S101/R101-1</f>
        <v>#REF!</v>
      </c>
    </row>
    <row r="103" spans="4:25" ht="15.75" customHeight="1">
      <c r="E103" s="39"/>
      <c r="F103" s="39"/>
      <c r="G103" s="39"/>
      <c r="H103" s="44"/>
      <c r="I103" s="44"/>
      <c r="J103" s="44"/>
      <c r="K103" s="44"/>
      <c r="L103" s="44"/>
      <c r="M103" s="6"/>
      <c r="N103" s="6"/>
      <c r="O103" s="6"/>
      <c r="P103" s="6"/>
      <c r="Q103" s="6"/>
      <c r="R103" s="6"/>
    </row>
    <row r="104" spans="4:25" ht="15.75" customHeight="1">
      <c r="E104" s="40" t="s">
        <v>9396</v>
      </c>
      <c r="F104" s="41"/>
      <c r="G104" s="39"/>
      <c r="H104" s="41"/>
      <c r="I104" s="41" t="e">
        <f t="shared" ref="I104:S104" si="54">+I101+I94</f>
        <v>#REF!</v>
      </c>
      <c r="J104" s="42" t="e">
        <f t="shared" si="54"/>
        <v>#REF!</v>
      </c>
      <c r="K104" s="41" t="e">
        <f t="shared" si="54"/>
        <v>#REF!</v>
      </c>
      <c r="L104" s="41" t="e">
        <f t="shared" si="54"/>
        <v>#REF!</v>
      </c>
      <c r="M104" s="41" t="e">
        <f t="shared" si="54"/>
        <v>#REF!</v>
      </c>
      <c r="N104" s="41"/>
      <c r="O104" s="41"/>
      <c r="P104" s="41"/>
      <c r="Q104" s="41"/>
      <c r="R104" s="41" t="e">
        <f t="shared" si="54"/>
        <v>#REF!</v>
      </c>
      <c r="S104" s="41" t="e">
        <f t="shared" si="54"/>
        <v>#REF!</v>
      </c>
    </row>
    <row r="105" spans="4:25" ht="15.75" customHeight="1">
      <c r="E105" s="48"/>
      <c r="F105" s="61"/>
      <c r="G105" s="39"/>
      <c r="H105" s="62"/>
      <c r="I105" s="63" t="e">
        <f>+I104/H104-1</f>
        <v>#REF!</v>
      </c>
      <c r="J105" s="64" t="e">
        <f>+J104/I104-1</f>
        <v>#REF!</v>
      </c>
      <c r="K105" s="63" t="e">
        <f>+K104/J104-1</f>
        <v>#REF!</v>
      </c>
      <c r="L105" s="63" t="e">
        <f>+L104/K104-1</f>
        <v>#REF!</v>
      </c>
      <c r="M105" s="63" t="e">
        <f>+M104/L104-1</f>
        <v>#REF!</v>
      </c>
      <c r="N105" s="63"/>
      <c r="O105" s="63"/>
      <c r="P105" s="63"/>
      <c r="Q105" s="63"/>
      <c r="R105" s="63" t="e">
        <f>+R104/M104-1</f>
        <v>#REF!</v>
      </c>
      <c r="S105" s="63" t="e">
        <f t="shared" ref="S105" si="55">+S104/R104-1</f>
        <v>#REF!</v>
      </c>
    </row>
    <row r="106" spans="4:25" ht="15.75" customHeight="1">
      <c r="E106" s="39"/>
      <c r="F106" s="39"/>
      <c r="G106" s="39"/>
      <c r="H106" s="6"/>
      <c r="J106" s="6"/>
      <c r="K106" s="6"/>
      <c r="L106" s="6"/>
      <c r="M106" s="6"/>
      <c r="N106" s="6"/>
      <c r="O106" s="6"/>
      <c r="P106" s="6"/>
      <c r="Q106" s="6"/>
      <c r="R106" s="6"/>
    </row>
    <row r="107" spans="4:25" ht="15.75" customHeight="1">
      <c r="E107" s="34"/>
      <c r="F107" s="65"/>
      <c r="G107" s="103"/>
      <c r="H107" s="65"/>
      <c r="I107" s="65" t="e">
        <f t="shared" ref="I107:K107" si="56">I104=I81</f>
        <v>#REF!</v>
      </c>
      <c r="J107" s="66" t="e">
        <f t="shared" si="56"/>
        <v>#REF!</v>
      </c>
      <c r="K107" s="66" t="e">
        <f t="shared" si="56"/>
        <v>#REF!</v>
      </c>
      <c r="L107" s="65" t="e">
        <f>+L108=0</f>
        <v>#REF!</v>
      </c>
      <c r="M107" s="65" t="e">
        <f>+M108=0</f>
        <v>#REF!</v>
      </c>
      <c r="N107" s="65"/>
      <c r="O107" s="65"/>
      <c r="P107" s="65"/>
      <c r="Q107" s="65"/>
      <c r="R107" s="65" t="e">
        <f t="shared" ref="R107:S107" si="57">+R108=0</f>
        <v>#REF!</v>
      </c>
      <c r="S107" s="65" t="e">
        <f t="shared" si="57"/>
        <v>#REF!</v>
      </c>
    </row>
    <row r="108" spans="4:25" s="68" customFormat="1" ht="15.75" customHeight="1">
      <c r="D108" s="474"/>
      <c r="E108" s="39"/>
      <c r="F108" s="67"/>
      <c r="G108" s="104"/>
      <c r="H108" s="67"/>
      <c r="I108" s="67" t="e">
        <f>+I104-I81</f>
        <v>#REF!</v>
      </c>
      <c r="J108" s="67" t="e">
        <f t="shared" ref="J108:S108" si="58">+J104-J81</f>
        <v>#REF!</v>
      </c>
      <c r="K108" s="67" t="e">
        <f t="shared" si="58"/>
        <v>#REF!</v>
      </c>
      <c r="L108" s="67" t="e">
        <f t="shared" si="58"/>
        <v>#REF!</v>
      </c>
      <c r="M108" s="67" t="e">
        <f t="shared" si="58"/>
        <v>#REF!</v>
      </c>
      <c r="N108" s="67"/>
      <c r="O108" s="67"/>
      <c r="P108" s="67"/>
      <c r="Q108" s="67"/>
      <c r="R108" s="67" t="e">
        <f>+R104-R81</f>
        <v>#REF!</v>
      </c>
      <c r="S108" s="67" t="e">
        <f t="shared" si="58"/>
        <v>#REF!</v>
      </c>
      <c r="T108" s="474"/>
      <c r="U108" s="474"/>
      <c r="V108" s="474"/>
      <c r="W108" s="474"/>
      <c r="X108" s="474"/>
      <c r="Y108" s="474"/>
    </row>
    <row r="128" spans="5:10" ht="15.75" customHeight="1">
      <c r="E128" s="1029"/>
      <c r="F128" s="1029"/>
      <c r="G128" s="1029"/>
      <c r="H128" s="1029"/>
      <c r="I128" s="1029"/>
      <c r="J128" s="1029"/>
    </row>
    <row r="153" spans="19:19" ht="15.75" customHeight="1">
      <c r="S153" s="69" t="s">
        <v>5051</v>
      </c>
    </row>
  </sheetData>
  <mergeCells count="2">
    <mergeCell ref="E5:F5"/>
    <mergeCell ref="E128:J128"/>
  </mergeCells>
  <conditionalFormatting sqref="H41:S41">
    <cfRule type="expression" dxfId="1" priority="1">
      <formula>H41&lt;0</formula>
    </cfRule>
    <cfRule type="expression" dxfId="0" priority="2">
      <formula>H41&gt;0</formula>
    </cfRule>
  </conditionalFormatting>
  <pageMargins left="0.7" right="0.7" top="0.75" bottom="0.75" header="0" footer="0"/>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16184-2CFF-4778-B53D-AE8C3F1B3CDC}">
  <sheetPr>
    <tabColor theme="9" tint="-0.249977111117893"/>
  </sheetPr>
  <dimension ref="B2:M93"/>
  <sheetViews>
    <sheetView topLeftCell="A30" zoomScale="84" zoomScaleNormal="70" workbookViewId="0">
      <selection activeCell="K37" sqref="K37"/>
    </sheetView>
  </sheetViews>
  <sheetFormatPr defaultColWidth="11.42578125" defaultRowHeight="12.6" zeroHeight="1"/>
  <cols>
    <col min="1" max="1" width="11.42578125" style="6"/>
    <col min="2" max="2" width="45.85546875" style="6" bestFit="1" customWidth="1"/>
    <col min="3" max="3" width="19" style="6" hidden="1" customWidth="1"/>
    <col min="4" max="4" width="18.5703125" style="6" hidden="1" customWidth="1"/>
    <col min="5" max="5" width="16.42578125" style="6" hidden="1" customWidth="1"/>
    <col min="6" max="6" width="17" style="6" hidden="1" customWidth="1"/>
    <col min="7" max="8" width="19.5703125" style="6" bestFit="1" customWidth="1"/>
    <col min="9" max="9" width="24.42578125" style="6" hidden="1" customWidth="1"/>
    <col min="10" max="10" width="19.42578125" style="6" customWidth="1"/>
    <col min="11" max="11" width="17.28515625" style="6" customWidth="1"/>
    <col min="12" max="12" width="15.85546875" style="6" bestFit="1" customWidth="1"/>
    <col min="13" max="13" width="15.42578125" style="6" bestFit="1" customWidth="1"/>
    <col min="14" max="16383" width="11.42578125" style="6"/>
    <col min="16384" max="16384" width="11.42578125" style="6" bestFit="1"/>
  </cols>
  <sheetData>
    <row r="2" spans="2:11"/>
    <row r="3" spans="2:11" ht="12.95">
      <c r="D3" s="179">
        <v>2020</v>
      </c>
      <c r="E3" s="179">
        <v>2021</v>
      </c>
      <c r="F3" s="179">
        <v>2022</v>
      </c>
      <c r="G3" s="179">
        <v>2023</v>
      </c>
      <c r="H3" s="179">
        <v>2024</v>
      </c>
    </row>
    <row r="4" spans="2:11">
      <c r="B4" s="1034" t="s">
        <v>9410</v>
      </c>
      <c r="C4" s="1034"/>
      <c r="D4" s="92"/>
      <c r="E4" s="180" t="s">
        <v>9411</v>
      </c>
      <c r="F4" s="181">
        <f>+E11/D11-1</f>
        <v>4.0193349733990775</v>
      </c>
      <c r="G4" s="181">
        <f>+F11/E11-1</f>
        <v>0.82400671493297195</v>
      </c>
      <c r="H4" s="181">
        <f>+G11/F11-1</f>
        <v>6.494216911607821</v>
      </c>
    </row>
    <row r="5" spans="2:11">
      <c r="B5" s="1034" t="s">
        <v>9412</v>
      </c>
      <c r="C5" s="1034"/>
      <c r="D5" s="92"/>
      <c r="E5" s="92"/>
      <c r="F5" s="181">
        <v>1</v>
      </c>
      <c r="G5" s="182">
        <f>+F12/E12-1</f>
        <v>49.401396610420015</v>
      </c>
      <c r="H5" s="182">
        <f>+G12/F12-1</f>
        <v>2.608344051800521</v>
      </c>
    </row>
    <row r="6" spans="2:11">
      <c r="B6" s="1034" t="s">
        <v>9413</v>
      </c>
      <c r="C6" s="1034"/>
      <c r="D6" s="92"/>
      <c r="E6" s="92"/>
      <c r="F6" s="92"/>
      <c r="G6" s="92"/>
      <c r="H6" s="181">
        <v>0.18</v>
      </c>
    </row>
    <row r="7" spans="2:11"/>
    <row r="8" spans="2:11" ht="12.95">
      <c r="B8" s="1035" t="s">
        <v>143</v>
      </c>
      <c r="C8" s="1036"/>
      <c r="D8" s="1036"/>
      <c r="E8" s="1036"/>
      <c r="F8" s="1036"/>
      <c r="G8" s="1036"/>
      <c r="H8" s="1036"/>
    </row>
    <row r="9" spans="2:11" ht="12.95">
      <c r="B9" s="3"/>
      <c r="C9" s="7">
        <v>2020</v>
      </c>
      <c r="D9" s="7">
        <v>2021</v>
      </c>
      <c r="E9" s="7">
        <v>2022</v>
      </c>
      <c r="F9" s="7">
        <v>2023</v>
      </c>
      <c r="G9" s="410" t="s">
        <v>9414</v>
      </c>
      <c r="H9" s="420" t="s">
        <v>9415</v>
      </c>
      <c r="I9" s="420" t="s">
        <v>9416</v>
      </c>
      <c r="K9"/>
    </row>
    <row r="10" spans="2:11" ht="12.95" hidden="1">
      <c r="B10" s="1"/>
      <c r="C10" s="179">
        <v>2020</v>
      </c>
      <c r="D10" s="179">
        <v>2021</v>
      </c>
      <c r="E10" s="179">
        <v>2022</v>
      </c>
      <c r="F10" s="179">
        <v>2023</v>
      </c>
      <c r="G10" s="7" t="s">
        <v>9414</v>
      </c>
      <c r="H10" s="411" t="s">
        <v>9417</v>
      </c>
      <c r="I10" s="411" t="s">
        <v>9417</v>
      </c>
    </row>
    <row r="11" spans="2:11">
      <c r="B11" s="11" t="s">
        <v>9418</v>
      </c>
      <c r="C11" s="12">
        <v>0</v>
      </c>
      <c r="D11" s="12">
        <v>282509000</v>
      </c>
      <c r="E11" s="12">
        <v>1418007304</v>
      </c>
      <c r="F11" s="12">
        <f>2755586609.32-F12</f>
        <v>2586454844.3200002</v>
      </c>
      <c r="G11" s="12">
        <f>+SUM('Cierre real'!H8:S8)</f>
        <v>19383453635.412918</v>
      </c>
      <c r="H11" s="12">
        <v>18922822215.599998</v>
      </c>
      <c r="I11" s="439">
        <f>+G11/H11</f>
        <v>1.0243426384587164</v>
      </c>
      <c r="K11" s="366"/>
    </row>
    <row r="12" spans="2:11">
      <c r="B12" s="11" t="s">
        <v>9011</v>
      </c>
      <c r="C12" s="12">
        <v>0</v>
      </c>
      <c r="D12" s="12"/>
      <c r="E12" s="12">
        <v>3355696</v>
      </c>
      <c r="F12" s="12">
        <v>169131765</v>
      </c>
      <c r="G12" s="2">
        <f>+SUM('Cierre real'!H10:S10)</f>
        <v>610285598.20827353</v>
      </c>
      <c r="H12" s="2">
        <f>+SUM('Proyección 2024'!H10:S10)+SUM('Proyección 2024'!H12:S12)</f>
        <v>717367624.33252442</v>
      </c>
      <c r="I12" s="439">
        <f t="shared" ref="I12:I38" si="0">+G12/H12</f>
        <v>0.85072921819703606</v>
      </c>
      <c r="K12" s="366"/>
    </row>
    <row r="13" spans="2:11">
      <c r="B13" s="11" t="s">
        <v>9419</v>
      </c>
      <c r="C13" s="12"/>
      <c r="D13" s="12"/>
      <c r="E13" s="12"/>
      <c r="F13" s="12"/>
      <c r="G13" s="2">
        <f>+SUM('Cierre real'!H12:S12)</f>
        <v>25475450.495446261</v>
      </c>
      <c r="H13" s="2"/>
      <c r="I13" s="439"/>
      <c r="K13" s="366"/>
    </row>
    <row r="14" spans="2:11">
      <c r="B14" s="11" t="s">
        <v>9420</v>
      </c>
      <c r="C14" s="2">
        <v>0</v>
      </c>
      <c r="D14" s="2">
        <v>156771000</v>
      </c>
      <c r="E14" s="2">
        <f>755508606+200203394</f>
        <v>955712000</v>
      </c>
      <c r="F14" s="2">
        <v>1134026721.0899999</v>
      </c>
      <c r="G14" s="2">
        <f>-SUM('Cierre real'!H9:S9)-SUM('Cierre real'!H11:S11)+13499000</f>
        <v>13934540135.218086</v>
      </c>
      <c r="H14" s="2">
        <v>14460731708.889999</v>
      </c>
      <c r="I14" s="439">
        <f t="shared" si="0"/>
        <v>0.96361238253604919</v>
      </c>
      <c r="K14" s="366"/>
    </row>
    <row r="15" spans="2:11" ht="12.95">
      <c r="B15" s="15" t="s">
        <v>9017</v>
      </c>
      <c r="C15" s="16">
        <f>+C11+C12-C14</f>
        <v>0</v>
      </c>
      <c r="D15" s="16">
        <f t="shared" ref="D15:H15" si="1">+D11+D12-D14</f>
        <v>125738000</v>
      </c>
      <c r="E15" s="16">
        <f t="shared" si="1"/>
        <v>465651000</v>
      </c>
      <c r="F15" s="16">
        <f>+F11+F12-F14</f>
        <v>1621559888.2300003</v>
      </c>
      <c r="G15" s="16">
        <f>+G11-G14+G12+G13</f>
        <v>6084674548.8985519</v>
      </c>
      <c r="H15" s="16">
        <f t="shared" si="1"/>
        <v>5179458131.0425224</v>
      </c>
      <c r="I15" s="439">
        <f>+G15/H15</f>
        <v>1.1747704865940922</v>
      </c>
      <c r="J15" s="2"/>
    </row>
    <row r="16" spans="2:11" ht="24.95">
      <c r="B16" s="151" t="s">
        <v>9018</v>
      </c>
      <c r="C16" s="12">
        <v>0</v>
      </c>
      <c r="D16" s="12">
        <f>103515000+50871000-364000</f>
        <v>154022000</v>
      </c>
      <c r="E16" s="12">
        <v>394738000</v>
      </c>
      <c r="F16" s="12">
        <v>663892005.57999992</v>
      </c>
      <c r="G16" s="12">
        <f>-SUM('Cierre real'!H14:S17)</f>
        <v>1953001898.6647904</v>
      </c>
      <c r="H16" s="12">
        <f>-SUM('Proyección 2024'!H14:S17)</f>
        <v>2556344371.8384571</v>
      </c>
      <c r="I16" s="412"/>
      <c r="K16" s="2"/>
    </row>
    <row r="17" spans="2:12">
      <c r="B17" s="11" t="s">
        <v>9421</v>
      </c>
      <c r="C17" s="12">
        <v>0</v>
      </c>
      <c r="D17" s="12"/>
      <c r="E17" s="12">
        <v>4777000</v>
      </c>
      <c r="F17" s="12">
        <v>498923136.62442559</v>
      </c>
      <c r="G17" s="12">
        <f>+(3440000000)/3</f>
        <v>1146666666.6666667</v>
      </c>
      <c r="H17" s="12">
        <f>+(3440000000)/3</f>
        <v>1146666666.6666667</v>
      </c>
      <c r="I17" s="412"/>
    </row>
    <row r="18" spans="2:12" ht="12.95">
      <c r="B18" s="15" t="s">
        <v>9422</v>
      </c>
      <c r="C18" s="16">
        <f>+C15-C16-C17</f>
        <v>0</v>
      </c>
      <c r="D18" s="16">
        <f>+D15-D16-D17</f>
        <v>-28284000</v>
      </c>
      <c r="E18" s="16">
        <f t="shared" ref="E18:F18" si="2">+E15-E16-E17</f>
        <v>66136000</v>
      </c>
      <c r="F18" s="16">
        <f t="shared" si="2"/>
        <v>458744746.02557474</v>
      </c>
      <c r="G18" s="16">
        <f>+G15-G16-G17</f>
        <v>2985005983.5670948</v>
      </c>
      <c r="H18" s="16">
        <f>+H15-H16-H17</f>
        <v>1476447092.5373986</v>
      </c>
      <c r="I18" s="439">
        <f t="shared" si="0"/>
        <v>2.0217493729742193</v>
      </c>
    </row>
    <row r="19" spans="2:12">
      <c r="B19" s="11" t="s">
        <v>9023</v>
      </c>
      <c r="C19" s="12">
        <v>0</v>
      </c>
      <c r="D19" s="12"/>
      <c r="E19" s="12">
        <v>-7650000</v>
      </c>
      <c r="F19" s="12">
        <f>-123473000-44346748</f>
        <v>-167819748</v>
      </c>
      <c r="G19" s="12">
        <f>-G18*15%</f>
        <v>-447750897.53506422</v>
      </c>
      <c r="H19" s="12">
        <f>-H18*15%</f>
        <v>-221467063.88060978</v>
      </c>
      <c r="I19" s="412">
        <f t="shared" si="0"/>
        <v>2.0217493729742193</v>
      </c>
    </row>
    <row r="20" spans="2:12">
      <c r="B20" s="11" t="s">
        <v>9025</v>
      </c>
      <c r="C20" s="12">
        <v>0</v>
      </c>
      <c r="D20" s="12">
        <v>-1156000</v>
      </c>
      <c r="E20" s="12">
        <v>-8567000</v>
      </c>
      <c r="F20" s="12">
        <v>-16668000</v>
      </c>
      <c r="G20" s="12">
        <f>-(G11+G12)*0.006</f>
        <v>-119962435.40172715</v>
      </c>
      <c r="H20" s="12">
        <f>-(H11+H12)*0.006</f>
        <v>-117841139.03959513</v>
      </c>
      <c r="I20" s="412">
        <f t="shared" si="0"/>
        <v>1.0180013226231568</v>
      </c>
    </row>
    <row r="21" spans="2:12" hidden="1">
      <c r="B21" s="11" t="s">
        <v>9423</v>
      </c>
      <c r="C21" s="12">
        <v>0</v>
      </c>
      <c r="D21" s="12"/>
      <c r="E21" s="12"/>
      <c r="F21" s="12"/>
      <c r="G21" s="12">
        <f>-G19-G20</f>
        <v>567713332.93679142</v>
      </c>
      <c r="H21" s="12"/>
      <c r="I21" s="412"/>
    </row>
    <row r="22" spans="2:12" ht="12.95">
      <c r="B22" s="15" t="s">
        <v>9027</v>
      </c>
      <c r="C22" s="16">
        <f t="shared" ref="C22:D22" si="3">+C18+C19+C20</f>
        <v>0</v>
      </c>
      <c r="D22" s="16">
        <f t="shared" si="3"/>
        <v>-29440000</v>
      </c>
      <c r="E22" s="16">
        <f>+E18+E19+E20</f>
        <v>49919000</v>
      </c>
      <c r="F22" s="16">
        <f>+F18+F19+F20</f>
        <v>274256998.02557474</v>
      </c>
      <c r="G22" s="18">
        <f>+G18+G19+G20+G21</f>
        <v>2985005983.5670948</v>
      </c>
      <c r="H22" s="18">
        <f>+H18+H19+H20+H21</f>
        <v>1137138889.6171937</v>
      </c>
      <c r="I22" s="438">
        <f t="shared" si="0"/>
        <v>2.6250144206852046</v>
      </c>
    </row>
    <row r="23" spans="2:12">
      <c r="B23" s="11" t="s">
        <v>9028</v>
      </c>
      <c r="C23" s="12">
        <v>0</v>
      </c>
      <c r="D23" s="12"/>
      <c r="E23" s="12">
        <f>-E17</f>
        <v>-4777000</v>
      </c>
      <c r="F23" s="12">
        <f>+F17</f>
        <v>498923136.62442559</v>
      </c>
      <c r="G23" s="12">
        <f>+G17</f>
        <v>1146666666.6666667</v>
      </c>
      <c r="H23" s="12">
        <f>+H17</f>
        <v>1146666666.6666667</v>
      </c>
      <c r="I23" s="412">
        <f t="shared" ref="I23:I31" si="4">+G23/H23</f>
        <v>1</v>
      </c>
    </row>
    <row r="24" spans="2:12" ht="12.95">
      <c r="B24" s="22" t="s">
        <v>9029</v>
      </c>
      <c r="C24" s="16">
        <f t="shared" ref="C24:D24" si="5">+C22+C23</f>
        <v>0</v>
      </c>
      <c r="D24" s="16">
        <f t="shared" si="5"/>
        <v>-29440000</v>
      </c>
      <c r="E24" s="16">
        <f>+E22+E23</f>
        <v>45142000</v>
      </c>
      <c r="F24" s="16">
        <f t="shared" ref="F24:G24" si="6">+F22+F23</f>
        <v>773180134.65000033</v>
      </c>
      <c r="G24" s="16">
        <f t="shared" si="6"/>
        <v>4131672650.2337618</v>
      </c>
      <c r="H24" s="16">
        <f t="shared" ref="H24" si="7">+H22+H23</f>
        <v>2283805556.2838602</v>
      </c>
      <c r="I24" s="412">
        <f t="shared" si="4"/>
        <v>1.8091175226654126</v>
      </c>
    </row>
    <row r="25" spans="2:12">
      <c r="B25" s="11" t="s">
        <v>9042</v>
      </c>
      <c r="C25" s="12">
        <v>0</v>
      </c>
      <c r="D25" s="12">
        <v>-14077000</v>
      </c>
      <c r="E25" s="12">
        <v>-909810000</v>
      </c>
      <c r="F25" s="12">
        <v>-2521143832.9299998</v>
      </c>
      <c r="G25" s="12">
        <f>+SUM('Cierre real'!H27:S28)</f>
        <v>-2185114529.8010721</v>
      </c>
      <c r="H25" s="12">
        <f>+SUM('Proyección 2024'!H25:S26)</f>
        <v>-4694546231.5578146</v>
      </c>
      <c r="I25" s="412">
        <f t="shared" si="4"/>
        <v>0.46545809158555773</v>
      </c>
    </row>
    <row r="26" spans="2:12">
      <c r="B26" s="11" t="s">
        <v>9424</v>
      </c>
      <c r="C26" s="12"/>
      <c r="D26" s="12"/>
      <c r="E26" s="12"/>
      <c r="F26" s="12"/>
      <c r="G26" s="12">
        <f>+SUM('Cierre real'!N29:S29)</f>
        <v>-367990330.16666669</v>
      </c>
      <c r="H26" s="12">
        <f>SUM('Proyección 2024'!H27:S27)</f>
        <v>-292586650</v>
      </c>
      <c r="I26" s="412">
        <f t="shared" si="4"/>
        <v>1.2577140145207126</v>
      </c>
      <c r="L26" s="2">
        <v>-2980480340</v>
      </c>
    </row>
    <row r="27" spans="2:12">
      <c r="B27" s="11" t="s">
        <v>9425</v>
      </c>
      <c r="C27" s="12">
        <v>267000</v>
      </c>
      <c r="D27" s="12">
        <f>-298049000+800000</f>
        <v>-297249000</v>
      </c>
      <c r="E27" s="12">
        <v>46215000</v>
      </c>
      <c r="F27" s="12">
        <v>1003024209.8699999</v>
      </c>
      <c r="G27" s="12">
        <f>+SUM('Cierre real'!H30:S32)</f>
        <v>-4523501387.8848543</v>
      </c>
      <c r="H27" s="12">
        <f>+SUM('Proyección 2024'!H28:S30)-1000000000</f>
        <v>-1716471486.5118823</v>
      </c>
      <c r="I27" s="412">
        <f t="shared" si="4"/>
        <v>2.635348983907249</v>
      </c>
    </row>
    <row r="28" spans="2:12">
      <c r="B28" s="11" t="s">
        <v>9426</v>
      </c>
      <c r="C28" s="12"/>
      <c r="D28" s="12"/>
      <c r="E28" s="12"/>
      <c r="F28" s="12"/>
      <c r="G28" s="12">
        <f>+SUM('Cierre real'!H25:S25)</f>
        <v>-609130249.75</v>
      </c>
      <c r="H28" s="12"/>
      <c r="I28" s="412"/>
    </row>
    <row r="29" spans="2:12">
      <c r="B29" s="11" t="s">
        <v>9425</v>
      </c>
      <c r="C29" s="12"/>
      <c r="D29" s="12"/>
      <c r="E29" s="12"/>
      <c r="F29" s="12"/>
      <c r="G29" s="12">
        <f>SUM('Cierre real'!H26:S26)</f>
        <v>-976500000</v>
      </c>
      <c r="H29" s="12"/>
      <c r="I29" s="412"/>
    </row>
    <row r="30" spans="2:12" ht="12.95">
      <c r="B30" s="177" t="s">
        <v>9054</v>
      </c>
      <c r="C30" s="178">
        <f t="shared" ref="C30:D30" si="8">+C24+C25+C27</f>
        <v>267000</v>
      </c>
      <c r="D30" s="178">
        <f t="shared" si="8"/>
        <v>-340766000</v>
      </c>
      <c r="E30" s="178">
        <f>+E24+E25+E27</f>
        <v>-818453000</v>
      </c>
      <c r="F30" s="178">
        <f>+F24+F25+F27</f>
        <v>-744939488.40999961</v>
      </c>
      <c r="G30" s="178">
        <f>+G24+G25+G27+G26+G28+G29</f>
        <v>-4530563847.3688316</v>
      </c>
      <c r="H30" s="178">
        <f>+H24+H25+H27+H26</f>
        <v>-4419798811.7858372</v>
      </c>
      <c r="I30" s="412">
        <f t="shared" si="4"/>
        <v>1.0250611035252619</v>
      </c>
    </row>
    <row r="31" spans="2:12">
      <c r="B31" s="11" t="s">
        <v>9055</v>
      </c>
      <c r="C31" s="12"/>
      <c r="D31" s="12">
        <f>330000000+1559000+33112000+10617000+2197000</f>
        <v>377485000</v>
      </c>
      <c r="E31" s="12">
        <v>-302372000</v>
      </c>
      <c r="F31" s="12">
        <v>545736605.45000005</v>
      </c>
      <c r="G31" s="445">
        <f>+SUM('Cierre real'!H34:S35)</f>
        <v>336231171.42363822</v>
      </c>
      <c r="H31" s="12">
        <f>+SUM('Proyección 2024'!H32:S33)-1000000000</f>
        <v>2127401732.1507611</v>
      </c>
      <c r="I31" s="412">
        <f t="shared" si="4"/>
        <v>0.15804780373273231</v>
      </c>
      <c r="K31" s="2"/>
    </row>
    <row r="32" spans="2:12" ht="12.95">
      <c r="B32" s="15" t="s">
        <v>9056</v>
      </c>
      <c r="C32" s="16">
        <f t="shared" ref="C32:D32" si="9">+C30+C31</f>
        <v>267000</v>
      </c>
      <c r="D32" s="16">
        <f t="shared" si="9"/>
        <v>36719000</v>
      </c>
      <c r="E32" s="16">
        <f>+E30+E31</f>
        <v>-1120825000</v>
      </c>
      <c r="F32" s="16">
        <f>+F30+F31</f>
        <v>-199202882.95999956</v>
      </c>
      <c r="G32" s="18">
        <f>+G30+G31</f>
        <v>-4194332675.9451933</v>
      </c>
      <c r="H32" s="18">
        <f>+H30+H31</f>
        <v>-2292397079.635076</v>
      </c>
      <c r="I32" s="412"/>
    </row>
    <row r="33" spans="2:13">
      <c r="B33" s="11" t="s">
        <v>9057</v>
      </c>
      <c r="C33" s="12">
        <v>6000000</v>
      </c>
      <c r="D33" s="12"/>
      <c r="E33" s="12">
        <f>1073682000</f>
        <v>1073682000</v>
      </c>
      <c r="F33" s="12">
        <v>1829652140</v>
      </c>
      <c r="G33" s="12"/>
      <c r="H33" s="12"/>
      <c r="I33" s="412"/>
    </row>
    <row r="34" spans="2:13" ht="18.75" customHeight="1">
      <c r="B34" s="11" t="s">
        <v>9058</v>
      </c>
      <c r="C34" s="12"/>
      <c r="D34" s="12"/>
      <c r="E34" s="12"/>
      <c r="F34" s="392"/>
      <c r="G34" s="12"/>
      <c r="H34" s="12"/>
      <c r="I34" s="412"/>
    </row>
    <row r="35" spans="2:13">
      <c r="B35" s="11" t="s">
        <v>9059</v>
      </c>
      <c r="C35" s="11"/>
      <c r="D35" s="11"/>
      <c r="E35" s="11"/>
      <c r="F35" s="11"/>
      <c r="G35" s="11"/>
      <c r="H35" s="11"/>
      <c r="I35" s="412"/>
    </row>
    <row r="36" spans="2:13" ht="12.95">
      <c r="B36" s="15" t="s">
        <v>9060</v>
      </c>
      <c r="C36" s="16">
        <f t="shared" ref="C36:D36" si="10">+C32+C33</f>
        <v>6267000</v>
      </c>
      <c r="D36" s="16">
        <f t="shared" si="10"/>
        <v>36719000</v>
      </c>
      <c r="E36" s="16">
        <f>+E32+E33</f>
        <v>-47143000</v>
      </c>
      <c r="F36" s="16">
        <f>+F32+F33+F34</f>
        <v>1630449257.0400004</v>
      </c>
      <c r="G36" s="18">
        <f>+G32+G33</f>
        <v>-4194332675.9451933</v>
      </c>
      <c r="H36" s="18">
        <f t="shared" ref="H36" si="11">+H32+H33</f>
        <v>-2292397079.635076</v>
      </c>
      <c r="I36" s="412">
        <f t="shared" si="0"/>
        <v>1.8296710954687152</v>
      </c>
    </row>
    <row r="37" spans="2:13">
      <c r="B37" s="11" t="s">
        <v>9061</v>
      </c>
      <c r="C37" s="12">
        <v>0</v>
      </c>
      <c r="D37" s="12">
        <f>+C38</f>
        <v>6267000</v>
      </c>
      <c r="E37" s="12">
        <v>42986000</v>
      </c>
      <c r="F37" s="12">
        <f>+E38</f>
        <v>-4157000</v>
      </c>
      <c r="G37" s="12">
        <f>+F38</f>
        <v>1626292257.0400004</v>
      </c>
      <c r="H37" s="12">
        <f>+F38</f>
        <v>1626292257.0400004</v>
      </c>
      <c r="I37" s="412">
        <f t="shared" si="0"/>
        <v>1</v>
      </c>
    </row>
    <row r="38" spans="2:13" ht="12.95">
      <c r="B38" s="28" t="s">
        <v>9062</v>
      </c>
      <c r="C38" s="29">
        <f t="shared" ref="C38:D38" si="12">+C36+C37</f>
        <v>6267000</v>
      </c>
      <c r="D38" s="29">
        <f t="shared" si="12"/>
        <v>42986000</v>
      </c>
      <c r="E38" s="29">
        <f>+E36+E37</f>
        <v>-4157000</v>
      </c>
      <c r="F38" s="29">
        <f t="shared" ref="F38" si="13">+F36+F37</f>
        <v>1626292257.0400004</v>
      </c>
      <c r="G38" s="477">
        <f>+G36+G37</f>
        <v>-2568040418.9051929</v>
      </c>
      <c r="H38" s="57">
        <f>+H36+H37</f>
        <v>-666104822.59507561</v>
      </c>
      <c r="I38" s="412">
        <f t="shared" si="0"/>
        <v>3.8553097527508848</v>
      </c>
      <c r="J38" s="2"/>
      <c r="K38" s="2"/>
    </row>
    <row r="39" spans="2:13">
      <c r="B39" s="1"/>
      <c r="C39" s="1"/>
      <c r="D39" s="1"/>
      <c r="E39" s="1"/>
      <c r="F39" s="1"/>
      <c r="G39" s="1"/>
      <c r="H39" s="1"/>
    </row>
    <row r="40" spans="2:13" ht="36.75" customHeight="1">
      <c r="B40" s="1037" t="s">
        <v>9427</v>
      </c>
      <c r="C40" s="1037"/>
      <c r="D40" s="1037"/>
      <c r="E40" s="1037"/>
      <c r="F40" s="1037"/>
      <c r="G40" s="1037"/>
      <c r="H40" s="1037"/>
      <c r="I40" s="1037"/>
      <c r="J40" s="1037"/>
      <c r="K40" s="1037"/>
      <c r="L40" s="487"/>
      <c r="M40" s="487"/>
    </row>
    <row r="41" spans="2:13" ht="12.95">
      <c r="B41" s="1"/>
      <c r="C41" s="7">
        <v>2020</v>
      </c>
      <c r="D41" s="7">
        <v>2021</v>
      </c>
      <c r="E41" s="7">
        <v>2022</v>
      </c>
      <c r="F41" s="7">
        <v>2023</v>
      </c>
      <c r="G41" s="7" t="s">
        <v>9414</v>
      </c>
      <c r="H41" s="401" t="s">
        <v>9415</v>
      </c>
      <c r="J41" s="7" t="s">
        <v>9428</v>
      </c>
      <c r="K41" s="401" t="s">
        <v>9429</v>
      </c>
      <c r="M41" s="401" t="s">
        <v>9430</v>
      </c>
    </row>
    <row r="42" spans="2:13">
      <c r="B42" s="11" t="s">
        <v>5051</v>
      </c>
      <c r="C42" s="12">
        <v>0</v>
      </c>
      <c r="D42" s="12">
        <f>+D11</f>
        <v>282509000</v>
      </c>
      <c r="E42" s="12">
        <f>1421363000-E43</f>
        <v>1418007304</v>
      </c>
      <c r="F42" s="12">
        <f>+F11</f>
        <v>2586454844.3200002</v>
      </c>
      <c r="G42" s="12">
        <f>+G11</f>
        <v>19383453635.412918</v>
      </c>
      <c r="H42" s="12">
        <f>+H11</f>
        <v>18922822215.599998</v>
      </c>
      <c r="J42" s="12">
        <f t="shared" ref="J42:J53" si="14">+G42/3950</f>
        <v>4907203.4520032704</v>
      </c>
      <c r="K42" s="12">
        <f t="shared" ref="K42:K53" si="15">+H42/3950</f>
        <v>4790587.902683544</v>
      </c>
      <c r="M42" s="440">
        <f t="shared" ref="M42:M48" si="16">+J42/K42</f>
        <v>1.0243426384587164</v>
      </c>
    </row>
    <row r="43" spans="2:13">
      <c r="B43" s="58" t="s">
        <v>9431</v>
      </c>
      <c r="E43" s="2">
        <v>3355696</v>
      </c>
      <c r="F43" s="2">
        <v>169131765</v>
      </c>
      <c r="G43" s="12">
        <f>+G12</f>
        <v>610285598.20827353</v>
      </c>
      <c r="H43" s="12">
        <f>+H12</f>
        <v>717367624.33252442</v>
      </c>
      <c r="J43" s="12">
        <f t="shared" si="14"/>
        <v>154502.68309070216</v>
      </c>
      <c r="K43" s="12">
        <f t="shared" si="15"/>
        <v>181612.05679304415</v>
      </c>
      <c r="M43" s="440">
        <f t="shared" si="16"/>
        <v>0.85072921819703606</v>
      </c>
    </row>
    <row r="44" spans="2:13">
      <c r="B44" s="11" t="s">
        <v>9010</v>
      </c>
      <c r="C44" s="12">
        <v>0</v>
      </c>
      <c r="D44" s="12">
        <f>+D14</f>
        <v>156771000</v>
      </c>
      <c r="E44" s="12">
        <v>955712000</v>
      </c>
      <c r="F44" s="12">
        <f>+F14</f>
        <v>1134026721.0899999</v>
      </c>
      <c r="G44" s="12">
        <f>+G14</f>
        <v>13934540135.218086</v>
      </c>
      <c r="H44" s="12">
        <f>+H14</f>
        <v>14460731708.889999</v>
      </c>
      <c r="J44" s="12">
        <f t="shared" si="14"/>
        <v>3527731.6798020471</v>
      </c>
      <c r="K44" s="12">
        <f t="shared" si="15"/>
        <v>3660944.7364278478</v>
      </c>
      <c r="M44" s="440"/>
    </row>
    <row r="45" spans="2:13" ht="12.95">
      <c r="B45" s="15" t="s">
        <v>9017</v>
      </c>
      <c r="C45" s="16">
        <f>+C42-C44</f>
        <v>0</v>
      </c>
      <c r="D45" s="16">
        <f>+D42-D44</f>
        <v>125738000</v>
      </c>
      <c r="E45" s="16">
        <f>+E42-E44+E43</f>
        <v>465651000</v>
      </c>
      <c r="F45" s="16">
        <f>+F42-F44+F43</f>
        <v>1621559888.2300003</v>
      </c>
      <c r="G45" s="16">
        <f>+G42+G43-G44</f>
        <v>6059199098.4031067</v>
      </c>
      <c r="H45" s="16">
        <f>+H42+H43-H44</f>
        <v>5179458131.0425224</v>
      </c>
      <c r="J45" s="16">
        <f t="shared" si="14"/>
        <v>1533974.4552919257</v>
      </c>
      <c r="K45" s="16">
        <f t="shared" si="15"/>
        <v>1311255.2230487398</v>
      </c>
      <c r="M45" s="441">
        <f>+J45/K45</f>
        <v>1.1698519314381464</v>
      </c>
    </row>
    <row r="46" spans="2:13">
      <c r="B46" s="11" t="s">
        <v>9432</v>
      </c>
      <c r="C46" s="12">
        <v>0</v>
      </c>
      <c r="D46" s="12">
        <f>+D16</f>
        <v>154022000</v>
      </c>
      <c r="E46" s="12">
        <v>389961000</v>
      </c>
      <c r="F46" s="12">
        <f>+F16</f>
        <v>663892005.57999992</v>
      </c>
      <c r="G46" s="12">
        <f>+G16-G50</f>
        <v>1795067463.5779011</v>
      </c>
      <c r="H46" s="12">
        <f>+H16-H50</f>
        <v>2384753249.9993367</v>
      </c>
      <c r="J46" s="12">
        <f t="shared" si="14"/>
        <v>454447.45913364587</v>
      </c>
      <c r="K46" s="12">
        <f t="shared" si="15"/>
        <v>603734.99999983213</v>
      </c>
      <c r="M46" s="440"/>
    </row>
    <row r="47" spans="2:13">
      <c r="B47" s="11" t="s">
        <v>9433</v>
      </c>
      <c r="C47" s="12">
        <v>0</v>
      </c>
      <c r="D47" s="12"/>
      <c r="E47" s="12">
        <v>4777000</v>
      </c>
      <c r="F47" s="12"/>
      <c r="G47" s="12">
        <f>+G17</f>
        <v>1146666666.6666667</v>
      </c>
      <c r="H47" s="12">
        <f>+H17</f>
        <v>1146666666.6666667</v>
      </c>
      <c r="J47" s="12">
        <f t="shared" si="14"/>
        <v>290295.35864978906</v>
      </c>
      <c r="K47" s="12">
        <f t="shared" si="15"/>
        <v>290295.35864978906</v>
      </c>
      <c r="M47" s="440"/>
    </row>
    <row r="48" spans="2:13" ht="12.95">
      <c r="B48" s="15" t="s">
        <v>9434</v>
      </c>
      <c r="C48" s="16">
        <f>-C46+C45-C47</f>
        <v>0</v>
      </c>
      <c r="D48" s="16">
        <f>-D46+D45-D47</f>
        <v>-28284000</v>
      </c>
      <c r="E48" s="16">
        <f>-E46+E45-E47</f>
        <v>70913000</v>
      </c>
      <c r="F48" s="16">
        <f>+F45-F46-F47</f>
        <v>957667882.65000033</v>
      </c>
      <c r="G48" s="16">
        <f>+G45-G46-G47</f>
        <v>3117464968.1585388</v>
      </c>
      <c r="H48" s="16">
        <f>+H45-H46-H47</f>
        <v>1648038214.376519</v>
      </c>
      <c r="J48" s="16">
        <f t="shared" si="14"/>
        <v>789231.63750849082</v>
      </c>
      <c r="K48" s="16">
        <f t="shared" si="15"/>
        <v>417224.8643991187</v>
      </c>
      <c r="M48" s="441">
        <f t="shared" si="16"/>
        <v>1.8916217724586739</v>
      </c>
    </row>
    <row r="49" spans="2:13">
      <c r="B49" s="11" t="s">
        <v>9419</v>
      </c>
      <c r="C49" s="12">
        <v>0</v>
      </c>
      <c r="D49" s="12"/>
      <c r="E49" s="12">
        <v>1648000</v>
      </c>
      <c r="F49" s="12">
        <v>3917</v>
      </c>
      <c r="G49" s="12">
        <f>+G13</f>
        <v>25475450.495446261</v>
      </c>
      <c r="H49" s="12"/>
      <c r="I49" s="2"/>
      <c r="J49" s="12">
        <f t="shared" si="14"/>
        <v>6449.4811380876608</v>
      </c>
      <c r="K49" s="12">
        <f t="shared" si="15"/>
        <v>0</v>
      </c>
      <c r="M49" s="440"/>
    </row>
    <row r="50" spans="2:13">
      <c r="B50" s="11" t="s">
        <v>9435</v>
      </c>
      <c r="C50" s="12">
        <v>0</v>
      </c>
      <c r="D50" s="12"/>
      <c r="E50" s="12">
        <v>49055000</v>
      </c>
      <c r="F50" s="12">
        <v>144116621.84999999</v>
      </c>
      <c r="G50" s="12">
        <f>-SUM('Cierre real'!H54:S54)</f>
        <v>157934435.08688921</v>
      </c>
      <c r="H50" s="12">
        <f>-SUM('Proyección 2024'!H16:S16)</f>
        <v>171591121.83912039</v>
      </c>
      <c r="I50" s="2"/>
      <c r="J50" s="12">
        <f t="shared" si="14"/>
        <v>39983.401287820052</v>
      </c>
      <c r="K50" s="12">
        <f t="shared" si="15"/>
        <v>43440.790339017818</v>
      </c>
      <c r="M50" s="440">
        <f>+J50/K50</f>
        <v>0.92041146065216972</v>
      </c>
    </row>
    <row r="51" spans="2:13" ht="12.95">
      <c r="B51" s="15" t="s">
        <v>9436</v>
      </c>
      <c r="C51" s="16">
        <f t="shared" ref="C51:D51" si="17">+C48+C49-C50</f>
        <v>0</v>
      </c>
      <c r="D51" s="16">
        <f t="shared" si="17"/>
        <v>-28284000</v>
      </c>
      <c r="E51" s="16">
        <f>+E48+E49-E50</f>
        <v>23506000</v>
      </c>
      <c r="F51" s="16">
        <f t="shared" ref="F51" si="18">+F48+F49-F50</f>
        <v>813555177.80000031</v>
      </c>
      <c r="G51" s="16">
        <f>+G48+G49-G50</f>
        <v>2985005983.5670958</v>
      </c>
      <c r="H51" s="16">
        <f>+H48+H49-H50</f>
        <v>1476447092.5373986</v>
      </c>
      <c r="I51" s="2"/>
      <c r="J51" s="16">
        <f t="shared" si="14"/>
        <v>755697.71735875844</v>
      </c>
      <c r="K51" s="16">
        <f t="shared" si="15"/>
        <v>373784.07406010089</v>
      </c>
      <c r="M51" s="441">
        <f>+J51/K51</f>
        <v>2.0217493729742202</v>
      </c>
    </row>
    <row r="52" spans="2:13">
      <c r="B52" s="11" t="s">
        <v>294</v>
      </c>
      <c r="C52" s="12">
        <v>0</v>
      </c>
      <c r="D52" s="12">
        <f>-D20</f>
        <v>1156000</v>
      </c>
      <c r="E52" s="12">
        <f>7650000+8567000</f>
        <v>16217000</v>
      </c>
      <c r="F52" s="12">
        <f>-F19-F20</f>
        <v>184487748</v>
      </c>
      <c r="G52" s="12">
        <f>+G48*15%</f>
        <v>467619745.22378081</v>
      </c>
      <c r="H52" s="12">
        <f>+H48*15%</f>
        <v>247205732.15647784</v>
      </c>
      <c r="I52" s="2"/>
      <c r="J52" s="12">
        <f t="shared" si="14"/>
        <v>118384.74562627362</v>
      </c>
      <c r="K52" s="12">
        <f t="shared" si="15"/>
        <v>62583.729659867808</v>
      </c>
      <c r="M52" s="440">
        <f>+J52/K52</f>
        <v>1.8916217724586739</v>
      </c>
    </row>
    <row r="53" spans="2:13" ht="12.95">
      <c r="B53" s="20" t="s">
        <v>9366</v>
      </c>
      <c r="C53" s="16">
        <f t="shared" ref="C53:D53" si="19">+C51-C52</f>
        <v>0</v>
      </c>
      <c r="D53" s="16">
        <f t="shared" si="19"/>
        <v>-29440000</v>
      </c>
      <c r="E53" s="16">
        <f>+E51-E52</f>
        <v>7289000</v>
      </c>
      <c r="F53" s="16">
        <f>+F51-F52</f>
        <v>629067429.80000031</v>
      </c>
      <c r="G53" s="57">
        <f t="shared" ref="G53" si="20">+G51-G52</f>
        <v>2517386238.3433151</v>
      </c>
      <c r="H53" s="16">
        <f>+H51-H52</f>
        <v>1229241360.3809206</v>
      </c>
      <c r="I53" s="2"/>
      <c r="J53" s="57">
        <f t="shared" si="14"/>
        <v>637312.97173248488</v>
      </c>
      <c r="K53" s="57">
        <f t="shared" si="15"/>
        <v>311200.34440023307</v>
      </c>
      <c r="M53" s="442">
        <f>+J53/K53</f>
        <v>2.0479185939230202</v>
      </c>
    </row>
    <row r="54" spans="2:13">
      <c r="B54" s="1"/>
      <c r="C54" s="1"/>
      <c r="D54" s="1"/>
      <c r="E54" s="1"/>
      <c r="F54" s="1"/>
      <c r="G54" s="1"/>
      <c r="H54" s="1"/>
      <c r="I54" s="2"/>
    </row>
    <row r="55" spans="2:13">
      <c r="B55" s="1"/>
      <c r="C55" s="1"/>
      <c r="D55" s="14"/>
      <c r="E55" s="14"/>
      <c r="F55" s="1"/>
      <c r="G55" s="14">
        <f>+G53+G47</f>
        <v>3664052905.0099821</v>
      </c>
      <c r="H55" s="1"/>
      <c r="I55" s="2"/>
    </row>
    <row r="56" spans="2:13">
      <c r="B56" s="1" t="s">
        <v>9262</v>
      </c>
      <c r="C56" s="1"/>
      <c r="D56" s="1"/>
      <c r="E56" s="1"/>
      <c r="F56" s="1"/>
      <c r="G56" s="457">
        <f>+G55/G42</f>
        <v>0.18902993109111788</v>
      </c>
      <c r="H56" s="1"/>
    </row>
    <row r="57" spans="2:13" ht="12.95" hidden="1">
      <c r="B57" s="1033" t="s">
        <v>9367</v>
      </c>
      <c r="C57" s="1033"/>
      <c r="D57" s="1033"/>
      <c r="E57" s="1033"/>
      <c r="F57" s="1033"/>
      <c r="G57" s="1033"/>
      <c r="H57" s="356"/>
    </row>
    <row r="58" spans="2:13" ht="14.45" hidden="1">
      <c r="B58" s="34"/>
      <c r="C58" s="7">
        <v>2020</v>
      </c>
      <c r="D58" s="7">
        <v>2021</v>
      </c>
      <c r="E58" s="7">
        <v>2022</v>
      </c>
      <c r="F58" s="7">
        <v>2023</v>
      </c>
      <c r="G58" s="7">
        <v>2024</v>
      </c>
      <c r="H58" s="365"/>
    </row>
    <row r="59" spans="2:13" ht="14.45" hidden="1">
      <c r="B59" s="34" t="s">
        <v>9368</v>
      </c>
      <c r="C59" s="34"/>
      <c r="D59" s="34"/>
      <c r="E59" s="34"/>
      <c r="F59" s="34"/>
      <c r="G59" s="34"/>
      <c r="H59" s="34"/>
    </row>
    <row r="60" spans="2:13" ht="14.45" hidden="1">
      <c r="B60" s="58" t="s">
        <v>9369</v>
      </c>
      <c r="C60" s="38">
        <v>6267000</v>
      </c>
      <c r="D60" s="38">
        <f>+D38</f>
        <v>42986000</v>
      </c>
      <c r="E60" s="38">
        <f>+E38</f>
        <v>-4157000</v>
      </c>
      <c r="F60" s="38"/>
      <c r="G60" s="38"/>
      <c r="H60" s="38"/>
    </row>
    <row r="61" spans="2:13" ht="14.45" hidden="1">
      <c r="B61" s="58" t="s">
        <v>9305</v>
      </c>
      <c r="C61" s="38">
        <v>800000</v>
      </c>
      <c r="D61" s="38">
        <f>10160000+278870000+18656000</f>
        <v>307686000</v>
      </c>
      <c r="E61" s="2">
        <v>770171000</v>
      </c>
      <c r="F61" s="38"/>
      <c r="G61" s="38"/>
      <c r="H61" s="38"/>
    </row>
    <row r="62" spans="2:13" ht="14.45" hidden="1">
      <c r="B62" s="58" t="s">
        <v>9375</v>
      </c>
      <c r="C62" s="38"/>
      <c r="D62" s="38"/>
      <c r="E62" s="38">
        <v>9274000</v>
      </c>
      <c r="F62" s="38"/>
      <c r="G62" s="38"/>
      <c r="H62" s="38"/>
    </row>
    <row r="63" spans="2:13" ht="14.45" hidden="1">
      <c r="B63" s="98" t="s">
        <v>9376</v>
      </c>
      <c r="C63" s="41">
        <f>+SUM(C60:C62)</f>
        <v>7067000</v>
      </c>
      <c r="D63" s="41">
        <f>+SUM(D60:D62)</f>
        <v>350672000</v>
      </c>
      <c r="E63" s="41">
        <f>+SUM(E60:E62)</f>
        <v>775288000</v>
      </c>
      <c r="F63" s="41"/>
      <c r="G63" s="41"/>
      <c r="H63" s="61"/>
    </row>
    <row r="64" spans="2:13" ht="14.45" hidden="1">
      <c r="B64" s="34"/>
      <c r="C64" s="39"/>
      <c r="D64" s="39"/>
      <c r="E64" s="39"/>
      <c r="F64" s="39"/>
      <c r="G64" s="39"/>
      <c r="H64" s="39"/>
    </row>
    <row r="65" spans="2:8" ht="14.45" hidden="1">
      <c r="B65" s="58" t="s">
        <v>9377</v>
      </c>
      <c r="C65" s="38"/>
      <c r="D65" s="38">
        <v>14077000</v>
      </c>
      <c r="E65" s="38">
        <v>923417000</v>
      </c>
      <c r="F65" s="38"/>
      <c r="G65" s="38"/>
      <c r="H65" s="38"/>
    </row>
    <row r="66" spans="2:8" ht="14.45" hidden="1">
      <c r="B66" s="58"/>
      <c r="C66" s="38"/>
      <c r="D66" s="38"/>
      <c r="E66" s="38"/>
      <c r="F66" s="38"/>
      <c r="G66" s="38"/>
      <c r="H66" s="38"/>
    </row>
    <row r="67" spans="2:8" ht="14.45" hidden="1">
      <c r="B67" s="98" t="s">
        <v>9378</v>
      </c>
      <c r="C67" s="41">
        <f t="shared" ref="C67:E67" si="21">+C65</f>
        <v>0</v>
      </c>
      <c r="D67" s="41">
        <f t="shared" si="21"/>
        <v>14077000</v>
      </c>
      <c r="E67" s="41">
        <f t="shared" si="21"/>
        <v>923417000</v>
      </c>
      <c r="F67" s="41"/>
      <c r="G67" s="41"/>
      <c r="H67" s="61"/>
    </row>
    <row r="68" spans="2:8" ht="14.45" hidden="1">
      <c r="B68" s="98" t="s">
        <v>9379</v>
      </c>
      <c r="C68" s="41">
        <f t="shared" ref="C68" si="22">+C67+C63</f>
        <v>7067000</v>
      </c>
      <c r="D68" s="41">
        <f t="shared" ref="D68" si="23">+D67+D63</f>
        <v>364749000</v>
      </c>
      <c r="E68" s="41">
        <f t="shared" ref="E68" si="24">+E67+E63</f>
        <v>1698705000</v>
      </c>
      <c r="F68" s="41"/>
      <c r="G68" s="41"/>
      <c r="H68" s="61"/>
    </row>
    <row r="70" spans="2:8" ht="14.45" hidden="1">
      <c r="B70" s="69" t="s">
        <v>9380</v>
      </c>
      <c r="C70" s="49"/>
      <c r="D70" s="49"/>
      <c r="E70" s="49"/>
    </row>
    <row r="71" spans="2:8" ht="14.45" hidden="1">
      <c r="B71" s="58"/>
      <c r="C71" s="38"/>
      <c r="D71" s="38"/>
      <c r="E71" s="38"/>
    </row>
    <row r="72" spans="2:8" ht="14.45" hidden="1">
      <c r="B72" s="58" t="s">
        <v>9381</v>
      </c>
      <c r="C72" s="38">
        <v>1067000</v>
      </c>
      <c r="D72" s="38">
        <v>377485000</v>
      </c>
      <c r="E72" s="38">
        <v>124688000</v>
      </c>
    </row>
    <row r="73" spans="2:8" ht="14.45" hidden="1">
      <c r="B73" s="58" t="s">
        <v>9384</v>
      </c>
      <c r="C73" s="38"/>
      <c r="D73" s="38">
        <v>10704000</v>
      </c>
      <c r="E73" s="38">
        <v>180626000</v>
      </c>
    </row>
    <row r="74" spans="2:8" ht="14.45" hidden="1">
      <c r="B74" s="98" t="s">
        <v>9385</v>
      </c>
      <c r="C74" s="41">
        <f>+C72+C73</f>
        <v>1067000</v>
      </c>
      <c r="D74" s="41">
        <f>+D72+D73</f>
        <v>388189000</v>
      </c>
      <c r="E74" s="41">
        <f>+SUM(E71:E73)</f>
        <v>305314000</v>
      </c>
    </row>
    <row r="75" spans="2:8" ht="14.45" hidden="1">
      <c r="B75" s="39"/>
      <c r="C75" s="39"/>
      <c r="D75" s="39"/>
      <c r="E75" s="39"/>
    </row>
    <row r="76" spans="2:8" ht="14.45" hidden="1">
      <c r="B76" s="39" t="s">
        <v>9386</v>
      </c>
      <c r="C76" s="39">
        <v>0</v>
      </c>
      <c r="D76" s="39">
        <v>0</v>
      </c>
      <c r="E76" s="38">
        <v>7650000</v>
      </c>
    </row>
    <row r="77" spans="2:8" ht="14.45" hidden="1">
      <c r="B77" s="98" t="s">
        <v>9388</v>
      </c>
      <c r="C77" s="41">
        <f t="shared" ref="C77:D77" si="25">+C76</f>
        <v>0</v>
      </c>
      <c r="D77" s="41">
        <f t="shared" si="25"/>
        <v>0</v>
      </c>
      <c r="E77" s="41">
        <f>+E76</f>
        <v>7650000</v>
      </c>
    </row>
    <row r="78" spans="2:8" ht="14.45" hidden="1">
      <c r="B78" s="98" t="s">
        <v>9389</v>
      </c>
      <c r="C78" s="41">
        <f>+C77+C74</f>
        <v>1067000</v>
      </c>
      <c r="D78" s="41">
        <f>+D77+D74</f>
        <v>388189000</v>
      </c>
      <c r="E78" s="41">
        <f>+E77+E74</f>
        <v>312964000</v>
      </c>
    </row>
    <row r="79" spans="2:8" ht="14.45" hidden="1">
      <c r="B79" s="39"/>
      <c r="C79" s="39"/>
      <c r="D79" s="39"/>
      <c r="E79" s="39"/>
    </row>
    <row r="80" spans="2:8" ht="14.45" hidden="1">
      <c r="B80" s="69" t="s">
        <v>9390</v>
      </c>
      <c r="C80" s="39"/>
      <c r="D80" s="39"/>
      <c r="E80" s="39"/>
    </row>
    <row r="81" spans="2:5" ht="14.45" hidden="1">
      <c r="B81" s="58" t="s">
        <v>9391</v>
      </c>
      <c r="C81" s="38">
        <v>6000000</v>
      </c>
      <c r="D81" s="38">
        <f>+C81</f>
        <v>6000000</v>
      </c>
      <c r="E81" s="38">
        <v>6000000</v>
      </c>
    </row>
    <row r="82" spans="2:5" ht="14.45" hidden="1">
      <c r="B82" s="58" t="s">
        <v>9392</v>
      </c>
      <c r="C82" s="38">
        <v>0</v>
      </c>
      <c r="D82" s="38">
        <f>+D53</f>
        <v>-29440000</v>
      </c>
      <c r="E82" s="38">
        <f>+E53</f>
        <v>7289000</v>
      </c>
    </row>
    <row r="83" spans="2:5" hidden="1">
      <c r="B83" s="58" t="s">
        <v>9393</v>
      </c>
      <c r="C83" s="54">
        <v>0</v>
      </c>
      <c r="D83" s="54">
        <f>+C82+C83</f>
        <v>0</v>
      </c>
      <c r="E83" s="54">
        <f>+D82+D83</f>
        <v>-29440000</v>
      </c>
    </row>
    <row r="84" spans="2:5" hidden="1">
      <c r="B84" s="58" t="s">
        <v>9394</v>
      </c>
      <c r="C84" s="54">
        <v>0</v>
      </c>
      <c r="D84" s="54">
        <v>0</v>
      </c>
      <c r="E84" s="54">
        <v>1421000000</v>
      </c>
    </row>
    <row r="85" spans="2:5" ht="12.95" hidden="1">
      <c r="B85" s="98" t="s">
        <v>9395</v>
      </c>
      <c r="C85" s="29">
        <f t="shared" ref="C85:D85" si="26">+SUM(C81:C84)</f>
        <v>6000000</v>
      </c>
      <c r="D85" s="29">
        <f t="shared" si="26"/>
        <v>-23440000</v>
      </c>
      <c r="E85" s="29">
        <f>+SUM(E81:E84)</f>
        <v>1404849000</v>
      </c>
    </row>
    <row r="86" spans="2:5" hidden="1">
      <c r="C86" s="58"/>
      <c r="D86" s="58"/>
      <c r="E86" s="58"/>
    </row>
    <row r="87" spans="2:5" ht="14.45" hidden="1">
      <c r="B87" s="39"/>
      <c r="C87" s="39"/>
      <c r="D87" s="39"/>
      <c r="E87" s="39"/>
    </row>
    <row r="88" spans="2:5" ht="14.45" hidden="1">
      <c r="B88" s="98" t="s">
        <v>9396</v>
      </c>
      <c r="C88" s="41">
        <f t="shared" ref="C88:D88" si="27">+C85+C78</f>
        <v>7067000</v>
      </c>
      <c r="D88" s="41">
        <f t="shared" si="27"/>
        <v>364749000</v>
      </c>
      <c r="E88" s="41">
        <f>+E85+E78</f>
        <v>1717813000</v>
      </c>
    </row>
    <row r="89" spans="2:5" ht="14.45" hidden="1">
      <c r="B89" s="69"/>
      <c r="C89" s="61"/>
      <c r="D89" s="61"/>
      <c r="E89" s="61"/>
    </row>
    <row r="90" spans="2:5" ht="14.45" hidden="1">
      <c r="B90" s="39"/>
      <c r="C90" s="39"/>
      <c r="D90" s="39"/>
      <c r="E90" s="39"/>
    </row>
    <row r="91" spans="2:5" ht="14.45" hidden="1">
      <c r="B91" s="34"/>
      <c r="C91" s="65" t="b">
        <f>C88=C68</f>
        <v>1</v>
      </c>
      <c r="D91" s="65" t="b">
        <f>D88=D68</f>
        <v>1</v>
      </c>
      <c r="E91" s="65" t="b">
        <f>E88=E68</f>
        <v>0</v>
      </c>
    </row>
    <row r="92" spans="2:5" ht="14.45" hidden="1">
      <c r="B92" s="39"/>
      <c r="C92" s="67">
        <f>+C88-C68</f>
        <v>0</v>
      </c>
      <c r="D92" s="67">
        <f>+D88-D68</f>
        <v>0</v>
      </c>
      <c r="E92" s="67">
        <f>+E88-E68</f>
        <v>19108000</v>
      </c>
    </row>
    <row r="93" spans="2:5"/>
  </sheetData>
  <mergeCells count="6">
    <mergeCell ref="B57:G57"/>
    <mergeCell ref="B4:C4"/>
    <mergeCell ref="B5:C5"/>
    <mergeCell ref="B6:C6"/>
    <mergeCell ref="B8:H8"/>
    <mergeCell ref="B40:K40"/>
  </mergeCells>
  <pageMargins left="0.7" right="0.7" top="0.75" bottom="0.75" header="0.3" footer="0.3"/>
  <pageSetup orientation="portrait" r:id="rId1"/>
  <ignoredErrors>
    <ignoredError sqref="G15"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9210C-EFFA-4B54-BD24-B1232BE3F2BA}">
  <dimension ref="A1:K19"/>
  <sheetViews>
    <sheetView workbookViewId="0">
      <selection activeCell="H8" sqref="H8"/>
    </sheetView>
  </sheetViews>
  <sheetFormatPr defaultColWidth="11.42578125" defaultRowHeight="12.6"/>
  <cols>
    <col min="1" max="2" width="11.42578125" style="6"/>
    <col min="3" max="3" width="12.7109375" bestFit="1" customWidth="1"/>
    <col min="4" max="4" width="9" customWidth="1"/>
    <col min="5" max="5" width="16.42578125" bestFit="1" customWidth="1"/>
    <col min="6" max="6" width="16.42578125" style="6" bestFit="1" customWidth="1"/>
    <col min="7" max="7" width="16.42578125" style="6" customWidth="1"/>
    <col min="8" max="8" width="16.42578125" style="6" bestFit="1" customWidth="1"/>
    <col min="9" max="11" width="11.42578125" style="6"/>
  </cols>
  <sheetData>
    <row r="1" spans="3:8" s="6" customFormat="1"/>
    <row r="2" spans="3:8" s="6" customFormat="1"/>
    <row r="3" spans="3:8" s="6" customFormat="1"/>
    <row r="4" spans="3:8" s="6" customFormat="1">
      <c r="C4" s="1038" t="s">
        <v>9437</v>
      </c>
      <c r="D4" s="1038"/>
      <c r="E4" s="1038"/>
      <c r="F4" s="1038"/>
      <c r="G4" s="455"/>
    </row>
    <row r="5" spans="3:8" s="6" customFormat="1">
      <c r="C5" s="450"/>
      <c r="D5" s="450" t="s">
        <v>9416</v>
      </c>
      <c r="E5" s="450" t="s">
        <v>9438</v>
      </c>
      <c r="F5" s="450" t="s">
        <v>9439</v>
      </c>
      <c r="G5" s="455"/>
    </row>
    <row r="6" spans="3:8">
      <c r="C6" s="112" t="s">
        <v>20</v>
      </c>
      <c r="D6" s="366">
        <f>+E6/F6</f>
        <v>0.39575905033333336</v>
      </c>
      <c r="E6" s="449">
        <f>+H6/1000000</f>
        <v>1187.277151</v>
      </c>
      <c r="F6" s="449">
        <v>3000</v>
      </c>
      <c r="G6" s="449"/>
      <c r="H6" s="2">
        <f>+'1.Ventas EPC'!J13+'1.Ventas EPC'!L17+'1.Ventas EPC'!G25+'1.Ventas EPC'!J23+'1.Ventas EPC'!L27+'1.Ventas EPC'!M29+'1.Ventas EPC'!M33+'1.Ventas EPC'!P37+'1.Ventas EPC'!P39+'1.Ventas EPC'!P41</f>
        <v>1187277151</v>
      </c>
    </row>
    <row r="7" spans="3:8">
      <c r="C7" s="112" t="s">
        <v>9440</v>
      </c>
      <c r="D7" s="366">
        <f>+E7/F7</f>
        <v>0.91141714228390991</v>
      </c>
      <c r="E7" s="449">
        <f>+H7/1000000</f>
        <v>13855.363396999999</v>
      </c>
      <c r="F7" s="449">
        <f>3602+8300+3300</f>
        <v>15202</v>
      </c>
      <c r="G7" s="449"/>
      <c r="H7" s="114">
        <f>+'1.Ventas EPC'!P47+'1.Ventas EPC'!P49+'1.Ventas EPC'!P35+'1.Ventas EPC'!J21</f>
        <v>13855363397</v>
      </c>
    </row>
    <row r="8" spans="3:8" s="6" customFormat="1">
      <c r="C8" s="112" t="s">
        <v>9441</v>
      </c>
      <c r="D8" s="366">
        <f>+E8/F8</f>
        <v>0.88234110862260218</v>
      </c>
      <c r="E8" s="449">
        <f>+H8/1000000</f>
        <v>635.28559820827354</v>
      </c>
      <c r="F8" s="449">
        <v>720</v>
      </c>
      <c r="G8" s="449"/>
      <c r="H8" s="2">
        <f>+SUM('Cierre real'!H10:S10)+25000000</f>
        <v>635285598.20827353</v>
      </c>
    </row>
    <row r="9" spans="3:8" s="6" customFormat="1">
      <c r="C9" s="112" t="s">
        <v>11</v>
      </c>
      <c r="D9" s="453">
        <f>+E9/F9</f>
        <v>0.8285554458412574</v>
      </c>
      <c r="E9" s="454">
        <f>+SUM(E6:E8)</f>
        <v>15677.926146208272</v>
      </c>
      <c r="F9" s="454">
        <f>+SUM(F6:F8)</f>
        <v>18922</v>
      </c>
      <c r="G9" s="456"/>
      <c r="H9" s="2"/>
    </row>
    <row r="10" spans="3:8" s="6" customFormat="1">
      <c r="F10" s="2"/>
      <c r="G10" s="2"/>
    </row>
    <row r="11" spans="3:8" s="6" customFormat="1">
      <c r="C11" s="1038" t="s">
        <v>9442</v>
      </c>
      <c r="D11" s="1038"/>
      <c r="E11" s="1038"/>
      <c r="F11" s="1038"/>
      <c r="G11" s="455"/>
    </row>
    <row r="12" spans="3:8" s="6" customFormat="1">
      <c r="C12" s="450"/>
      <c r="D12" s="450" t="s">
        <v>9416</v>
      </c>
      <c r="E12" s="450" t="s">
        <v>86</v>
      </c>
      <c r="F12" s="450" t="s">
        <v>9439</v>
      </c>
      <c r="G12" s="455"/>
    </row>
    <row r="13" spans="3:8" s="6" customFormat="1">
      <c r="C13" s="112" t="s">
        <v>59</v>
      </c>
      <c r="D13" s="366">
        <f>+E13/F13</f>
        <v>0.47349999999999998</v>
      </c>
      <c r="E13" s="449">
        <f>1625+180+89</f>
        <v>1894</v>
      </c>
      <c r="F13" s="449">
        <v>4000</v>
      </c>
      <c r="G13" s="449"/>
      <c r="H13" s="2">
        <f>-SUM('Cierre real'!H25:S27)+100000000</f>
        <v>3529980579.9471116</v>
      </c>
    </row>
    <row r="14" spans="3:8" s="6" customFormat="1"/>
    <row r="15" spans="3:8" s="6" customFormat="1"/>
    <row r="16" spans="3:8" s="6" customFormat="1"/>
    <row r="17" s="6" customFormat="1"/>
    <row r="18" s="6" customFormat="1"/>
    <row r="19" s="6" customFormat="1"/>
  </sheetData>
  <mergeCells count="2">
    <mergeCell ref="C4:F4"/>
    <mergeCell ref="C11:F1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89932-082B-4189-A204-8A4AFE0DBF19}">
  <dimension ref="A2:L42"/>
  <sheetViews>
    <sheetView workbookViewId="0">
      <selection activeCell="H16" sqref="H16"/>
    </sheetView>
  </sheetViews>
  <sheetFormatPr defaultColWidth="8.7109375" defaultRowHeight="12.6"/>
  <cols>
    <col min="3" max="3" width="16.42578125" bestFit="1" customWidth="1"/>
    <col min="4" max="4" width="1.7109375" bestFit="1" customWidth="1"/>
    <col min="5" max="5" width="49.42578125" customWidth="1"/>
    <col min="8" max="8" width="19.7109375" customWidth="1"/>
    <col min="9" max="9" width="23.42578125" customWidth="1"/>
    <col min="10" max="10" width="20.85546875" customWidth="1"/>
    <col min="11" max="11" width="22.28515625" customWidth="1"/>
    <col min="12" max="12" width="16.85546875" bestFit="1" customWidth="1"/>
  </cols>
  <sheetData>
    <row r="2" spans="1:12" ht="12.95">
      <c r="A2" s="548" t="s">
        <v>9443</v>
      </c>
      <c r="B2" s="548" t="s">
        <v>9443</v>
      </c>
      <c r="C2" s="549" t="s">
        <v>9009</v>
      </c>
      <c r="D2" s="550" t="s">
        <v>9443</v>
      </c>
      <c r="E2" s="1040" t="s">
        <v>143</v>
      </c>
      <c r="F2" s="1041"/>
      <c r="G2" s="551" t="s">
        <v>9443</v>
      </c>
      <c r="H2" s="551" t="s">
        <v>9443</v>
      </c>
      <c r="I2" s="551" t="s">
        <v>9443</v>
      </c>
      <c r="J2" s="551" t="s">
        <v>9443</v>
      </c>
      <c r="K2" s="551" t="s">
        <v>9443</v>
      </c>
      <c r="L2" s="551" t="s">
        <v>9443</v>
      </c>
    </row>
    <row r="3" spans="1:12" ht="12.95">
      <c r="A3" s="548" t="s">
        <v>9443</v>
      </c>
      <c r="B3" s="548" t="s">
        <v>9443</v>
      </c>
      <c r="C3" s="550" t="s">
        <v>9443</v>
      </c>
      <c r="D3" s="550" t="s">
        <v>9443</v>
      </c>
      <c r="E3" s="551" t="s">
        <v>9443</v>
      </c>
      <c r="F3" s="551" t="s">
        <v>9443</v>
      </c>
      <c r="G3" s="551" t="s">
        <v>9443</v>
      </c>
      <c r="H3" s="548" t="s">
        <v>9443</v>
      </c>
      <c r="I3" s="548" t="s">
        <v>9443</v>
      </c>
      <c r="J3" s="548" t="s">
        <v>9443</v>
      </c>
      <c r="K3" s="548" t="s">
        <v>9443</v>
      </c>
      <c r="L3" s="548" t="s">
        <v>9443</v>
      </c>
    </row>
    <row r="4" spans="1:12" ht="12.95">
      <c r="A4" s="548" t="s">
        <v>9443</v>
      </c>
      <c r="B4" s="548" t="s">
        <v>9443</v>
      </c>
      <c r="C4" s="550" t="s">
        <v>9443</v>
      </c>
      <c r="D4" s="550" t="s">
        <v>9443</v>
      </c>
      <c r="E4" s="550" t="s">
        <v>9443</v>
      </c>
      <c r="F4" s="552">
        <v>2025</v>
      </c>
      <c r="G4" s="550" t="s">
        <v>9443</v>
      </c>
      <c r="H4" s="553">
        <v>45536</v>
      </c>
      <c r="I4" s="554">
        <v>45566</v>
      </c>
      <c r="J4" s="555">
        <v>45597</v>
      </c>
      <c r="K4" s="553">
        <v>45627</v>
      </c>
      <c r="L4" s="556">
        <v>45658</v>
      </c>
    </row>
    <row r="5" spans="1:12" ht="14.1">
      <c r="A5" s="548" t="s">
        <v>9443</v>
      </c>
      <c r="B5" s="548" t="s">
        <v>9443</v>
      </c>
      <c r="C5" s="550" t="s">
        <v>107</v>
      </c>
      <c r="D5" s="550" t="s">
        <v>9443</v>
      </c>
      <c r="E5" s="581" t="s">
        <v>5051</v>
      </c>
      <c r="F5" s="557" t="s">
        <v>9443</v>
      </c>
      <c r="G5" s="557" t="s">
        <v>9443</v>
      </c>
      <c r="H5" s="548">
        <v>0</v>
      </c>
      <c r="I5" s="548">
        <v>0</v>
      </c>
      <c r="J5" s="548">
        <v>0</v>
      </c>
      <c r="K5" s="548">
        <v>0</v>
      </c>
      <c r="L5" s="548">
        <v>0</v>
      </c>
    </row>
    <row r="6" spans="1:12" ht="14.1">
      <c r="A6" s="548" t="s">
        <v>9443</v>
      </c>
      <c r="B6" s="548" t="s">
        <v>9443</v>
      </c>
      <c r="C6" s="550" t="s">
        <v>9443</v>
      </c>
      <c r="D6" s="550" t="s">
        <v>9443</v>
      </c>
      <c r="E6" s="581" t="s">
        <v>9010</v>
      </c>
      <c r="F6" s="557" t="s">
        <v>9443</v>
      </c>
      <c r="G6" s="557" t="s">
        <v>9443</v>
      </c>
      <c r="H6" s="533" t="s">
        <v>9443</v>
      </c>
      <c r="I6" s="533" t="s">
        <v>9443</v>
      </c>
      <c r="J6" s="533" t="s">
        <v>9443</v>
      </c>
      <c r="K6" s="634"/>
      <c r="L6" s="634"/>
    </row>
    <row r="7" spans="1:12" ht="14.1">
      <c r="A7" s="548" t="s">
        <v>9443</v>
      </c>
      <c r="B7" s="548" t="s">
        <v>9443</v>
      </c>
      <c r="C7" s="550" t="s">
        <v>295</v>
      </c>
      <c r="D7" s="550" t="s">
        <v>9443</v>
      </c>
      <c r="E7" s="581" t="s">
        <v>9011</v>
      </c>
      <c r="F7" s="557" t="s">
        <v>9443</v>
      </c>
      <c r="G7" s="557" t="s">
        <v>9443</v>
      </c>
      <c r="H7" s="635">
        <v>45743186.119999997</v>
      </c>
      <c r="I7" s="636">
        <v>42038315.359999999</v>
      </c>
      <c r="J7" s="636">
        <v>49904079.280000001</v>
      </c>
      <c r="K7" s="636">
        <v>71806635.739999995</v>
      </c>
      <c r="L7" s="637">
        <v>0</v>
      </c>
    </row>
    <row r="8" spans="1:12" ht="14.1">
      <c r="A8" s="548" t="s">
        <v>9443</v>
      </c>
      <c r="B8" s="548" t="s">
        <v>9443</v>
      </c>
      <c r="C8" s="550" t="s">
        <v>395</v>
      </c>
      <c r="D8" s="550" t="s">
        <v>9443</v>
      </c>
      <c r="E8" s="581" t="s">
        <v>9012</v>
      </c>
      <c r="F8" s="557" t="s">
        <v>9443</v>
      </c>
      <c r="G8" s="557" t="s">
        <v>9443</v>
      </c>
      <c r="H8" s="635">
        <v>-1851709.67</v>
      </c>
      <c r="I8" s="636">
        <v>-37703219</v>
      </c>
      <c r="J8" s="636">
        <v>-154147</v>
      </c>
      <c r="K8" s="636">
        <v>-121000</v>
      </c>
      <c r="L8" s="637">
        <v>0</v>
      </c>
    </row>
    <row r="9" spans="1:12" ht="14.1">
      <c r="A9" s="548" t="s">
        <v>9443</v>
      </c>
      <c r="B9" s="548" t="s">
        <v>9443</v>
      </c>
      <c r="C9" s="557" t="s">
        <v>650</v>
      </c>
      <c r="D9" s="550" t="s">
        <v>9443</v>
      </c>
      <c r="E9" s="581" t="s">
        <v>9084</v>
      </c>
      <c r="F9" s="557" t="s">
        <v>9443</v>
      </c>
      <c r="G9" s="557" t="s">
        <v>9443</v>
      </c>
      <c r="H9" s="533">
        <v>0</v>
      </c>
      <c r="I9" s="533">
        <v>0</v>
      </c>
      <c r="J9" s="533">
        <v>0</v>
      </c>
      <c r="K9" s="533">
        <v>0</v>
      </c>
      <c r="L9" s="533">
        <v>0</v>
      </c>
    </row>
    <row r="10" spans="1:12" ht="14.1">
      <c r="A10" s="548" t="s">
        <v>9443</v>
      </c>
      <c r="B10" s="548" t="s">
        <v>9443</v>
      </c>
      <c r="C10" s="557" t="s">
        <v>9443</v>
      </c>
      <c r="D10" s="550" t="s">
        <v>9443</v>
      </c>
      <c r="E10" s="581" t="s">
        <v>9444</v>
      </c>
      <c r="F10" s="557" t="s">
        <v>9443</v>
      </c>
      <c r="G10" s="557" t="s">
        <v>9443</v>
      </c>
      <c r="H10" s="533" t="s">
        <v>9443</v>
      </c>
      <c r="I10" s="533" t="s">
        <v>9443</v>
      </c>
      <c r="J10" s="533" t="s">
        <v>9443</v>
      </c>
      <c r="K10" s="533" t="s">
        <v>9443</v>
      </c>
      <c r="L10" s="533" t="s">
        <v>9443</v>
      </c>
    </row>
    <row r="11" spans="1:12" ht="14.1">
      <c r="A11" s="548" t="s">
        <v>9443</v>
      </c>
      <c r="B11" s="548" t="s">
        <v>9443</v>
      </c>
      <c r="C11" s="550" t="s">
        <v>9443</v>
      </c>
      <c r="D11" s="550" t="s">
        <v>9443</v>
      </c>
      <c r="E11" s="582" t="s">
        <v>9017</v>
      </c>
      <c r="F11" s="552" t="s">
        <v>9443</v>
      </c>
      <c r="G11" s="558" t="s">
        <v>9443</v>
      </c>
      <c r="H11" s="576">
        <v>43891476.450000003</v>
      </c>
      <c r="I11" s="576">
        <v>4335096.3600000003</v>
      </c>
      <c r="J11" s="576">
        <v>49749932.280000001</v>
      </c>
      <c r="K11" s="576">
        <v>71685635.739999995</v>
      </c>
      <c r="L11" s="577">
        <v>0</v>
      </c>
    </row>
    <row r="12" spans="1:12" ht="27.95">
      <c r="A12" s="548" t="s">
        <v>9443</v>
      </c>
      <c r="B12" s="548" t="s">
        <v>9443</v>
      </c>
      <c r="C12" s="550" t="s">
        <v>291</v>
      </c>
      <c r="D12" s="550" t="s">
        <v>9443</v>
      </c>
      <c r="E12" s="583" t="s">
        <v>9018</v>
      </c>
      <c r="F12" s="557" t="s">
        <v>9443</v>
      </c>
      <c r="G12" s="557" t="s">
        <v>9443</v>
      </c>
      <c r="H12" s="635">
        <v>-71806675.680000007</v>
      </c>
      <c r="I12" s="638">
        <v>-104999804.95</v>
      </c>
      <c r="J12" s="638">
        <v>-148871077.13</v>
      </c>
      <c r="K12" s="638">
        <v>-223979867.77000001</v>
      </c>
      <c r="L12" s="638">
        <v>-2547516.94</v>
      </c>
    </row>
    <row r="13" spans="1:12" ht="14.1">
      <c r="A13" s="548" t="s">
        <v>9443</v>
      </c>
      <c r="B13" s="548" t="s">
        <v>9443</v>
      </c>
      <c r="C13" s="550" t="s">
        <v>9443</v>
      </c>
      <c r="D13" s="550" t="s">
        <v>9443</v>
      </c>
      <c r="E13" s="581" t="s">
        <v>9019</v>
      </c>
      <c r="F13" s="557" t="s">
        <v>9443</v>
      </c>
      <c r="G13" s="557" t="s">
        <v>9443</v>
      </c>
      <c r="H13" s="578">
        <v>-6100393.1100000003</v>
      </c>
      <c r="I13" s="579">
        <v>-11262511.02</v>
      </c>
      <c r="J13" s="579">
        <v>-11563053.789999999</v>
      </c>
      <c r="K13" s="579">
        <v>-12247399.92</v>
      </c>
      <c r="L13" s="579">
        <v>-685656.21</v>
      </c>
    </row>
    <row r="14" spans="1:12" ht="14.1">
      <c r="A14" s="548" t="s">
        <v>9443</v>
      </c>
      <c r="B14" s="548" t="s">
        <v>9443</v>
      </c>
      <c r="C14" s="550" t="s">
        <v>315</v>
      </c>
      <c r="D14" s="550" t="s">
        <v>9443</v>
      </c>
      <c r="E14" s="581" t="s">
        <v>9020</v>
      </c>
      <c r="F14" s="557" t="s">
        <v>9443</v>
      </c>
      <c r="G14" s="557" t="s">
        <v>9443</v>
      </c>
      <c r="H14" s="635">
        <v>-10817296</v>
      </c>
      <c r="I14" s="638">
        <v>-13073777</v>
      </c>
      <c r="J14" s="638">
        <v>-1231975</v>
      </c>
      <c r="K14" s="638">
        <v>-599012</v>
      </c>
      <c r="L14" s="638">
        <v>-3324414</v>
      </c>
    </row>
    <row r="15" spans="1:12" ht="14.1">
      <c r="A15" s="548" t="s">
        <v>9443</v>
      </c>
      <c r="B15" s="548" t="s">
        <v>256</v>
      </c>
      <c r="C15" s="550" t="s">
        <v>107</v>
      </c>
      <c r="D15" s="550" t="s">
        <v>9443</v>
      </c>
      <c r="E15" s="581" t="s">
        <v>9021</v>
      </c>
      <c r="F15" s="557" t="s">
        <v>9443</v>
      </c>
      <c r="G15" s="557" t="s">
        <v>9443</v>
      </c>
      <c r="H15" s="635">
        <v>-25548565.309999999</v>
      </c>
      <c r="I15" s="638">
        <v>-55712571</v>
      </c>
      <c r="J15" s="638">
        <v>-32210741.68</v>
      </c>
      <c r="K15" s="638">
        <v>-51285358.530000001</v>
      </c>
      <c r="L15" s="638">
        <v>-6720047</v>
      </c>
    </row>
    <row r="16" spans="1:12" ht="14.1">
      <c r="A16" s="548" t="s">
        <v>9443</v>
      </c>
      <c r="B16" s="548" t="s">
        <v>9443</v>
      </c>
      <c r="C16" s="550" t="s">
        <v>9443</v>
      </c>
      <c r="D16" s="550" t="s">
        <v>9443</v>
      </c>
      <c r="E16" s="582" t="s">
        <v>9022</v>
      </c>
      <c r="F16" s="552" t="s">
        <v>9443</v>
      </c>
      <c r="G16" s="558" t="s">
        <v>9443</v>
      </c>
      <c r="H16" s="576">
        <v>-70381453.650000006</v>
      </c>
      <c r="I16" s="576">
        <v>-180713567.61000001</v>
      </c>
      <c r="J16" s="576">
        <v>-144126915.31999999</v>
      </c>
      <c r="K16" s="576">
        <v>-216426002.47999999</v>
      </c>
      <c r="L16" s="576">
        <v>-13277634.15</v>
      </c>
    </row>
    <row r="17" spans="1:12" ht="14.1">
      <c r="A17" s="548" t="s">
        <v>9443</v>
      </c>
      <c r="B17" s="548" t="s">
        <v>9443</v>
      </c>
      <c r="C17" s="550" t="s">
        <v>9443</v>
      </c>
      <c r="D17" s="550" t="s">
        <v>9443</v>
      </c>
      <c r="E17" s="581" t="s">
        <v>9023</v>
      </c>
      <c r="F17" s="557" t="s">
        <v>9443</v>
      </c>
      <c r="G17" s="557" t="s">
        <v>9443</v>
      </c>
      <c r="H17" s="634"/>
      <c r="I17" s="634"/>
      <c r="J17" s="634"/>
      <c r="K17" s="634"/>
      <c r="L17" s="634"/>
    </row>
    <row r="18" spans="1:12" ht="14.1">
      <c r="A18" s="548" t="s">
        <v>9443</v>
      </c>
      <c r="B18" s="548" t="s">
        <v>9443</v>
      </c>
      <c r="C18" s="550" t="s">
        <v>9024</v>
      </c>
      <c r="D18" s="550" t="s">
        <v>9443</v>
      </c>
      <c r="E18" s="581" t="s">
        <v>9025</v>
      </c>
      <c r="F18" s="557" t="s">
        <v>9443</v>
      </c>
      <c r="G18" s="557" t="s">
        <v>9443</v>
      </c>
      <c r="H18" s="634"/>
      <c r="I18" s="634"/>
      <c r="J18" s="634"/>
      <c r="K18" s="634"/>
      <c r="L18" s="634"/>
    </row>
    <row r="19" spans="1:12" ht="14.1">
      <c r="A19" s="548" t="s">
        <v>9443</v>
      </c>
      <c r="B19" s="548" t="s">
        <v>9443</v>
      </c>
      <c r="C19" s="550" t="s">
        <v>9443</v>
      </c>
      <c r="D19" s="550" t="s">
        <v>9443</v>
      </c>
      <c r="E19" s="581" t="s">
        <v>9026</v>
      </c>
      <c r="F19" s="557" t="s">
        <v>9443</v>
      </c>
      <c r="G19" s="557" t="s">
        <v>9443</v>
      </c>
      <c r="H19" s="634"/>
      <c r="I19" s="634"/>
      <c r="J19" s="634"/>
      <c r="K19" s="634"/>
      <c r="L19" s="634"/>
    </row>
    <row r="20" spans="1:12" ht="14.1">
      <c r="A20" s="548" t="s">
        <v>9443</v>
      </c>
      <c r="B20" s="548" t="s">
        <v>9443</v>
      </c>
      <c r="C20" s="550" t="s">
        <v>9443</v>
      </c>
      <c r="D20" s="550" t="s">
        <v>9443</v>
      </c>
      <c r="E20" s="582" t="s">
        <v>9027</v>
      </c>
      <c r="F20" s="552" t="s">
        <v>9443</v>
      </c>
      <c r="G20" s="558" t="s">
        <v>9443</v>
      </c>
      <c r="H20" s="576">
        <v>-70381453.650000006</v>
      </c>
      <c r="I20" s="576">
        <v>-180713567.61000001</v>
      </c>
      <c r="J20" s="576">
        <v>-144126915.31999999</v>
      </c>
      <c r="K20" s="576">
        <v>-216426002.47999999</v>
      </c>
      <c r="L20" s="576">
        <v>-13277634.15</v>
      </c>
    </row>
    <row r="21" spans="1:12" ht="14.1">
      <c r="A21" s="548" t="s">
        <v>9443</v>
      </c>
      <c r="B21" s="548" t="s">
        <v>9443</v>
      </c>
      <c r="C21" s="550" t="s">
        <v>9443</v>
      </c>
      <c r="D21" s="550" t="s">
        <v>9443</v>
      </c>
      <c r="E21" s="581" t="s">
        <v>9028</v>
      </c>
      <c r="F21" s="557" t="s">
        <v>9443</v>
      </c>
      <c r="G21" s="557" t="s">
        <v>9443</v>
      </c>
      <c r="H21" s="634"/>
      <c r="I21" s="634"/>
      <c r="J21" s="634"/>
      <c r="K21" s="634"/>
      <c r="L21" s="634"/>
    </row>
    <row r="22" spans="1:12" ht="14.1">
      <c r="A22" s="548" t="s">
        <v>9443</v>
      </c>
      <c r="B22" s="548" t="s">
        <v>9443</v>
      </c>
      <c r="C22" s="550" t="s">
        <v>9443</v>
      </c>
      <c r="D22" s="550" t="s">
        <v>9443</v>
      </c>
      <c r="E22" s="584" t="s">
        <v>9029</v>
      </c>
      <c r="F22" s="559" t="s">
        <v>9443</v>
      </c>
      <c r="G22" s="558" t="s">
        <v>9443</v>
      </c>
      <c r="H22" s="576">
        <v>-70381453.650000006</v>
      </c>
      <c r="I22" s="576">
        <v>-180713567.61000001</v>
      </c>
      <c r="J22" s="576">
        <v>-144126915.31999999</v>
      </c>
      <c r="K22" s="576">
        <v>-216426002.47999999</v>
      </c>
      <c r="L22" s="576">
        <v>-13277634.15</v>
      </c>
    </row>
    <row r="23" spans="1:12" ht="14.1">
      <c r="A23" s="548" t="s">
        <v>9443</v>
      </c>
      <c r="B23" s="548" t="s">
        <v>9443</v>
      </c>
      <c r="C23" s="560" t="s">
        <v>9030</v>
      </c>
      <c r="D23" s="550" t="s">
        <v>9443</v>
      </c>
      <c r="E23" s="581" t="s">
        <v>9031</v>
      </c>
      <c r="F23" s="558" t="s">
        <v>9443</v>
      </c>
      <c r="G23" s="558" t="s">
        <v>9443</v>
      </c>
      <c r="H23" s="635">
        <v>-70787637</v>
      </c>
      <c r="I23" s="635">
        <v>-208887974</v>
      </c>
      <c r="J23" s="635">
        <v>-40300869</v>
      </c>
      <c r="K23" s="533">
        <v>0</v>
      </c>
      <c r="L23" s="533">
        <v>0</v>
      </c>
    </row>
    <row r="24" spans="1:12" ht="14.1">
      <c r="A24" s="548" t="s">
        <v>9443</v>
      </c>
      <c r="B24" s="548" t="s">
        <v>9443</v>
      </c>
      <c r="C24" s="561" t="s">
        <v>9445</v>
      </c>
      <c r="D24" s="550" t="s">
        <v>9443</v>
      </c>
      <c r="E24" s="581" t="s">
        <v>9032</v>
      </c>
      <c r="F24" s="558" t="s">
        <v>9443</v>
      </c>
      <c r="G24" s="558" t="s">
        <v>9443</v>
      </c>
      <c r="H24" s="635">
        <v>-217000000</v>
      </c>
      <c r="I24" s="638">
        <v>-325500000</v>
      </c>
      <c r="J24" s="638">
        <v>-325500000</v>
      </c>
      <c r="K24" s="638">
        <v>-108500000</v>
      </c>
      <c r="L24" s="639">
        <v>0</v>
      </c>
    </row>
    <row r="25" spans="1:12" ht="14.1">
      <c r="A25" s="548" t="s">
        <v>9443</v>
      </c>
      <c r="B25" s="548" t="s">
        <v>9443</v>
      </c>
      <c r="C25" s="562" t="s">
        <v>522</v>
      </c>
      <c r="D25" s="550" t="s">
        <v>9443</v>
      </c>
      <c r="E25" s="581" t="s">
        <v>9034</v>
      </c>
      <c r="F25" s="558" t="s">
        <v>9443</v>
      </c>
      <c r="G25" s="558" t="s">
        <v>9443</v>
      </c>
      <c r="H25" s="533">
        <v>0</v>
      </c>
      <c r="I25" s="638">
        <v>-208000000</v>
      </c>
      <c r="J25" s="638">
        <v>-104000000</v>
      </c>
      <c r="K25" s="638">
        <v>-212500000</v>
      </c>
      <c r="L25" s="639">
        <v>0</v>
      </c>
    </row>
    <row r="26" spans="1:12" ht="14.1">
      <c r="A26" s="548" t="s">
        <v>9443</v>
      </c>
      <c r="B26" s="548" t="s">
        <v>9443</v>
      </c>
      <c r="C26" s="563" t="s">
        <v>9041</v>
      </c>
      <c r="D26" s="550" t="s">
        <v>9443</v>
      </c>
      <c r="E26" s="581" t="s">
        <v>9042</v>
      </c>
      <c r="F26" s="557" t="s">
        <v>9443</v>
      </c>
      <c r="G26" s="557" t="s">
        <v>9443</v>
      </c>
      <c r="H26" s="635">
        <v>-178049876.71000001</v>
      </c>
      <c r="I26" s="638">
        <v>-99878569.730000004</v>
      </c>
      <c r="J26" s="638">
        <v>-202116068.49000001</v>
      </c>
      <c r="K26" s="638">
        <v>-71537430.129999995</v>
      </c>
      <c r="L26" s="638">
        <v>39599392.030000001</v>
      </c>
    </row>
    <row r="27" spans="1:12" ht="14.1">
      <c r="A27" s="564" t="s">
        <v>9041</v>
      </c>
      <c r="B27" s="565" t="s">
        <v>9043</v>
      </c>
      <c r="C27" s="566" t="s">
        <v>9044</v>
      </c>
      <c r="D27" s="550" t="s">
        <v>9443</v>
      </c>
      <c r="E27" s="581" t="s">
        <v>9045</v>
      </c>
      <c r="F27" s="557" t="s">
        <v>9443</v>
      </c>
      <c r="G27" s="557" t="s">
        <v>9443</v>
      </c>
      <c r="H27" s="635">
        <v>-22716543.550000001</v>
      </c>
      <c r="I27" s="638">
        <v>-30047707.670000002</v>
      </c>
      <c r="J27" s="638">
        <v>-43825449.780000001</v>
      </c>
      <c r="K27" s="638">
        <v>-43825449.780000001</v>
      </c>
      <c r="L27" s="638">
        <v>-43825449.780000001</v>
      </c>
    </row>
    <row r="28" spans="1:12" ht="14.1">
      <c r="A28" s="567" t="s">
        <v>452</v>
      </c>
      <c r="B28" s="568" t="s">
        <v>57</v>
      </c>
      <c r="C28" s="568" t="s">
        <v>57</v>
      </c>
      <c r="D28" s="548" t="s">
        <v>9443</v>
      </c>
      <c r="E28" s="533" t="s">
        <v>9046</v>
      </c>
      <c r="F28" s="548" t="s">
        <v>9443</v>
      </c>
      <c r="G28" s="548" t="s">
        <v>9443</v>
      </c>
      <c r="H28" s="635">
        <v>-32443095.25</v>
      </c>
      <c r="I28" s="638">
        <v>-53499132</v>
      </c>
      <c r="J28" s="638">
        <v>-93556181.200000003</v>
      </c>
      <c r="K28" s="638">
        <v>-157330373</v>
      </c>
      <c r="L28" s="639">
        <v>0</v>
      </c>
    </row>
    <row r="29" spans="1:12" ht="14.1">
      <c r="A29" s="569" t="s">
        <v>452</v>
      </c>
      <c r="B29" s="570" t="s">
        <v>9043</v>
      </c>
      <c r="C29" s="571" t="s">
        <v>9044</v>
      </c>
      <c r="D29" s="550" t="s">
        <v>9443</v>
      </c>
      <c r="E29" s="581" t="s">
        <v>9047</v>
      </c>
      <c r="G29" s="557" t="s">
        <v>9443</v>
      </c>
      <c r="H29" s="635">
        <v>-13029581.33</v>
      </c>
      <c r="I29" s="638">
        <v>-13029581.33</v>
      </c>
      <c r="J29" s="638">
        <v>-23137466</v>
      </c>
      <c r="K29" s="638">
        <v>-23137466</v>
      </c>
      <c r="L29" s="638">
        <v>-23137466</v>
      </c>
    </row>
    <row r="30" spans="1:12" ht="14.1">
      <c r="A30" s="548" t="s">
        <v>9443</v>
      </c>
      <c r="B30" s="548" t="s">
        <v>9443</v>
      </c>
      <c r="C30" s="572" t="s">
        <v>296</v>
      </c>
      <c r="D30" s="550" t="s">
        <v>9443</v>
      </c>
      <c r="E30" s="581" t="s">
        <v>9048</v>
      </c>
      <c r="F30" s="557" t="s">
        <v>9443</v>
      </c>
      <c r="G30" s="557" t="s">
        <v>9443</v>
      </c>
      <c r="H30" s="635">
        <v>-839537531.62</v>
      </c>
      <c r="I30" s="638">
        <v>-612139062.15999997</v>
      </c>
      <c r="J30" s="638">
        <v>-1272286025.76</v>
      </c>
      <c r="K30" s="638">
        <v>-2977063251.0100002</v>
      </c>
      <c r="L30" s="638">
        <v>-60504669.740000002</v>
      </c>
    </row>
    <row r="31" spans="1:12" ht="14.1">
      <c r="A31" s="548" t="s">
        <v>9443</v>
      </c>
      <c r="B31" s="548" t="s">
        <v>9443</v>
      </c>
      <c r="C31" s="573" t="s">
        <v>652</v>
      </c>
      <c r="D31" s="550" t="s">
        <v>9443</v>
      </c>
      <c r="E31" s="581" t="s">
        <v>9049</v>
      </c>
      <c r="F31" s="557" t="s">
        <v>9443</v>
      </c>
      <c r="G31" s="557" t="s">
        <v>9443</v>
      </c>
      <c r="H31" s="635">
        <v>1810000000</v>
      </c>
      <c r="I31" s="635">
        <v>1620000000</v>
      </c>
      <c r="J31" s="635">
        <v>2230000000</v>
      </c>
      <c r="K31" s="635">
        <v>3560000000</v>
      </c>
      <c r="L31" s="533">
        <v>0</v>
      </c>
    </row>
    <row r="32" spans="1:12" ht="14.1">
      <c r="A32" s="548" t="s">
        <v>9443</v>
      </c>
      <c r="B32" s="548" t="s">
        <v>9443</v>
      </c>
      <c r="C32" s="573" t="s">
        <v>983</v>
      </c>
      <c r="D32" s="550" t="s">
        <v>9443</v>
      </c>
      <c r="E32" s="581" t="s">
        <v>9050</v>
      </c>
      <c r="F32" s="557" t="s">
        <v>9443</v>
      </c>
      <c r="G32" s="557" t="s">
        <v>9443</v>
      </c>
      <c r="H32" s="533">
        <v>0</v>
      </c>
      <c r="I32" s="533">
        <v>0</v>
      </c>
      <c r="J32" s="533">
        <v>0</v>
      </c>
      <c r="K32" s="635">
        <v>280263347</v>
      </c>
      <c r="L32" s="533">
        <v>0</v>
      </c>
    </row>
    <row r="33" spans="1:12" ht="14.1">
      <c r="A33" s="548" t="s">
        <v>9443</v>
      </c>
      <c r="B33" s="548" t="s">
        <v>9443</v>
      </c>
      <c r="C33" s="528" t="s">
        <v>525</v>
      </c>
      <c r="D33" s="533" t="s">
        <v>9443</v>
      </c>
      <c r="E33" s="581" t="s">
        <v>9053</v>
      </c>
      <c r="F33" s="557" t="s">
        <v>9443</v>
      </c>
      <c r="G33" s="557" t="s">
        <v>9443</v>
      </c>
      <c r="H33" s="635">
        <v>-28206000</v>
      </c>
      <c r="I33" s="635">
        <v>-34693000</v>
      </c>
      <c r="J33" s="635">
        <v>-57467000</v>
      </c>
      <c r="K33" s="635">
        <v>-83730000</v>
      </c>
      <c r="L33" s="533">
        <v>0</v>
      </c>
    </row>
    <row r="34" spans="1:12" ht="14.1">
      <c r="A34" s="548" t="s">
        <v>9443</v>
      </c>
      <c r="B34" s="548" t="s">
        <v>9443</v>
      </c>
      <c r="C34" s="550" t="s">
        <v>9443</v>
      </c>
      <c r="D34" s="550" t="s">
        <v>9443</v>
      </c>
      <c r="E34" s="585" t="s">
        <v>9054</v>
      </c>
      <c r="F34" s="574" t="s">
        <v>9443</v>
      </c>
      <c r="G34" s="551" t="s">
        <v>9443</v>
      </c>
      <c r="H34" s="580">
        <v>337848280.88999999</v>
      </c>
      <c r="I34" s="580">
        <v>-146388594.5</v>
      </c>
      <c r="J34" s="580">
        <v>-76315975.549999997</v>
      </c>
      <c r="K34" s="580">
        <v>-53786625.399999999</v>
      </c>
      <c r="L34" s="580">
        <v>-101145827.64</v>
      </c>
    </row>
    <row r="35" spans="1:12" ht="14.1">
      <c r="A35" s="548" t="s">
        <v>9443</v>
      </c>
      <c r="B35" s="548" t="s">
        <v>9443</v>
      </c>
      <c r="C35" s="550" t="s">
        <v>298</v>
      </c>
      <c r="D35" s="550" t="s">
        <v>9443</v>
      </c>
      <c r="E35" s="581" t="s">
        <v>9055</v>
      </c>
      <c r="F35" s="557" t="s">
        <v>9443</v>
      </c>
      <c r="G35" s="557" t="s">
        <v>9443</v>
      </c>
      <c r="H35" s="635">
        <v>-135431945</v>
      </c>
      <c r="I35" s="638">
        <v>-79438134.689999998</v>
      </c>
      <c r="J35" s="638">
        <v>-36666772.600000001</v>
      </c>
      <c r="K35" s="638">
        <v>-10385360.49</v>
      </c>
      <c r="L35" s="638">
        <v>-23836497.350000001</v>
      </c>
    </row>
    <row r="36" spans="1:12" ht="14.1">
      <c r="A36" s="548" t="s">
        <v>9443</v>
      </c>
      <c r="B36" s="548" t="s">
        <v>9443</v>
      </c>
      <c r="C36" s="550" t="s">
        <v>9443</v>
      </c>
      <c r="D36" s="550" t="s">
        <v>9443</v>
      </c>
      <c r="E36" s="582" t="s">
        <v>9056</v>
      </c>
      <c r="F36" s="552" t="s">
        <v>9443</v>
      </c>
      <c r="G36" s="558" t="s">
        <v>9443</v>
      </c>
      <c r="H36" s="576">
        <v>202416335.88999999</v>
      </c>
      <c r="I36" s="576">
        <v>-225826729.19</v>
      </c>
      <c r="J36" s="576">
        <v>-112982748.15000001</v>
      </c>
      <c r="K36" s="576">
        <v>-64171985.880000003</v>
      </c>
      <c r="L36" s="576">
        <v>-124982324.98999999</v>
      </c>
    </row>
    <row r="37" spans="1:12" ht="14.1">
      <c r="A37" s="548" t="s">
        <v>9443</v>
      </c>
      <c r="B37" s="548" t="s">
        <v>9443</v>
      </c>
      <c r="C37" s="550" t="s">
        <v>9443</v>
      </c>
      <c r="D37" s="550" t="s">
        <v>9443</v>
      </c>
      <c r="E37" s="581" t="s">
        <v>9057</v>
      </c>
      <c r="F37" s="557" t="s">
        <v>9443</v>
      </c>
      <c r="G37" s="557" t="s">
        <v>9443</v>
      </c>
      <c r="H37" s="634"/>
      <c r="I37" s="634"/>
      <c r="J37" s="634"/>
      <c r="K37" s="634"/>
      <c r="L37" s="634"/>
    </row>
    <row r="38" spans="1:12" ht="14.1">
      <c r="A38" s="548" t="s">
        <v>9443</v>
      </c>
      <c r="B38" s="548" t="s">
        <v>9443</v>
      </c>
      <c r="E38" s="581" t="s">
        <v>9058</v>
      </c>
      <c r="F38" s="557" t="s">
        <v>9443</v>
      </c>
      <c r="G38" s="557" t="s">
        <v>9443</v>
      </c>
      <c r="H38" s="533" t="s">
        <v>9443</v>
      </c>
      <c r="I38" s="533" t="s">
        <v>9443</v>
      </c>
      <c r="J38" s="533" t="s">
        <v>9443</v>
      </c>
      <c r="K38" s="533" t="s">
        <v>9443</v>
      </c>
      <c r="L38" s="533" t="s">
        <v>9443</v>
      </c>
    </row>
    <row r="39" spans="1:12" ht="14.1">
      <c r="A39" s="548" t="s">
        <v>9443</v>
      </c>
      <c r="B39" s="548" t="s">
        <v>9443</v>
      </c>
      <c r="E39" s="581" t="s">
        <v>9059</v>
      </c>
      <c r="F39" s="557" t="s">
        <v>9443</v>
      </c>
      <c r="G39" s="557" t="s">
        <v>9443</v>
      </c>
      <c r="H39" s="533" t="s">
        <v>9443</v>
      </c>
      <c r="I39" s="533" t="s">
        <v>9443</v>
      </c>
      <c r="J39" s="533" t="s">
        <v>9443</v>
      </c>
      <c r="K39" s="533" t="s">
        <v>9443</v>
      </c>
      <c r="L39" s="533" t="s">
        <v>9443</v>
      </c>
    </row>
    <row r="40" spans="1:12" ht="14.1">
      <c r="A40" s="548" t="s">
        <v>9443</v>
      </c>
      <c r="B40" s="548" t="s">
        <v>9443</v>
      </c>
      <c r="E40" s="582" t="s">
        <v>9060</v>
      </c>
      <c r="F40" s="552" t="s">
        <v>9443</v>
      </c>
      <c r="G40" s="558" t="s">
        <v>9443</v>
      </c>
      <c r="H40" s="576">
        <v>202416335.88999999</v>
      </c>
      <c r="I40" s="576">
        <v>-225826729.19</v>
      </c>
      <c r="J40" s="576">
        <v>-112982748.15000001</v>
      </c>
      <c r="K40" s="576">
        <v>-64171985.880000003</v>
      </c>
      <c r="L40" s="576">
        <v>-124982324.98999999</v>
      </c>
    </row>
    <row r="41" spans="1:12" ht="14.1">
      <c r="A41" s="548" t="s">
        <v>9443</v>
      </c>
      <c r="B41" s="548" t="s">
        <v>9443</v>
      </c>
      <c r="E41" s="581" t="s">
        <v>9061</v>
      </c>
      <c r="F41" s="557" t="s">
        <v>9443</v>
      </c>
      <c r="G41" s="557" t="s">
        <v>9443</v>
      </c>
      <c r="H41" s="578">
        <v>429374028.45999998</v>
      </c>
      <c r="I41" s="578">
        <v>631790364.35000002</v>
      </c>
      <c r="J41" s="578">
        <v>405963635.16000003</v>
      </c>
      <c r="K41" s="578">
        <v>292980887.00999999</v>
      </c>
      <c r="L41" s="578">
        <v>228808901.13</v>
      </c>
    </row>
    <row r="42" spans="1:12" ht="27.75" customHeight="1">
      <c r="A42" s="548" t="s">
        <v>9443</v>
      </c>
      <c r="B42" s="548" t="s">
        <v>9443</v>
      </c>
      <c r="E42" s="582" t="s">
        <v>9062</v>
      </c>
      <c r="F42" s="552" t="s">
        <v>9443</v>
      </c>
      <c r="G42" s="558" t="s">
        <v>9443</v>
      </c>
      <c r="H42" s="575">
        <v>631790364.35000002</v>
      </c>
      <c r="I42" s="575">
        <v>405963635.16000003</v>
      </c>
      <c r="J42" s="575">
        <v>292980887.00999999</v>
      </c>
      <c r="K42" s="575">
        <v>228808901.13</v>
      </c>
      <c r="L42" s="575">
        <v>103826576.14</v>
      </c>
    </row>
  </sheetData>
  <mergeCells count="1">
    <mergeCell ref="E2:F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3263d6f-78a9-49ff-a5c9-96a22419e135">
      <Terms xmlns="http://schemas.microsoft.com/office/infopath/2007/PartnerControls"/>
    </lcf76f155ced4ddcb4097134ff3c332f>
    <TaxCatchAll xmlns="4c10c0ed-67ef-486e-8cdf-49cb961eb332" xsi:nil="true"/>
    <SharedWithUsers xmlns="4c10c0ed-67ef-486e-8cdf-49cb961eb332">
      <UserInfo>
        <DisplayName>Loren Díaz</DisplayName>
        <AccountId>14</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1A7F3C48C0DABA4BA49C1CE4049E40D3" ma:contentTypeVersion="15" ma:contentTypeDescription="Crear nuevo documento." ma:contentTypeScope="" ma:versionID="a1cfd53d8c4386f2bea9e30a9ff7516b">
  <xsd:schema xmlns:xsd="http://www.w3.org/2001/XMLSchema" xmlns:xs="http://www.w3.org/2001/XMLSchema" xmlns:p="http://schemas.microsoft.com/office/2006/metadata/properties" xmlns:ns2="e3263d6f-78a9-49ff-a5c9-96a22419e135" xmlns:ns3="4c10c0ed-67ef-486e-8cdf-49cb961eb332" targetNamespace="http://schemas.microsoft.com/office/2006/metadata/properties" ma:root="true" ma:fieldsID="a6434d49b760f8ed690085157e2d10f3" ns2:_="" ns3:_="">
    <xsd:import namespace="e3263d6f-78a9-49ff-a5c9-96a22419e135"/>
    <xsd:import namespace="4c10c0ed-67ef-486e-8cdf-49cb961eb33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LengthInSeconds" minOccurs="0"/>
                <xsd:element ref="ns2:MediaServiceObjectDetectorVersions" minOccurs="0"/>
                <xsd:element ref="ns2:MediaServiceDateTaken"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263d6f-78a9-49ff-a5c9-96a22419e1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81dd04d7-a9b7-45e3-b759-581493f69a4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0c0ed-67ef-486e-8cdf-49cb961eb332"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4" nillable="true" ma:displayName="Taxonomy Catch All Column" ma:hidden="true" ma:list="{21f3477a-d24b-47e3-b79e-949014d06b0f}" ma:internalName="TaxCatchAll" ma:showField="CatchAllData" ma:web="4c10c0ed-67ef-486e-8cdf-49cb961eb3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5F10BA9-EB35-432F-AA86-BCF921BEB078}"/>
</file>

<file path=customXml/itemProps2.xml><?xml version="1.0" encoding="utf-8"?>
<ds:datastoreItem xmlns:ds="http://schemas.openxmlformats.org/officeDocument/2006/customXml" ds:itemID="{66FD4655-BB49-49D7-A092-96D2054B5CF2}"/>
</file>

<file path=customXml/itemProps3.xml><?xml version="1.0" encoding="utf-8"?>
<ds:datastoreItem xmlns:ds="http://schemas.openxmlformats.org/officeDocument/2006/customXml" ds:itemID="{19C16E58-2B4E-45B8-A3FA-674643133FA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Contabilidad Evolti</dc:creator>
  <cp:keywords/>
  <dc:description/>
  <cp:lastModifiedBy/>
  <cp:revision/>
  <dcterms:created xsi:type="dcterms:W3CDTF">2024-09-30T19:16:09Z</dcterms:created>
  <dcterms:modified xsi:type="dcterms:W3CDTF">2025-07-16T18:45:18Z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0x0101001A7F3C48C0DABA4BA49C1CE4049E40D3</vt:lpwstr>
  </property>
  <property fmtid="{D5CDD505-2E9C-101B-9397-08002B2CF9AE}" pid="3" name="MediaServiceImageTags">
    <vt:lpwstr/>
  </property>
</Properties>
</file>